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G:\Mon Drive\Other\Memoire bismark\Document\"/>
    </mc:Choice>
  </mc:AlternateContent>
  <xr:revisionPtr revIDLastSave="0" documentId="13_ncr:1_{581931B7-20F6-4F42-937E-E828D6B855E8}" xr6:coauthVersionLast="47" xr6:coauthVersionMax="47" xr10:uidLastSave="{00000000-0000-0000-0000-000000000000}"/>
  <bookViews>
    <workbookView xWindow="-120" yWindow="-120" windowWidth="29040" windowHeight="15720" firstSheet="11" activeTab="11" xr2:uid="{00000000-000D-0000-FFFF-FFFF00000000}"/>
  </bookViews>
  <sheets>
    <sheet name="BESOIN SELON ETAT" sheetId="1" r:id="rId1"/>
    <sheet name="Feuil1" sheetId="28" r:id="rId2"/>
    <sheet name="DEMANDE SELON ETAT" sheetId="2" r:id="rId3"/>
    <sheet name="ADUCTION" sheetId="3" r:id="rId4"/>
    <sheet name="PIPE" sheetId="4" r:id="rId5"/>
    <sheet name="FORAGE_POMPE" sheetId="5" r:id="rId6"/>
    <sheet name="Coup_belier" sheetId="21" r:id="rId7"/>
    <sheet name="Junctions — junctions" sheetId="16" r:id="rId8"/>
    <sheet name="Pipes_result_save_V1" sheetId="17" r:id="rId9"/>
    <sheet name="Tanks — tanks" sheetId="18" r:id="rId10"/>
    <sheet name="DIST _PHASE_1_V1" sheetId="6" r:id="rId11"/>
    <sheet name="DIST_PHASE_1_v2" sheetId="10" r:id="rId12"/>
    <sheet name="DIST_PHASE_2_V1" sheetId="9" r:id="rId13"/>
    <sheet name="DIST_PHASE_2_v2" sheetId="13" r:id="rId14"/>
    <sheet name="TRONCONS_V1" sheetId="7" r:id="rId15"/>
    <sheet name="TRONCONS_V2" sheetId="11" r:id="rId16"/>
    <sheet name="REF_TABLE" sheetId="8" r:id="rId17"/>
    <sheet name="RESULT_ITTE" sheetId="14" r:id="rId18"/>
    <sheet name="SUITE_DIM_PIPE" sheetId="20" r:id="rId19"/>
    <sheet name="RESERVOIR" sheetId="12" r:id="rId20"/>
    <sheet name="DIST_TRONCONS ADAPT SAVE FORMUL" sheetId="19" r:id="rId21"/>
    <sheet name="dimensionnement de fouilles" sheetId="24" r:id="rId22"/>
    <sheet name="DIMENTIONEMENT POMPE" sheetId="25" r:id="rId23"/>
    <sheet name="ETUDE_FINANCIER" sheetId="26" r:id="rId24"/>
    <sheet name="COMPARAISON EPANET" sheetId="27" r:id="rId25"/>
  </sheets>
  <definedNames>
    <definedName name="_xlnm._FilterDatabase" localSheetId="21" hidden="1">SUITE_DIM_PIPE!$EH$3:$EV$354</definedName>
    <definedName name="_xlnm._FilterDatabase" localSheetId="20" hidden="1">'DIST_TRONCONS ADAPT SAVE FORMUL'!$W$7:$AL$77</definedName>
    <definedName name="_xlnm._FilterDatabase" localSheetId="8" hidden="1">Pipes_result_save_V1!$A$1:$R$206</definedName>
    <definedName name="_xlnm._FilterDatabase" localSheetId="17" hidden="1">RESULT_ITTE!$Z$7:$AO$77</definedName>
    <definedName name="_xlnm._FilterDatabase" localSheetId="18" hidden="1">SUITE_DIM_PIPE!$B$4:$P$74</definedName>
    <definedName name="_xlnm._FilterDatabase" localSheetId="14" hidden="1">TRONCONS_V1!$AT$15:$AX$54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B5" i="27" l="1"/>
  <c r="EB6" i="27"/>
  <c r="EB7" i="27"/>
  <c r="EB8" i="27"/>
  <c r="EB9" i="27"/>
  <c r="EB10" i="27"/>
  <c r="EB11" i="27"/>
  <c r="EB12" i="27"/>
  <c r="EB13" i="27"/>
  <c r="EB14" i="27"/>
  <c r="EB15" i="27"/>
  <c r="EB16" i="27"/>
  <c r="EB17" i="27"/>
  <c r="EB18" i="27"/>
  <c r="EB19" i="27"/>
  <c r="EB20" i="27"/>
  <c r="EB21" i="27"/>
  <c r="EB22" i="27"/>
  <c r="EB23" i="27"/>
  <c r="EB24" i="27"/>
  <c r="EB25" i="27"/>
  <c r="EB26" i="27"/>
  <c r="EB27" i="27"/>
  <c r="EB28" i="27"/>
  <c r="EB29" i="27"/>
  <c r="EB30" i="27"/>
  <c r="EB31" i="27"/>
  <c r="EB32" i="27"/>
  <c r="EB33" i="27"/>
  <c r="EB34" i="27"/>
  <c r="EB35" i="27"/>
  <c r="EB36" i="27"/>
  <c r="EB4" i="27"/>
  <c r="DZ5" i="27" a="1"/>
  <c r="DZ5" i="27" s="1"/>
  <c r="DZ6" i="27" a="1"/>
  <c r="DZ6" i="27" s="1"/>
  <c r="DZ7" i="27" a="1"/>
  <c r="DZ7" i="27"/>
  <c r="DZ8" i="27" a="1"/>
  <c r="DZ8" i="27"/>
  <c r="DZ9" i="27" a="1"/>
  <c r="DZ9" i="27" s="1"/>
  <c r="DZ10" i="27" a="1"/>
  <c r="DZ10" i="27" s="1"/>
  <c r="DZ11" i="27" a="1"/>
  <c r="DZ11" i="27"/>
  <c r="DZ12" i="27" a="1"/>
  <c r="DZ12" i="27"/>
  <c r="DZ13" i="27" a="1"/>
  <c r="DZ13" i="27" s="1"/>
  <c r="DZ14" i="27" a="1"/>
  <c r="DZ14" i="27" s="1"/>
  <c r="DZ15" i="27" a="1"/>
  <c r="DZ15" i="27"/>
  <c r="DZ16" i="27" a="1"/>
  <c r="DZ16" i="27"/>
  <c r="DZ17" i="27" a="1"/>
  <c r="DZ17" i="27" s="1"/>
  <c r="DZ18" i="27" a="1"/>
  <c r="DZ18" i="27" s="1"/>
  <c r="DZ19" i="27" a="1"/>
  <c r="DZ19" i="27"/>
  <c r="DZ20" i="27" a="1"/>
  <c r="DZ20" i="27"/>
  <c r="DZ21" i="27" a="1"/>
  <c r="DZ21" i="27" s="1"/>
  <c r="DZ22" i="27" a="1"/>
  <c r="DZ22" i="27" s="1"/>
  <c r="DZ23" i="27" a="1"/>
  <c r="DZ23" i="27"/>
  <c r="DZ24" i="27" a="1"/>
  <c r="DZ24" i="27"/>
  <c r="DZ25" i="27" a="1"/>
  <c r="DZ25" i="27" s="1"/>
  <c r="DZ26" i="27" a="1"/>
  <c r="DZ26" i="27" s="1"/>
  <c r="DZ27" i="27" a="1"/>
  <c r="DZ27" i="27"/>
  <c r="DZ28" i="27" a="1"/>
  <c r="DZ28" i="27"/>
  <c r="DZ29" i="27" a="1"/>
  <c r="DZ29" i="27" s="1"/>
  <c r="DZ30" i="27" a="1"/>
  <c r="DZ30" i="27" s="1"/>
  <c r="DZ31" i="27" a="1"/>
  <c r="DZ31" i="27"/>
  <c r="DZ32" i="27" a="1"/>
  <c r="DZ32" i="27"/>
  <c r="DZ33" i="27" a="1"/>
  <c r="DZ33" i="27" s="1"/>
  <c r="DZ34" i="27" a="1"/>
  <c r="DZ34" i="27" s="1"/>
  <c r="DZ35" i="27" a="1"/>
  <c r="DZ35" i="27"/>
  <c r="DZ36" i="27" a="1"/>
  <c r="DZ36" i="27"/>
  <c r="DZ4" i="27" a="1"/>
  <c r="DZ4" i="27" s="1"/>
  <c r="DX5" i="27" a="1"/>
  <c r="DX5" i="27" s="1"/>
  <c r="DX6" i="27" a="1"/>
  <c r="DX6" i="27" s="1"/>
  <c r="DX7" i="27" a="1"/>
  <c r="DX7" i="27"/>
  <c r="DX8" i="27" a="1"/>
  <c r="DX8" i="27"/>
  <c r="DX9" i="27" a="1"/>
  <c r="DX9" i="27" s="1"/>
  <c r="DX10" i="27" a="1"/>
  <c r="DX10" i="27" s="1"/>
  <c r="DX11" i="27" a="1"/>
  <c r="DX11" i="27"/>
  <c r="DX12" i="27" a="1"/>
  <c r="DX12" i="27"/>
  <c r="DX13" i="27" a="1"/>
  <c r="DX13" i="27" s="1"/>
  <c r="DX14" i="27" a="1"/>
  <c r="DX14" i="27" s="1"/>
  <c r="DX15" i="27" a="1"/>
  <c r="DX15" i="27"/>
  <c r="DX16" i="27" a="1"/>
  <c r="DX16" i="27"/>
  <c r="DX17" i="27" a="1"/>
  <c r="DX17" i="27" s="1"/>
  <c r="DX18" i="27" a="1"/>
  <c r="DX18" i="27" s="1"/>
  <c r="DX19" i="27" a="1"/>
  <c r="DX19" i="27"/>
  <c r="DX20" i="27" a="1"/>
  <c r="DX20" i="27"/>
  <c r="DX21" i="27" a="1"/>
  <c r="DX21" i="27" s="1"/>
  <c r="DX22" i="27" a="1"/>
  <c r="DX22" i="27" s="1"/>
  <c r="DX23" i="27" a="1"/>
  <c r="DX23" i="27"/>
  <c r="DX24" i="27" a="1"/>
  <c r="DX24" i="27"/>
  <c r="DX25" i="27" a="1"/>
  <c r="DX25" i="27" s="1"/>
  <c r="DX26" i="27" a="1"/>
  <c r="DX26" i="27" s="1"/>
  <c r="DX27" i="27" a="1"/>
  <c r="DX27" i="27"/>
  <c r="DX28" i="27" a="1"/>
  <c r="DX28" i="27"/>
  <c r="DX29" i="27" a="1"/>
  <c r="DX29" i="27" s="1"/>
  <c r="DX30" i="27" a="1"/>
  <c r="DX30" i="27" s="1"/>
  <c r="DX31" i="27" a="1"/>
  <c r="DX31" i="27"/>
  <c r="DX32" i="27" a="1"/>
  <c r="DX32" i="27"/>
  <c r="DX33" i="27" a="1"/>
  <c r="DX33" i="27" s="1"/>
  <c r="DX34" i="27" a="1"/>
  <c r="DX34" i="27" s="1"/>
  <c r="DX35" i="27" a="1"/>
  <c r="DX35" i="27"/>
  <c r="DX36" i="27" a="1"/>
  <c r="DX36" i="27"/>
  <c r="DX4" i="27" a="1"/>
  <c r="DX4" i="27" s="1"/>
  <c r="DV5" i="27" a="1"/>
  <c r="DV5" i="27" s="1"/>
  <c r="DV6" i="27" a="1"/>
  <c r="DV6" i="27" s="1"/>
  <c r="DV7" i="27" a="1"/>
  <c r="DV7" i="27"/>
  <c r="DV8" i="27" a="1"/>
  <c r="DV8" i="27"/>
  <c r="DV9" i="27" a="1"/>
  <c r="DV9" i="27" s="1"/>
  <c r="DV10" i="27" a="1"/>
  <c r="DV10" i="27" s="1"/>
  <c r="DV11" i="27" a="1"/>
  <c r="DV11" i="27"/>
  <c r="DV12" i="27" a="1"/>
  <c r="DV12" i="27"/>
  <c r="DV13" i="27" a="1"/>
  <c r="DV13" i="27" s="1"/>
  <c r="DV14" i="27" a="1"/>
  <c r="DV14" i="27" s="1"/>
  <c r="DV15" i="27" a="1"/>
  <c r="DV15" i="27"/>
  <c r="DV16" i="27" a="1"/>
  <c r="DV16" i="27"/>
  <c r="DV17" i="27" a="1"/>
  <c r="DV17" i="27" s="1"/>
  <c r="DV18" i="27" a="1"/>
  <c r="DV18" i="27" s="1"/>
  <c r="DV19" i="27" a="1"/>
  <c r="DV19" i="27"/>
  <c r="DV20" i="27" a="1"/>
  <c r="DV20" i="27"/>
  <c r="DV21" i="27" a="1"/>
  <c r="DV21" i="27" s="1"/>
  <c r="DV22" i="27" a="1"/>
  <c r="DV22" i="27" s="1"/>
  <c r="DV23" i="27" a="1"/>
  <c r="DV23" i="27"/>
  <c r="DV24" i="27" a="1"/>
  <c r="DV24" i="27"/>
  <c r="DV25" i="27" a="1"/>
  <c r="DV25" i="27" s="1"/>
  <c r="DV26" i="27" a="1"/>
  <c r="DV26" i="27" s="1"/>
  <c r="DV27" i="27" a="1"/>
  <c r="DV27" i="27"/>
  <c r="DV28" i="27" a="1"/>
  <c r="DV28" i="27"/>
  <c r="DV29" i="27" a="1"/>
  <c r="DV29" i="27" s="1"/>
  <c r="DV30" i="27" a="1"/>
  <c r="DV30" i="27" s="1"/>
  <c r="DV31" i="27" a="1"/>
  <c r="DV31" i="27"/>
  <c r="DV32" i="27" a="1"/>
  <c r="DV32" i="27"/>
  <c r="DV33" i="27" a="1"/>
  <c r="DV33" i="27" s="1"/>
  <c r="DV34" i="27" a="1"/>
  <c r="DV34" i="27" s="1"/>
  <c r="DV35" i="27" a="1"/>
  <c r="DV35" i="27"/>
  <c r="DV36" i="27" a="1"/>
  <c r="DV36" i="27"/>
  <c r="DV4" i="27" a="1"/>
  <c r="DV4" i="27" s="1"/>
  <c r="DT5" i="27" a="1"/>
  <c r="DT5" i="27" s="1"/>
  <c r="DT6" i="27" a="1"/>
  <c r="DT6" i="27" s="1"/>
  <c r="DT7" i="27" a="1"/>
  <c r="DT7" i="27" s="1"/>
  <c r="DT8" i="27" a="1"/>
  <c r="DT8" i="27"/>
  <c r="DT9" i="27" a="1"/>
  <c r="DT9" i="27" s="1"/>
  <c r="DT10" i="27" a="1"/>
  <c r="DT10" i="27" s="1"/>
  <c r="DT11" i="27" a="1"/>
  <c r="DT11" i="27" s="1"/>
  <c r="DT12" i="27" a="1"/>
  <c r="DT12" i="27"/>
  <c r="DT13" i="27" a="1"/>
  <c r="DT13" i="27" s="1"/>
  <c r="DT14" i="27" a="1"/>
  <c r="DT14" i="27" s="1"/>
  <c r="DT15" i="27" a="1"/>
  <c r="DT15" i="27" s="1"/>
  <c r="DT16" i="27" a="1"/>
  <c r="DT16" i="27"/>
  <c r="DT17" i="27" a="1"/>
  <c r="DT17" i="27" s="1"/>
  <c r="DT18" i="27" a="1"/>
  <c r="DT18" i="27" s="1"/>
  <c r="DT19" i="27" a="1"/>
  <c r="DT19" i="27" s="1"/>
  <c r="DT20" i="27" a="1"/>
  <c r="DT20" i="27"/>
  <c r="DT21" i="27" a="1"/>
  <c r="DT21" i="27" s="1"/>
  <c r="DT22" i="27" a="1"/>
  <c r="DT22" i="27" s="1"/>
  <c r="DT23" i="27" a="1"/>
  <c r="DT23" i="27" s="1"/>
  <c r="DT24" i="27" a="1"/>
  <c r="DT24" i="27"/>
  <c r="DT25" i="27" a="1"/>
  <c r="DT25" i="27" s="1"/>
  <c r="DT26" i="27" a="1"/>
  <c r="DT26" i="27" s="1"/>
  <c r="DT27" i="27" a="1"/>
  <c r="DT27" i="27" s="1"/>
  <c r="DT28" i="27" a="1"/>
  <c r="DT28" i="27"/>
  <c r="DT29" i="27" a="1"/>
  <c r="DT29" i="27" s="1"/>
  <c r="DT30" i="27" a="1"/>
  <c r="DT30" i="27" s="1"/>
  <c r="DT31" i="27" a="1"/>
  <c r="DT31" i="27" s="1"/>
  <c r="DT32" i="27" a="1"/>
  <c r="DT32" i="27"/>
  <c r="DT33" i="27" a="1"/>
  <c r="DT33" i="27" s="1"/>
  <c r="DT34" i="27" a="1"/>
  <c r="DT34" i="27" s="1"/>
  <c r="DT35" i="27" a="1"/>
  <c r="DT35" i="27" s="1"/>
  <c r="DT36" i="27" a="1"/>
  <c r="DT36" i="27"/>
  <c r="DT4" i="27" a="1"/>
  <c r="DT4" i="27" s="1"/>
  <c r="DR5" i="27" a="1"/>
  <c r="DR5" i="27" s="1"/>
  <c r="DR6" i="27" a="1"/>
  <c r="DR6" i="27" s="1"/>
  <c r="DR7" i="27" a="1"/>
  <c r="DR7" i="27"/>
  <c r="DR8" i="27" a="1"/>
  <c r="DR8" i="27"/>
  <c r="DR9" i="27" a="1"/>
  <c r="DR9" i="27" s="1"/>
  <c r="DR10" i="27" a="1"/>
  <c r="DR10" i="27" s="1"/>
  <c r="DR11" i="27" a="1"/>
  <c r="DR11" i="27"/>
  <c r="DR12" i="27" a="1"/>
  <c r="DR12" i="27"/>
  <c r="DR13" i="27" a="1"/>
  <c r="DR13" i="27" s="1"/>
  <c r="DR14" i="27" a="1"/>
  <c r="DR14" i="27" s="1"/>
  <c r="DR15" i="27" a="1"/>
  <c r="DR15" i="27"/>
  <c r="DR16" i="27" a="1"/>
  <c r="DR16" i="27"/>
  <c r="DR17" i="27" a="1"/>
  <c r="DR17" i="27" s="1"/>
  <c r="DR18" i="27" a="1"/>
  <c r="DR18" i="27" s="1"/>
  <c r="DR19" i="27" a="1"/>
  <c r="DR19" i="27"/>
  <c r="DR20" i="27" a="1"/>
  <c r="DR20" i="27"/>
  <c r="DR21" i="27" a="1"/>
  <c r="DR21" i="27" s="1"/>
  <c r="DR22" i="27" a="1"/>
  <c r="DR22" i="27" s="1"/>
  <c r="DR23" i="27" a="1"/>
  <c r="DR23" i="27"/>
  <c r="DR24" i="27" a="1"/>
  <c r="DR24" i="27"/>
  <c r="DR25" i="27" a="1"/>
  <c r="DR25" i="27" s="1"/>
  <c r="DR26" i="27" a="1"/>
  <c r="DR26" i="27" s="1"/>
  <c r="DR27" i="27" a="1"/>
  <c r="DR27" i="27"/>
  <c r="DR28" i="27" a="1"/>
  <c r="DR28" i="27"/>
  <c r="DR29" i="27" a="1"/>
  <c r="DR29" i="27" s="1"/>
  <c r="DR30" i="27" a="1"/>
  <c r="DR30" i="27" s="1"/>
  <c r="DR31" i="27" a="1"/>
  <c r="DR31" i="27"/>
  <c r="DR32" i="27" a="1"/>
  <c r="DR32" i="27"/>
  <c r="DR33" i="27" a="1"/>
  <c r="DR33" i="27" s="1"/>
  <c r="DR34" i="27" a="1"/>
  <c r="DR34" i="27" s="1"/>
  <c r="DR35" i="27" a="1"/>
  <c r="DR35" i="27"/>
  <c r="DR36" i="27" a="1"/>
  <c r="DR36" i="27"/>
  <c r="DR4" i="27"/>
  <c r="DR4" i="27" a="1"/>
  <c r="DI5" i="27"/>
  <c r="DI6" i="27"/>
  <c r="DI7" i="27"/>
  <c r="DI8" i="27"/>
  <c r="DI9" i="27"/>
  <c r="DI10" i="27"/>
  <c r="DI11" i="27"/>
  <c r="DI12" i="27"/>
  <c r="DI13" i="27"/>
  <c r="DI14" i="27"/>
  <c r="DI15" i="27"/>
  <c r="DI16" i="27"/>
  <c r="DI17" i="27"/>
  <c r="DI18" i="27"/>
  <c r="DI19" i="27"/>
  <c r="DI20" i="27"/>
  <c r="DI21" i="27"/>
  <c r="DI22" i="27"/>
  <c r="DI23" i="27"/>
  <c r="DI24" i="27"/>
  <c r="DI25" i="27"/>
  <c r="DI26" i="27"/>
  <c r="DI27" i="27"/>
  <c r="DI28" i="27"/>
  <c r="DI29" i="27"/>
  <c r="DI30" i="27"/>
  <c r="DI31" i="27"/>
  <c r="DI32" i="27"/>
  <c r="DI33" i="27"/>
  <c r="DI34" i="27"/>
  <c r="DI35" i="27"/>
  <c r="DI36" i="27"/>
  <c r="DI37" i="27"/>
  <c r="DI38" i="27"/>
  <c r="DI39" i="27"/>
  <c r="DI40" i="27"/>
  <c r="DI41" i="27"/>
  <c r="DI42" i="27"/>
  <c r="DI43" i="27"/>
  <c r="DI44" i="27"/>
  <c r="DI45" i="27"/>
  <c r="DI46" i="27"/>
  <c r="DI47" i="27"/>
  <c r="DI48" i="27"/>
  <c r="DI49" i="27"/>
  <c r="DI50" i="27"/>
  <c r="DI51" i="27"/>
  <c r="DI4" i="27"/>
  <c r="DG5" i="27" a="1"/>
  <c r="DG5" i="27" s="1"/>
  <c r="DG6" i="27" a="1"/>
  <c r="DG6" i="27" s="1"/>
  <c r="DG7" i="27" a="1"/>
  <c r="DG7" i="27" s="1"/>
  <c r="DG8" i="27" a="1"/>
  <c r="DG8" i="27"/>
  <c r="DG9" i="27" a="1"/>
  <c r="DG9" i="27" s="1"/>
  <c r="DG10" i="27" a="1"/>
  <c r="DG10" i="27" s="1"/>
  <c r="DG11" i="27" a="1"/>
  <c r="DG11" i="27" s="1"/>
  <c r="DG12" i="27" a="1"/>
  <c r="DG12" i="27"/>
  <c r="DG13" i="27" a="1"/>
  <c r="DG13" i="27" s="1"/>
  <c r="DG14" i="27" a="1"/>
  <c r="DG14" i="27" s="1"/>
  <c r="DG15" i="27" a="1"/>
  <c r="DG15" i="27" s="1"/>
  <c r="DG16" i="27" a="1"/>
  <c r="DG16" i="27"/>
  <c r="DG17" i="27" a="1"/>
  <c r="DG17" i="27" s="1"/>
  <c r="DG18" i="27" a="1"/>
  <c r="DG18" i="27" s="1"/>
  <c r="DG19" i="27" a="1"/>
  <c r="DG19" i="27" s="1"/>
  <c r="DG20" i="27" a="1"/>
  <c r="DG20" i="27"/>
  <c r="DG21" i="27" a="1"/>
  <c r="DG21" i="27" s="1"/>
  <c r="DG22" i="27" a="1"/>
  <c r="DG22" i="27" s="1"/>
  <c r="DG23" i="27" a="1"/>
  <c r="DG23" i="27" s="1"/>
  <c r="DG24" i="27" a="1"/>
  <c r="DG24" i="27"/>
  <c r="DG25" i="27" a="1"/>
  <c r="DG25" i="27" s="1"/>
  <c r="DG26" i="27" a="1"/>
  <c r="DG26" i="27" s="1"/>
  <c r="DG27" i="27" a="1"/>
  <c r="DG27" i="27" s="1"/>
  <c r="DG28" i="27" a="1"/>
  <c r="DG28" i="27"/>
  <c r="DG29" i="27" a="1"/>
  <c r="DG29" i="27" s="1"/>
  <c r="DG30" i="27" a="1"/>
  <c r="DG30" i="27" s="1"/>
  <c r="DG31" i="27" a="1"/>
  <c r="DG31" i="27" s="1"/>
  <c r="DG32" i="27" a="1"/>
  <c r="DG32" i="27"/>
  <c r="DG33" i="27" a="1"/>
  <c r="DG33" i="27" s="1"/>
  <c r="DG34" i="27" a="1"/>
  <c r="DG34" i="27" s="1"/>
  <c r="DG35" i="27" a="1"/>
  <c r="DG35" i="27" s="1"/>
  <c r="DG36" i="27" a="1"/>
  <c r="DG36" i="27"/>
  <c r="DG37" i="27" a="1"/>
  <c r="DG37" i="27" s="1"/>
  <c r="DG38" i="27" a="1"/>
  <c r="DG38" i="27" s="1"/>
  <c r="DG39" i="27" a="1"/>
  <c r="DG39" i="27" s="1"/>
  <c r="DG40" i="27" a="1"/>
  <c r="DG40" i="27"/>
  <c r="DG41" i="27" a="1"/>
  <c r="DG41" i="27" s="1"/>
  <c r="DG42" i="27" a="1"/>
  <c r="DG42" i="27" s="1"/>
  <c r="DG43" i="27" a="1"/>
  <c r="DG43" i="27" s="1"/>
  <c r="DG44" i="27" a="1"/>
  <c r="DG44" i="27"/>
  <c r="DG45" i="27" a="1"/>
  <c r="DG45" i="27" s="1"/>
  <c r="DG46" i="27" a="1"/>
  <c r="DG46" i="27" s="1"/>
  <c r="DG47" i="27" a="1"/>
  <c r="DG47" i="27" s="1"/>
  <c r="DG48" i="27" a="1"/>
  <c r="DG48" i="27"/>
  <c r="DG49" i="27" a="1"/>
  <c r="DG49" i="27" s="1"/>
  <c r="DG50" i="27" a="1"/>
  <c r="DG50" i="27" s="1"/>
  <c r="DG51" i="27" a="1"/>
  <c r="DG51" i="27" s="1"/>
  <c r="DG4" i="27" a="1"/>
  <c r="DG4" i="27" s="1"/>
  <c r="DE5" i="27" a="1"/>
  <c r="DE5" i="27" s="1"/>
  <c r="DE6" i="27" a="1"/>
  <c r="DE6" i="27" s="1"/>
  <c r="DE7" i="27" a="1"/>
  <c r="DE7" i="27" s="1"/>
  <c r="DE8" i="27" a="1"/>
  <c r="DE8" i="27"/>
  <c r="DE9" i="27" a="1"/>
  <c r="DE9" i="27" s="1"/>
  <c r="DE10" i="27" a="1"/>
  <c r="DE10" i="27" s="1"/>
  <c r="DE11" i="27" a="1"/>
  <c r="DE11" i="27" s="1"/>
  <c r="DE12" i="27" a="1"/>
  <c r="DE12" i="27"/>
  <c r="DE13" i="27" a="1"/>
  <c r="DE13" i="27" s="1"/>
  <c r="DE14" i="27" a="1"/>
  <c r="DE14" i="27" s="1"/>
  <c r="DE15" i="27" a="1"/>
  <c r="DE15" i="27" s="1"/>
  <c r="DE16" i="27" a="1"/>
  <c r="DE16" i="27"/>
  <c r="DE17" i="27" a="1"/>
  <c r="DE17" i="27" s="1"/>
  <c r="DE18" i="27" a="1"/>
  <c r="DE18" i="27" s="1"/>
  <c r="DE19" i="27" a="1"/>
  <c r="DE19" i="27" s="1"/>
  <c r="DE20" i="27" a="1"/>
  <c r="DE20" i="27"/>
  <c r="DE21" i="27" a="1"/>
  <c r="DE21" i="27" s="1"/>
  <c r="DE22" i="27" a="1"/>
  <c r="DE22" i="27" s="1"/>
  <c r="DE23" i="27" a="1"/>
  <c r="DE23" i="27" s="1"/>
  <c r="DE24" i="27" a="1"/>
  <c r="DE24" i="27"/>
  <c r="DE25" i="27" a="1"/>
  <c r="DE25" i="27" s="1"/>
  <c r="DE26" i="27" a="1"/>
  <c r="DE26" i="27" s="1"/>
  <c r="DE27" i="27" a="1"/>
  <c r="DE27" i="27" s="1"/>
  <c r="DE28" i="27" a="1"/>
  <c r="DE28" i="27"/>
  <c r="DE29" i="27" a="1"/>
  <c r="DE29" i="27" s="1"/>
  <c r="DE30" i="27" a="1"/>
  <c r="DE30" i="27" s="1"/>
  <c r="DE31" i="27" a="1"/>
  <c r="DE31" i="27" s="1"/>
  <c r="DE32" i="27" a="1"/>
  <c r="DE32" i="27"/>
  <c r="DE33" i="27" a="1"/>
  <c r="DE33" i="27" s="1"/>
  <c r="DE34" i="27" a="1"/>
  <c r="DE34" i="27" s="1"/>
  <c r="DE35" i="27" a="1"/>
  <c r="DE35" i="27" s="1"/>
  <c r="DE36" i="27" a="1"/>
  <c r="DE36" i="27"/>
  <c r="DE37" i="27" a="1"/>
  <c r="DE37" i="27" s="1"/>
  <c r="DE38" i="27" a="1"/>
  <c r="DE38" i="27" s="1"/>
  <c r="DE39" i="27" a="1"/>
  <c r="DE39" i="27" s="1"/>
  <c r="DE40" i="27" a="1"/>
  <c r="DE40" i="27"/>
  <c r="DE41" i="27" a="1"/>
  <c r="DE41" i="27" s="1"/>
  <c r="DE42" i="27" a="1"/>
  <c r="DE42" i="27" s="1"/>
  <c r="DE43" i="27" a="1"/>
  <c r="DE43" i="27" s="1"/>
  <c r="DE44" i="27" a="1"/>
  <c r="DE44" i="27"/>
  <c r="DE45" i="27" a="1"/>
  <c r="DE45" i="27" s="1"/>
  <c r="DE46" i="27" a="1"/>
  <c r="DE46" i="27" s="1"/>
  <c r="DE47" i="27" a="1"/>
  <c r="DE47" i="27" s="1"/>
  <c r="DE48" i="27" a="1"/>
  <c r="DE48" i="27"/>
  <c r="DE49" i="27" a="1"/>
  <c r="DE49" i="27" s="1"/>
  <c r="DE50" i="27" a="1"/>
  <c r="DE50" i="27" s="1"/>
  <c r="DE51" i="27" a="1"/>
  <c r="DE51" i="27" s="1"/>
  <c r="DE4" i="27" a="1"/>
  <c r="DE4" i="27" s="1"/>
  <c r="DC5" i="27" a="1"/>
  <c r="DC5" i="27" s="1"/>
  <c r="DC6" i="27" a="1"/>
  <c r="DC6" i="27" s="1"/>
  <c r="DC7" i="27" a="1"/>
  <c r="DC7" i="27" s="1"/>
  <c r="DC8" i="27" a="1"/>
  <c r="DC8" i="27"/>
  <c r="DC9" i="27" a="1"/>
  <c r="DC9" i="27" s="1"/>
  <c r="DC10" i="27" a="1"/>
  <c r="DC10" i="27" s="1"/>
  <c r="DC11" i="27" a="1"/>
  <c r="DC11" i="27" s="1"/>
  <c r="DC12" i="27" a="1"/>
  <c r="DC12" i="27"/>
  <c r="DC13" i="27" a="1"/>
  <c r="DC13" i="27" s="1"/>
  <c r="DC14" i="27" a="1"/>
  <c r="DC14" i="27" s="1"/>
  <c r="DC15" i="27" a="1"/>
  <c r="DC15" i="27" s="1"/>
  <c r="DC16" i="27" a="1"/>
  <c r="DC16" i="27"/>
  <c r="DC17" i="27" a="1"/>
  <c r="DC17" i="27" s="1"/>
  <c r="DC18" i="27" a="1"/>
  <c r="DC18" i="27" s="1"/>
  <c r="DC19" i="27" a="1"/>
  <c r="DC19" i="27" s="1"/>
  <c r="DC20" i="27" a="1"/>
  <c r="DC20" i="27"/>
  <c r="DC21" i="27" a="1"/>
  <c r="DC21" i="27" s="1"/>
  <c r="DC22" i="27" a="1"/>
  <c r="DC22" i="27" s="1"/>
  <c r="DC23" i="27" a="1"/>
  <c r="DC23" i="27" s="1"/>
  <c r="DC24" i="27" a="1"/>
  <c r="DC24" i="27"/>
  <c r="DC25" i="27" a="1"/>
  <c r="DC25" i="27" s="1"/>
  <c r="DC26" i="27" a="1"/>
  <c r="DC26" i="27" s="1"/>
  <c r="DC27" i="27" a="1"/>
  <c r="DC27" i="27" s="1"/>
  <c r="DC28" i="27" a="1"/>
  <c r="DC28" i="27"/>
  <c r="DC29" i="27" a="1"/>
  <c r="DC29" i="27" s="1"/>
  <c r="DC30" i="27" a="1"/>
  <c r="DC30" i="27" s="1"/>
  <c r="DC31" i="27" a="1"/>
  <c r="DC31" i="27" s="1"/>
  <c r="DC32" i="27" a="1"/>
  <c r="DC32" i="27"/>
  <c r="DC33" i="27" a="1"/>
  <c r="DC33" i="27" s="1"/>
  <c r="DC34" i="27" a="1"/>
  <c r="DC34" i="27" s="1"/>
  <c r="DC35" i="27" a="1"/>
  <c r="DC35" i="27" s="1"/>
  <c r="DC36" i="27" a="1"/>
  <c r="DC36" i="27"/>
  <c r="DC37" i="27" a="1"/>
  <c r="DC37" i="27" s="1"/>
  <c r="DC38" i="27" a="1"/>
  <c r="DC38" i="27" s="1"/>
  <c r="DC39" i="27" a="1"/>
  <c r="DC39" i="27" s="1"/>
  <c r="DC40" i="27" a="1"/>
  <c r="DC40" i="27"/>
  <c r="DC41" i="27" a="1"/>
  <c r="DC41" i="27" s="1"/>
  <c r="DC42" i="27" a="1"/>
  <c r="DC42" i="27" s="1"/>
  <c r="DC43" i="27" a="1"/>
  <c r="DC43" i="27" s="1"/>
  <c r="DC44" i="27" a="1"/>
  <c r="DC44" i="27"/>
  <c r="DC45" i="27" a="1"/>
  <c r="DC45" i="27" s="1"/>
  <c r="DC46" i="27" a="1"/>
  <c r="DC46" i="27" s="1"/>
  <c r="DC47" i="27" a="1"/>
  <c r="DC47" i="27" s="1"/>
  <c r="DC48" i="27" a="1"/>
  <c r="DC48" i="27"/>
  <c r="DC49" i="27" a="1"/>
  <c r="DC49" i="27" s="1"/>
  <c r="DC50" i="27" a="1"/>
  <c r="DC50" i="27" s="1"/>
  <c r="DC51" i="27" a="1"/>
  <c r="DC51" i="27" s="1"/>
  <c r="DC4" i="27" a="1"/>
  <c r="DC4" i="27" s="1"/>
  <c r="DA5" i="27" a="1"/>
  <c r="DA5" i="27" s="1"/>
  <c r="DA6" i="27" a="1"/>
  <c r="DA6" i="27" s="1"/>
  <c r="DA7" i="27" a="1"/>
  <c r="DA7" i="27" s="1"/>
  <c r="DA8" i="27" a="1"/>
  <c r="DA8" i="27"/>
  <c r="DA9" i="27" a="1"/>
  <c r="DA9" i="27" s="1"/>
  <c r="DA10" i="27" a="1"/>
  <c r="DA10" i="27" s="1"/>
  <c r="DA11" i="27" a="1"/>
  <c r="DA11" i="27" s="1"/>
  <c r="DA12" i="27" a="1"/>
  <c r="DA12" i="27"/>
  <c r="DA13" i="27" a="1"/>
  <c r="DA13" i="27" s="1"/>
  <c r="DA14" i="27" a="1"/>
  <c r="DA14" i="27" s="1"/>
  <c r="DA15" i="27" a="1"/>
  <c r="DA15" i="27" s="1"/>
  <c r="DA16" i="27" a="1"/>
  <c r="DA16" i="27"/>
  <c r="DA17" i="27" a="1"/>
  <c r="DA17" i="27" s="1"/>
  <c r="DA18" i="27" a="1"/>
  <c r="DA18" i="27" s="1"/>
  <c r="DA19" i="27" a="1"/>
  <c r="DA19" i="27" s="1"/>
  <c r="DA20" i="27" a="1"/>
  <c r="DA20" i="27"/>
  <c r="DA21" i="27" a="1"/>
  <c r="DA21" i="27" s="1"/>
  <c r="DA22" i="27" a="1"/>
  <c r="DA22" i="27" s="1"/>
  <c r="DA23" i="27" a="1"/>
  <c r="DA23" i="27" s="1"/>
  <c r="DA24" i="27" a="1"/>
  <c r="DA24" i="27"/>
  <c r="DA25" i="27" a="1"/>
  <c r="DA25" i="27" s="1"/>
  <c r="DA26" i="27" a="1"/>
  <c r="DA26" i="27" s="1"/>
  <c r="DA27" i="27" a="1"/>
  <c r="DA27" i="27" s="1"/>
  <c r="DA28" i="27" a="1"/>
  <c r="DA28" i="27"/>
  <c r="DA29" i="27" a="1"/>
  <c r="DA29" i="27" s="1"/>
  <c r="DA30" i="27" a="1"/>
  <c r="DA30" i="27" s="1"/>
  <c r="DA31" i="27" a="1"/>
  <c r="DA31" i="27" s="1"/>
  <c r="DA32" i="27" a="1"/>
  <c r="DA32" i="27"/>
  <c r="DA33" i="27" a="1"/>
  <c r="DA33" i="27" s="1"/>
  <c r="DA34" i="27" a="1"/>
  <c r="DA34" i="27" s="1"/>
  <c r="DA35" i="27" a="1"/>
  <c r="DA35" i="27" s="1"/>
  <c r="DA36" i="27" a="1"/>
  <c r="DA36" i="27"/>
  <c r="DA37" i="27" a="1"/>
  <c r="DA37" i="27" s="1"/>
  <c r="DA38" i="27" a="1"/>
  <c r="DA38" i="27" s="1"/>
  <c r="DA39" i="27" a="1"/>
  <c r="DA39" i="27" s="1"/>
  <c r="DA40" i="27" a="1"/>
  <c r="DA40" i="27"/>
  <c r="DA41" i="27" a="1"/>
  <c r="DA41" i="27" s="1"/>
  <c r="DA42" i="27" a="1"/>
  <c r="DA42" i="27" s="1"/>
  <c r="DA43" i="27" a="1"/>
  <c r="DA43" i="27" s="1"/>
  <c r="DA44" i="27" a="1"/>
  <c r="DA44" i="27"/>
  <c r="DA45" i="27" a="1"/>
  <c r="DA45" i="27" s="1"/>
  <c r="DA46" i="27" a="1"/>
  <c r="DA46" i="27" s="1"/>
  <c r="DA47" i="27" a="1"/>
  <c r="DA47" i="27" s="1"/>
  <c r="DA48" i="27" a="1"/>
  <c r="DA48" i="27"/>
  <c r="DA49" i="27" a="1"/>
  <c r="DA49" i="27" s="1"/>
  <c r="DA50" i="27" a="1"/>
  <c r="DA50" i="27" s="1"/>
  <c r="DA51" i="27" a="1"/>
  <c r="DA51" i="27" s="1"/>
  <c r="DA4" i="27" a="1"/>
  <c r="DA4" i="27" s="1"/>
  <c r="CY5" i="27" a="1"/>
  <c r="CY5" i="27" s="1"/>
  <c r="CY6" i="27" a="1"/>
  <c r="CY6" i="27" s="1"/>
  <c r="CY7" i="27" a="1"/>
  <c r="CY7" i="27" s="1"/>
  <c r="CY8" i="27" a="1"/>
  <c r="CY8" i="27" s="1"/>
  <c r="CY9" i="27" a="1"/>
  <c r="CY9" i="27" s="1"/>
  <c r="CY10" i="27" a="1"/>
  <c r="CY10" i="27" s="1"/>
  <c r="CY11" i="27" a="1"/>
  <c r="CY11" i="27" s="1"/>
  <c r="CY12" i="27" a="1"/>
  <c r="CY12" i="27" s="1"/>
  <c r="CY13" i="27" a="1"/>
  <c r="CY13" i="27" s="1"/>
  <c r="CY14" i="27" a="1"/>
  <c r="CY14" i="27" s="1"/>
  <c r="CY15" i="27" a="1"/>
  <c r="CY15" i="27" s="1"/>
  <c r="CY16" i="27" a="1"/>
  <c r="CY16" i="27" s="1"/>
  <c r="CY17" i="27" a="1"/>
  <c r="CY17" i="27" s="1"/>
  <c r="CY18" i="27" a="1"/>
  <c r="CY18" i="27" s="1"/>
  <c r="CY19" i="27" a="1"/>
  <c r="CY19" i="27" s="1"/>
  <c r="CY20" i="27" a="1"/>
  <c r="CY20" i="27" s="1"/>
  <c r="CY21" i="27" a="1"/>
  <c r="CY21" i="27" s="1"/>
  <c r="CY22" i="27" a="1"/>
  <c r="CY22" i="27" s="1"/>
  <c r="CY23" i="27" a="1"/>
  <c r="CY23" i="27" s="1"/>
  <c r="CY24" i="27" a="1"/>
  <c r="CY24" i="27" s="1"/>
  <c r="CY25" i="27" a="1"/>
  <c r="CY25" i="27" s="1"/>
  <c r="CY26" i="27" a="1"/>
  <c r="CY26" i="27" s="1"/>
  <c r="CY27" i="27" a="1"/>
  <c r="CY27" i="27" s="1"/>
  <c r="CY28" i="27" a="1"/>
  <c r="CY28" i="27" s="1"/>
  <c r="CY29" i="27" a="1"/>
  <c r="CY29" i="27" s="1"/>
  <c r="CY30" i="27" a="1"/>
  <c r="CY30" i="27" s="1"/>
  <c r="CY31" i="27" a="1"/>
  <c r="CY31" i="27" s="1"/>
  <c r="CY32" i="27" a="1"/>
  <c r="CY32" i="27" s="1"/>
  <c r="CY33" i="27" a="1"/>
  <c r="CY33" i="27" s="1"/>
  <c r="CY34" i="27" a="1"/>
  <c r="CY34" i="27" s="1"/>
  <c r="CY35" i="27" a="1"/>
  <c r="CY35" i="27" s="1"/>
  <c r="CY36" i="27" a="1"/>
  <c r="CY36" i="27" s="1"/>
  <c r="CY37" i="27" a="1"/>
  <c r="CY37" i="27" s="1"/>
  <c r="CY38" i="27" a="1"/>
  <c r="CY38" i="27" s="1"/>
  <c r="CY39" i="27" a="1"/>
  <c r="CY39" i="27" s="1"/>
  <c r="CY40" i="27" a="1"/>
  <c r="CY40" i="27" s="1"/>
  <c r="CY41" i="27" a="1"/>
  <c r="CY41" i="27" s="1"/>
  <c r="CY42" i="27" a="1"/>
  <c r="CY42" i="27" s="1"/>
  <c r="CY43" i="27" a="1"/>
  <c r="CY43" i="27" s="1"/>
  <c r="CY44" i="27" a="1"/>
  <c r="CY44" i="27" s="1"/>
  <c r="CY45" i="27" a="1"/>
  <c r="CY45" i="27" s="1"/>
  <c r="CY46" i="27" a="1"/>
  <c r="CY46" i="27" s="1"/>
  <c r="CY47" i="27" a="1"/>
  <c r="CY47" i="27" s="1"/>
  <c r="CY48" i="27" a="1"/>
  <c r="CY48" i="27" s="1"/>
  <c r="CY49" i="27" a="1"/>
  <c r="CY49" i="27" s="1"/>
  <c r="CY50" i="27" a="1"/>
  <c r="CY50" i="27" s="1"/>
  <c r="CY51" i="27" a="1"/>
  <c r="CY51" i="27" s="1"/>
  <c r="CY4" i="27" a="1"/>
  <c r="CY4" i="27" s="1"/>
  <c r="CP5" i="27"/>
  <c r="CP6" i="27"/>
  <c r="CP7" i="27"/>
  <c r="CP8" i="27"/>
  <c r="CP9" i="27"/>
  <c r="CP10" i="27"/>
  <c r="CP11" i="27"/>
  <c r="CP12" i="27"/>
  <c r="CP13" i="27"/>
  <c r="CP14" i="27"/>
  <c r="CP15" i="27"/>
  <c r="CP16" i="27"/>
  <c r="CP17" i="27"/>
  <c r="CP18" i="27"/>
  <c r="CP19" i="27"/>
  <c r="CP20" i="27"/>
  <c r="CP21" i="27"/>
  <c r="CP22" i="27"/>
  <c r="CP23" i="27"/>
  <c r="CP24" i="27"/>
  <c r="CP25" i="27"/>
  <c r="CP26" i="27"/>
  <c r="CP27" i="27"/>
  <c r="CP28" i="27"/>
  <c r="CP29" i="27"/>
  <c r="CP30" i="27"/>
  <c r="CP31" i="27"/>
  <c r="CP32" i="27"/>
  <c r="CP33" i="27"/>
  <c r="CP34" i="27"/>
  <c r="CP35" i="27"/>
  <c r="CP36" i="27"/>
  <c r="CP37" i="27"/>
  <c r="CP38" i="27"/>
  <c r="CP39" i="27"/>
  <c r="CP40" i="27"/>
  <c r="CP41" i="27"/>
  <c r="CP42" i="27"/>
  <c r="CP43" i="27"/>
  <c r="CP44" i="27"/>
  <c r="CP4" i="27"/>
  <c r="CN5" i="27" a="1"/>
  <c r="CN5" i="27" s="1"/>
  <c r="CN6" i="27" a="1"/>
  <c r="CN6" i="27" s="1"/>
  <c r="CN7" i="27" a="1"/>
  <c r="CN7" i="27"/>
  <c r="CN8" i="27" a="1"/>
  <c r="CN8" i="27"/>
  <c r="CN9" i="27" a="1"/>
  <c r="CN9" i="27" s="1"/>
  <c r="CN10" i="27" a="1"/>
  <c r="CN10" i="27" s="1"/>
  <c r="CN11" i="27" a="1"/>
  <c r="CN11" i="27"/>
  <c r="CN12" i="27" a="1"/>
  <c r="CN12" i="27"/>
  <c r="CN13" i="27" a="1"/>
  <c r="CN13" i="27" s="1"/>
  <c r="CN14" i="27" a="1"/>
  <c r="CN14" i="27" s="1"/>
  <c r="CN15" i="27" a="1"/>
  <c r="CN15" i="27"/>
  <c r="CN16" i="27" a="1"/>
  <c r="CN16" i="27"/>
  <c r="CN17" i="27" a="1"/>
  <c r="CN17" i="27" s="1"/>
  <c r="CN18" i="27" a="1"/>
  <c r="CN18" i="27" s="1"/>
  <c r="CN19" i="27" a="1"/>
  <c r="CN19" i="27"/>
  <c r="CN20" i="27" a="1"/>
  <c r="CN20" i="27"/>
  <c r="CN21" i="27" a="1"/>
  <c r="CN21" i="27" s="1"/>
  <c r="CN22" i="27" a="1"/>
  <c r="CN22" i="27" s="1"/>
  <c r="CN23" i="27" a="1"/>
  <c r="CN23" i="27"/>
  <c r="CN24" i="27" a="1"/>
  <c r="CN24" i="27"/>
  <c r="CN25" i="27" a="1"/>
  <c r="CN25" i="27" s="1"/>
  <c r="CN26" i="27" a="1"/>
  <c r="CN26" i="27" s="1"/>
  <c r="CN27" i="27" a="1"/>
  <c r="CN27" i="27"/>
  <c r="CN28" i="27" a="1"/>
  <c r="CN28" i="27"/>
  <c r="CN29" i="27" a="1"/>
  <c r="CN29" i="27" s="1"/>
  <c r="CN30" i="27" a="1"/>
  <c r="CN30" i="27" s="1"/>
  <c r="CN31" i="27" a="1"/>
  <c r="CN31" i="27"/>
  <c r="CN32" i="27" a="1"/>
  <c r="CN32" i="27"/>
  <c r="CN33" i="27" a="1"/>
  <c r="CN33" i="27" s="1"/>
  <c r="CN34" i="27" a="1"/>
  <c r="CN34" i="27" s="1"/>
  <c r="CN35" i="27" a="1"/>
  <c r="CN35" i="27"/>
  <c r="CN36" i="27" a="1"/>
  <c r="CN36" i="27"/>
  <c r="CN37" i="27" a="1"/>
  <c r="CN37" i="27" s="1"/>
  <c r="CN38" i="27" a="1"/>
  <c r="CN38" i="27" s="1"/>
  <c r="CN39" i="27" a="1"/>
  <c r="CN39" i="27"/>
  <c r="CN40" i="27" a="1"/>
  <c r="CN40" i="27"/>
  <c r="CN41" i="27" a="1"/>
  <c r="CN41" i="27" s="1"/>
  <c r="CN42" i="27" a="1"/>
  <c r="CN42" i="27" s="1"/>
  <c r="CN43" i="27" a="1"/>
  <c r="CN43" i="27"/>
  <c r="CN44" i="27" a="1"/>
  <c r="CN44" i="27"/>
  <c r="CN4" i="27" a="1"/>
  <c r="CN4" i="27" s="1"/>
  <c r="CL5" i="27" a="1"/>
  <c r="CL5" i="27" s="1"/>
  <c r="CL6" i="27" a="1"/>
  <c r="CL6" i="27" s="1"/>
  <c r="CL7" i="27" a="1"/>
  <c r="CL7" i="27" s="1"/>
  <c r="CL8" i="27" a="1"/>
  <c r="CL8" i="27"/>
  <c r="CL9" i="27" a="1"/>
  <c r="CL9" i="27" s="1"/>
  <c r="CL10" i="27" a="1"/>
  <c r="CL10" i="27" s="1"/>
  <c r="CL11" i="27" a="1"/>
  <c r="CL11" i="27" s="1"/>
  <c r="CL12" i="27" a="1"/>
  <c r="CL12" i="27"/>
  <c r="CL13" i="27" a="1"/>
  <c r="CL13" i="27" s="1"/>
  <c r="CL14" i="27" a="1"/>
  <c r="CL14" i="27" s="1"/>
  <c r="CL15" i="27" a="1"/>
  <c r="CL15" i="27" s="1"/>
  <c r="CL16" i="27" a="1"/>
  <c r="CL16" i="27"/>
  <c r="CL17" i="27" a="1"/>
  <c r="CL17" i="27" s="1"/>
  <c r="CL18" i="27" a="1"/>
  <c r="CL18" i="27" s="1"/>
  <c r="CL19" i="27" a="1"/>
  <c r="CL19" i="27" s="1"/>
  <c r="CL20" i="27" a="1"/>
  <c r="CL20" i="27"/>
  <c r="CL21" i="27" a="1"/>
  <c r="CL21" i="27" s="1"/>
  <c r="CL22" i="27" a="1"/>
  <c r="CL22" i="27" s="1"/>
  <c r="CL23" i="27" a="1"/>
  <c r="CL23" i="27" s="1"/>
  <c r="CL24" i="27" a="1"/>
  <c r="CL24" i="27"/>
  <c r="CL25" i="27" a="1"/>
  <c r="CL25" i="27" s="1"/>
  <c r="CL26" i="27" a="1"/>
  <c r="CL26" i="27" s="1"/>
  <c r="CL27" i="27" a="1"/>
  <c r="CL27" i="27" s="1"/>
  <c r="CL28" i="27" a="1"/>
  <c r="CL28" i="27"/>
  <c r="CL29" i="27" a="1"/>
  <c r="CL29" i="27" s="1"/>
  <c r="CL30" i="27" a="1"/>
  <c r="CL30" i="27" s="1"/>
  <c r="CL31" i="27" a="1"/>
  <c r="CL31" i="27" s="1"/>
  <c r="CL32" i="27" a="1"/>
  <c r="CL32" i="27"/>
  <c r="CL33" i="27" a="1"/>
  <c r="CL33" i="27" s="1"/>
  <c r="CL34" i="27" a="1"/>
  <c r="CL34" i="27" s="1"/>
  <c r="CL35" i="27" a="1"/>
  <c r="CL35" i="27" s="1"/>
  <c r="CL36" i="27" a="1"/>
  <c r="CL36" i="27"/>
  <c r="CL37" i="27" a="1"/>
  <c r="CL37" i="27" s="1"/>
  <c r="CL38" i="27" a="1"/>
  <c r="CL38" i="27" s="1"/>
  <c r="CL39" i="27" a="1"/>
  <c r="CL39" i="27" s="1"/>
  <c r="CL40" i="27" a="1"/>
  <c r="CL40" i="27"/>
  <c r="CL41" i="27" a="1"/>
  <c r="CL41" i="27" s="1"/>
  <c r="CL42" i="27" a="1"/>
  <c r="CL42" i="27" s="1"/>
  <c r="CL43" i="27" a="1"/>
  <c r="CL43" i="27" s="1"/>
  <c r="CL44" i="27" a="1"/>
  <c r="CL44" i="27"/>
  <c r="CL4" i="27" a="1"/>
  <c r="CL4" i="27" s="1"/>
  <c r="CJ5" i="27" a="1"/>
  <c r="CJ5" i="27" s="1"/>
  <c r="CJ6" i="27" a="1"/>
  <c r="CJ6" i="27" s="1"/>
  <c r="CJ7" i="27" a="1"/>
  <c r="CJ7" i="27"/>
  <c r="CJ8" i="27" a="1"/>
  <c r="CJ8" i="27"/>
  <c r="CJ9" i="27" a="1"/>
  <c r="CJ9" i="27" s="1"/>
  <c r="CJ10" i="27" a="1"/>
  <c r="CJ10" i="27" s="1"/>
  <c r="CJ11" i="27" a="1"/>
  <c r="CJ11" i="27"/>
  <c r="CJ12" i="27" a="1"/>
  <c r="CJ12" i="27"/>
  <c r="CJ13" i="27" a="1"/>
  <c r="CJ13" i="27" s="1"/>
  <c r="CJ14" i="27" a="1"/>
  <c r="CJ14" i="27" s="1"/>
  <c r="CJ15" i="27" a="1"/>
  <c r="CJ15" i="27"/>
  <c r="CJ16" i="27" a="1"/>
  <c r="CJ16" i="27"/>
  <c r="CJ17" i="27" a="1"/>
  <c r="CJ17" i="27" s="1"/>
  <c r="CJ18" i="27" a="1"/>
  <c r="CJ18" i="27" s="1"/>
  <c r="CJ19" i="27" a="1"/>
  <c r="CJ19" i="27"/>
  <c r="CJ20" i="27" a="1"/>
  <c r="CJ20" i="27"/>
  <c r="CJ21" i="27" a="1"/>
  <c r="CJ21" i="27" s="1"/>
  <c r="CJ22" i="27" a="1"/>
  <c r="CJ22" i="27" s="1"/>
  <c r="CJ23" i="27" a="1"/>
  <c r="CJ23" i="27"/>
  <c r="CJ24" i="27" a="1"/>
  <c r="CJ24" i="27"/>
  <c r="CJ25" i="27" a="1"/>
  <c r="CJ25" i="27" s="1"/>
  <c r="CJ26" i="27" a="1"/>
  <c r="CJ26" i="27" s="1"/>
  <c r="CJ27" i="27" a="1"/>
  <c r="CJ27" i="27"/>
  <c r="CJ28" i="27" a="1"/>
  <c r="CJ28" i="27"/>
  <c r="CJ29" i="27" a="1"/>
  <c r="CJ29" i="27" s="1"/>
  <c r="CJ30" i="27" a="1"/>
  <c r="CJ30" i="27" s="1"/>
  <c r="CJ31" i="27" a="1"/>
  <c r="CJ31" i="27"/>
  <c r="CJ32" i="27" a="1"/>
  <c r="CJ32" i="27"/>
  <c r="CJ33" i="27" a="1"/>
  <c r="CJ33" i="27" s="1"/>
  <c r="CJ34" i="27" a="1"/>
  <c r="CJ34" i="27" s="1"/>
  <c r="CJ35" i="27" a="1"/>
  <c r="CJ35" i="27"/>
  <c r="CJ36" i="27" a="1"/>
  <c r="CJ36" i="27"/>
  <c r="CJ37" i="27" a="1"/>
  <c r="CJ37" i="27" s="1"/>
  <c r="CJ38" i="27" a="1"/>
  <c r="CJ38" i="27" s="1"/>
  <c r="CJ39" i="27" a="1"/>
  <c r="CJ39" i="27"/>
  <c r="CJ40" i="27" a="1"/>
  <c r="CJ40" i="27"/>
  <c r="CJ41" i="27" a="1"/>
  <c r="CJ41" i="27" s="1"/>
  <c r="CJ42" i="27" a="1"/>
  <c r="CJ42" i="27" s="1"/>
  <c r="CJ43" i="27" a="1"/>
  <c r="CJ43" i="27"/>
  <c r="CJ44" i="27" a="1"/>
  <c r="CJ44" i="27"/>
  <c r="CJ4" i="27" a="1"/>
  <c r="CJ4" i="27" s="1"/>
  <c r="CH5" i="27" a="1"/>
  <c r="CH5" i="27" s="1"/>
  <c r="CH6" i="27" a="1"/>
  <c r="CH6" i="27" s="1"/>
  <c r="CH7" i="27" a="1"/>
  <c r="CH7" i="27" s="1"/>
  <c r="CH8" i="27" a="1"/>
  <c r="CH8" i="27"/>
  <c r="CH9" i="27" a="1"/>
  <c r="CH9" i="27" s="1"/>
  <c r="CH10" i="27" a="1"/>
  <c r="CH10" i="27" s="1"/>
  <c r="CH11" i="27" a="1"/>
  <c r="CH11" i="27" s="1"/>
  <c r="CH12" i="27" a="1"/>
  <c r="CH12" i="27"/>
  <c r="CH13" i="27" a="1"/>
  <c r="CH13" i="27" s="1"/>
  <c r="CH14" i="27" a="1"/>
  <c r="CH14" i="27" s="1"/>
  <c r="CH15" i="27" a="1"/>
  <c r="CH15" i="27" s="1"/>
  <c r="CH16" i="27" a="1"/>
  <c r="CH16" i="27"/>
  <c r="CH17" i="27" a="1"/>
  <c r="CH17" i="27" s="1"/>
  <c r="CH18" i="27" a="1"/>
  <c r="CH18" i="27" s="1"/>
  <c r="CH19" i="27" a="1"/>
  <c r="CH19" i="27" s="1"/>
  <c r="CH20" i="27" a="1"/>
  <c r="CH20" i="27"/>
  <c r="CH21" i="27" a="1"/>
  <c r="CH21" i="27" s="1"/>
  <c r="CH22" i="27" a="1"/>
  <c r="CH22" i="27" s="1"/>
  <c r="CH23" i="27" a="1"/>
  <c r="CH23" i="27" s="1"/>
  <c r="CH24" i="27" a="1"/>
  <c r="CH24" i="27"/>
  <c r="CH25" i="27" a="1"/>
  <c r="CH25" i="27" s="1"/>
  <c r="CH26" i="27" a="1"/>
  <c r="CH26" i="27" s="1"/>
  <c r="CH27" i="27" a="1"/>
  <c r="CH27" i="27" s="1"/>
  <c r="CH28" i="27" a="1"/>
  <c r="CH28" i="27"/>
  <c r="CH29" i="27" a="1"/>
  <c r="CH29" i="27" s="1"/>
  <c r="CH30" i="27" a="1"/>
  <c r="CH30" i="27" s="1"/>
  <c r="CH31" i="27" a="1"/>
  <c r="CH31" i="27" s="1"/>
  <c r="CH32" i="27" a="1"/>
  <c r="CH32" i="27"/>
  <c r="CH33" i="27" a="1"/>
  <c r="CH33" i="27" s="1"/>
  <c r="CH34" i="27" a="1"/>
  <c r="CH34" i="27" s="1"/>
  <c r="CH35" i="27" a="1"/>
  <c r="CH35" i="27" s="1"/>
  <c r="CH36" i="27" a="1"/>
  <c r="CH36" i="27"/>
  <c r="CH37" i="27" a="1"/>
  <c r="CH37" i="27" s="1"/>
  <c r="CH38" i="27" a="1"/>
  <c r="CH38" i="27" s="1"/>
  <c r="CH39" i="27" a="1"/>
  <c r="CH39" i="27" s="1"/>
  <c r="CH40" i="27" a="1"/>
  <c r="CH40" i="27"/>
  <c r="CH41" i="27" a="1"/>
  <c r="CH41" i="27" s="1"/>
  <c r="CH42" i="27" a="1"/>
  <c r="CH42" i="27" s="1"/>
  <c r="CH43" i="27" a="1"/>
  <c r="CH43" i="27" s="1"/>
  <c r="CH44" i="27" a="1"/>
  <c r="CH44" i="27"/>
  <c r="CH4" i="27" a="1"/>
  <c r="CH4" i="27" s="1"/>
  <c r="CF5" i="27" a="1"/>
  <c r="CF5" i="27" s="1"/>
  <c r="CF6" i="27" a="1"/>
  <c r="CF6" i="27" s="1"/>
  <c r="CF7" i="27" a="1"/>
  <c r="CF7" i="27"/>
  <c r="CF8" i="27" a="1"/>
  <c r="CF8" i="27" s="1"/>
  <c r="CF9" i="27" a="1"/>
  <c r="CF9" i="27" s="1"/>
  <c r="CF10" i="27" a="1"/>
  <c r="CF10" i="27" s="1"/>
  <c r="CF11" i="27" a="1"/>
  <c r="CF11" i="27"/>
  <c r="CF12" i="27" a="1"/>
  <c r="CF12" i="27" s="1"/>
  <c r="CF13" i="27" a="1"/>
  <c r="CF13" i="27" s="1"/>
  <c r="CF14" i="27" a="1"/>
  <c r="CF14" i="27" s="1"/>
  <c r="CF15" i="27" a="1"/>
  <c r="CF15" i="27"/>
  <c r="CF16" i="27" a="1"/>
  <c r="CF16" i="27" s="1"/>
  <c r="CF17" i="27" a="1"/>
  <c r="CF17" i="27" s="1"/>
  <c r="CF18" i="27" a="1"/>
  <c r="CF18" i="27" s="1"/>
  <c r="CF19" i="27" a="1"/>
  <c r="CF19" i="27"/>
  <c r="CF20" i="27" a="1"/>
  <c r="CF20" i="27" s="1"/>
  <c r="CF21" i="27" a="1"/>
  <c r="CF21" i="27" s="1"/>
  <c r="CF22" i="27" a="1"/>
  <c r="CF22" i="27" s="1"/>
  <c r="CF23" i="27" a="1"/>
  <c r="CF23" i="27"/>
  <c r="CF24" i="27" a="1"/>
  <c r="CF24" i="27" s="1"/>
  <c r="CF25" i="27" a="1"/>
  <c r="CF25" i="27" s="1"/>
  <c r="CF26" i="27" a="1"/>
  <c r="CF26" i="27" s="1"/>
  <c r="CF27" i="27" a="1"/>
  <c r="CF27" i="27"/>
  <c r="CF28" i="27" a="1"/>
  <c r="CF28" i="27" s="1"/>
  <c r="CF29" i="27" a="1"/>
  <c r="CF29" i="27" s="1"/>
  <c r="CF30" i="27" a="1"/>
  <c r="CF30" i="27" s="1"/>
  <c r="CF31" i="27" a="1"/>
  <c r="CF31" i="27"/>
  <c r="CF32" i="27" a="1"/>
  <c r="CF32" i="27" s="1"/>
  <c r="CF33" i="27" a="1"/>
  <c r="CF33" i="27" s="1"/>
  <c r="CF34" i="27" a="1"/>
  <c r="CF34" i="27" s="1"/>
  <c r="CF35" i="27" a="1"/>
  <c r="CF35" i="27"/>
  <c r="CF36" i="27" a="1"/>
  <c r="CF36" i="27" s="1"/>
  <c r="CF37" i="27" a="1"/>
  <c r="CF37" i="27" s="1"/>
  <c r="CF38" i="27" a="1"/>
  <c r="CF38" i="27" s="1"/>
  <c r="CF39" i="27" a="1"/>
  <c r="CF39" i="27"/>
  <c r="CF40" i="27" a="1"/>
  <c r="CF40" i="27" s="1"/>
  <c r="CF41" i="27" a="1"/>
  <c r="CF41" i="27" s="1"/>
  <c r="CF42" i="27" a="1"/>
  <c r="CF42" i="27" s="1"/>
  <c r="CF43" i="27" a="1"/>
  <c r="CF43" i="27"/>
  <c r="CF44" i="27" a="1"/>
  <c r="CF44" i="27" s="1"/>
  <c r="CF4" i="27" a="1"/>
  <c r="CF4" i="27" s="1"/>
  <c r="BU5" i="27"/>
  <c r="BU6" i="27"/>
  <c r="BU7" i="27"/>
  <c r="BU8" i="27"/>
  <c r="BU9" i="27"/>
  <c r="BU10" i="27"/>
  <c r="BU11" i="27"/>
  <c r="BU12" i="27"/>
  <c r="BU13" i="27"/>
  <c r="BU14" i="27"/>
  <c r="BU15" i="27"/>
  <c r="BU16" i="27"/>
  <c r="BU17" i="27"/>
  <c r="BU18" i="27"/>
  <c r="BU19" i="27"/>
  <c r="BU20" i="27"/>
  <c r="BU21" i="27"/>
  <c r="BU22" i="27"/>
  <c r="BU23" i="27"/>
  <c r="BU24" i="27"/>
  <c r="BU25" i="27"/>
  <c r="BU26" i="27"/>
  <c r="BU27" i="27"/>
  <c r="BU28" i="27"/>
  <c r="BU29" i="27"/>
  <c r="BU30" i="27"/>
  <c r="BU31" i="27"/>
  <c r="BU32" i="27"/>
  <c r="BU33" i="27"/>
  <c r="BU34" i="27"/>
  <c r="BU35" i="27"/>
  <c r="BU36" i="27"/>
  <c r="BU37" i="27"/>
  <c r="BU38" i="27"/>
  <c r="BU39" i="27"/>
  <c r="BU40" i="27"/>
  <c r="BU41" i="27"/>
  <c r="BU42" i="27"/>
  <c r="BU43" i="27"/>
  <c r="BU44" i="27"/>
  <c r="BU45" i="27"/>
  <c r="BU46" i="27"/>
  <c r="BU47" i="27"/>
  <c r="BU48" i="27"/>
  <c r="BU49" i="27"/>
  <c r="BU50" i="27"/>
  <c r="BU51" i="27"/>
  <c r="BU52" i="27"/>
  <c r="BU53" i="27"/>
  <c r="BU54" i="27"/>
  <c r="BU55" i="27"/>
  <c r="BU4" i="27"/>
  <c r="BS5" i="27" a="1"/>
  <c r="BS5" i="27" s="1"/>
  <c r="BS6" i="27" a="1"/>
  <c r="BS6" i="27" s="1"/>
  <c r="BS7" i="27" a="1"/>
  <c r="BS7" i="27" s="1"/>
  <c r="BS8" i="27" a="1"/>
  <c r="BS8" i="27"/>
  <c r="BS9" i="27" a="1"/>
  <c r="BS9" i="27" s="1"/>
  <c r="BS10" i="27" a="1"/>
  <c r="BS10" i="27" s="1"/>
  <c r="BS11" i="27" a="1"/>
  <c r="BS11" i="27" s="1"/>
  <c r="BS12" i="27" a="1"/>
  <c r="BS12" i="27"/>
  <c r="BS13" i="27" a="1"/>
  <c r="BS13" i="27" s="1"/>
  <c r="BS14" i="27" a="1"/>
  <c r="BS14" i="27" s="1"/>
  <c r="BS15" i="27" a="1"/>
  <c r="BS15" i="27" s="1"/>
  <c r="BS16" i="27" a="1"/>
  <c r="BS16" i="27"/>
  <c r="BS17" i="27" a="1"/>
  <c r="BS17" i="27" s="1"/>
  <c r="BS18" i="27" a="1"/>
  <c r="BS18" i="27" s="1"/>
  <c r="BS19" i="27" a="1"/>
  <c r="BS19" i="27" s="1"/>
  <c r="BS20" i="27" a="1"/>
  <c r="BS20" i="27"/>
  <c r="BS21" i="27" a="1"/>
  <c r="BS21" i="27" s="1"/>
  <c r="BS22" i="27" a="1"/>
  <c r="BS22" i="27" s="1"/>
  <c r="BS23" i="27" a="1"/>
  <c r="BS23" i="27" s="1"/>
  <c r="BS24" i="27" a="1"/>
  <c r="BS24" i="27"/>
  <c r="BS25" i="27" a="1"/>
  <c r="BS25" i="27" s="1"/>
  <c r="BS26" i="27" a="1"/>
  <c r="BS26" i="27" s="1"/>
  <c r="BS27" i="27" a="1"/>
  <c r="BS27" i="27" s="1"/>
  <c r="BS28" i="27" a="1"/>
  <c r="BS28" i="27"/>
  <c r="BS29" i="27" a="1"/>
  <c r="BS29" i="27" s="1"/>
  <c r="BS30" i="27" a="1"/>
  <c r="BS30" i="27" s="1"/>
  <c r="BS31" i="27" a="1"/>
  <c r="BS31" i="27" s="1"/>
  <c r="BS32" i="27" a="1"/>
  <c r="BS32" i="27"/>
  <c r="BS33" i="27" a="1"/>
  <c r="BS33" i="27" s="1"/>
  <c r="BS34" i="27" a="1"/>
  <c r="BS34" i="27" s="1"/>
  <c r="BS35" i="27" a="1"/>
  <c r="BS35" i="27" s="1"/>
  <c r="BS36" i="27" a="1"/>
  <c r="BS36" i="27"/>
  <c r="BS37" i="27" a="1"/>
  <c r="BS37" i="27" s="1"/>
  <c r="BS38" i="27" a="1"/>
  <c r="BS38" i="27" s="1"/>
  <c r="BS39" i="27" a="1"/>
  <c r="BS39" i="27" s="1"/>
  <c r="BS40" i="27" a="1"/>
  <c r="BS40" i="27"/>
  <c r="BS41" i="27" a="1"/>
  <c r="BS41" i="27" s="1"/>
  <c r="BS42" i="27" a="1"/>
  <c r="BS42" i="27" s="1"/>
  <c r="BS43" i="27" a="1"/>
  <c r="BS43" i="27" s="1"/>
  <c r="BS44" i="27" a="1"/>
  <c r="BS44" i="27"/>
  <c r="BS45" i="27" a="1"/>
  <c r="BS45" i="27" s="1"/>
  <c r="BS46" i="27" a="1"/>
  <c r="BS46" i="27" s="1"/>
  <c r="BS47" i="27" a="1"/>
  <c r="BS47" i="27" s="1"/>
  <c r="BS48" i="27" a="1"/>
  <c r="BS48" i="27"/>
  <c r="BS49" i="27" a="1"/>
  <c r="BS49" i="27" s="1"/>
  <c r="BS50" i="27" a="1"/>
  <c r="BS50" i="27" s="1"/>
  <c r="BS51" i="27" a="1"/>
  <c r="BS51" i="27" s="1"/>
  <c r="BS52" i="27" a="1"/>
  <c r="BS52" i="27"/>
  <c r="BS53" i="27" a="1"/>
  <c r="BS53" i="27" s="1"/>
  <c r="BS54" i="27" a="1"/>
  <c r="BS54" i="27" s="1"/>
  <c r="BS55" i="27" a="1"/>
  <c r="BS55" i="27" s="1"/>
  <c r="BS4" i="27" a="1"/>
  <c r="BS4" i="27" s="1"/>
  <c r="BQ5" i="27" a="1"/>
  <c r="BQ5" i="27" s="1"/>
  <c r="BQ6" i="27" a="1"/>
  <c r="BQ6" i="27" s="1"/>
  <c r="BQ7" i="27" a="1"/>
  <c r="BQ7" i="27" s="1"/>
  <c r="BQ8" i="27" a="1"/>
  <c r="BQ8" i="27" s="1"/>
  <c r="BQ9" i="27" a="1"/>
  <c r="BQ9" i="27" s="1"/>
  <c r="BQ10" i="27" a="1"/>
  <c r="BQ10" i="27" s="1"/>
  <c r="BQ11" i="27" a="1"/>
  <c r="BQ11" i="27" s="1"/>
  <c r="BQ12" i="27" a="1"/>
  <c r="BQ12" i="27" s="1"/>
  <c r="BQ13" i="27" a="1"/>
  <c r="BQ13" i="27" s="1"/>
  <c r="BQ14" i="27" a="1"/>
  <c r="BQ14" i="27" s="1"/>
  <c r="BQ15" i="27" a="1"/>
  <c r="BQ15" i="27" s="1"/>
  <c r="BQ16" i="27" a="1"/>
  <c r="BQ16" i="27" s="1"/>
  <c r="BQ17" i="27" a="1"/>
  <c r="BQ17" i="27" s="1"/>
  <c r="BQ18" i="27" a="1"/>
  <c r="BQ18" i="27" s="1"/>
  <c r="BQ19" i="27" a="1"/>
  <c r="BQ19" i="27" s="1"/>
  <c r="BQ20" i="27" a="1"/>
  <c r="BQ20" i="27" s="1"/>
  <c r="BQ21" i="27" a="1"/>
  <c r="BQ21" i="27" s="1"/>
  <c r="BQ22" i="27" a="1"/>
  <c r="BQ22" i="27" s="1"/>
  <c r="BQ23" i="27" a="1"/>
  <c r="BQ23" i="27" s="1"/>
  <c r="BQ24" i="27" a="1"/>
  <c r="BQ24" i="27" s="1"/>
  <c r="BQ25" i="27" a="1"/>
  <c r="BQ25" i="27" s="1"/>
  <c r="BQ26" i="27" a="1"/>
  <c r="BQ26" i="27" s="1"/>
  <c r="BQ27" i="27" a="1"/>
  <c r="BQ27" i="27" s="1"/>
  <c r="BQ28" i="27" a="1"/>
  <c r="BQ28" i="27" s="1"/>
  <c r="BQ29" i="27" a="1"/>
  <c r="BQ29" i="27" s="1"/>
  <c r="BQ30" i="27" a="1"/>
  <c r="BQ30" i="27" s="1"/>
  <c r="BQ31" i="27" a="1"/>
  <c r="BQ31" i="27" s="1"/>
  <c r="BQ32" i="27" a="1"/>
  <c r="BQ32" i="27" s="1"/>
  <c r="BQ33" i="27" a="1"/>
  <c r="BQ33" i="27" s="1"/>
  <c r="BQ34" i="27" a="1"/>
  <c r="BQ34" i="27" s="1"/>
  <c r="BQ35" i="27" a="1"/>
  <c r="BQ35" i="27" s="1"/>
  <c r="BQ36" i="27" a="1"/>
  <c r="BQ36" i="27" s="1"/>
  <c r="BQ37" i="27" a="1"/>
  <c r="BQ37" i="27" s="1"/>
  <c r="BQ38" i="27" a="1"/>
  <c r="BQ38" i="27" s="1"/>
  <c r="BQ39" i="27" a="1"/>
  <c r="BQ39" i="27" s="1"/>
  <c r="BQ40" i="27" a="1"/>
  <c r="BQ40" i="27" s="1"/>
  <c r="BQ41" i="27" a="1"/>
  <c r="BQ41" i="27" s="1"/>
  <c r="BQ42" i="27" a="1"/>
  <c r="BQ42" i="27" s="1"/>
  <c r="BQ43" i="27" a="1"/>
  <c r="BQ43" i="27" s="1"/>
  <c r="BQ44" i="27" a="1"/>
  <c r="BQ44" i="27" s="1"/>
  <c r="BQ45" i="27" a="1"/>
  <c r="BQ45" i="27" s="1"/>
  <c r="BQ46" i="27" a="1"/>
  <c r="BQ46" i="27" s="1"/>
  <c r="BQ47" i="27" a="1"/>
  <c r="BQ47" i="27" s="1"/>
  <c r="BQ48" i="27" a="1"/>
  <c r="BQ48" i="27" s="1"/>
  <c r="BQ49" i="27" a="1"/>
  <c r="BQ49" i="27" s="1"/>
  <c r="BQ50" i="27" a="1"/>
  <c r="BQ50" i="27" s="1"/>
  <c r="BQ51" i="27" a="1"/>
  <c r="BQ51" i="27" s="1"/>
  <c r="BQ52" i="27" a="1"/>
  <c r="BQ52" i="27" s="1"/>
  <c r="BQ53" i="27" a="1"/>
  <c r="BQ53" i="27" s="1"/>
  <c r="BQ54" i="27" a="1"/>
  <c r="BQ54" i="27" s="1"/>
  <c r="BQ55" i="27" a="1"/>
  <c r="BQ55" i="27" s="1"/>
  <c r="BQ4" i="27" a="1"/>
  <c r="BQ4" i="27" s="1"/>
  <c r="BO5" i="27" a="1"/>
  <c r="BO5" i="27" s="1"/>
  <c r="BO6" i="27" a="1"/>
  <c r="BO6" i="27" s="1"/>
  <c r="BO7" i="27" a="1"/>
  <c r="BO7" i="27" s="1"/>
  <c r="BO8" i="27" a="1"/>
  <c r="BO8" i="27"/>
  <c r="BO9" i="27" a="1"/>
  <c r="BO9" i="27" s="1"/>
  <c r="BO10" i="27" a="1"/>
  <c r="BO10" i="27" s="1"/>
  <c r="BO11" i="27" a="1"/>
  <c r="BO11" i="27" s="1"/>
  <c r="BO12" i="27" a="1"/>
  <c r="BO12" i="27"/>
  <c r="BO13" i="27" a="1"/>
  <c r="BO13" i="27" s="1"/>
  <c r="BO14" i="27" a="1"/>
  <c r="BO14" i="27" s="1"/>
  <c r="BO15" i="27" a="1"/>
  <c r="BO15" i="27" s="1"/>
  <c r="BO16" i="27" a="1"/>
  <c r="BO16" i="27"/>
  <c r="BO17" i="27" a="1"/>
  <c r="BO17" i="27" s="1"/>
  <c r="BO18" i="27" a="1"/>
  <c r="BO18" i="27" s="1"/>
  <c r="BO19" i="27" a="1"/>
  <c r="BO19" i="27" s="1"/>
  <c r="BO20" i="27" a="1"/>
  <c r="BO20" i="27"/>
  <c r="BO21" i="27" a="1"/>
  <c r="BO21" i="27" s="1"/>
  <c r="BO22" i="27" a="1"/>
  <c r="BO22" i="27" s="1"/>
  <c r="BO23" i="27" a="1"/>
  <c r="BO23" i="27" s="1"/>
  <c r="BO24" i="27" a="1"/>
  <c r="BO24" i="27"/>
  <c r="BO25" i="27" a="1"/>
  <c r="BO25" i="27" s="1"/>
  <c r="BO26" i="27" a="1"/>
  <c r="BO26" i="27" s="1"/>
  <c r="BO27" i="27" a="1"/>
  <c r="BO27" i="27" s="1"/>
  <c r="BO28" i="27" a="1"/>
  <c r="BO28" i="27"/>
  <c r="BO29" i="27" a="1"/>
  <c r="BO29" i="27" s="1"/>
  <c r="BO30" i="27" a="1"/>
  <c r="BO30" i="27" s="1"/>
  <c r="BO31" i="27" a="1"/>
  <c r="BO31" i="27" s="1"/>
  <c r="BO32" i="27" a="1"/>
  <c r="BO32" i="27"/>
  <c r="BO33" i="27" a="1"/>
  <c r="BO33" i="27" s="1"/>
  <c r="BO34" i="27" a="1"/>
  <c r="BO34" i="27" s="1"/>
  <c r="BO35" i="27" a="1"/>
  <c r="BO35" i="27" s="1"/>
  <c r="BO36" i="27" a="1"/>
  <c r="BO36" i="27"/>
  <c r="BO37" i="27" a="1"/>
  <c r="BO37" i="27" s="1"/>
  <c r="BO38" i="27" a="1"/>
  <c r="BO38" i="27" s="1"/>
  <c r="BO39" i="27" a="1"/>
  <c r="BO39" i="27" s="1"/>
  <c r="BO40" i="27" a="1"/>
  <c r="BO40" i="27"/>
  <c r="BO41" i="27" a="1"/>
  <c r="BO41" i="27" s="1"/>
  <c r="BO42" i="27" a="1"/>
  <c r="BO42" i="27" s="1"/>
  <c r="BO43" i="27" a="1"/>
  <c r="BO43" i="27" s="1"/>
  <c r="BO44" i="27" a="1"/>
  <c r="BO44" i="27"/>
  <c r="BO45" i="27" a="1"/>
  <c r="BO45" i="27" s="1"/>
  <c r="BO46" i="27" a="1"/>
  <c r="BO46" i="27" s="1"/>
  <c r="BO47" i="27" a="1"/>
  <c r="BO47" i="27" s="1"/>
  <c r="BO48" i="27" a="1"/>
  <c r="BO48" i="27"/>
  <c r="BO49" i="27" a="1"/>
  <c r="BO49" i="27" s="1"/>
  <c r="BO50" i="27" a="1"/>
  <c r="BO50" i="27" s="1"/>
  <c r="BO51" i="27" a="1"/>
  <c r="BO51" i="27" s="1"/>
  <c r="BO52" i="27" a="1"/>
  <c r="BO52" i="27"/>
  <c r="BO53" i="27" a="1"/>
  <c r="BO53" i="27" s="1"/>
  <c r="BO54" i="27" a="1"/>
  <c r="BO54" i="27" s="1"/>
  <c r="BO55" i="27" a="1"/>
  <c r="BO55" i="27" s="1"/>
  <c r="BO4" i="27" a="1"/>
  <c r="BO4" i="27" s="1"/>
  <c r="BM5" i="27" a="1"/>
  <c r="BM5" i="27" s="1"/>
  <c r="BM6" i="27" a="1"/>
  <c r="BM6" i="27" s="1"/>
  <c r="BM7" i="27" a="1"/>
  <c r="BM7" i="27" s="1"/>
  <c r="BM8" i="27" a="1"/>
  <c r="BM8" i="27" s="1"/>
  <c r="BM9" i="27" a="1"/>
  <c r="BM9" i="27" s="1"/>
  <c r="BM10" i="27" a="1"/>
  <c r="BM10" i="27" s="1"/>
  <c r="BM11" i="27" a="1"/>
  <c r="BM11" i="27" s="1"/>
  <c r="BM12" i="27" a="1"/>
  <c r="BM12" i="27" s="1"/>
  <c r="BM13" i="27" a="1"/>
  <c r="BM13" i="27" s="1"/>
  <c r="BM14" i="27" a="1"/>
  <c r="BM14" i="27" s="1"/>
  <c r="BM15" i="27" a="1"/>
  <c r="BM15" i="27" s="1"/>
  <c r="BM16" i="27" a="1"/>
  <c r="BM16" i="27" s="1"/>
  <c r="BM17" i="27" a="1"/>
  <c r="BM17" i="27" s="1"/>
  <c r="BM18" i="27" a="1"/>
  <c r="BM18" i="27" s="1"/>
  <c r="BM19" i="27" a="1"/>
  <c r="BM19" i="27" s="1"/>
  <c r="BM20" i="27" a="1"/>
  <c r="BM20" i="27" s="1"/>
  <c r="BM21" i="27" a="1"/>
  <c r="BM21" i="27" s="1"/>
  <c r="BM22" i="27" a="1"/>
  <c r="BM22" i="27" s="1"/>
  <c r="BM23" i="27" a="1"/>
  <c r="BM23" i="27" s="1"/>
  <c r="BM24" i="27" a="1"/>
  <c r="BM24" i="27" s="1"/>
  <c r="BM25" i="27" a="1"/>
  <c r="BM25" i="27" s="1"/>
  <c r="BM26" i="27" a="1"/>
  <c r="BM26" i="27" s="1"/>
  <c r="BM27" i="27" a="1"/>
  <c r="BM27" i="27" s="1"/>
  <c r="BM28" i="27" a="1"/>
  <c r="BM28" i="27" s="1"/>
  <c r="BM29" i="27" a="1"/>
  <c r="BM29" i="27" s="1"/>
  <c r="BM30" i="27" a="1"/>
  <c r="BM30" i="27" s="1"/>
  <c r="BM31" i="27" a="1"/>
  <c r="BM31" i="27" s="1"/>
  <c r="BM32" i="27" a="1"/>
  <c r="BM32" i="27" s="1"/>
  <c r="BM33" i="27" a="1"/>
  <c r="BM33" i="27" s="1"/>
  <c r="BM34" i="27" a="1"/>
  <c r="BM34" i="27" s="1"/>
  <c r="BM35" i="27" a="1"/>
  <c r="BM35" i="27" s="1"/>
  <c r="BM36" i="27" a="1"/>
  <c r="BM36" i="27" s="1"/>
  <c r="BM37" i="27" a="1"/>
  <c r="BM37" i="27" s="1"/>
  <c r="BM38" i="27" a="1"/>
  <c r="BM38" i="27" s="1"/>
  <c r="BM39" i="27" a="1"/>
  <c r="BM39" i="27" s="1"/>
  <c r="BM40" i="27" a="1"/>
  <c r="BM40" i="27" s="1"/>
  <c r="BM41" i="27" a="1"/>
  <c r="BM41" i="27" s="1"/>
  <c r="BM42" i="27" a="1"/>
  <c r="BM42" i="27" s="1"/>
  <c r="BM43" i="27" a="1"/>
  <c r="BM43" i="27" s="1"/>
  <c r="BM44" i="27" a="1"/>
  <c r="BM44" i="27" s="1"/>
  <c r="BM45" i="27" a="1"/>
  <c r="BM45" i="27" s="1"/>
  <c r="BM46" i="27" a="1"/>
  <c r="BM46" i="27" s="1"/>
  <c r="BM47" i="27" a="1"/>
  <c r="BM47" i="27" s="1"/>
  <c r="BM48" i="27" a="1"/>
  <c r="BM48" i="27" s="1"/>
  <c r="BM49" i="27" a="1"/>
  <c r="BM49" i="27" s="1"/>
  <c r="BM50" i="27" a="1"/>
  <c r="BM50" i="27" s="1"/>
  <c r="BM51" i="27" a="1"/>
  <c r="BM51" i="27" s="1"/>
  <c r="BM52" i="27" a="1"/>
  <c r="BM52" i="27" s="1"/>
  <c r="BM53" i="27" a="1"/>
  <c r="BM53" i="27" s="1"/>
  <c r="BM54" i="27" a="1"/>
  <c r="BM54" i="27" s="1"/>
  <c r="BM55" i="27" a="1"/>
  <c r="BM55" i="27" s="1"/>
  <c r="BM4" i="27" a="1"/>
  <c r="BM4" i="27" s="1"/>
  <c r="BK5" i="27" a="1"/>
  <c r="BK5" i="27" s="1"/>
  <c r="BK6" i="27" a="1"/>
  <c r="BK6" i="27" s="1"/>
  <c r="BK7" i="27" a="1"/>
  <c r="BK7" i="27" s="1"/>
  <c r="BK8" i="27" a="1"/>
  <c r="BK8" i="27"/>
  <c r="BK9" i="27" a="1"/>
  <c r="BK9" i="27" s="1"/>
  <c r="BK10" i="27" a="1"/>
  <c r="BK10" i="27" s="1"/>
  <c r="BK11" i="27" a="1"/>
  <c r="BK11" i="27" s="1"/>
  <c r="BK12" i="27" a="1"/>
  <c r="BK12" i="27"/>
  <c r="BK13" i="27" a="1"/>
  <c r="BK13" i="27" s="1"/>
  <c r="BK14" i="27" a="1"/>
  <c r="BK14" i="27" s="1"/>
  <c r="BK15" i="27" a="1"/>
  <c r="BK15" i="27" s="1"/>
  <c r="BK16" i="27" a="1"/>
  <c r="BK16" i="27"/>
  <c r="BK17" i="27" a="1"/>
  <c r="BK17" i="27" s="1"/>
  <c r="BK18" i="27" a="1"/>
  <c r="BK18" i="27" s="1"/>
  <c r="BK19" i="27" a="1"/>
  <c r="BK19" i="27" s="1"/>
  <c r="BK20" i="27" a="1"/>
  <c r="BK20" i="27"/>
  <c r="BK21" i="27" a="1"/>
  <c r="BK21" i="27" s="1"/>
  <c r="BK22" i="27" a="1"/>
  <c r="BK22" i="27" s="1"/>
  <c r="BK23" i="27" a="1"/>
  <c r="BK23" i="27" s="1"/>
  <c r="BK24" i="27" a="1"/>
  <c r="BK24" i="27"/>
  <c r="BK25" i="27" a="1"/>
  <c r="BK25" i="27" s="1"/>
  <c r="BK26" i="27" a="1"/>
  <c r="BK26" i="27" s="1"/>
  <c r="BK27" i="27" a="1"/>
  <c r="BK27" i="27" s="1"/>
  <c r="BK28" i="27" a="1"/>
  <c r="BK28" i="27"/>
  <c r="BK29" i="27" a="1"/>
  <c r="BK29" i="27" s="1"/>
  <c r="BK30" i="27" a="1"/>
  <c r="BK30" i="27" s="1"/>
  <c r="BK31" i="27" a="1"/>
  <c r="BK31" i="27" s="1"/>
  <c r="BK32" i="27" a="1"/>
  <c r="BK32" i="27"/>
  <c r="BK33" i="27" a="1"/>
  <c r="BK33" i="27" s="1"/>
  <c r="BK34" i="27" a="1"/>
  <c r="BK34" i="27" s="1"/>
  <c r="BK35" i="27" a="1"/>
  <c r="BK35" i="27" s="1"/>
  <c r="BK36" i="27" a="1"/>
  <c r="BK36" i="27"/>
  <c r="BK37" i="27" a="1"/>
  <c r="BK37" i="27" s="1"/>
  <c r="BK38" i="27" a="1"/>
  <c r="BK38" i="27" s="1"/>
  <c r="BK39" i="27" a="1"/>
  <c r="BK39" i="27" s="1"/>
  <c r="BK40" i="27" a="1"/>
  <c r="BK40" i="27"/>
  <c r="BK41" i="27" a="1"/>
  <c r="BK41" i="27" s="1"/>
  <c r="BK42" i="27" a="1"/>
  <c r="BK42" i="27" s="1"/>
  <c r="BK43" i="27" a="1"/>
  <c r="BK43" i="27" s="1"/>
  <c r="BK44" i="27" a="1"/>
  <c r="BK44" i="27"/>
  <c r="BK45" i="27" a="1"/>
  <c r="BK45" i="27" s="1"/>
  <c r="BK46" i="27" a="1"/>
  <c r="BK46" i="27" s="1"/>
  <c r="BK47" i="27" a="1"/>
  <c r="BK47" i="27" s="1"/>
  <c r="BK48" i="27" a="1"/>
  <c r="BK48" i="27"/>
  <c r="BK49" i="27" a="1"/>
  <c r="BK49" i="27" s="1"/>
  <c r="BK50" i="27" a="1"/>
  <c r="BK50" i="27" s="1"/>
  <c r="BK51" i="27" a="1"/>
  <c r="BK51" i="27" s="1"/>
  <c r="BK52" i="27" a="1"/>
  <c r="BK52" i="27"/>
  <c r="BK53" i="27" a="1"/>
  <c r="BK53" i="27" s="1"/>
  <c r="BK54" i="27" a="1"/>
  <c r="BK54" i="27" s="1"/>
  <c r="BK55" i="27" a="1"/>
  <c r="BK55" i="27" s="1"/>
  <c r="BK4" i="27" a="1"/>
  <c r="BK4" i="27" s="1"/>
  <c r="BA5" i="27"/>
  <c r="BA6" i="27"/>
  <c r="BA7" i="27"/>
  <c r="BA8" i="27"/>
  <c r="BA9" i="27"/>
  <c r="BA10" i="27"/>
  <c r="BA11" i="27"/>
  <c r="BA12" i="27"/>
  <c r="BA13" i="27"/>
  <c r="BA14" i="27"/>
  <c r="BA15" i="27"/>
  <c r="BA16" i="27"/>
  <c r="BA17" i="27"/>
  <c r="BA18" i="27"/>
  <c r="BA19" i="27"/>
  <c r="BA20" i="27"/>
  <c r="BA21" i="27"/>
  <c r="BA22" i="27"/>
  <c r="BA23" i="27"/>
  <c r="BA24" i="27"/>
  <c r="BA25" i="27"/>
  <c r="BA26" i="27"/>
  <c r="BA27" i="27"/>
  <c r="BA28" i="27"/>
  <c r="BA29" i="27"/>
  <c r="BA30" i="27"/>
  <c r="BA31" i="27"/>
  <c r="BA32" i="27"/>
  <c r="BA33" i="27"/>
  <c r="BA34" i="27"/>
  <c r="BA35" i="27"/>
  <c r="BA36" i="27"/>
  <c r="BA37" i="27"/>
  <c r="BA38" i="27"/>
  <c r="BA39" i="27"/>
  <c r="BA40" i="27"/>
  <c r="BA4" i="27"/>
  <c r="AY5" i="27" a="1"/>
  <c r="AY5" i="27" s="1"/>
  <c r="AY6" i="27" a="1"/>
  <c r="AY6" i="27" s="1"/>
  <c r="AY7" i="27" a="1"/>
  <c r="AY7" i="27" s="1"/>
  <c r="AY8" i="27" a="1"/>
  <c r="AY8" i="27"/>
  <c r="AY9" i="27" a="1"/>
  <c r="AY9" i="27" s="1"/>
  <c r="AY10" i="27" a="1"/>
  <c r="AY10" i="27" s="1"/>
  <c r="AY11" i="27" a="1"/>
  <c r="AY11" i="27" s="1"/>
  <c r="AY12" i="27" a="1"/>
  <c r="AY12" i="27"/>
  <c r="AY13" i="27" a="1"/>
  <c r="AY13" i="27" s="1"/>
  <c r="AY14" i="27" a="1"/>
  <c r="AY14" i="27" s="1"/>
  <c r="AY15" i="27" a="1"/>
  <c r="AY15" i="27" s="1"/>
  <c r="AY16" i="27" a="1"/>
  <c r="AY16" i="27"/>
  <c r="AY17" i="27" a="1"/>
  <c r="AY17" i="27" s="1"/>
  <c r="AY18" i="27" a="1"/>
  <c r="AY18" i="27" s="1"/>
  <c r="AY19" i="27" a="1"/>
  <c r="AY19" i="27" s="1"/>
  <c r="AY20" i="27" a="1"/>
  <c r="AY20" i="27"/>
  <c r="AY21" i="27" a="1"/>
  <c r="AY21" i="27" s="1"/>
  <c r="AY22" i="27" a="1"/>
  <c r="AY22" i="27" s="1"/>
  <c r="AY23" i="27" a="1"/>
  <c r="AY23" i="27" s="1"/>
  <c r="AY24" i="27" a="1"/>
  <c r="AY24" i="27"/>
  <c r="AY25" i="27" a="1"/>
  <c r="AY25" i="27" s="1"/>
  <c r="AY26" i="27" a="1"/>
  <c r="AY26" i="27" s="1"/>
  <c r="AY27" i="27" a="1"/>
  <c r="AY27" i="27" s="1"/>
  <c r="AY28" i="27" a="1"/>
  <c r="AY28" i="27"/>
  <c r="AY29" i="27" a="1"/>
  <c r="AY29" i="27" s="1"/>
  <c r="AY30" i="27" a="1"/>
  <c r="AY30" i="27" s="1"/>
  <c r="AY31" i="27" a="1"/>
  <c r="AY31" i="27" s="1"/>
  <c r="AY32" i="27" a="1"/>
  <c r="AY32" i="27"/>
  <c r="AY33" i="27" a="1"/>
  <c r="AY33" i="27" s="1"/>
  <c r="AY34" i="27" a="1"/>
  <c r="AY34" i="27" s="1"/>
  <c r="AY35" i="27" a="1"/>
  <c r="AY35" i="27" s="1"/>
  <c r="AY36" i="27" a="1"/>
  <c r="AY36" i="27"/>
  <c r="AY37" i="27" a="1"/>
  <c r="AY37" i="27" s="1"/>
  <c r="AY38" i="27" a="1"/>
  <c r="AY38" i="27" s="1"/>
  <c r="AY39" i="27" a="1"/>
  <c r="AY39" i="27" s="1"/>
  <c r="AY40" i="27" a="1"/>
  <c r="AY40" i="27"/>
  <c r="AY4" i="27" a="1"/>
  <c r="AY4" i="27" s="1"/>
  <c r="AW5" i="27" a="1"/>
  <c r="AW5" i="27" s="1"/>
  <c r="AW6" i="27" a="1"/>
  <c r="AW6" i="27" s="1"/>
  <c r="AW7" i="27" a="1"/>
  <c r="AW7" i="27" s="1"/>
  <c r="AW8" i="27" a="1"/>
  <c r="AW8" i="27"/>
  <c r="AW9" i="27" a="1"/>
  <c r="AW9" i="27" s="1"/>
  <c r="AW10" i="27" a="1"/>
  <c r="AW10" i="27" s="1"/>
  <c r="AW11" i="27" a="1"/>
  <c r="AW11" i="27" s="1"/>
  <c r="AW12" i="27" a="1"/>
  <c r="AW12" i="27"/>
  <c r="AW13" i="27" a="1"/>
  <c r="AW13" i="27" s="1"/>
  <c r="AW14" i="27" a="1"/>
  <c r="AW14" i="27" s="1"/>
  <c r="AW15" i="27" a="1"/>
  <c r="AW15" i="27" s="1"/>
  <c r="AW16" i="27" a="1"/>
  <c r="AW16" i="27"/>
  <c r="AW17" i="27" a="1"/>
  <c r="AW17" i="27" s="1"/>
  <c r="AW18" i="27" a="1"/>
  <c r="AW18" i="27" s="1"/>
  <c r="AW19" i="27" a="1"/>
  <c r="AW19" i="27" s="1"/>
  <c r="AW20" i="27" a="1"/>
  <c r="AW20" i="27"/>
  <c r="AW21" i="27" a="1"/>
  <c r="AW21" i="27" s="1"/>
  <c r="AW22" i="27" a="1"/>
  <c r="AW22" i="27" s="1"/>
  <c r="AW23" i="27" a="1"/>
  <c r="AW23" i="27" s="1"/>
  <c r="AW24" i="27" a="1"/>
  <c r="AW24" i="27"/>
  <c r="AW25" i="27" a="1"/>
  <c r="AW25" i="27" s="1"/>
  <c r="AW26" i="27" a="1"/>
  <c r="AW26" i="27" s="1"/>
  <c r="AW27" i="27" a="1"/>
  <c r="AW27" i="27" s="1"/>
  <c r="AW28" i="27" a="1"/>
  <c r="AW28" i="27"/>
  <c r="AW29" i="27" a="1"/>
  <c r="AW29" i="27" s="1"/>
  <c r="AW30" i="27" a="1"/>
  <c r="AW30" i="27" s="1"/>
  <c r="AW31" i="27" a="1"/>
  <c r="AW31" i="27" s="1"/>
  <c r="AW32" i="27" a="1"/>
  <c r="AW32" i="27"/>
  <c r="AW33" i="27" a="1"/>
  <c r="AW33" i="27" s="1"/>
  <c r="AW34" i="27" a="1"/>
  <c r="AW34" i="27" s="1"/>
  <c r="AW35" i="27" a="1"/>
  <c r="AW35" i="27" s="1"/>
  <c r="AW36" i="27" a="1"/>
  <c r="AW36" i="27"/>
  <c r="AW37" i="27" a="1"/>
  <c r="AW37" i="27" s="1"/>
  <c r="AW38" i="27" a="1"/>
  <c r="AW38" i="27" s="1"/>
  <c r="AW39" i="27" a="1"/>
  <c r="AW39" i="27" s="1"/>
  <c r="AW40" i="27" a="1"/>
  <c r="AW40" i="27"/>
  <c r="AW4" i="27" a="1"/>
  <c r="AW4" i="27" s="1"/>
  <c r="AU5" i="27" a="1"/>
  <c r="AU5" i="27" s="1"/>
  <c r="AU6" i="27" a="1"/>
  <c r="AU6" i="27" s="1"/>
  <c r="AU7" i="27" a="1"/>
  <c r="AU7" i="27"/>
  <c r="AU8" i="27" a="1"/>
  <c r="AU8" i="27"/>
  <c r="AU9" i="27" a="1"/>
  <c r="AU9" i="27" s="1"/>
  <c r="AU10" i="27" a="1"/>
  <c r="AU10" i="27" s="1"/>
  <c r="AU11" i="27" a="1"/>
  <c r="AU11" i="27"/>
  <c r="AU12" i="27" a="1"/>
  <c r="AU12" i="27"/>
  <c r="AU13" i="27" a="1"/>
  <c r="AU13" i="27" s="1"/>
  <c r="AU14" i="27" a="1"/>
  <c r="AU14" i="27" s="1"/>
  <c r="AU15" i="27" a="1"/>
  <c r="AU15" i="27"/>
  <c r="AU16" i="27" a="1"/>
  <c r="AU16" i="27"/>
  <c r="AU17" i="27" a="1"/>
  <c r="AU17" i="27" s="1"/>
  <c r="AU18" i="27" a="1"/>
  <c r="AU18" i="27" s="1"/>
  <c r="AU19" i="27" a="1"/>
  <c r="AU19" i="27"/>
  <c r="AU20" i="27" a="1"/>
  <c r="AU20" i="27"/>
  <c r="AU21" i="27" a="1"/>
  <c r="AU21" i="27" s="1"/>
  <c r="AU22" i="27" a="1"/>
  <c r="AU22" i="27" s="1"/>
  <c r="AU23" i="27" a="1"/>
  <c r="AU23" i="27"/>
  <c r="AU24" i="27" a="1"/>
  <c r="AU24" i="27"/>
  <c r="AU25" i="27" a="1"/>
  <c r="AU25" i="27" s="1"/>
  <c r="AU26" i="27" a="1"/>
  <c r="AU26" i="27" s="1"/>
  <c r="AU27" i="27" a="1"/>
  <c r="AU27" i="27"/>
  <c r="AU28" i="27" a="1"/>
  <c r="AU28" i="27"/>
  <c r="AU29" i="27" a="1"/>
  <c r="AU29" i="27" s="1"/>
  <c r="AU30" i="27" a="1"/>
  <c r="AU30" i="27" s="1"/>
  <c r="AU31" i="27" a="1"/>
  <c r="AU31" i="27"/>
  <c r="AU32" i="27" a="1"/>
  <c r="AU32" i="27"/>
  <c r="AU33" i="27" a="1"/>
  <c r="AU33" i="27" s="1"/>
  <c r="AU34" i="27" a="1"/>
  <c r="AU34" i="27" s="1"/>
  <c r="AU35" i="27" a="1"/>
  <c r="AU35" i="27"/>
  <c r="AU36" i="27" a="1"/>
  <c r="AU36" i="27"/>
  <c r="AU37" i="27" a="1"/>
  <c r="AU37" i="27" s="1"/>
  <c r="AU38" i="27" a="1"/>
  <c r="AU38" i="27" s="1"/>
  <c r="AU39" i="27" a="1"/>
  <c r="AU39" i="27"/>
  <c r="AU40" i="27" a="1"/>
  <c r="AU40" i="27"/>
  <c r="AU4" i="27" a="1"/>
  <c r="AU4" i="27" s="1"/>
  <c r="AS5" i="27" a="1"/>
  <c r="AS5" i="27" s="1"/>
  <c r="AS6" i="27" a="1"/>
  <c r="AS6" i="27" s="1"/>
  <c r="AS7" i="27" a="1"/>
  <c r="AS7" i="27"/>
  <c r="AS8" i="27" a="1"/>
  <c r="AS8" i="27"/>
  <c r="AS9" i="27" a="1"/>
  <c r="AS9" i="27" s="1"/>
  <c r="AS10" i="27" a="1"/>
  <c r="AS10" i="27" s="1"/>
  <c r="AS11" i="27" a="1"/>
  <c r="AS11" i="27"/>
  <c r="AS12" i="27" a="1"/>
  <c r="AS12" i="27"/>
  <c r="AS13" i="27" a="1"/>
  <c r="AS13" i="27" s="1"/>
  <c r="AS14" i="27" a="1"/>
  <c r="AS14" i="27" s="1"/>
  <c r="AS15" i="27" a="1"/>
  <c r="AS15" i="27"/>
  <c r="AS16" i="27" a="1"/>
  <c r="AS16" i="27"/>
  <c r="AS17" i="27" a="1"/>
  <c r="AS17" i="27" s="1"/>
  <c r="AS18" i="27" a="1"/>
  <c r="AS18" i="27" s="1"/>
  <c r="AS19" i="27" a="1"/>
  <c r="AS19" i="27"/>
  <c r="AS20" i="27" a="1"/>
  <c r="AS20" i="27"/>
  <c r="AS21" i="27" a="1"/>
  <c r="AS21" i="27" s="1"/>
  <c r="AS22" i="27" a="1"/>
  <c r="AS22" i="27" s="1"/>
  <c r="AS23" i="27" a="1"/>
  <c r="AS23" i="27"/>
  <c r="AS24" i="27" a="1"/>
  <c r="AS24" i="27"/>
  <c r="AS25" i="27" a="1"/>
  <c r="AS25" i="27" s="1"/>
  <c r="AS26" i="27" a="1"/>
  <c r="AS26" i="27" s="1"/>
  <c r="AS27" i="27" a="1"/>
  <c r="AS27" i="27"/>
  <c r="AS28" i="27" a="1"/>
  <c r="AS28" i="27"/>
  <c r="AS29" i="27" a="1"/>
  <c r="AS29" i="27" s="1"/>
  <c r="AS30" i="27" a="1"/>
  <c r="AS30" i="27" s="1"/>
  <c r="AS31" i="27" a="1"/>
  <c r="AS31" i="27"/>
  <c r="AS32" i="27" a="1"/>
  <c r="AS32" i="27"/>
  <c r="AS33" i="27" a="1"/>
  <c r="AS33" i="27" s="1"/>
  <c r="AS34" i="27" a="1"/>
  <c r="AS34" i="27" s="1"/>
  <c r="AS35" i="27" a="1"/>
  <c r="AS35" i="27"/>
  <c r="AS36" i="27" a="1"/>
  <c r="AS36" i="27"/>
  <c r="AS37" i="27" a="1"/>
  <c r="AS37" i="27" s="1"/>
  <c r="AS38" i="27" a="1"/>
  <c r="AS38" i="27" s="1"/>
  <c r="AS39" i="27" a="1"/>
  <c r="AS39" i="27"/>
  <c r="AS40" i="27" a="1"/>
  <c r="AS40" i="27"/>
  <c r="AS4" i="27" a="1"/>
  <c r="AS4" i="27" s="1"/>
  <c r="AQ4" i="27" a="1"/>
  <c r="AQ4" i="27" s="1"/>
  <c r="AQ5" i="27" a="1"/>
  <c r="AQ5" i="27" s="1"/>
  <c r="AQ6" i="27" a="1"/>
  <c r="AQ6" i="27" s="1"/>
  <c r="AQ7" i="27" a="1"/>
  <c r="AQ7" i="27" s="1"/>
  <c r="AQ8" i="27" a="1"/>
  <c r="AQ8" i="27"/>
  <c r="AQ9" i="27" a="1"/>
  <c r="AQ9" i="27" s="1"/>
  <c r="AQ10" i="27" a="1"/>
  <c r="AQ10" i="27" s="1"/>
  <c r="AQ11" i="27" a="1"/>
  <c r="AQ11" i="27" s="1"/>
  <c r="AQ12" i="27" a="1"/>
  <c r="AQ12" i="27"/>
  <c r="AQ13" i="27" a="1"/>
  <c r="AQ13" i="27" s="1"/>
  <c r="AQ14" i="27" a="1"/>
  <c r="AQ14" i="27" s="1"/>
  <c r="AQ15" i="27" a="1"/>
  <c r="AQ15" i="27" s="1"/>
  <c r="AQ16" i="27" a="1"/>
  <c r="AQ16" i="27"/>
  <c r="AQ17" i="27" a="1"/>
  <c r="AQ17" i="27" s="1"/>
  <c r="AQ18" i="27" a="1"/>
  <c r="AQ18" i="27" s="1"/>
  <c r="AQ19" i="27" a="1"/>
  <c r="AQ19" i="27" s="1"/>
  <c r="AQ20" i="27" a="1"/>
  <c r="AQ20" i="27"/>
  <c r="AQ21" i="27" a="1"/>
  <c r="AQ21" i="27" s="1"/>
  <c r="AQ22" i="27" a="1"/>
  <c r="AQ22" i="27" s="1"/>
  <c r="AQ23" i="27" a="1"/>
  <c r="AQ23" i="27" s="1"/>
  <c r="AQ24" i="27" a="1"/>
  <c r="AQ24" i="27"/>
  <c r="AQ25" i="27" a="1"/>
  <c r="AQ25" i="27" s="1"/>
  <c r="AQ26" i="27" a="1"/>
  <c r="AQ26" i="27" s="1"/>
  <c r="AQ27" i="27" a="1"/>
  <c r="AQ27" i="27" s="1"/>
  <c r="AQ28" i="27" a="1"/>
  <c r="AQ28" i="27" s="1"/>
  <c r="AQ29" i="27" a="1"/>
  <c r="AQ29" i="27" s="1"/>
  <c r="AQ30" i="27" a="1"/>
  <c r="AQ30" i="27" s="1"/>
  <c r="AQ31" i="27" a="1"/>
  <c r="AQ31" i="27" s="1"/>
  <c r="AQ32" i="27" a="1"/>
  <c r="AQ32" i="27"/>
  <c r="AQ33" i="27" a="1"/>
  <c r="AQ33" i="27" s="1"/>
  <c r="AQ34" i="27" a="1"/>
  <c r="AQ34" i="27" s="1"/>
  <c r="AQ35" i="27" a="1"/>
  <c r="AQ35" i="27" s="1"/>
  <c r="AQ36" i="27" a="1"/>
  <c r="AQ36" i="27"/>
  <c r="AQ37" i="27" a="1"/>
  <c r="AQ37" i="27" s="1"/>
  <c r="AQ38" i="27" a="1"/>
  <c r="AQ38" i="27" s="1"/>
  <c r="AQ39" i="27" a="1"/>
  <c r="AQ39" i="27" s="1"/>
  <c r="AQ40" i="27" a="1"/>
  <c r="AQ40" i="27"/>
  <c r="AH5" i="27"/>
  <c r="AH6" i="27"/>
  <c r="AH7" i="27"/>
  <c r="AH8" i="27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4" i="27"/>
  <c r="AF5" i="27" a="1"/>
  <c r="AF5" i="27" s="1"/>
  <c r="AF6" i="27" a="1"/>
  <c r="AF6" i="27" s="1"/>
  <c r="AF7" i="27" a="1"/>
  <c r="AF7" i="27"/>
  <c r="AF8" i="27" a="1"/>
  <c r="AF8" i="27"/>
  <c r="AF9" i="27" a="1"/>
  <c r="AF9" i="27" s="1"/>
  <c r="AF10" i="27" a="1"/>
  <c r="AF10" i="27" s="1"/>
  <c r="AF11" i="27" a="1"/>
  <c r="AF11" i="27" s="1"/>
  <c r="AF12" i="27" a="1"/>
  <c r="AF12" i="27"/>
  <c r="AF13" i="27" a="1"/>
  <c r="AF13" i="27" s="1"/>
  <c r="AF14" i="27" a="1"/>
  <c r="AF14" i="27" s="1"/>
  <c r="AF15" i="27" a="1"/>
  <c r="AF15" i="27" s="1"/>
  <c r="AF16" i="27" a="1"/>
  <c r="AF16" i="27"/>
  <c r="AF17" i="27" a="1"/>
  <c r="AF17" i="27" s="1"/>
  <c r="AF18" i="27" a="1"/>
  <c r="AF18" i="27" s="1"/>
  <c r="AF19" i="27" a="1"/>
  <c r="AF19" i="27" s="1"/>
  <c r="AF20" i="27" a="1"/>
  <c r="AF20" i="27"/>
  <c r="AF21" i="27" a="1"/>
  <c r="AF21" i="27" s="1"/>
  <c r="AF22" i="27" a="1"/>
  <c r="AF22" i="27" s="1"/>
  <c r="AF23" i="27" a="1"/>
  <c r="AF23" i="27" s="1"/>
  <c r="AF24" i="27" a="1"/>
  <c r="AF24" i="27"/>
  <c r="AF25" i="27" a="1"/>
  <c r="AF25" i="27" s="1"/>
  <c r="AF26" i="27" a="1"/>
  <c r="AF26" i="27" s="1"/>
  <c r="AF27" i="27" a="1"/>
  <c r="AF27" i="27" s="1"/>
  <c r="AF28" i="27" a="1"/>
  <c r="AF28" i="27"/>
  <c r="AF29" i="27" a="1"/>
  <c r="AF29" i="27" s="1"/>
  <c r="AF30" i="27" a="1"/>
  <c r="AF30" i="27" s="1"/>
  <c r="AF31" i="27" a="1"/>
  <c r="AF31" i="27" s="1"/>
  <c r="AF32" i="27" a="1"/>
  <c r="AF32" i="27"/>
  <c r="AF33" i="27" a="1"/>
  <c r="AF33" i="27" s="1"/>
  <c r="AF34" i="27" a="1"/>
  <c r="AF34" i="27" s="1"/>
  <c r="AF35" i="27" a="1"/>
  <c r="AF35" i="27" s="1"/>
  <c r="AF36" i="27" a="1"/>
  <c r="AF36" i="27"/>
  <c r="AF37" i="27" a="1"/>
  <c r="AF37" i="27" s="1"/>
  <c r="AF38" i="27" a="1"/>
  <c r="AF38" i="27" s="1"/>
  <c r="AF39" i="27" a="1"/>
  <c r="AF39" i="27" s="1"/>
  <c r="AF40" i="27" a="1"/>
  <c r="AF40" i="27"/>
  <c r="AF41" i="27" a="1"/>
  <c r="AF41" i="27" s="1"/>
  <c r="AF42" i="27" a="1"/>
  <c r="AF42" i="27" s="1"/>
  <c r="AF43" i="27" a="1"/>
  <c r="AF43" i="27" s="1"/>
  <c r="AF44" i="27" a="1"/>
  <c r="AF44" i="27"/>
  <c r="AF45" i="27" a="1"/>
  <c r="AF45" i="27" s="1"/>
  <c r="AF46" i="27" a="1"/>
  <c r="AF46" i="27" s="1"/>
  <c r="AF47" i="27" a="1"/>
  <c r="AF47" i="27" s="1"/>
  <c r="AF48" i="27" a="1"/>
  <c r="AF48" i="27"/>
  <c r="AF49" i="27" a="1"/>
  <c r="AF49" i="27" s="1"/>
  <c r="AF50" i="27" a="1"/>
  <c r="AF50" i="27" s="1"/>
  <c r="AF51" i="27" a="1"/>
  <c r="AF51" i="27" s="1"/>
  <c r="AF52" i="27" a="1"/>
  <c r="AF52" i="27"/>
  <c r="AF53" i="27" a="1"/>
  <c r="AF53" i="27" s="1"/>
  <c r="AF54" i="27" a="1"/>
  <c r="AF54" i="27" s="1"/>
  <c r="AF55" i="27" a="1"/>
  <c r="AF55" i="27" s="1"/>
  <c r="AF56" i="27" a="1"/>
  <c r="AF56" i="27"/>
  <c r="AF57" i="27" a="1"/>
  <c r="AF57" i="27" s="1"/>
  <c r="AF58" i="27" a="1"/>
  <c r="AF58" i="27" s="1"/>
  <c r="AF59" i="27" a="1"/>
  <c r="AF59" i="27" s="1"/>
  <c r="AF60" i="27" a="1"/>
  <c r="AF60" i="27"/>
  <c r="AF61" i="27" a="1"/>
  <c r="AF61" i="27" s="1"/>
  <c r="AF62" i="27" a="1"/>
  <c r="AF62" i="27" s="1"/>
  <c r="AF63" i="27" a="1"/>
  <c r="AF63" i="27" s="1"/>
  <c r="AF64" i="27" a="1"/>
  <c r="AF64" i="27"/>
  <c r="AF65" i="27" a="1"/>
  <c r="AF65" i="27" s="1"/>
  <c r="AF66" i="27" a="1"/>
  <c r="AF66" i="27" s="1"/>
  <c r="AF67" i="27" a="1"/>
  <c r="AF67" i="27" s="1"/>
  <c r="AF68" i="27" a="1"/>
  <c r="AF68" i="27"/>
  <c r="AF69" i="27" a="1"/>
  <c r="AF69" i="27" s="1"/>
  <c r="AF70" i="27" a="1"/>
  <c r="AF70" i="27" s="1"/>
  <c r="AF71" i="27" a="1"/>
  <c r="AF71" i="27" s="1"/>
  <c r="AF72" i="27" a="1"/>
  <c r="AF72" i="27"/>
  <c r="AF73" i="27" a="1"/>
  <c r="AF73" i="27" s="1"/>
  <c r="AF4" i="27" a="1"/>
  <c r="AF4" i="27" s="1"/>
  <c r="AD5" i="27" a="1"/>
  <c r="AD5" i="27" s="1"/>
  <c r="AD6" i="27" a="1"/>
  <c r="AD6" i="27" s="1"/>
  <c r="AD7" i="27" a="1"/>
  <c r="AD7" i="27" s="1"/>
  <c r="AD8" i="27" a="1"/>
  <c r="AD8" i="27"/>
  <c r="AD9" i="27" a="1"/>
  <c r="AD9" i="27" s="1"/>
  <c r="AD10" i="27" a="1"/>
  <c r="AD10" i="27" s="1"/>
  <c r="AD11" i="27" a="1"/>
  <c r="AD11" i="27" s="1"/>
  <c r="AD12" i="27" a="1"/>
  <c r="AD12" i="27"/>
  <c r="AD13" i="27" a="1"/>
  <c r="AD13" i="27" s="1"/>
  <c r="AD14" i="27" a="1"/>
  <c r="AD14" i="27" s="1"/>
  <c r="AD15" i="27" a="1"/>
  <c r="AD15" i="27" s="1"/>
  <c r="AD16" i="27" a="1"/>
  <c r="AD16" i="27"/>
  <c r="AD17" i="27" a="1"/>
  <c r="AD17" i="27" s="1"/>
  <c r="AD18" i="27" a="1"/>
  <c r="AD18" i="27" s="1"/>
  <c r="AD19" i="27" a="1"/>
  <c r="AD19" i="27" s="1"/>
  <c r="AD20" i="27" a="1"/>
  <c r="AD20" i="27"/>
  <c r="AD21" i="27" a="1"/>
  <c r="AD21" i="27" s="1"/>
  <c r="AD22" i="27" a="1"/>
  <c r="AD22" i="27" s="1"/>
  <c r="AD23" i="27" a="1"/>
  <c r="AD23" i="27" s="1"/>
  <c r="AD24" i="27" a="1"/>
  <c r="AD24" i="27"/>
  <c r="AD25" i="27" a="1"/>
  <c r="AD25" i="27" s="1"/>
  <c r="AD26" i="27" a="1"/>
  <c r="AD26" i="27" s="1"/>
  <c r="AD27" i="27" a="1"/>
  <c r="AD27" i="27" s="1"/>
  <c r="AD28" i="27" a="1"/>
  <c r="AD28" i="27"/>
  <c r="AD29" i="27" a="1"/>
  <c r="AD29" i="27" s="1"/>
  <c r="AD30" i="27" a="1"/>
  <c r="AD30" i="27" s="1"/>
  <c r="AD31" i="27" a="1"/>
  <c r="AD31" i="27" s="1"/>
  <c r="AD32" i="27" a="1"/>
  <c r="AD32" i="27"/>
  <c r="AD33" i="27" a="1"/>
  <c r="AD33" i="27" s="1"/>
  <c r="AD34" i="27" a="1"/>
  <c r="AD34" i="27" s="1"/>
  <c r="AD35" i="27" a="1"/>
  <c r="AD35" i="27" s="1"/>
  <c r="AD36" i="27" a="1"/>
  <c r="AD36" i="27"/>
  <c r="AD37" i="27" a="1"/>
  <c r="AD37" i="27" s="1"/>
  <c r="AD38" i="27" a="1"/>
  <c r="AD38" i="27" s="1"/>
  <c r="AD39" i="27" a="1"/>
  <c r="AD39" i="27" s="1"/>
  <c r="AD40" i="27" a="1"/>
  <c r="AD40" i="27"/>
  <c r="AD41" i="27" a="1"/>
  <c r="AD41" i="27" s="1"/>
  <c r="AD42" i="27" a="1"/>
  <c r="AD42" i="27" s="1"/>
  <c r="AD43" i="27" a="1"/>
  <c r="AD43" i="27" s="1"/>
  <c r="AD44" i="27" a="1"/>
  <c r="AD44" i="27"/>
  <c r="AD45" i="27" a="1"/>
  <c r="AD45" i="27" s="1"/>
  <c r="AD46" i="27" a="1"/>
  <c r="AD46" i="27" s="1"/>
  <c r="AD47" i="27" a="1"/>
  <c r="AD47" i="27" s="1"/>
  <c r="AD48" i="27" a="1"/>
  <c r="AD48" i="27"/>
  <c r="AD49" i="27" a="1"/>
  <c r="AD49" i="27" s="1"/>
  <c r="AD50" i="27" a="1"/>
  <c r="AD50" i="27" s="1"/>
  <c r="AD51" i="27" a="1"/>
  <c r="AD51" i="27" s="1"/>
  <c r="AD52" i="27" a="1"/>
  <c r="AD52" i="27"/>
  <c r="AD53" i="27" a="1"/>
  <c r="AD53" i="27" s="1"/>
  <c r="AD54" i="27" a="1"/>
  <c r="AD54" i="27" s="1"/>
  <c r="AD55" i="27" a="1"/>
  <c r="AD55" i="27" s="1"/>
  <c r="AD56" i="27" a="1"/>
  <c r="AD56" i="27"/>
  <c r="AD57" i="27" a="1"/>
  <c r="AD57" i="27" s="1"/>
  <c r="AD58" i="27" a="1"/>
  <c r="AD58" i="27" s="1"/>
  <c r="AD59" i="27" a="1"/>
  <c r="AD59" i="27" s="1"/>
  <c r="AD60" i="27" a="1"/>
  <c r="AD60" i="27"/>
  <c r="AD61" i="27" a="1"/>
  <c r="AD61" i="27" s="1"/>
  <c r="AD62" i="27" a="1"/>
  <c r="AD62" i="27" s="1"/>
  <c r="AD63" i="27" a="1"/>
  <c r="AD63" i="27" s="1"/>
  <c r="AD64" i="27" a="1"/>
  <c r="AD64" i="27"/>
  <c r="AD65" i="27" a="1"/>
  <c r="AD65" i="27" s="1"/>
  <c r="AD66" i="27" a="1"/>
  <c r="AD66" i="27" s="1"/>
  <c r="AD67" i="27" a="1"/>
  <c r="AD67" i="27" s="1"/>
  <c r="AD68" i="27" a="1"/>
  <c r="AD68" i="27"/>
  <c r="AD69" i="27" a="1"/>
  <c r="AD69" i="27" s="1"/>
  <c r="AD70" i="27" a="1"/>
  <c r="AD70" i="27" s="1"/>
  <c r="AD71" i="27" a="1"/>
  <c r="AD71" i="27" s="1"/>
  <c r="AD72" i="27" a="1"/>
  <c r="AD72" i="27"/>
  <c r="AD73" i="27" a="1"/>
  <c r="AD73" i="27" s="1"/>
  <c r="AD4" i="27" a="1"/>
  <c r="AD4" i="27" s="1"/>
  <c r="AB5" i="27" a="1"/>
  <c r="AB5" i="27" s="1"/>
  <c r="AB6" i="27" a="1"/>
  <c r="AB6" i="27" s="1"/>
  <c r="AB7" i="27" a="1"/>
  <c r="AB7" i="27"/>
  <c r="AB8" i="27" a="1"/>
  <c r="AB8" i="27"/>
  <c r="AB9" i="27" a="1"/>
  <c r="AB9" i="27" s="1"/>
  <c r="AB10" i="27" a="1"/>
  <c r="AB10" i="27" s="1"/>
  <c r="AB11" i="27" a="1"/>
  <c r="AB11" i="27" s="1"/>
  <c r="AB12" i="27" a="1"/>
  <c r="AB12" i="27"/>
  <c r="AB13" i="27" a="1"/>
  <c r="AB13" i="27" s="1"/>
  <c r="AB14" i="27" a="1"/>
  <c r="AB14" i="27" s="1"/>
  <c r="AB15" i="27" a="1"/>
  <c r="AB15" i="27" s="1"/>
  <c r="AB16" i="27" a="1"/>
  <c r="AB16" i="27"/>
  <c r="AB17" i="27" a="1"/>
  <c r="AB17" i="27" s="1"/>
  <c r="AB18" i="27" a="1"/>
  <c r="AB18" i="27" s="1"/>
  <c r="AB19" i="27" a="1"/>
  <c r="AB19" i="27" s="1"/>
  <c r="AB20" i="27" a="1"/>
  <c r="AB20" i="27"/>
  <c r="AB21" i="27" a="1"/>
  <c r="AB21" i="27" s="1"/>
  <c r="AB22" i="27" a="1"/>
  <c r="AB22" i="27" s="1"/>
  <c r="AB23" i="27" a="1"/>
  <c r="AB23" i="27" s="1"/>
  <c r="AB24" i="27" a="1"/>
  <c r="AB24" i="27"/>
  <c r="AB25" i="27" a="1"/>
  <c r="AB25" i="27" s="1"/>
  <c r="AB26" i="27" a="1"/>
  <c r="AB26" i="27" s="1"/>
  <c r="AB27" i="27" a="1"/>
  <c r="AB27" i="27" s="1"/>
  <c r="AB28" i="27" a="1"/>
  <c r="AB28" i="27"/>
  <c r="AB29" i="27" a="1"/>
  <c r="AB29" i="27" s="1"/>
  <c r="AB30" i="27" a="1"/>
  <c r="AB30" i="27" s="1"/>
  <c r="AB31" i="27" a="1"/>
  <c r="AB31" i="27" s="1"/>
  <c r="AB32" i="27" a="1"/>
  <c r="AB32" i="27"/>
  <c r="AB33" i="27" a="1"/>
  <c r="AB33" i="27" s="1"/>
  <c r="AB34" i="27" a="1"/>
  <c r="AB34" i="27" s="1"/>
  <c r="AB35" i="27" a="1"/>
  <c r="AB35" i="27" s="1"/>
  <c r="AB36" i="27" a="1"/>
  <c r="AB36" i="27"/>
  <c r="AB37" i="27" a="1"/>
  <c r="AB37" i="27" s="1"/>
  <c r="AB38" i="27" a="1"/>
  <c r="AB38" i="27" s="1"/>
  <c r="AB39" i="27" a="1"/>
  <c r="AB39" i="27" s="1"/>
  <c r="AB40" i="27" a="1"/>
  <c r="AB40" i="27"/>
  <c r="AB41" i="27" a="1"/>
  <c r="AB41" i="27" s="1"/>
  <c r="AB42" i="27" a="1"/>
  <c r="AB42" i="27" s="1"/>
  <c r="AB43" i="27" a="1"/>
  <c r="AB43" i="27" s="1"/>
  <c r="AB44" i="27" a="1"/>
  <c r="AB44" i="27"/>
  <c r="AB45" i="27" a="1"/>
  <c r="AB45" i="27" s="1"/>
  <c r="AB46" i="27" a="1"/>
  <c r="AB46" i="27" s="1"/>
  <c r="AB47" i="27" a="1"/>
  <c r="AB47" i="27" s="1"/>
  <c r="AB48" i="27" a="1"/>
  <c r="AB48" i="27"/>
  <c r="AB49" i="27" a="1"/>
  <c r="AB49" i="27" s="1"/>
  <c r="AB50" i="27" a="1"/>
  <c r="AB50" i="27" s="1"/>
  <c r="AB51" i="27" a="1"/>
  <c r="AB51" i="27" s="1"/>
  <c r="AB52" i="27" a="1"/>
  <c r="AB52" i="27"/>
  <c r="AB53" i="27" a="1"/>
  <c r="AB53" i="27" s="1"/>
  <c r="AB54" i="27" a="1"/>
  <c r="AB54" i="27" s="1"/>
  <c r="AB55" i="27" a="1"/>
  <c r="AB55" i="27" s="1"/>
  <c r="AB56" i="27" a="1"/>
  <c r="AB56" i="27"/>
  <c r="AB57" i="27" a="1"/>
  <c r="AB57" i="27" s="1"/>
  <c r="AB58" i="27" a="1"/>
  <c r="AB58" i="27" s="1"/>
  <c r="AB59" i="27" a="1"/>
  <c r="AB59" i="27" s="1"/>
  <c r="AB60" i="27" a="1"/>
  <c r="AB60" i="27"/>
  <c r="AB61" i="27" a="1"/>
  <c r="AB61" i="27" s="1"/>
  <c r="AB62" i="27" a="1"/>
  <c r="AB62" i="27" s="1"/>
  <c r="AB63" i="27" a="1"/>
  <c r="AB63" i="27" s="1"/>
  <c r="AB64" i="27" a="1"/>
  <c r="AB64" i="27"/>
  <c r="AB65" i="27" a="1"/>
  <c r="AB65" i="27" s="1"/>
  <c r="AB66" i="27" a="1"/>
  <c r="AB66" i="27" s="1"/>
  <c r="AB67" i="27" a="1"/>
  <c r="AB67" i="27" s="1"/>
  <c r="AB68" i="27" a="1"/>
  <c r="AB68" i="27"/>
  <c r="AB69" i="27" a="1"/>
  <c r="AB69" i="27" s="1"/>
  <c r="AB70" i="27" a="1"/>
  <c r="AB70" i="27" s="1"/>
  <c r="AB71" i="27" a="1"/>
  <c r="AB71" i="27" s="1"/>
  <c r="AB72" i="27" a="1"/>
  <c r="AB72" i="27"/>
  <c r="AB73" i="27" a="1"/>
  <c r="AB73" i="27" s="1"/>
  <c r="AB4" i="27" a="1"/>
  <c r="AB4" i="27"/>
  <c r="Z5" i="27" a="1"/>
  <c r="Z5" i="27" s="1"/>
  <c r="Z6" i="27" a="1"/>
  <c r="Z6" i="27" s="1"/>
  <c r="Z7" i="27" a="1"/>
  <c r="Z7" i="27" s="1"/>
  <c r="Z8" i="27" a="1"/>
  <c r="Z8" i="27"/>
  <c r="Z9" i="27" a="1"/>
  <c r="Z9" i="27" s="1"/>
  <c r="Z10" i="27" a="1"/>
  <c r="Z10" i="27" s="1"/>
  <c r="Z11" i="27" a="1"/>
  <c r="Z11" i="27" s="1"/>
  <c r="Z12" i="27" a="1"/>
  <c r="Z12" i="27"/>
  <c r="Z13" i="27" a="1"/>
  <c r="Z13" i="27" s="1"/>
  <c r="Z14" i="27" a="1"/>
  <c r="Z14" i="27" s="1"/>
  <c r="Z15" i="27" a="1"/>
  <c r="Z15" i="27" s="1"/>
  <c r="Z16" i="27" a="1"/>
  <c r="Z16" i="27"/>
  <c r="Z17" i="27" a="1"/>
  <c r="Z17" i="27" s="1"/>
  <c r="Z18" i="27" a="1"/>
  <c r="Z18" i="27" s="1"/>
  <c r="Z19" i="27" a="1"/>
  <c r="Z19" i="27" s="1"/>
  <c r="Z20" i="27" a="1"/>
  <c r="Z20" i="27"/>
  <c r="Z21" i="27" a="1"/>
  <c r="Z21" i="27" s="1"/>
  <c r="Z22" i="27" a="1"/>
  <c r="Z22" i="27" s="1"/>
  <c r="Z23" i="27" a="1"/>
  <c r="Z23" i="27" s="1"/>
  <c r="Z24" i="27" a="1"/>
  <c r="Z24" i="27"/>
  <c r="Z25" i="27" a="1"/>
  <c r="Z25" i="27" s="1"/>
  <c r="Z26" i="27" a="1"/>
  <c r="Z26" i="27" s="1"/>
  <c r="Z27" i="27" a="1"/>
  <c r="Z27" i="27" s="1"/>
  <c r="Z28" i="27" a="1"/>
  <c r="Z28" i="27"/>
  <c r="Z29" i="27" a="1"/>
  <c r="Z29" i="27" s="1"/>
  <c r="Z30" i="27" a="1"/>
  <c r="Z30" i="27" s="1"/>
  <c r="Z31" i="27" a="1"/>
  <c r="Z31" i="27" s="1"/>
  <c r="Z32" i="27" a="1"/>
  <c r="Z32" i="27"/>
  <c r="Z33" i="27" a="1"/>
  <c r="Z33" i="27" s="1"/>
  <c r="Z34" i="27" a="1"/>
  <c r="Z34" i="27" s="1"/>
  <c r="Z35" i="27" a="1"/>
  <c r="Z35" i="27" s="1"/>
  <c r="Z36" i="27" a="1"/>
  <c r="Z36" i="27"/>
  <c r="Z37" i="27" a="1"/>
  <c r="Z37" i="27" s="1"/>
  <c r="Z38" i="27" a="1"/>
  <c r="Z38" i="27" s="1"/>
  <c r="Z39" i="27" a="1"/>
  <c r="Z39" i="27" s="1"/>
  <c r="Z40" i="27" a="1"/>
  <c r="Z40" i="27"/>
  <c r="Z41" i="27" a="1"/>
  <c r="Z41" i="27" s="1"/>
  <c r="Z42" i="27" a="1"/>
  <c r="Z42" i="27" s="1"/>
  <c r="Z43" i="27" a="1"/>
  <c r="Z43" i="27" s="1"/>
  <c r="Z44" i="27" a="1"/>
  <c r="Z44" i="27"/>
  <c r="Z45" i="27" a="1"/>
  <c r="Z45" i="27" s="1"/>
  <c r="Z46" i="27" a="1"/>
  <c r="Z46" i="27" s="1"/>
  <c r="Z47" i="27" a="1"/>
  <c r="Z47" i="27" s="1"/>
  <c r="Z48" i="27" a="1"/>
  <c r="Z48" i="27"/>
  <c r="Z49" i="27" a="1"/>
  <c r="Z49" i="27" s="1"/>
  <c r="Z50" i="27" a="1"/>
  <c r="Z50" i="27" s="1"/>
  <c r="Z51" i="27" a="1"/>
  <c r="Z51" i="27" s="1"/>
  <c r="Z52" i="27" a="1"/>
  <c r="Z52" i="27"/>
  <c r="Z53" i="27" a="1"/>
  <c r="Z53" i="27" s="1"/>
  <c r="Z54" i="27" a="1"/>
  <c r="Z54" i="27" s="1"/>
  <c r="Z55" i="27" a="1"/>
  <c r="Z55" i="27" s="1"/>
  <c r="Z56" i="27" a="1"/>
  <c r="Z56" i="27"/>
  <c r="Z57" i="27" a="1"/>
  <c r="Z57" i="27" s="1"/>
  <c r="Z58" i="27" a="1"/>
  <c r="Z58" i="27" s="1"/>
  <c r="Z59" i="27" a="1"/>
  <c r="Z59" i="27" s="1"/>
  <c r="Z60" i="27" a="1"/>
  <c r="Z60" i="27"/>
  <c r="Z61" i="27" a="1"/>
  <c r="Z61" i="27" s="1"/>
  <c r="Z62" i="27" a="1"/>
  <c r="Z62" i="27" s="1"/>
  <c r="Z63" i="27" a="1"/>
  <c r="Z63" i="27" s="1"/>
  <c r="Z64" i="27" a="1"/>
  <c r="Z64" i="27"/>
  <c r="Z65" i="27" a="1"/>
  <c r="Z65" i="27" s="1"/>
  <c r="Z66" i="27" a="1"/>
  <c r="Z66" i="27" s="1"/>
  <c r="Z67" i="27" a="1"/>
  <c r="Z67" i="27" s="1"/>
  <c r="Z68" i="27" a="1"/>
  <c r="Z68" i="27"/>
  <c r="Z69" i="27" a="1"/>
  <c r="Z69" i="27" s="1"/>
  <c r="Z70" i="27" a="1"/>
  <c r="Z70" i="27" s="1"/>
  <c r="Z71" i="27" a="1"/>
  <c r="Z71" i="27" s="1"/>
  <c r="Z72" i="27" a="1"/>
  <c r="Z72" i="27"/>
  <c r="Z73" i="27" a="1"/>
  <c r="Z73" i="27" s="1"/>
  <c r="Z4" i="27" a="1"/>
  <c r="Z4" i="27" s="1"/>
  <c r="X5" i="27" a="1"/>
  <c r="X5" i="27" s="1"/>
  <c r="X6" i="27" a="1"/>
  <c r="X6" i="27" s="1"/>
  <c r="X7" i="27" a="1"/>
  <c r="X7" i="27" s="1"/>
  <c r="X8" i="27" a="1"/>
  <c r="X8" i="27"/>
  <c r="X9" i="27" a="1"/>
  <c r="X9" i="27" s="1"/>
  <c r="X10" i="27" a="1"/>
  <c r="X10" i="27" s="1"/>
  <c r="X11" i="27" a="1"/>
  <c r="X11" i="27" s="1"/>
  <c r="X12" i="27" a="1"/>
  <c r="X12" i="27"/>
  <c r="X13" i="27" a="1"/>
  <c r="X13" i="27" s="1"/>
  <c r="X14" i="27" a="1"/>
  <c r="X14" i="27" s="1"/>
  <c r="X15" i="27" a="1"/>
  <c r="X15" i="27" s="1"/>
  <c r="X16" i="27" a="1"/>
  <c r="X16" i="27"/>
  <c r="X17" i="27" a="1"/>
  <c r="X17" i="27" s="1"/>
  <c r="X18" i="27" a="1"/>
  <c r="X18" i="27" s="1"/>
  <c r="X19" i="27" a="1"/>
  <c r="X19" i="27" s="1"/>
  <c r="X20" i="27" a="1"/>
  <c r="X20" i="27"/>
  <c r="X21" i="27" a="1"/>
  <c r="X21" i="27" s="1"/>
  <c r="X22" i="27" a="1"/>
  <c r="X22" i="27" s="1"/>
  <c r="X23" i="27" a="1"/>
  <c r="X23" i="27" s="1"/>
  <c r="X24" i="27" a="1"/>
  <c r="X24" i="27"/>
  <c r="X25" i="27" a="1"/>
  <c r="X25" i="27" s="1"/>
  <c r="X26" i="27" a="1"/>
  <c r="X26" i="27" s="1"/>
  <c r="X27" i="27" a="1"/>
  <c r="X27" i="27" s="1"/>
  <c r="X28" i="27" a="1"/>
  <c r="X28" i="27"/>
  <c r="X29" i="27" a="1"/>
  <c r="X29" i="27" s="1"/>
  <c r="X30" i="27" a="1"/>
  <c r="X30" i="27" s="1"/>
  <c r="X31" i="27" a="1"/>
  <c r="X31" i="27" s="1"/>
  <c r="X32" i="27" a="1"/>
  <c r="X32" i="27"/>
  <c r="X33" i="27" a="1"/>
  <c r="X33" i="27" s="1"/>
  <c r="X34" i="27" a="1"/>
  <c r="X34" i="27" s="1"/>
  <c r="X35" i="27" a="1"/>
  <c r="X35" i="27" s="1"/>
  <c r="X36" i="27" a="1"/>
  <c r="X36" i="27"/>
  <c r="X37" i="27" a="1"/>
  <c r="X37" i="27" s="1"/>
  <c r="X38" i="27" a="1"/>
  <c r="X38" i="27" s="1"/>
  <c r="X39" i="27" a="1"/>
  <c r="X39" i="27" s="1"/>
  <c r="X40" i="27" a="1"/>
  <c r="X40" i="27"/>
  <c r="X41" i="27" a="1"/>
  <c r="X41" i="27" s="1"/>
  <c r="X42" i="27" a="1"/>
  <c r="X42" i="27" s="1"/>
  <c r="X43" i="27" a="1"/>
  <c r="X43" i="27" s="1"/>
  <c r="X44" i="27" a="1"/>
  <c r="X44" i="27"/>
  <c r="X45" i="27" a="1"/>
  <c r="X45" i="27" s="1"/>
  <c r="X46" i="27" a="1"/>
  <c r="X46" i="27" s="1"/>
  <c r="X47" i="27" a="1"/>
  <c r="X47" i="27" s="1"/>
  <c r="X48" i="27" a="1"/>
  <c r="X48" i="27"/>
  <c r="X49" i="27" a="1"/>
  <c r="X49" i="27" s="1"/>
  <c r="X50" i="27" a="1"/>
  <c r="X50" i="27" s="1"/>
  <c r="X51" i="27" a="1"/>
  <c r="X51" i="27" s="1"/>
  <c r="X52" i="27" a="1"/>
  <c r="X52" i="27"/>
  <c r="X53" i="27" a="1"/>
  <c r="X53" i="27" s="1"/>
  <c r="X54" i="27" a="1"/>
  <c r="X54" i="27" s="1"/>
  <c r="X55" i="27" a="1"/>
  <c r="X55" i="27" s="1"/>
  <c r="X56" i="27" a="1"/>
  <c r="X56" i="27"/>
  <c r="X57" i="27" a="1"/>
  <c r="X57" i="27" s="1"/>
  <c r="X58" i="27" a="1"/>
  <c r="X58" i="27" s="1"/>
  <c r="X59" i="27" a="1"/>
  <c r="X59" i="27" s="1"/>
  <c r="X60" i="27" a="1"/>
  <c r="X60" i="27"/>
  <c r="X61" i="27" a="1"/>
  <c r="X61" i="27" s="1"/>
  <c r="X62" i="27" a="1"/>
  <c r="X62" i="27" s="1"/>
  <c r="X63" i="27" a="1"/>
  <c r="X63" i="27" s="1"/>
  <c r="X64" i="27" a="1"/>
  <c r="X64" i="27"/>
  <c r="X65" i="27" a="1"/>
  <c r="X65" i="27" s="1"/>
  <c r="X66" i="27" a="1"/>
  <c r="X66" i="27" s="1"/>
  <c r="X67" i="27" a="1"/>
  <c r="X67" i="27" s="1"/>
  <c r="X68" i="27" a="1"/>
  <c r="X68" i="27"/>
  <c r="X69" i="27" a="1"/>
  <c r="X69" i="27" s="1"/>
  <c r="X70" i="27" a="1"/>
  <c r="X70" i="27" s="1"/>
  <c r="X71" i="27" a="1"/>
  <c r="X71" i="27" s="1"/>
  <c r="X72" i="27" a="1"/>
  <c r="X72" i="27"/>
  <c r="X73" i="27" a="1"/>
  <c r="X73" i="27" s="1"/>
  <c r="X4" i="27" a="1"/>
  <c r="X4" i="27" s="1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4" i="27"/>
  <c r="N5" i="27" a="1"/>
  <c r="N5" i="27" s="1"/>
  <c r="N6" i="27" a="1"/>
  <c r="N6" i="27" s="1"/>
  <c r="N7" i="27" a="1"/>
  <c r="N7" i="27" s="1"/>
  <c r="N8" i="27" a="1"/>
  <c r="N8" i="27"/>
  <c r="N9" i="27" a="1"/>
  <c r="N9" i="27" s="1"/>
  <c r="N10" i="27" a="1"/>
  <c r="N10" i="27" s="1"/>
  <c r="N11" i="27" a="1"/>
  <c r="N11" i="27" s="1"/>
  <c r="N12" i="27" a="1"/>
  <c r="N12" i="27"/>
  <c r="N13" i="27" a="1"/>
  <c r="N13" i="27" s="1"/>
  <c r="N14" i="27" a="1"/>
  <c r="N14" i="27" s="1"/>
  <c r="N15" i="27" a="1"/>
  <c r="N15" i="27" s="1"/>
  <c r="N16" i="27" a="1"/>
  <c r="N16" i="27"/>
  <c r="N17" i="27" a="1"/>
  <c r="N17" i="27" s="1"/>
  <c r="N18" i="27" a="1"/>
  <c r="N18" i="27" s="1"/>
  <c r="N19" i="27" a="1"/>
  <c r="N19" i="27" s="1"/>
  <c r="N20" i="27" a="1"/>
  <c r="N20" i="27"/>
  <c r="N21" i="27" a="1"/>
  <c r="N21" i="27" s="1"/>
  <c r="N22" i="27" a="1"/>
  <c r="N22" i="27" s="1"/>
  <c r="N23" i="27" a="1"/>
  <c r="N23" i="27" s="1"/>
  <c r="N24" i="27" a="1"/>
  <c r="N24" i="27"/>
  <c r="N25" i="27" a="1"/>
  <c r="N25" i="27" s="1"/>
  <c r="N26" i="27" a="1"/>
  <c r="N26" i="27" s="1"/>
  <c r="N27" i="27" a="1"/>
  <c r="N27" i="27" s="1"/>
  <c r="N28" i="27" a="1"/>
  <c r="N28" i="27"/>
  <c r="N29" i="27" a="1"/>
  <c r="N29" i="27" s="1"/>
  <c r="N30" i="27" a="1"/>
  <c r="N30" i="27" s="1"/>
  <c r="N31" i="27" a="1"/>
  <c r="N31" i="27" s="1"/>
  <c r="N32" i="27" a="1"/>
  <c r="N32" i="27"/>
  <c r="N33" i="27" a="1"/>
  <c r="N33" i="27" s="1"/>
  <c r="N34" i="27" a="1"/>
  <c r="N34" i="27" s="1"/>
  <c r="N35" i="27" a="1"/>
  <c r="N35" i="27" s="1"/>
  <c r="N36" i="27" a="1"/>
  <c r="N36" i="27"/>
  <c r="N37" i="27" a="1"/>
  <c r="N37" i="27" s="1"/>
  <c r="N38" i="27" a="1"/>
  <c r="N38" i="27" s="1"/>
  <c r="N39" i="27" a="1"/>
  <c r="N39" i="27" s="1"/>
  <c r="N40" i="27" a="1"/>
  <c r="N40" i="27"/>
  <c r="N41" i="27" a="1"/>
  <c r="N41" i="27" s="1"/>
  <c r="N42" i="27" a="1"/>
  <c r="N42" i="27" s="1"/>
  <c r="N43" i="27" a="1"/>
  <c r="N43" i="27" s="1"/>
  <c r="N44" i="27" a="1"/>
  <c r="N44" i="27"/>
  <c r="N45" i="27" a="1"/>
  <c r="N45" i="27" s="1"/>
  <c r="N46" i="27" a="1"/>
  <c r="N46" i="27" s="1"/>
  <c r="N47" i="27" a="1"/>
  <c r="N47" i="27" s="1"/>
  <c r="N48" i="27" a="1"/>
  <c r="N48" i="27"/>
  <c r="N49" i="27" a="1"/>
  <c r="N49" i="27" s="1"/>
  <c r="N50" i="27" a="1"/>
  <c r="N50" i="27" s="1"/>
  <c r="N51" i="27" a="1"/>
  <c r="N51" i="27" s="1"/>
  <c r="N52" i="27" a="1"/>
  <c r="N52" i="27"/>
  <c r="N53" i="27" a="1"/>
  <c r="N53" i="27" s="1"/>
  <c r="N54" i="27" a="1"/>
  <c r="N54" i="27" s="1"/>
  <c r="N55" i="27" a="1"/>
  <c r="N55" i="27" s="1"/>
  <c r="N56" i="27" a="1"/>
  <c r="N56" i="27"/>
  <c r="N57" i="27" a="1"/>
  <c r="N57" i="27" s="1"/>
  <c r="N58" i="27" a="1"/>
  <c r="N58" i="27" s="1"/>
  <c r="N59" i="27" a="1"/>
  <c r="N59" i="27" s="1"/>
  <c r="N60" i="27" a="1"/>
  <c r="N60" i="27"/>
  <c r="N61" i="27" a="1"/>
  <c r="N61" i="27" s="1"/>
  <c r="N62" i="27" a="1"/>
  <c r="N62" i="27" s="1"/>
  <c r="N63" i="27" a="1"/>
  <c r="N63" i="27" s="1"/>
  <c r="N64" i="27" a="1"/>
  <c r="N64" i="27"/>
  <c r="N65" i="27" a="1"/>
  <c r="N65" i="27" s="1"/>
  <c r="N66" i="27" a="1"/>
  <c r="N66" i="27" s="1"/>
  <c r="N67" i="27" a="1"/>
  <c r="N67" i="27" s="1"/>
  <c r="N68" i="27" a="1"/>
  <c r="N68" i="27"/>
  <c r="N69" i="27" a="1"/>
  <c r="N69" i="27" s="1"/>
  <c r="N70" i="27" a="1"/>
  <c r="N70" i="27" s="1"/>
  <c r="N71" i="27" a="1"/>
  <c r="N71" i="27" s="1"/>
  <c r="N72" i="27" a="1"/>
  <c r="N72" i="27"/>
  <c r="N73" i="27" a="1"/>
  <c r="N73" i="27" s="1"/>
  <c r="L5" i="27" a="1"/>
  <c r="L5" i="27" s="1"/>
  <c r="L6" i="27" a="1"/>
  <c r="L6" i="27" s="1"/>
  <c r="L7" i="27" a="1"/>
  <c r="L7" i="27" s="1"/>
  <c r="L8" i="27" a="1"/>
  <c r="L8" i="27"/>
  <c r="L9" i="27" a="1"/>
  <c r="L9" i="27" s="1"/>
  <c r="L10" i="27" a="1"/>
  <c r="L10" i="27" s="1"/>
  <c r="L11" i="27" a="1"/>
  <c r="L11" i="27" s="1"/>
  <c r="L12" i="27" a="1"/>
  <c r="L12" i="27"/>
  <c r="L13" i="27" a="1"/>
  <c r="L13" i="27" s="1"/>
  <c r="L14" i="27" a="1"/>
  <c r="L14" i="27" s="1"/>
  <c r="L15" i="27" a="1"/>
  <c r="L15" i="27" s="1"/>
  <c r="L16" i="27" a="1"/>
  <c r="L16" i="27"/>
  <c r="L17" i="27" a="1"/>
  <c r="L17" i="27" s="1"/>
  <c r="L18" i="27" a="1"/>
  <c r="L18" i="27" s="1"/>
  <c r="L19" i="27" a="1"/>
  <c r="L19" i="27" s="1"/>
  <c r="L20" i="27" a="1"/>
  <c r="L20" i="27"/>
  <c r="L21" i="27" a="1"/>
  <c r="L21" i="27" s="1"/>
  <c r="L22" i="27" a="1"/>
  <c r="L22" i="27" s="1"/>
  <c r="L23" i="27" a="1"/>
  <c r="L23" i="27" s="1"/>
  <c r="L24" i="27" a="1"/>
  <c r="L24" i="27"/>
  <c r="L25" i="27" a="1"/>
  <c r="L25" i="27" s="1"/>
  <c r="L26" i="27" a="1"/>
  <c r="L26" i="27" s="1"/>
  <c r="L27" i="27" a="1"/>
  <c r="L27" i="27" s="1"/>
  <c r="L28" i="27" a="1"/>
  <c r="L28" i="27"/>
  <c r="L29" i="27" a="1"/>
  <c r="L29" i="27" s="1"/>
  <c r="L30" i="27" a="1"/>
  <c r="L30" i="27" s="1"/>
  <c r="L31" i="27" a="1"/>
  <c r="L31" i="27" s="1"/>
  <c r="L32" i="27" a="1"/>
  <c r="L32" i="27"/>
  <c r="L33" i="27" a="1"/>
  <c r="L33" i="27" s="1"/>
  <c r="L34" i="27" a="1"/>
  <c r="L34" i="27" s="1"/>
  <c r="L35" i="27" a="1"/>
  <c r="L35" i="27" s="1"/>
  <c r="L36" i="27" a="1"/>
  <c r="L36" i="27"/>
  <c r="L37" i="27" a="1"/>
  <c r="L37" i="27" s="1"/>
  <c r="L38" i="27" a="1"/>
  <c r="L38" i="27" s="1"/>
  <c r="L39" i="27" a="1"/>
  <c r="L39" i="27" s="1"/>
  <c r="L40" i="27" a="1"/>
  <c r="L40" i="27"/>
  <c r="L41" i="27" a="1"/>
  <c r="L41" i="27" s="1"/>
  <c r="L42" i="27" a="1"/>
  <c r="L42" i="27" s="1"/>
  <c r="L43" i="27" a="1"/>
  <c r="L43" i="27" s="1"/>
  <c r="L44" i="27" a="1"/>
  <c r="L44" i="27"/>
  <c r="L45" i="27" a="1"/>
  <c r="L45" i="27" s="1"/>
  <c r="L46" i="27" a="1"/>
  <c r="L46" i="27" s="1"/>
  <c r="L47" i="27" a="1"/>
  <c r="L47" i="27" s="1"/>
  <c r="L48" i="27" a="1"/>
  <c r="L48" i="27"/>
  <c r="L49" i="27" a="1"/>
  <c r="L49" i="27" s="1"/>
  <c r="L50" i="27" a="1"/>
  <c r="L50" i="27" s="1"/>
  <c r="L51" i="27" a="1"/>
  <c r="L51" i="27" s="1"/>
  <c r="L52" i="27" a="1"/>
  <c r="L52" i="27"/>
  <c r="L53" i="27" a="1"/>
  <c r="L53" i="27" s="1"/>
  <c r="L54" i="27" a="1"/>
  <c r="L54" i="27" s="1"/>
  <c r="L55" i="27" a="1"/>
  <c r="L55" i="27" s="1"/>
  <c r="L56" i="27" a="1"/>
  <c r="L56" i="27"/>
  <c r="L57" i="27" a="1"/>
  <c r="L57" i="27" s="1"/>
  <c r="L58" i="27" a="1"/>
  <c r="L58" i="27" s="1"/>
  <c r="L59" i="27" a="1"/>
  <c r="L59" i="27" s="1"/>
  <c r="L60" i="27" a="1"/>
  <c r="L60" i="27"/>
  <c r="L61" i="27" a="1"/>
  <c r="L61" i="27" s="1"/>
  <c r="L62" i="27" a="1"/>
  <c r="L62" i="27" s="1"/>
  <c r="L63" i="27" a="1"/>
  <c r="L63" i="27" s="1"/>
  <c r="L64" i="27" a="1"/>
  <c r="L64" i="27"/>
  <c r="L65" i="27" a="1"/>
  <c r="L65" i="27" s="1"/>
  <c r="L66" i="27" a="1"/>
  <c r="L66" i="27" s="1"/>
  <c r="L67" i="27" a="1"/>
  <c r="L67" i="27" s="1"/>
  <c r="L68" i="27" a="1"/>
  <c r="L68" i="27"/>
  <c r="L69" i="27" a="1"/>
  <c r="L69" i="27" s="1"/>
  <c r="L70" i="27" a="1"/>
  <c r="L70" i="27" s="1"/>
  <c r="L71" i="27" a="1"/>
  <c r="L71" i="27" s="1"/>
  <c r="L72" i="27" a="1"/>
  <c r="L72" i="27"/>
  <c r="L73" i="27" a="1"/>
  <c r="L73" i="27" s="1"/>
  <c r="J5" i="27" a="1"/>
  <c r="J5" i="27" s="1"/>
  <c r="J6" i="27" a="1"/>
  <c r="J6" i="27" s="1"/>
  <c r="J7" i="27" a="1"/>
  <c r="J7" i="27"/>
  <c r="J8" i="27" a="1"/>
  <c r="J8" i="27"/>
  <c r="J9" i="27" a="1"/>
  <c r="J9" i="27" s="1"/>
  <c r="J10" i="27" a="1"/>
  <c r="J10" i="27" s="1"/>
  <c r="J11" i="27" a="1"/>
  <c r="J11" i="27"/>
  <c r="J12" i="27" a="1"/>
  <c r="J12" i="27"/>
  <c r="J13" i="27" a="1"/>
  <c r="J13" i="27" s="1"/>
  <c r="J14" i="27" a="1"/>
  <c r="J14" i="27" s="1"/>
  <c r="J15" i="27" a="1"/>
  <c r="J15" i="27"/>
  <c r="J16" i="27" a="1"/>
  <c r="J16" i="27"/>
  <c r="J17" i="27" a="1"/>
  <c r="J17" i="27" s="1"/>
  <c r="J18" i="27" a="1"/>
  <c r="J18" i="27" s="1"/>
  <c r="J19" i="27" a="1"/>
  <c r="J19" i="27"/>
  <c r="J20" i="27" a="1"/>
  <c r="J20" i="27"/>
  <c r="J21" i="27" a="1"/>
  <c r="J21" i="27" s="1"/>
  <c r="J22" i="27" a="1"/>
  <c r="J22" i="27" s="1"/>
  <c r="J23" i="27" a="1"/>
  <c r="J23" i="27"/>
  <c r="J24" i="27" a="1"/>
  <c r="J24" i="27"/>
  <c r="J25" i="27" a="1"/>
  <c r="J25" i="27" s="1"/>
  <c r="J26" i="27" a="1"/>
  <c r="J26" i="27" s="1"/>
  <c r="J27" i="27" a="1"/>
  <c r="J27" i="27"/>
  <c r="J28" i="27" a="1"/>
  <c r="J28" i="27"/>
  <c r="J29" i="27" a="1"/>
  <c r="J29" i="27" s="1"/>
  <c r="J30" i="27" a="1"/>
  <c r="J30" i="27" s="1"/>
  <c r="J31" i="27" a="1"/>
  <c r="J31" i="27"/>
  <c r="J32" i="27" a="1"/>
  <c r="J32" i="27"/>
  <c r="J33" i="27" a="1"/>
  <c r="J33" i="27" s="1"/>
  <c r="J34" i="27" a="1"/>
  <c r="J34" i="27" s="1"/>
  <c r="J35" i="27" a="1"/>
  <c r="J35" i="27"/>
  <c r="J36" i="27" a="1"/>
  <c r="J36" i="27"/>
  <c r="J37" i="27" a="1"/>
  <c r="J37" i="27" s="1"/>
  <c r="J38" i="27" a="1"/>
  <c r="J38" i="27" s="1"/>
  <c r="J39" i="27" a="1"/>
  <c r="J39" i="27"/>
  <c r="J40" i="27" a="1"/>
  <c r="J40" i="27"/>
  <c r="J41" i="27" a="1"/>
  <c r="J41" i="27" s="1"/>
  <c r="J42" i="27" a="1"/>
  <c r="J42" i="27" s="1"/>
  <c r="J43" i="27" a="1"/>
  <c r="J43" i="27"/>
  <c r="J44" i="27" a="1"/>
  <c r="J44" i="27"/>
  <c r="J45" i="27" a="1"/>
  <c r="J45" i="27" s="1"/>
  <c r="J46" i="27" a="1"/>
  <c r="J46" i="27" s="1"/>
  <c r="J47" i="27" a="1"/>
  <c r="J47" i="27"/>
  <c r="J48" i="27" a="1"/>
  <c r="J48" i="27"/>
  <c r="J49" i="27" a="1"/>
  <c r="J49" i="27" s="1"/>
  <c r="J50" i="27" a="1"/>
  <c r="J50" i="27" s="1"/>
  <c r="J51" i="27" a="1"/>
  <c r="J51" i="27"/>
  <c r="J52" i="27" a="1"/>
  <c r="J52" i="27"/>
  <c r="J53" i="27" a="1"/>
  <c r="J53" i="27" s="1"/>
  <c r="J54" i="27" a="1"/>
  <c r="J54" i="27" s="1"/>
  <c r="J55" i="27" a="1"/>
  <c r="J55" i="27"/>
  <c r="J56" i="27" a="1"/>
  <c r="J56" i="27"/>
  <c r="J57" i="27" a="1"/>
  <c r="J57" i="27" s="1"/>
  <c r="J58" i="27" a="1"/>
  <c r="J58" i="27" s="1"/>
  <c r="J59" i="27" a="1"/>
  <c r="J59" i="27"/>
  <c r="J60" i="27" a="1"/>
  <c r="J60" i="27"/>
  <c r="J61" i="27" a="1"/>
  <c r="J61" i="27" s="1"/>
  <c r="J62" i="27" a="1"/>
  <c r="J62" i="27" s="1"/>
  <c r="J63" i="27" a="1"/>
  <c r="J63" i="27"/>
  <c r="J64" i="27" a="1"/>
  <c r="J64" i="27"/>
  <c r="J65" i="27" a="1"/>
  <c r="J65" i="27" s="1"/>
  <c r="J66" i="27" a="1"/>
  <c r="J66" i="27" s="1"/>
  <c r="J67" i="27" a="1"/>
  <c r="J67" i="27"/>
  <c r="J68" i="27" a="1"/>
  <c r="J68" i="27"/>
  <c r="J69" i="27" a="1"/>
  <c r="J69" i="27" s="1"/>
  <c r="J70" i="27" a="1"/>
  <c r="J70" i="27" s="1"/>
  <c r="J71" i="27" a="1"/>
  <c r="J71" i="27"/>
  <c r="J72" i="27" a="1"/>
  <c r="J72" i="27"/>
  <c r="J73" i="27" a="1"/>
  <c r="J73" i="27" s="1"/>
  <c r="H5" i="27" a="1"/>
  <c r="H5" i="27" s="1"/>
  <c r="H6" i="27" a="1"/>
  <c r="H6" i="27" s="1"/>
  <c r="H7" i="27" a="1"/>
  <c r="H7" i="27" s="1"/>
  <c r="H8" i="27" a="1"/>
  <c r="H8" i="27"/>
  <c r="H9" i="27" a="1"/>
  <c r="H9" i="27" s="1"/>
  <c r="H10" i="27" a="1"/>
  <c r="H10" i="27" s="1"/>
  <c r="H11" i="27" a="1"/>
  <c r="H11" i="27" s="1"/>
  <c r="H12" i="27" a="1"/>
  <c r="H12" i="27"/>
  <c r="H13" i="27" a="1"/>
  <c r="H13" i="27" s="1"/>
  <c r="H14" i="27" a="1"/>
  <c r="H14" i="27" s="1"/>
  <c r="H15" i="27" a="1"/>
  <c r="H15" i="27" s="1"/>
  <c r="H16" i="27" a="1"/>
  <c r="H16" i="27"/>
  <c r="H17" i="27" a="1"/>
  <c r="H17" i="27" s="1"/>
  <c r="H18" i="27" a="1"/>
  <c r="H18" i="27" s="1"/>
  <c r="H19" i="27" a="1"/>
  <c r="H19" i="27" s="1"/>
  <c r="H20" i="27" a="1"/>
  <c r="H20" i="27"/>
  <c r="H21" i="27" a="1"/>
  <c r="H21" i="27" s="1"/>
  <c r="H22" i="27" a="1"/>
  <c r="H22" i="27" s="1"/>
  <c r="H23" i="27" a="1"/>
  <c r="H23" i="27" s="1"/>
  <c r="H24" i="27" a="1"/>
  <c r="H24" i="27"/>
  <c r="H25" i="27" a="1"/>
  <c r="H25" i="27"/>
  <c r="H26" i="27" a="1"/>
  <c r="H26" i="27" s="1"/>
  <c r="H27" i="27" a="1"/>
  <c r="H27" i="27" s="1"/>
  <c r="H28" i="27" a="1"/>
  <c r="H28" i="27"/>
  <c r="H29" i="27" a="1"/>
  <c r="H29" i="27"/>
  <c r="H30" i="27" a="1"/>
  <c r="H30" i="27" s="1"/>
  <c r="H31" i="27" a="1"/>
  <c r="H31" i="27" s="1"/>
  <c r="H32" i="27" a="1"/>
  <c r="H32" i="27"/>
  <c r="H33" i="27" a="1"/>
  <c r="H33" i="27"/>
  <c r="H34" i="27" a="1"/>
  <c r="H34" i="27" s="1"/>
  <c r="H35" i="27" a="1"/>
  <c r="H35" i="27" s="1"/>
  <c r="H36" i="27" a="1"/>
  <c r="H36" i="27"/>
  <c r="H37" i="27" a="1"/>
  <c r="H37" i="27"/>
  <c r="H38" i="27" a="1"/>
  <c r="H38" i="27" s="1"/>
  <c r="H39" i="27" a="1"/>
  <c r="H39" i="27" s="1"/>
  <c r="H40" i="27" a="1"/>
  <c r="H40" i="27"/>
  <c r="H41" i="27" a="1"/>
  <c r="H41" i="27"/>
  <c r="H42" i="27" a="1"/>
  <c r="H42" i="27" s="1"/>
  <c r="H43" i="27" a="1"/>
  <c r="H43" i="27" s="1"/>
  <c r="H44" i="27" a="1"/>
  <c r="H44" i="27"/>
  <c r="H45" i="27" a="1"/>
  <c r="H45" i="27"/>
  <c r="H46" i="27" a="1"/>
  <c r="H46" i="27" s="1"/>
  <c r="H47" i="27" a="1"/>
  <c r="H47" i="27" s="1"/>
  <c r="H48" i="27" a="1"/>
  <c r="H48" i="27"/>
  <c r="H49" i="27" a="1"/>
  <c r="H49" i="27"/>
  <c r="H50" i="27" a="1"/>
  <c r="H50" i="27" s="1"/>
  <c r="H51" i="27" a="1"/>
  <c r="H51" i="27" s="1"/>
  <c r="H52" i="27" a="1"/>
  <c r="H52" i="27"/>
  <c r="H53" i="27" a="1"/>
  <c r="H53" i="27"/>
  <c r="H54" i="27" a="1"/>
  <c r="H54" i="27" s="1"/>
  <c r="H55" i="27" a="1"/>
  <c r="H55" i="27" s="1"/>
  <c r="H56" i="27" a="1"/>
  <c r="H56" i="27"/>
  <c r="H57" i="27" a="1"/>
  <c r="H57" i="27"/>
  <c r="H58" i="27" a="1"/>
  <c r="H58" i="27" s="1"/>
  <c r="H59" i="27" a="1"/>
  <c r="H59" i="27" s="1"/>
  <c r="H60" i="27" a="1"/>
  <c r="H60" i="27"/>
  <c r="H61" i="27" a="1"/>
  <c r="H61" i="27"/>
  <c r="H62" i="27" a="1"/>
  <c r="H62" i="27" s="1"/>
  <c r="H63" i="27" a="1"/>
  <c r="H63" i="27" s="1"/>
  <c r="H64" i="27" a="1"/>
  <c r="H64" i="27"/>
  <c r="H65" i="27" a="1"/>
  <c r="H65" i="27"/>
  <c r="H66" i="27" a="1"/>
  <c r="H66" i="27" s="1"/>
  <c r="H67" i="27" a="1"/>
  <c r="H67" i="27" s="1"/>
  <c r="H68" i="27" a="1"/>
  <c r="H68" i="27"/>
  <c r="H69" i="27" a="1"/>
  <c r="H69" i="27"/>
  <c r="H70" i="27" a="1"/>
  <c r="H70" i="27" s="1"/>
  <c r="H71" i="27" a="1"/>
  <c r="H71" i="27" s="1"/>
  <c r="H72" i="27" a="1"/>
  <c r="H72" i="27"/>
  <c r="H73" i="27" a="1"/>
  <c r="H73" i="27"/>
  <c r="N4" i="27" a="1"/>
  <c r="N4" i="27" s="1"/>
  <c r="L4" i="27" a="1"/>
  <c r="L4" i="27" s="1"/>
  <c r="J4" i="27" a="1"/>
  <c r="J4" i="27" s="1"/>
  <c r="H4" i="27" a="1"/>
  <c r="H4" i="27" s="1"/>
  <c r="F5" i="27" a="1"/>
  <c r="F5" i="27" s="1"/>
  <c r="F6" i="27" a="1"/>
  <c r="F6" i="27" s="1"/>
  <c r="F7" i="27" a="1"/>
  <c r="F7" i="27" s="1"/>
  <c r="F8" i="27" a="1"/>
  <c r="F8" i="27"/>
  <c r="F9" i="27" a="1"/>
  <c r="F9" i="27" s="1"/>
  <c r="F10" i="27" a="1"/>
  <c r="F10" i="27" s="1"/>
  <c r="F11" i="27" a="1"/>
  <c r="F11" i="27" s="1"/>
  <c r="F12" i="27" a="1"/>
  <c r="F12" i="27"/>
  <c r="F13" i="27" a="1"/>
  <c r="F13" i="27" s="1"/>
  <c r="F14" i="27" a="1"/>
  <c r="F14" i="27" s="1"/>
  <c r="F15" i="27" a="1"/>
  <c r="F15" i="27" s="1"/>
  <c r="F16" i="27" a="1"/>
  <c r="F16" i="27"/>
  <c r="F17" i="27" a="1"/>
  <c r="F17" i="27" s="1"/>
  <c r="F18" i="27" a="1"/>
  <c r="F18" i="27" s="1"/>
  <c r="F19" i="27" a="1"/>
  <c r="F19" i="27" s="1"/>
  <c r="F20" i="27" a="1"/>
  <c r="F20" i="27"/>
  <c r="F21" i="27" a="1"/>
  <c r="F21" i="27" s="1"/>
  <c r="F22" i="27" a="1"/>
  <c r="F22" i="27" s="1"/>
  <c r="F23" i="27" a="1"/>
  <c r="F23" i="27" s="1"/>
  <c r="F24" i="27" a="1"/>
  <c r="F24" i="27"/>
  <c r="F25" i="27" a="1"/>
  <c r="F25" i="27" s="1"/>
  <c r="F26" i="27" a="1"/>
  <c r="F26" i="27" s="1"/>
  <c r="F27" i="27" a="1"/>
  <c r="F27" i="27" s="1"/>
  <c r="F28" i="27" a="1"/>
  <c r="F28" i="27"/>
  <c r="F29" i="27" a="1"/>
  <c r="F29" i="27" s="1"/>
  <c r="F30" i="27" a="1"/>
  <c r="F30" i="27" s="1"/>
  <c r="F31" i="27" a="1"/>
  <c r="F31" i="27" s="1"/>
  <c r="F32" i="27" a="1"/>
  <c r="F32" i="27"/>
  <c r="F33" i="27" a="1"/>
  <c r="F33" i="27" s="1"/>
  <c r="F34" i="27" a="1"/>
  <c r="F34" i="27" s="1"/>
  <c r="F35" i="27" a="1"/>
  <c r="F35" i="27" s="1"/>
  <c r="F36" i="27" a="1"/>
  <c r="F36" i="27"/>
  <c r="F37" i="27" a="1"/>
  <c r="F37" i="27" s="1"/>
  <c r="F38" i="27" a="1"/>
  <c r="F38" i="27" s="1"/>
  <c r="F39" i="27" a="1"/>
  <c r="F39" i="27" s="1"/>
  <c r="F40" i="27" a="1"/>
  <c r="F40" i="27"/>
  <c r="F41" i="27" a="1"/>
  <c r="F41" i="27" s="1"/>
  <c r="F42" i="27" a="1"/>
  <c r="F42" i="27" s="1"/>
  <c r="F43" i="27" a="1"/>
  <c r="F43" i="27" s="1"/>
  <c r="F44" i="27" a="1"/>
  <c r="F44" i="27"/>
  <c r="F45" i="27" a="1"/>
  <c r="F45" i="27" s="1"/>
  <c r="F46" i="27" a="1"/>
  <c r="F46" i="27" s="1"/>
  <c r="F47" i="27" a="1"/>
  <c r="F47" i="27" s="1"/>
  <c r="F48" i="27" a="1"/>
  <c r="F48" i="27"/>
  <c r="F49" i="27" a="1"/>
  <c r="F49" i="27" s="1"/>
  <c r="F50" i="27" a="1"/>
  <c r="F50" i="27" s="1"/>
  <c r="F51" i="27" a="1"/>
  <c r="F51" i="27" s="1"/>
  <c r="F52" i="27" a="1"/>
  <c r="F52" i="27"/>
  <c r="F53" i="27" a="1"/>
  <c r="F53" i="27" s="1"/>
  <c r="F54" i="27" a="1"/>
  <c r="F54" i="27" s="1"/>
  <c r="F55" i="27" a="1"/>
  <c r="F55" i="27" s="1"/>
  <c r="F56" i="27" a="1"/>
  <c r="F56" i="27"/>
  <c r="F57" i="27" a="1"/>
  <c r="F57" i="27" s="1"/>
  <c r="F58" i="27" a="1"/>
  <c r="F58" i="27" s="1"/>
  <c r="F59" i="27" a="1"/>
  <c r="F59" i="27" s="1"/>
  <c r="F60" i="27" a="1"/>
  <c r="F60" i="27"/>
  <c r="F61" i="27" a="1"/>
  <c r="F61" i="27" s="1"/>
  <c r="F62" i="27" a="1"/>
  <c r="F62" i="27" s="1"/>
  <c r="F63" i="27" a="1"/>
  <c r="F63" i="27" s="1"/>
  <c r="F64" i="27" a="1"/>
  <c r="F64" i="27"/>
  <c r="F65" i="27" a="1"/>
  <c r="F65" i="27" s="1"/>
  <c r="F66" i="27" a="1"/>
  <c r="F66" i="27" s="1"/>
  <c r="F67" i="27" a="1"/>
  <c r="F67" i="27" s="1"/>
  <c r="F68" i="27" a="1"/>
  <c r="F68" i="27"/>
  <c r="F69" i="27" a="1"/>
  <c r="F69" i="27" s="1"/>
  <c r="F70" i="27" a="1"/>
  <c r="F70" i="27" s="1"/>
  <c r="F71" i="27" a="1"/>
  <c r="F71" i="27" s="1"/>
  <c r="F72" i="27" a="1"/>
  <c r="F72" i="27"/>
  <c r="F73" i="27" a="1"/>
  <c r="F73" i="27" s="1"/>
  <c r="F4" i="27" a="1"/>
  <c r="F4" i="27"/>
  <c r="DM5" i="27"/>
  <c r="DM6" i="27"/>
  <c r="DM7" i="27"/>
  <c r="DM8" i="27"/>
  <c r="DM9" i="27"/>
  <c r="DM10" i="27"/>
  <c r="DM11" i="27"/>
  <c r="DM12" i="27"/>
  <c r="DM13" i="27"/>
  <c r="DM14" i="27"/>
  <c r="DM15" i="27"/>
  <c r="DM16" i="27"/>
  <c r="DM17" i="27"/>
  <c r="DM18" i="27"/>
  <c r="DM19" i="27"/>
  <c r="DM20" i="27"/>
  <c r="DM21" i="27"/>
  <c r="DM22" i="27"/>
  <c r="DM23" i="27"/>
  <c r="DM24" i="27"/>
  <c r="DM25" i="27"/>
  <c r="DM26" i="27"/>
  <c r="DM27" i="27"/>
  <c r="DM28" i="27"/>
  <c r="DM29" i="27"/>
  <c r="DM30" i="27"/>
  <c r="DM31" i="27"/>
  <c r="DM32" i="27"/>
  <c r="DM33" i="27"/>
  <c r="DM34" i="27"/>
  <c r="DM35" i="27"/>
  <c r="DM36" i="27"/>
  <c r="DM4" i="27"/>
  <c r="CT5" i="27"/>
  <c r="CT6" i="27"/>
  <c r="CT7" i="27"/>
  <c r="CT8" i="27"/>
  <c r="CT9" i="27"/>
  <c r="CT10" i="27"/>
  <c r="CT11" i="27"/>
  <c r="CT12" i="27"/>
  <c r="CT13" i="27"/>
  <c r="CT14" i="27"/>
  <c r="CT15" i="27"/>
  <c r="CT16" i="27"/>
  <c r="CT17" i="27"/>
  <c r="CT18" i="27"/>
  <c r="CT19" i="27"/>
  <c r="CT20" i="27"/>
  <c r="CT21" i="27"/>
  <c r="CT22" i="27"/>
  <c r="CT23" i="27"/>
  <c r="CT24" i="27"/>
  <c r="CT25" i="27"/>
  <c r="CT26" i="27"/>
  <c r="CT27" i="27"/>
  <c r="CT28" i="27"/>
  <c r="CT29" i="27"/>
  <c r="CT30" i="27"/>
  <c r="CT31" i="27"/>
  <c r="CT32" i="27"/>
  <c r="CT33" i="27"/>
  <c r="CT34" i="27"/>
  <c r="CT35" i="27"/>
  <c r="CT36" i="27"/>
  <c r="CT37" i="27"/>
  <c r="CT38" i="27"/>
  <c r="CT39" i="27"/>
  <c r="CT40" i="27"/>
  <c r="CT41" i="27"/>
  <c r="CT42" i="27"/>
  <c r="CT43" i="27"/>
  <c r="CT44" i="27"/>
  <c r="CT45" i="27"/>
  <c r="CT46" i="27"/>
  <c r="CT47" i="27"/>
  <c r="CT48" i="27"/>
  <c r="CT49" i="27"/>
  <c r="CT50" i="27"/>
  <c r="CT51" i="27"/>
  <c r="CT4" i="27"/>
  <c r="CA5" i="27"/>
  <c r="CA6" i="27"/>
  <c r="CA7" i="27"/>
  <c r="CA8" i="27"/>
  <c r="CA9" i="27"/>
  <c r="CA10" i="27"/>
  <c r="CA11" i="27"/>
  <c r="CA12" i="27"/>
  <c r="CA13" i="27"/>
  <c r="CA14" i="27"/>
  <c r="CA15" i="27"/>
  <c r="CA16" i="27"/>
  <c r="CA17" i="27"/>
  <c r="CA18" i="27"/>
  <c r="CA19" i="27"/>
  <c r="CA20" i="27"/>
  <c r="CA21" i="27"/>
  <c r="CA22" i="27"/>
  <c r="CA23" i="27"/>
  <c r="CA24" i="27"/>
  <c r="CA25" i="27"/>
  <c r="CA26" i="27"/>
  <c r="CA27" i="27"/>
  <c r="CA28" i="27"/>
  <c r="CA29" i="27"/>
  <c r="CA30" i="27"/>
  <c r="CA31" i="27"/>
  <c r="CA32" i="27"/>
  <c r="CA33" i="27"/>
  <c r="CA34" i="27"/>
  <c r="CA35" i="27"/>
  <c r="CA36" i="27"/>
  <c r="CA37" i="27"/>
  <c r="CA38" i="27"/>
  <c r="CA39" i="27"/>
  <c r="CA40" i="27"/>
  <c r="CA41" i="27"/>
  <c r="CA42" i="27"/>
  <c r="CA43" i="27"/>
  <c r="CA44" i="27"/>
  <c r="CA4" i="27"/>
  <c r="BF5" i="27"/>
  <c r="BF6" i="27"/>
  <c r="BF7" i="27"/>
  <c r="BF8" i="27"/>
  <c r="BF9" i="27"/>
  <c r="BF10" i="27"/>
  <c r="BF11" i="27"/>
  <c r="BF12" i="27"/>
  <c r="BF13" i="27"/>
  <c r="BF14" i="27"/>
  <c r="BF15" i="27"/>
  <c r="BF16" i="27"/>
  <c r="BF17" i="27"/>
  <c r="BF18" i="27"/>
  <c r="BF19" i="27"/>
  <c r="BF20" i="27"/>
  <c r="BF21" i="27"/>
  <c r="BF22" i="27"/>
  <c r="BF23" i="27"/>
  <c r="BF24" i="27"/>
  <c r="BF25" i="27"/>
  <c r="BF26" i="27"/>
  <c r="BF27" i="27"/>
  <c r="BF28" i="27"/>
  <c r="BF29" i="27"/>
  <c r="BF30" i="27"/>
  <c r="BF31" i="27"/>
  <c r="BF32" i="27"/>
  <c r="BF33" i="27"/>
  <c r="BF34" i="27"/>
  <c r="BF35" i="27"/>
  <c r="BF36" i="27"/>
  <c r="BF37" i="27"/>
  <c r="BF38" i="27"/>
  <c r="BF39" i="27"/>
  <c r="BF40" i="27"/>
  <c r="BF41" i="27"/>
  <c r="BF42" i="27"/>
  <c r="BF43" i="27"/>
  <c r="BF44" i="27"/>
  <c r="BF45" i="27"/>
  <c r="BF46" i="27"/>
  <c r="BF47" i="27"/>
  <c r="BF48" i="27"/>
  <c r="BF49" i="27"/>
  <c r="BF50" i="27"/>
  <c r="BF51" i="27"/>
  <c r="BF52" i="27"/>
  <c r="BF53" i="27"/>
  <c r="BF54" i="27"/>
  <c r="BF55" i="27"/>
  <c r="BF4" i="27"/>
  <c r="AL5" i="27"/>
  <c r="AL6" i="27"/>
  <c r="AL7" i="27"/>
  <c r="AL8" i="27"/>
  <c r="AL9" i="27"/>
  <c r="AL10" i="27"/>
  <c r="AL11" i="27"/>
  <c r="AL12" i="27"/>
  <c r="AL13" i="27"/>
  <c r="AL14" i="27"/>
  <c r="AL15" i="27"/>
  <c r="AL16" i="27"/>
  <c r="AL17" i="27"/>
  <c r="AL18" i="27"/>
  <c r="AL19" i="27"/>
  <c r="AL20" i="27"/>
  <c r="AL21" i="27"/>
  <c r="AL22" i="27"/>
  <c r="AL23" i="27"/>
  <c r="AL24" i="27"/>
  <c r="AL25" i="27"/>
  <c r="AL26" i="27"/>
  <c r="AL27" i="27"/>
  <c r="AL28" i="27"/>
  <c r="AL29" i="27"/>
  <c r="AL30" i="27"/>
  <c r="AL31" i="27"/>
  <c r="AL32" i="27"/>
  <c r="AL33" i="27"/>
  <c r="AL34" i="27"/>
  <c r="AL35" i="27"/>
  <c r="AL36" i="27"/>
  <c r="AL37" i="27"/>
  <c r="AL38" i="27"/>
  <c r="AL39" i="27"/>
  <c r="AL40" i="27"/>
  <c r="AL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4" i="27"/>
  <c r="AJ6" i="26"/>
  <c r="AK6" i="26" s="1"/>
  <c r="Z9" i="26"/>
  <c r="X9" i="26" s="1"/>
  <c r="W9" i="26" s="1"/>
  <c r="Z8" i="26"/>
  <c r="X8" i="26" s="1"/>
  <c r="W8" i="26" s="1"/>
  <c r="X12" i="26"/>
  <c r="W12" i="26" s="1"/>
  <c r="R11" i="26"/>
  <c r="P11" i="26"/>
  <c r="Q11" i="26" s="1"/>
  <c r="P10" i="26"/>
  <c r="Q10" i="26" s="1"/>
  <c r="R10" i="26" s="1"/>
  <c r="P9" i="26"/>
  <c r="Q9" i="26" s="1"/>
  <c r="R9" i="26" s="1"/>
  <c r="P8" i="26"/>
  <c r="Q8" i="26" s="1"/>
  <c r="R8" i="26" s="1"/>
  <c r="P7" i="26"/>
  <c r="Q7" i="26" s="1"/>
  <c r="R7" i="26" s="1"/>
  <c r="P6" i="26"/>
  <c r="Q6" i="26" s="1"/>
  <c r="R6" i="26" s="1"/>
  <c r="G9" i="26"/>
  <c r="F7" i="26"/>
  <c r="AU53" i="26"/>
  <c r="AV53" i="26" s="1"/>
  <c r="G8" i="26" s="1"/>
  <c r="AU52" i="26"/>
  <c r="AV52" i="26" s="1"/>
  <c r="AV155" i="26"/>
  <c r="AJ10" i="26" s="1"/>
  <c r="AK10" i="26" s="1"/>
  <c r="AV70" i="26"/>
  <c r="AV71" i="26"/>
  <c r="Z7" i="26" s="1"/>
  <c r="X7" i="26" s="1"/>
  <c r="W7" i="26" s="1"/>
  <c r="AV69" i="26"/>
  <c r="AV64" i="26"/>
  <c r="AV65" i="26"/>
  <c r="AV62" i="26"/>
  <c r="AV60" i="26"/>
  <c r="G11" i="26" s="1"/>
  <c r="AV58" i="26"/>
  <c r="Z11" i="26" s="1"/>
  <c r="X11" i="26" s="1"/>
  <c r="W11" i="26" s="1"/>
  <c r="AV57" i="26"/>
  <c r="G10" i="26" s="1"/>
  <c r="AV44" i="26"/>
  <c r="AV42" i="26"/>
  <c r="AV43" i="26"/>
  <c r="AV47" i="26"/>
  <c r="AV48" i="26"/>
  <c r="AV46" i="26"/>
  <c r="AV39" i="26"/>
  <c r="AV29" i="26"/>
  <c r="AV30" i="26"/>
  <c r="AV17" i="26"/>
  <c r="AV18" i="26"/>
  <c r="AV19" i="26"/>
  <c r="AV20" i="26"/>
  <c r="AV21" i="26"/>
  <c r="AV22" i="26"/>
  <c r="AV23" i="26"/>
  <c r="AV24" i="26"/>
  <c r="AV25" i="26"/>
  <c r="AV28" i="26"/>
  <c r="F11" i="26"/>
  <c r="F10" i="26"/>
  <c r="F9" i="26"/>
  <c r="F8" i="26"/>
  <c r="I47" i="25"/>
  <c r="I20" i="25"/>
  <c r="I10" i="25"/>
  <c r="I13" i="25" s="1"/>
  <c r="I16" i="25" s="1"/>
  <c r="I37" i="25"/>
  <c r="I39" i="25"/>
  <c r="P8" i="24"/>
  <c r="P10" i="24"/>
  <c r="P11" i="24"/>
  <c r="P12" i="24"/>
  <c r="R12" i="24" s="1"/>
  <c r="T12" i="24" s="1"/>
  <c r="P13" i="24"/>
  <c r="Q13" i="24" s="1"/>
  <c r="S13" i="24" s="1"/>
  <c r="P14" i="24"/>
  <c r="Q14" i="24" s="1"/>
  <c r="S14" i="24" s="1"/>
  <c r="P15" i="24"/>
  <c r="Q15" i="24" s="1"/>
  <c r="S15" i="24" s="1"/>
  <c r="P16" i="24"/>
  <c r="R16" i="24" s="1"/>
  <c r="T16" i="24" s="1"/>
  <c r="P17" i="24"/>
  <c r="Q17" i="24" s="1"/>
  <c r="S17" i="24" s="1"/>
  <c r="P18" i="24"/>
  <c r="R18" i="24" s="1"/>
  <c r="T18" i="24" s="1"/>
  <c r="P7" i="24"/>
  <c r="Q11" i="24"/>
  <c r="S11" i="24" s="1"/>
  <c r="R10" i="24"/>
  <c r="T10" i="24" s="1"/>
  <c r="Q10" i="24"/>
  <c r="S10" i="24" s="1"/>
  <c r="R9" i="24"/>
  <c r="T9" i="24" s="1"/>
  <c r="R8" i="24"/>
  <c r="T8" i="24" s="1"/>
  <c r="I19" i="24"/>
  <c r="H19" i="24"/>
  <c r="J8" i="24"/>
  <c r="J9" i="24"/>
  <c r="J10" i="24"/>
  <c r="J11" i="24"/>
  <c r="J12" i="24"/>
  <c r="J13" i="24"/>
  <c r="J14" i="24"/>
  <c r="J15" i="24"/>
  <c r="J16" i="24"/>
  <c r="J17" i="24"/>
  <c r="J18" i="24"/>
  <c r="J7" i="24"/>
  <c r="U8" i="3"/>
  <c r="U7" i="3"/>
  <c r="U6" i="3"/>
  <c r="EM355" i="20"/>
  <c r="Y75" i="20"/>
  <c r="G75" i="20"/>
  <c r="H15" i="21"/>
  <c r="AJ16" i="21"/>
  <c r="AJ15" i="21"/>
  <c r="AJ14" i="21"/>
  <c r="AJ12" i="21"/>
  <c r="AJ11" i="21"/>
  <c r="AJ6" i="21"/>
  <c r="AJ5" i="21"/>
  <c r="AH3" i="21"/>
  <c r="AJ23" i="21"/>
  <c r="AJ24" i="21" s="1"/>
  <c r="AJ9" i="21"/>
  <c r="V15" i="21"/>
  <c r="O15" i="21"/>
  <c r="O20" i="21" s="1"/>
  <c r="AC15" i="21"/>
  <c r="AC14" i="21"/>
  <c r="AC12" i="21"/>
  <c r="AC11" i="21"/>
  <c r="AC6" i="21"/>
  <c r="AC5" i="21"/>
  <c r="AA3" i="21"/>
  <c r="AC9" i="21"/>
  <c r="V16" i="21"/>
  <c r="V14" i="21"/>
  <c r="V12" i="21"/>
  <c r="V11" i="21"/>
  <c r="V13" i="21" s="1"/>
  <c r="V6" i="21"/>
  <c r="V5" i="21"/>
  <c r="T3" i="21"/>
  <c r="V9" i="21"/>
  <c r="O19" i="21"/>
  <c r="O17" i="21"/>
  <c r="O14" i="21"/>
  <c r="O12" i="21"/>
  <c r="O11" i="21"/>
  <c r="O13" i="21" s="1"/>
  <c r="O6" i="21"/>
  <c r="O5" i="21"/>
  <c r="M3" i="21"/>
  <c r="O9" i="21"/>
  <c r="H17" i="21"/>
  <c r="H16" i="21"/>
  <c r="H14" i="21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7" i="8"/>
  <c r="H12" i="21"/>
  <c r="H11" i="21"/>
  <c r="H13" i="21" s="1"/>
  <c r="H6" i="21"/>
  <c r="H5" i="21"/>
  <c r="F3" i="21"/>
  <c r="H9" i="21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G49" i="20"/>
  <c r="DG50" i="20"/>
  <c r="DG51" i="20"/>
  <c r="DG52" i="20"/>
  <c r="DG5" i="20"/>
  <c r="EA6" i="20"/>
  <c r="EA7" i="20"/>
  <c r="EA8" i="20"/>
  <c r="EA9" i="20"/>
  <c r="EA10" i="20"/>
  <c r="EA11" i="20"/>
  <c r="EA12" i="20"/>
  <c r="EA13" i="20"/>
  <c r="EA14" i="20"/>
  <c r="EA15" i="20"/>
  <c r="EA16" i="20"/>
  <c r="EA17" i="20"/>
  <c r="EA18" i="20"/>
  <c r="EA19" i="20"/>
  <c r="EA20" i="20"/>
  <c r="EA21" i="20"/>
  <c r="EA22" i="20"/>
  <c r="EA23" i="20"/>
  <c r="EA24" i="20"/>
  <c r="EA25" i="20"/>
  <c r="EA26" i="20"/>
  <c r="EA27" i="20"/>
  <c r="EA28" i="20"/>
  <c r="EA29" i="20"/>
  <c r="EA30" i="20"/>
  <c r="EA31" i="20"/>
  <c r="EA32" i="20"/>
  <c r="EA33" i="20"/>
  <c r="EA34" i="20"/>
  <c r="EA35" i="20"/>
  <c r="EA36" i="20"/>
  <c r="EA37" i="20"/>
  <c r="EA5" i="20"/>
  <c r="DX12" i="20"/>
  <c r="DW6" i="20"/>
  <c r="DW7" i="20"/>
  <c r="DX7" i="20" s="1"/>
  <c r="DW8" i="20"/>
  <c r="DX8" i="20" s="1"/>
  <c r="DW9" i="20"/>
  <c r="DX9" i="20" s="1"/>
  <c r="DW10" i="20"/>
  <c r="DX10" i="20" s="1"/>
  <c r="DW11" i="20"/>
  <c r="DX11" i="20" s="1"/>
  <c r="DW12" i="20"/>
  <c r="DW13" i="20"/>
  <c r="DX13" i="20" s="1"/>
  <c r="DW14" i="20"/>
  <c r="DW15" i="20"/>
  <c r="DX15" i="20" s="1"/>
  <c r="DW16" i="20"/>
  <c r="DX16" i="20" s="1"/>
  <c r="DW17" i="20"/>
  <c r="DX17" i="20" s="1"/>
  <c r="DW18" i="20"/>
  <c r="DX18" i="20" s="1"/>
  <c r="DW19" i="20"/>
  <c r="DX19" i="20" s="1"/>
  <c r="DW20" i="20"/>
  <c r="DX20" i="20" s="1"/>
  <c r="DW21" i="20"/>
  <c r="DX21" i="20" s="1"/>
  <c r="DW22" i="20"/>
  <c r="DW23" i="20"/>
  <c r="DX23" i="20" s="1"/>
  <c r="DW24" i="20"/>
  <c r="DX24" i="20" s="1"/>
  <c r="DW25" i="20"/>
  <c r="DX25" i="20" s="1"/>
  <c r="DW26" i="20"/>
  <c r="DX26" i="20" s="1"/>
  <c r="DW27" i="20"/>
  <c r="DX27" i="20" s="1"/>
  <c r="DW28" i="20"/>
  <c r="DX28" i="20" s="1"/>
  <c r="DW29" i="20"/>
  <c r="DX29" i="20" s="1"/>
  <c r="DW30" i="20"/>
  <c r="DW31" i="20"/>
  <c r="DX31" i="20" s="1"/>
  <c r="DW32" i="20"/>
  <c r="DX32" i="20" s="1"/>
  <c r="DW33" i="20"/>
  <c r="DX33" i="20" s="1"/>
  <c r="DW34" i="20"/>
  <c r="DX34" i="20" s="1"/>
  <c r="DW35" i="20"/>
  <c r="DX35" i="20" s="1"/>
  <c r="DW36" i="20"/>
  <c r="DX36" i="20" s="1"/>
  <c r="DW37" i="20"/>
  <c r="DX37" i="20" s="1"/>
  <c r="DW5" i="20"/>
  <c r="DX5" i="20" s="1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B49" i="20"/>
  <c r="DB50" i="20"/>
  <c r="DB51" i="20"/>
  <c r="DB52" i="20"/>
  <c r="DB5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6" i="20"/>
  <c r="CH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5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6" i="20"/>
  <c r="Z5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6" i="20"/>
  <c r="H5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7" i="20"/>
  <c r="DE6" i="20"/>
  <c r="DE5" i="20"/>
  <c r="DF5" i="20" s="1"/>
  <c r="DY6" i="20"/>
  <c r="DY7" i="20"/>
  <c r="DY8" i="20"/>
  <c r="DY9" i="20"/>
  <c r="DY10" i="20"/>
  <c r="DY11" i="20"/>
  <c r="DY12" i="20"/>
  <c r="DY13" i="20"/>
  <c r="DY14" i="20"/>
  <c r="DY15" i="20"/>
  <c r="DY16" i="20"/>
  <c r="DY17" i="20"/>
  <c r="DY18" i="20"/>
  <c r="DY19" i="20"/>
  <c r="DY20" i="20"/>
  <c r="DY21" i="20"/>
  <c r="DY22" i="20"/>
  <c r="DY23" i="20"/>
  <c r="DY24" i="20"/>
  <c r="DY25" i="20"/>
  <c r="DY26" i="20"/>
  <c r="DY27" i="20"/>
  <c r="DY28" i="20"/>
  <c r="DY29" i="20"/>
  <c r="DY30" i="20"/>
  <c r="DY31" i="20"/>
  <c r="DY32" i="20"/>
  <c r="DY33" i="20"/>
  <c r="DY34" i="20"/>
  <c r="DY35" i="20"/>
  <c r="DY36" i="20"/>
  <c r="DY37" i="20"/>
  <c r="DY5" i="20"/>
  <c r="DZ5" i="20" s="1"/>
  <c r="DZ6" i="20" s="1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5" i="20"/>
  <c r="CL5" i="20" s="1"/>
  <c r="CL6" i="20" s="1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" i="20"/>
  <c r="BQ5" i="20" s="1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5" i="20"/>
  <c r="AW5" i="20" s="1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5" i="20"/>
  <c r="AD5" i="20" s="1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6" i="20"/>
  <c r="K7" i="20"/>
  <c r="K5" i="20"/>
  <c r="L5" i="20" s="1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C49" i="20"/>
  <c r="DC50" i="20"/>
  <c r="DC51" i="20"/>
  <c r="DC52" i="20"/>
  <c r="DC5" i="20"/>
  <c r="DD5" i="20" s="1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J20" i="20" s="1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" i="20"/>
  <c r="AT6" i="20"/>
  <c r="AT7" i="20"/>
  <c r="AT8" i="20"/>
  <c r="AU8" i="20" s="1"/>
  <c r="AT9" i="20"/>
  <c r="AT10" i="20"/>
  <c r="AT11" i="20"/>
  <c r="AU11" i="20" s="1"/>
  <c r="AT12" i="20"/>
  <c r="AT13" i="20"/>
  <c r="AT14" i="20"/>
  <c r="AT15" i="20"/>
  <c r="AT16" i="20"/>
  <c r="AU16" i="20" s="1"/>
  <c r="AT17" i="20"/>
  <c r="AT18" i="20"/>
  <c r="AT19" i="20"/>
  <c r="AU19" i="20" s="1"/>
  <c r="AT20" i="20"/>
  <c r="AT21" i="20"/>
  <c r="AT22" i="20"/>
  <c r="AU22" i="20" s="1"/>
  <c r="AT23" i="20"/>
  <c r="AT24" i="20"/>
  <c r="AU24" i="20" s="1"/>
  <c r="AT25" i="20"/>
  <c r="AT26" i="20"/>
  <c r="AT27" i="20"/>
  <c r="AU27" i="20" s="1"/>
  <c r="AT28" i="20"/>
  <c r="AT29" i="20"/>
  <c r="AT30" i="20"/>
  <c r="AU30" i="20" s="1"/>
  <c r="AT31" i="20"/>
  <c r="AT32" i="20"/>
  <c r="AU32" i="20" s="1"/>
  <c r="AT33" i="20"/>
  <c r="AT34" i="20"/>
  <c r="AT35" i="20"/>
  <c r="AU35" i="20" s="1"/>
  <c r="AT36" i="20"/>
  <c r="AT37" i="20"/>
  <c r="AT38" i="20"/>
  <c r="AT39" i="20"/>
  <c r="AT40" i="20"/>
  <c r="AU40" i="20" s="1"/>
  <c r="AT41" i="20"/>
  <c r="AT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B69" i="20" s="1"/>
  <c r="AA70" i="20"/>
  <c r="AA71" i="20"/>
  <c r="AA72" i="20"/>
  <c r="AA73" i="20"/>
  <c r="AA74" i="20"/>
  <c r="AA5" i="20"/>
  <c r="I6" i="20"/>
  <c r="J6" i="20" s="1"/>
  <c r="I7" i="20"/>
  <c r="I8" i="20"/>
  <c r="I9" i="20"/>
  <c r="I10" i="20"/>
  <c r="I11" i="20"/>
  <c r="I12" i="20"/>
  <c r="I13" i="20"/>
  <c r="I14" i="20"/>
  <c r="J14" i="20" s="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J27" i="20" s="1"/>
  <c r="I28" i="20"/>
  <c r="I29" i="20"/>
  <c r="I30" i="20"/>
  <c r="I31" i="20"/>
  <c r="I32" i="20"/>
  <c r="I33" i="20"/>
  <c r="I34" i="20"/>
  <c r="I35" i="20"/>
  <c r="J35" i="20" s="1"/>
  <c r="I36" i="20"/>
  <c r="I37" i="20"/>
  <c r="I38" i="20"/>
  <c r="I39" i="20"/>
  <c r="I40" i="20"/>
  <c r="I41" i="20"/>
  <c r="I42" i="20"/>
  <c r="I43" i="20"/>
  <c r="J43" i="20" s="1"/>
  <c r="I44" i="20"/>
  <c r="I45" i="20"/>
  <c r="I46" i="20"/>
  <c r="I47" i="20"/>
  <c r="I48" i="20"/>
  <c r="I49" i="20"/>
  <c r="I50" i="20"/>
  <c r="I51" i="20"/>
  <c r="J51" i="20" s="1"/>
  <c r="I52" i="20"/>
  <c r="I53" i="20"/>
  <c r="I54" i="20"/>
  <c r="I55" i="20"/>
  <c r="I56" i="20"/>
  <c r="I57" i="20"/>
  <c r="I58" i="20"/>
  <c r="I59" i="20"/>
  <c r="J59" i="20" s="1"/>
  <c r="I60" i="20"/>
  <c r="I61" i="20"/>
  <c r="I62" i="20"/>
  <c r="I63" i="20"/>
  <c r="I64" i="20"/>
  <c r="I65" i="20"/>
  <c r="I66" i="20"/>
  <c r="I67" i="20"/>
  <c r="J67" i="20" s="1"/>
  <c r="I68" i="20"/>
  <c r="I69" i="20"/>
  <c r="I70" i="20"/>
  <c r="I71" i="20"/>
  <c r="I72" i="20"/>
  <c r="I73" i="20"/>
  <c r="I74" i="20"/>
  <c r="I5" i="20"/>
  <c r="J5" i="20" s="1"/>
  <c r="DT8" i="20"/>
  <c r="DT9" i="20"/>
  <c r="DT10" i="20"/>
  <c r="DT11" i="20"/>
  <c r="DT12" i="20"/>
  <c r="DT13" i="20"/>
  <c r="DT14" i="20"/>
  <c r="DT15" i="20"/>
  <c r="DT16" i="20"/>
  <c r="DT17" i="20"/>
  <c r="DT18" i="20"/>
  <c r="DT19" i="20"/>
  <c r="DT20" i="20"/>
  <c r="DT21" i="20"/>
  <c r="DT22" i="20"/>
  <c r="DT23" i="20"/>
  <c r="DT24" i="20"/>
  <c r="DT25" i="20"/>
  <c r="DT26" i="20"/>
  <c r="DT27" i="20"/>
  <c r="DT28" i="20"/>
  <c r="DT29" i="20"/>
  <c r="DT30" i="20"/>
  <c r="DT31" i="20"/>
  <c r="DT32" i="20"/>
  <c r="DT33" i="20"/>
  <c r="DT34" i="20"/>
  <c r="DT35" i="20"/>
  <c r="DT36" i="20"/>
  <c r="DT37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Z44" i="20"/>
  <c r="CZ45" i="20"/>
  <c r="CZ46" i="20"/>
  <c r="CZ47" i="20"/>
  <c r="CZ48" i="20"/>
  <c r="CZ49" i="20"/>
  <c r="CZ50" i="20"/>
  <c r="CZ51" i="20"/>
  <c r="CZ52" i="20"/>
  <c r="CZ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5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5" i="20"/>
  <c r="H31" i="8"/>
  <c r="H30" i="8"/>
  <c r="DT6" i="20" s="1"/>
  <c r="H29" i="8"/>
  <c r="DX30" i="20" l="1"/>
  <c r="DX22" i="20"/>
  <c r="DX14" i="20"/>
  <c r="DX6" i="20"/>
  <c r="R12" i="26"/>
  <c r="H11" i="26"/>
  <c r="Z10" i="26"/>
  <c r="X10" i="26" s="1"/>
  <c r="W10" i="26" s="1"/>
  <c r="H10" i="26"/>
  <c r="H9" i="26"/>
  <c r="AV66" i="26"/>
  <c r="AJ8" i="26" s="1"/>
  <c r="AK8" i="26" s="1"/>
  <c r="G7" i="26"/>
  <c r="H7" i="26" s="1"/>
  <c r="AV72" i="26"/>
  <c r="AJ9" i="26" s="1"/>
  <c r="AK9" i="26" s="1"/>
  <c r="AV49" i="26"/>
  <c r="H8" i="26"/>
  <c r="I40" i="25"/>
  <c r="I43" i="25" s="1"/>
  <c r="J19" i="24"/>
  <c r="Q18" i="24"/>
  <c r="S18" i="24" s="1"/>
  <c r="R17" i="24"/>
  <c r="T17" i="24" s="1"/>
  <c r="R7" i="24"/>
  <c r="T7" i="24" s="1"/>
  <c r="Q7" i="24"/>
  <c r="S7" i="24" s="1"/>
  <c r="R14" i="24"/>
  <c r="T14" i="24" s="1"/>
  <c r="R13" i="24"/>
  <c r="T13" i="24" s="1"/>
  <c r="Q12" i="24"/>
  <c r="S12" i="24" s="1"/>
  <c r="R11" i="24"/>
  <c r="T11" i="24" s="1"/>
  <c r="R15" i="24"/>
  <c r="T15" i="24" s="1"/>
  <c r="Q9" i="24"/>
  <c r="S9" i="24" s="1"/>
  <c r="Q8" i="24"/>
  <c r="S8" i="24" s="1"/>
  <c r="Q16" i="24"/>
  <c r="S16" i="24" s="1"/>
  <c r="CJ45" i="20"/>
  <c r="CJ37" i="20"/>
  <c r="CJ13" i="20"/>
  <c r="J73" i="20"/>
  <c r="J65" i="20"/>
  <c r="J57" i="20"/>
  <c r="J49" i="20"/>
  <c r="J41" i="20"/>
  <c r="J33" i="20"/>
  <c r="J25" i="20"/>
  <c r="AU5" i="20"/>
  <c r="AU34" i="20"/>
  <c r="AU26" i="20"/>
  <c r="AU18" i="20"/>
  <c r="AU10" i="20"/>
  <c r="AB37" i="20"/>
  <c r="DD52" i="20"/>
  <c r="DD44" i="20"/>
  <c r="DD36" i="20"/>
  <c r="DD28" i="20"/>
  <c r="DI5" i="20"/>
  <c r="CO5" i="20"/>
  <c r="CO6" i="20"/>
  <c r="BT5" i="20"/>
  <c r="O5" i="20"/>
  <c r="X75" i="20"/>
  <c r="CF46" i="20"/>
  <c r="CF47" i="20"/>
  <c r="CZ53" i="20"/>
  <c r="CZ54" i="20"/>
  <c r="BK58" i="20"/>
  <c r="BK57" i="20"/>
  <c r="CJ21" i="20"/>
  <c r="AZ5" i="20"/>
  <c r="AB68" i="20"/>
  <c r="AB60" i="20"/>
  <c r="AB52" i="20"/>
  <c r="AB44" i="20"/>
  <c r="AB36" i="20"/>
  <c r="AB28" i="20"/>
  <c r="AB20" i="20"/>
  <c r="AB12" i="20"/>
  <c r="BO20" i="20"/>
  <c r="DD37" i="20"/>
  <c r="EC5" i="20"/>
  <c r="EC6" i="20"/>
  <c r="X76" i="20"/>
  <c r="AG5" i="20"/>
  <c r="AQ43" i="20"/>
  <c r="AQ42" i="20"/>
  <c r="DD20" i="20"/>
  <c r="DD12" i="20"/>
  <c r="AC23" i="21"/>
  <c r="AC24" i="21" s="1"/>
  <c r="V23" i="21"/>
  <c r="V24" i="21" s="1"/>
  <c r="O23" i="21"/>
  <c r="O24" i="21" s="1"/>
  <c r="O26" i="21" s="1"/>
  <c r="P26" i="21" s="1"/>
  <c r="O25" i="21"/>
  <c r="P25" i="21" s="1"/>
  <c r="DT7" i="20"/>
  <c r="F22" i="20"/>
  <c r="F75" i="20" s="1"/>
  <c r="DT5" i="20"/>
  <c r="H23" i="21"/>
  <c r="H24" i="21" s="1"/>
  <c r="J18" i="20"/>
  <c r="J10" i="20"/>
  <c r="AB61" i="20"/>
  <c r="AB53" i="20"/>
  <c r="AB45" i="20"/>
  <c r="AB29" i="20"/>
  <c r="AB21" i="20"/>
  <c r="AB13" i="20"/>
  <c r="CJ42" i="20"/>
  <c r="CJ34" i="20"/>
  <c r="CJ26" i="20"/>
  <c r="CJ18" i="20"/>
  <c r="CJ10" i="20"/>
  <c r="DD34" i="20"/>
  <c r="J71" i="20"/>
  <c r="J63" i="20"/>
  <c r="J55" i="20"/>
  <c r="DD42" i="20"/>
  <c r="DD50" i="20"/>
  <c r="DD26" i="20"/>
  <c r="J74" i="20"/>
  <c r="J66" i="20"/>
  <c r="J58" i="20"/>
  <c r="J50" i="20"/>
  <c r="J42" i="20"/>
  <c r="J34" i="20"/>
  <c r="J26" i="20"/>
  <c r="AU39" i="20"/>
  <c r="AU31" i="20"/>
  <c r="AU23" i="20"/>
  <c r="AU15" i="20"/>
  <c r="AU7" i="20"/>
  <c r="BO52" i="20"/>
  <c r="BO44" i="20"/>
  <c r="BO36" i="20"/>
  <c r="BO28" i="20"/>
  <c r="BO12" i="20"/>
  <c r="DD18" i="20"/>
  <c r="AU38" i="20"/>
  <c r="AU14" i="20"/>
  <c r="AU6" i="20"/>
  <c r="CJ29" i="20"/>
  <c r="DD10" i="20"/>
  <c r="CJ44" i="20"/>
  <c r="CJ36" i="20"/>
  <c r="CJ28" i="20"/>
  <c r="CJ12" i="20"/>
  <c r="DD45" i="20"/>
  <c r="DD29" i="20"/>
  <c r="DD21" i="20"/>
  <c r="DD13" i="20"/>
  <c r="AB38" i="20"/>
  <c r="J17" i="20"/>
  <c r="J9" i="20"/>
  <c r="J69" i="20"/>
  <c r="J61" i="20"/>
  <c r="J53" i="20"/>
  <c r="J45" i="20"/>
  <c r="J37" i="20"/>
  <c r="J29" i="20"/>
  <c r="AU41" i="20"/>
  <c r="AU33" i="20"/>
  <c r="AU25" i="20"/>
  <c r="AU17" i="20"/>
  <c r="AU9" i="20"/>
  <c r="BO55" i="20"/>
  <c r="BO47" i="20"/>
  <c r="BO39" i="20"/>
  <c r="BO31" i="20"/>
  <c r="BO23" i="20"/>
  <c r="BO15" i="20"/>
  <c r="BO7" i="20"/>
  <c r="CJ41" i="20"/>
  <c r="CJ33" i="20"/>
  <c r="CJ25" i="20"/>
  <c r="CJ17" i="20"/>
  <c r="CJ9" i="20"/>
  <c r="DD49" i="20"/>
  <c r="DD41" i="20"/>
  <c r="DD33" i="20"/>
  <c r="DD25" i="20"/>
  <c r="DD17" i="20"/>
  <c r="DD9" i="20"/>
  <c r="J70" i="20"/>
  <c r="J62" i="20"/>
  <c r="J54" i="20"/>
  <c r="J46" i="20"/>
  <c r="J38" i="20"/>
  <c r="J30" i="20"/>
  <c r="J22" i="20"/>
  <c r="J16" i="20"/>
  <c r="J8" i="20"/>
  <c r="J68" i="20"/>
  <c r="J60" i="20"/>
  <c r="J52" i="20"/>
  <c r="J44" i="20"/>
  <c r="J36" i="20"/>
  <c r="J28" i="20"/>
  <c r="BO54" i="20"/>
  <c r="BO46" i="20"/>
  <c r="BO38" i="20"/>
  <c r="BO30" i="20"/>
  <c r="BO22" i="20"/>
  <c r="BO14" i="20"/>
  <c r="BO6" i="20"/>
  <c r="CJ40" i="20"/>
  <c r="CJ32" i="20"/>
  <c r="CJ24" i="20"/>
  <c r="CJ16" i="20"/>
  <c r="CJ8" i="20"/>
  <c r="DD48" i="20"/>
  <c r="DD40" i="20"/>
  <c r="DD32" i="20"/>
  <c r="DD24" i="20"/>
  <c r="DD16" i="20"/>
  <c r="DD8" i="20"/>
  <c r="AB70" i="20"/>
  <c r="AB30" i="20"/>
  <c r="DZ7" i="20"/>
  <c r="DZ8" i="20" s="1"/>
  <c r="EC8" i="20" s="1"/>
  <c r="J15" i="20"/>
  <c r="J7" i="20"/>
  <c r="AB6" i="20"/>
  <c r="AB67" i="20"/>
  <c r="AB59" i="20"/>
  <c r="AB51" i="20"/>
  <c r="AB43" i="20"/>
  <c r="AB35" i="20"/>
  <c r="AB27" i="20"/>
  <c r="AB19" i="20"/>
  <c r="AB11" i="20"/>
  <c r="BO53" i="20"/>
  <c r="BO45" i="20"/>
  <c r="BO37" i="20"/>
  <c r="BO29" i="20"/>
  <c r="BO21" i="20"/>
  <c r="BO13" i="20"/>
  <c r="CJ5" i="20"/>
  <c r="CJ39" i="20"/>
  <c r="CJ31" i="20"/>
  <c r="CJ23" i="20"/>
  <c r="CJ15" i="20"/>
  <c r="CJ7" i="20"/>
  <c r="DD47" i="20"/>
  <c r="DD39" i="20"/>
  <c r="DD31" i="20"/>
  <c r="DD23" i="20"/>
  <c r="DD15" i="20"/>
  <c r="DD7" i="20"/>
  <c r="AB46" i="20"/>
  <c r="AB74" i="20"/>
  <c r="AB66" i="20"/>
  <c r="AB58" i="20"/>
  <c r="AB50" i="20"/>
  <c r="AB42" i="20"/>
  <c r="AB34" i="20"/>
  <c r="AB26" i="20"/>
  <c r="AB18" i="20"/>
  <c r="AB10" i="20"/>
  <c r="CJ6" i="20"/>
  <c r="CJ38" i="20"/>
  <c r="CJ30" i="20"/>
  <c r="CJ22" i="20"/>
  <c r="CJ14" i="20"/>
  <c r="DD46" i="20"/>
  <c r="DD38" i="20"/>
  <c r="DD30" i="20"/>
  <c r="DD22" i="20"/>
  <c r="DD14" i="20"/>
  <c r="DD6" i="20"/>
  <c r="AB54" i="20"/>
  <c r="J21" i="20"/>
  <c r="J13" i="20"/>
  <c r="AB73" i="20"/>
  <c r="AB65" i="20"/>
  <c r="AB57" i="20"/>
  <c r="AB49" i="20"/>
  <c r="AB41" i="20"/>
  <c r="AB33" i="20"/>
  <c r="AB25" i="20"/>
  <c r="AB17" i="20"/>
  <c r="AB9" i="20"/>
  <c r="AU37" i="20"/>
  <c r="AU29" i="20"/>
  <c r="AU21" i="20"/>
  <c r="AU13" i="20"/>
  <c r="BO51" i="20"/>
  <c r="BO43" i="20"/>
  <c r="BO35" i="20"/>
  <c r="BO27" i="20"/>
  <c r="BO19" i="20"/>
  <c r="BO11" i="20"/>
  <c r="AB62" i="20"/>
  <c r="AB14" i="20"/>
  <c r="J20" i="20"/>
  <c r="J12" i="20"/>
  <c r="J72" i="20"/>
  <c r="J64" i="20"/>
  <c r="J56" i="20"/>
  <c r="J48" i="20"/>
  <c r="J40" i="20"/>
  <c r="J32" i="20"/>
  <c r="J24" i="20"/>
  <c r="AB72" i="20"/>
  <c r="AB64" i="20"/>
  <c r="AB56" i="20"/>
  <c r="AB48" i="20"/>
  <c r="AB40" i="20"/>
  <c r="AB32" i="20"/>
  <c r="AB24" i="20"/>
  <c r="AB16" i="20"/>
  <c r="AB8" i="20"/>
  <c r="AU36" i="20"/>
  <c r="AU28" i="20"/>
  <c r="AU20" i="20"/>
  <c r="AU12" i="20"/>
  <c r="BO50" i="20"/>
  <c r="BO42" i="20"/>
  <c r="BO34" i="20"/>
  <c r="BO26" i="20"/>
  <c r="BO18" i="20"/>
  <c r="BO10" i="20"/>
  <c r="AB22" i="20"/>
  <c r="BO56" i="20"/>
  <c r="BO48" i="20"/>
  <c r="BO40" i="20"/>
  <c r="BO32" i="20"/>
  <c r="BO24" i="20"/>
  <c r="BO16" i="20"/>
  <c r="BO8" i="20"/>
  <c r="J19" i="20"/>
  <c r="J11" i="20"/>
  <c r="J47" i="20"/>
  <c r="J39" i="20"/>
  <c r="J31" i="20"/>
  <c r="J23" i="20"/>
  <c r="AB71" i="20"/>
  <c r="AB63" i="20"/>
  <c r="AB55" i="20"/>
  <c r="AB47" i="20"/>
  <c r="AB39" i="20"/>
  <c r="AB31" i="20"/>
  <c r="AB23" i="20"/>
  <c r="AB15" i="20"/>
  <c r="AB7" i="20"/>
  <c r="BO5" i="20"/>
  <c r="BO49" i="20"/>
  <c r="BO41" i="20"/>
  <c r="BO33" i="20"/>
  <c r="BO25" i="20"/>
  <c r="BO17" i="20"/>
  <c r="BO9" i="20"/>
  <c r="CJ43" i="20"/>
  <c r="CJ35" i="20"/>
  <c r="CJ27" i="20"/>
  <c r="CJ19" i="20"/>
  <c r="CJ11" i="20"/>
  <c r="DD51" i="20"/>
  <c r="DD43" i="20"/>
  <c r="DD35" i="20"/>
  <c r="DD27" i="20"/>
  <c r="DD19" i="20"/>
  <c r="DD11" i="20"/>
  <c r="DZ9" i="20"/>
  <c r="AB5" i="20"/>
  <c r="DF6" i="20"/>
  <c r="DF7" i="20" s="1"/>
  <c r="DF8" i="20" s="1"/>
  <c r="AW6" i="20"/>
  <c r="AW7" i="20" s="1"/>
  <c r="AW8" i="20" s="1"/>
  <c r="AW9" i="20" s="1"/>
  <c r="AW10" i="20" s="1"/>
  <c r="AW11" i="20" s="1"/>
  <c r="AD6" i="20"/>
  <c r="CL7" i="20"/>
  <c r="CL8" i="20" s="1"/>
  <c r="BQ6" i="20"/>
  <c r="BQ7" i="20" s="1"/>
  <c r="BT7" i="20" s="1"/>
  <c r="L6" i="20"/>
  <c r="L7" i="20" s="1"/>
  <c r="Z6" i="26" l="1"/>
  <c r="AJ7" i="26"/>
  <c r="AK7" i="26" s="1"/>
  <c r="AK11" i="26" s="1"/>
  <c r="AK12" i="26" s="1"/>
  <c r="AK13" i="26" s="1"/>
  <c r="AV156" i="26"/>
  <c r="AV157" i="26" s="1"/>
  <c r="H12" i="26"/>
  <c r="BT6" i="20"/>
  <c r="EC7" i="20"/>
  <c r="AD7" i="20"/>
  <c r="AG6" i="20"/>
  <c r="AW12" i="20"/>
  <c r="AZ11" i="20"/>
  <c r="DF9" i="20"/>
  <c r="DI8" i="20"/>
  <c r="AZ8" i="20"/>
  <c r="DI6" i="20"/>
  <c r="DI7" i="20"/>
  <c r="DT39" i="20"/>
  <c r="DT38" i="20"/>
  <c r="AZ7" i="20"/>
  <c r="L8" i="20"/>
  <c r="O7" i="20"/>
  <c r="CO7" i="20"/>
  <c r="AZ10" i="20"/>
  <c r="F76" i="20"/>
  <c r="DZ10" i="20"/>
  <c r="EC9" i="20"/>
  <c r="CL9" i="20"/>
  <c r="CO8" i="20"/>
  <c r="O6" i="20"/>
  <c r="AZ9" i="20"/>
  <c r="AZ6" i="20"/>
  <c r="BQ8" i="20"/>
  <c r="BT8" i="20" s="1"/>
  <c r="X6" i="26" l="1"/>
  <c r="W6" i="26" s="1"/>
  <c r="Z13" i="26"/>
  <c r="DZ11" i="20"/>
  <c r="EC10" i="20"/>
  <c r="DF10" i="20"/>
  <c r="DI9" i="20"/>
  <c r="L9" i="20"/>
  <c r="O8" i="20"/>
  <c r="AW13" i="20"/>
  <c r="AZ12" i="20"/>
  <c r="CL10" i="20"/>
  <c r="CO9" i="20"/>
  <c r="AD8" i="20"/>
  <c r="AG7" i="20"/>
  <c r="BQ9" i="20"/>
  <c r="BT9" i="20" s="1"/>
  <c r="L10" i="20" l="1"/>
  <c r="O9" i="20"/>
  <c r="DF11" i="20"/>
  <c r="DI10" i="20"/>
  <c r="AD9" i="20"/>
  <c r="AG8" i="20"/>
  <c r="CL11" i="20"/>
  <c r="CO10" i="20"/>
  <c r="AW14" i="20"/>
  <c r="AZ13" i="20"/>
  <c r="DZ12" i="20"/>
  <c r="EC11" i="20"/>
  <c r="BQ10" i="20"/>
  <c r="BT10" i="20" s="1"/>
  <c r="AD10" i="20" l="1"/>
  <c r="AG9" i="20"/>
  <c r="DF12" i="20"/>
  <c r="DI11" i="20"/>
  <c r="DZ13" i="20"/>
  <c r="EC12" i="20"/>
  <c r="AW15" i="20"/>
  <c r="AZ14" i="20"/>
  <c r="L11" i="20"/>
  <c r="O10" i="20"/>
  <c r="CL12" i="20"/>
  <c r="CO11" i="20"/>
  <c r="BQ11" i="20"/>
  <c r="BT11" i="20" s="1"/>
  <c r="DZ14" i="20" l="1"/>
  <c r="EC13" i="20"/>
  <c r="CL13" i="20"/>
  <c r="CO12" i="20"/>
  <c r="DF13" i="20"/>
  <c r="DI12" i="20"/>
  <c r="AD11" i="20"/>
  <c r="AG10" i="20"/>
  <c r="L12" i="20"/>
  <c r="O11" i="20"/>
  <c r="AW16" i="20"/>
  <c r="AZ15" i="20"/>
  <c r="BQ12" i="20"/>
  <c r="BT12" i="20" s="1"/>
  <c r="AD12" i="20" l="1"/>
  <c r="AG11" i="20"/>
  <c r="DF14" i="20"/>
  <c r="DI13" i="20"/>
  <c r="AW17" i="20"/>
  <c r="AZ16" i="20"/>
  <c r="CL14" i="20"/>
  <c r="CO13" i="20"/>
  <c r="L13" i="20"/>
  <c r="O12" i="20"/>
  <c r="DZ15" i="20"/>
  <c r="EC14" i="20"/>
  <c r="BQ13" i="20"/>
  <c r="BT13" i="20" s="1"/>
  <c r="AW18" i="20" l="1"/>
  <c r="AZ17" i="20"/>
  <c r="DF15" i="20"/>
  <c r="DI14" i="20"/>
  <c r="CL15" i="20"/>
  <c r="CO14" i="20"/>
  <c r="DZ16" i="20"/>
  <c r="EC15" i="20"/>
  <c r="L14" i="20"/>
  <c r="O13" i="20"/>
  <c r="AD13" i="20"/>
  <c r="AG12" i="20"/>
  <c r="BQ14" i="20"/>
  <c r="BT14" i="20" s="1"/>
  <c r="CL16" i="20" l="1"/>
  <c r="CO15" i="20"/>
  <c r="DZ17" i="20"/>
  <c r="EC16" i="20"/>
  <c r="AD14" i="20"/>
  <c r="AG13" i="20"/>
  <c r="DF16" i="20"/>
  <c r="DI15" i="20"/>
  <c r="L15" i="20"/>
  <c r="O14" i="20"/>
  <c r="AW19" i="20"/>
  <c r="AZ18" i="20"/>
  <c r="BQ15" i="20"/>
  <c r="BT15" i="20" s="1"/>
  <c r="AD15" i="20" l="1"/>
  <c r="AG14" i="20"/>
  <c r="DF17" i="20"/>
  <c r="DI16" i="20"/>
  <c r="DZ18" i="20"/>
  <c r="EC17" i="20"/>
  <c r="AW20" i="20"/>
  <c r="AZ19" i="20"/>
  <c r="L16" i="20"/>
  <c r="O15" i="20"/>
  <c r="CL17" i="20"/>
  <c r="CO16" i="20"/>
  <c r="BQ16" i="20"/>
  <c r="BT16" i="20" s="1"/>
  <c r="DZ19" i="20" l="1"/>
  <c r="EC18" i="20"/>
  <c r="CL18" i="20"/>
  <c r="CO17" i="20"/>
  <c r="AW21" i="20"/>
  <c r="AZ20" i="20"/>
  <c r="DF18" i="20"/>
  <c r="DI17" i="20"/>
  <c r="L17" i="20"/>
  <c r="O16" i="20"/>
  <c r="AD16" i="20"/>
  <c r="AG15" i="20"/>
  <c r="BQ17" i="20"/>
  <c r="BT17" i="20" s="1"/>
  <c r="AW22" i="20" l="1"/>
  <c r="AZ21" i="20"/>
  <c r="AD17" i="20"/>
  <c r="AG16" i="20"/>
  <c r="DF19" i="20"/>
  <c r="DI18" i="20"/>
  <c r="CL19" i="20"/>
  <c r="CO18" i="20"/>
  <c r="L18" i="20"/>
  <c r="O17" i="20"/>
  <c r="DZ20" i="20"/>
  <c r="EC19" i="20"/>
  <c r="BQ18" i="20"/>
  <c r="BT18" i="20" s="1"/>
  <c r="CL20" i="20" l="1"/>
  <c r="CO19" i="20"/>
  <c r="DF20" i="20"/>
  <c r="DI19" i="20"/>
  <c r="DZ21" i="20"/>
  <c r="EC20" i="20"/>
  <c r="AD18" i="20"/>
  <c r="AG17" i="20"/>
  <c r="L19" i="20"/>
  <c r="O18" i="20"/>
  <c r="AW23" i="20"/>
  <c r="AZ22" i="20"/>
  <c r="BQ19" i="20"/>
  <c r="BT19" i="20" s="1"/>
  <c r="DZ22" i="20" l="1"/>
  <c r="EC21" i="20"/>
  <c r="AD19" i="20"/>
  <c r="AG18" i="20"/>
  <c r="DF21" i="20"/>
  <c r="DI20" i="20"/>
  <c r="AW24" i="20"/>
  <c r="AZ23" i="20"/>
  <c r="L20" i="20"/>
  <c r="O19" i="20"/>
  <c r="CL21" i="20"/>
  <c r="CO20" i="20"/>
  <c r="BQ20" i="20"/>
  <c r="BT20" i="20" s="1"/>
  <c r="DF22" i="20" l="1"/>
  <c r="DI21" i="20"/>
  <c r="CL22" i="20"/>
  <c r="CO21" i="20"/>
  <c r="AW25" i="20"/>
  <c r="AZ24" i="20"/>
  <c r="AD20" i="20"/>
  <c r="AG19" i="20"/>
  <c r="L21" i="20"/>
  <c r="O20" i="20"/>
  <c r="DZ23" i="20"/>
  <c r="EC22" i="20"/>
  <c r="BQ21" i="20"/>
  <c r="BT21" i="20" s="1"/>
  <c r="AW26" i="20" l="1"/>
  <c r="AZ25" i="20"/>
  <c r="AD21" i="20"/>
  <c r="AG20" i="20"/>
  <c r="DZ24" i="20"/>
  <c r="EC23" i="20"/>
  <c r="CL23" i="20"/>
  <c r="CO22" i="20"/>
  <c r="L22" i="20"/>
  <c r="O21" i="20"/>
  <c r="DF23" i="20"/>
  <c r="DI22" i="20"/>
  <c r="BQ22" i="20"/>
  <c r="BT22" i="20" s="1"/>
  <c r="DZ25" i="20" l="1"/>
  <c r="EC24" i="20"/>
  <c r="AD22" i="20"/>
  <c r="AG21" i="20"/>
  <c r="CL24" i="20"/>
  <c r="CO23" i="20"/>
  <c r="DF24" i="20"/>
  <c r="DI23" i="20"/>
  <c r="L23" i="20"/>
  <c r="O22" i="20"/>
  <c r="AW27" i="20"/>
  <c r="AZ26" i="20"/>
  <c r="BQ23" i="20"/>
  <c r="BT23" i="20" s="1"/>
  <c r="DF25" i="20" l="1"/>
  <c r="DI24" i="20"/>
  <c r="CL25" i="20"/>
  <c r="CO24" i="20"/>
  <c r="AW28" i="20"/>
  <c r="AZ27" i="20"/>
  <c r="AD23" i="20"/>
  <c r="AG22" i="20"/>
  <c r="L24" i="20"/>
  <c r="O23" i="20"/>
  <c r="DZ26" i="20"/>
  <c r="EC25" i="20"/>
  <c r="BQ24" i="20"/>
  <c r="BT24" i="20" s="1"/>
  <c r="AW29" i="20" l="1"/>
  <c r="AZ28" i="20"/>
  <c r="AD24" i="20"/>
  <c r="AG23" i="20"/>
  <c r="DZ27" i="20"/>
  <c r="EC26" i="20"/>
  <c r="CL26" i="20"/>
  <c r="CO25" i="20"/>
  <c r="L25" i="20"/>
  <c r="O24" i="20"/>
  <c r="DF26" i="20"/>
  <c r="DI25" i="20"/>
  <c r="BQ25" i="20"/>
  <c r="BT25" i="20" s="1"/>
  <c r="DZ28" i="20" l="1"/>
  <c r="EC27" i="20"/>
  <c r="CL27" i="20"/>
  <c r="CO26" i="20"/>
  <c r="DF27" i="20"/>
  <c r="DI26" i="20"/>
  <c r="AD25" i="20"/>
  <c r="AG24" i="20"/>
  <c r="L26" i="20"/>
  <c r="O25" i="20"/>
  <c r="AW30" i="20"/>
  <c r="AZ29" i="20"/>
  <c r="BQ26" i="20"/>
  <c r="BT26" i="20" s="1"/>
  <c r="AD26" i="20" l="1"/>
  <c r="AG25" i="20"/>
  <c r="DF28" i="20"/>
  <c r="DI27" i="20"/>
  <c r="AW31" i="20"/>
  <c r="AZ30" i="20"/>
  <c r="CL28" i="20"/>
  <c r="CO27" i="20"/>
  <c r="L27" i="20"/>
  <c r="O26" i="20"/>
  <c r="DZ29" i="20"/>
  <c r="EC28" i="20"/>
  <c r="BQ27" i="20"/>
  <c r="BT27" i="20" s="1"/>
  <c r="CL29" i="20" l="1"/>
  <c r="CO28" i="20"/>
  <c r="AW32" i="20"/>
  <c r="AZ31" i="20"/>
  <c r="DZ30" i="20"/>
  <c r="EC29" i="20"/>
  <c r="DF29" i="20"/>
  <c r="DI28" i="20"/>
  <c r="L28" i="20"/>
  <c r="O27" i="20"/>
  <c r="AD27" i="20"/>
  <c r="AG26" i="20"/>
  <c r="BQ28" i="20"/>
  <c r="BT28" i="20" s="1"/>
  <c r="DZ31" i="20" l="1"/>
  <c r="EC30" i="20"/>
  <c r="DF30" i="20"/>
  <c r="DI29" i="20"/>
  <c r="AW33" i="20"/>
  <c r="AZ32" i="20"/>
  <c r="AD28" i="20"/>
  <c r="AG27" i="20"/>
  <c r="L29" i="20"/>
  <c r="O28" i="20"/>
  <c r="CL30" i="20"/>
  <c r="CO29" i="20"/>
  <c r="BQ29" i="20"/>
  <c r="BT29" i="20" s="1"/>
  <c r="AD29" i="20" l="1"/>
  <c r="AG28" i="20"/>
  <c r="AW34" i="20"/>
  <c r="AZ33" i="20"/>
  <c r="DF31" i="20"/>
  <c r="DI30" i="20"/>
  <c r="CL31" i="20"/>
  <c r="CO30" i="20"/>
  <c r="L30" i="20"/>
  <c r="O29" i="20"/>
  <c r="DZ32" i="20"/>
  <c r="EC31" i="20"/>
  <c r="BQ30" i="20"/>
  <c r="BT30" i="20" s="1"/>
  <c r="DF32" i="20" l="1"/>
  <c r="DI31" i="20"/>
  <c r="AW35" i="20"/>
  <c r="AZ34" i="20"/>
  <c r="CL32" i="20"/>
  <c r="CO31" i="20"/>
  <c r="DZ33" i="20"/>
  <c r="EC32" i="20"/>
  <c r="L31" i="20"/>
  <c r="O30" i="20"/>
  <c r="AD30" i="20"/>
  <c r="AG29" i="20"/>
  <c r="BQ31" i="20"/>
  <c r="BT31" i="20" s="1"/>
  <c r="CL33" i="20" l="1"/>
  <c r="CO32" i="20"/>
  <c r="AD31" i="20"/>
  <c r="AG30" i="20"/>
  <c r="DZ34" i="20"/>
  <c r="EC33" i="20"/>
  <c r="AW36" i="20"/>
  <c r="AZ35" i="20"/>
  <c r="L32" i="20"/>
  <c r="O31" i="20"/>
  <c r="DF33" i="20"/>
  <c r="DI32" i="20"/>
  <c r="BQ32" i="20"/>
  <c r="BT32" i="20" s="1"/>
  <c r="DZ35" i="20" l="1"/>
  <c r="EC34" i="20"/>
  <c r="AW37" i="20"/>
  <c r="AZ36" i="20"/>
  <c r="DF34" i="20"/>
  <c r="DI33" i="20"/>
  <c r="AD32" i="20"/>
  <c r="AG31" i="20"/>
  <c r="L33" i="20"/>
  <c r="O32" i="20"/>
  <c r="CL34" i="20"/>
  <c r="CO33" i="20"/>
  <c r="BQ33" i="20"/>
  <c r="BT33" i="20" s="1"/>
  <c r="AD33" i="20" l="1"/>
  <c r="AG32" i="20"/>
  <c r="DF35" i="20"/>
  <c r="DI34" i="20"/>
  <c r="CL35" i="20"/>
  <c r="CO34" i="20"/>
  <c r="AW38" i="20"/>
  <c r="AZ37" i="20"/>
  <c r="L34" i="20"/>
  <c r="O33" i="20"/>
  <c r="DZ36" i="20"/>
  <c r="EC35" i="20"/>
  <c r="BQ34" i="20"/>
  <c r="BT34" i="20" s="1"/>
  <c r="AW39" i="20" l="1"/>
  <c r="AZ38" i="20"/>
  <c r="CL36" i="20"/>
  <c r="CO35" i="20"/>
  <c r="DZ37" i="20"/>
  <c r="EC37" i="20" s="1"/>
  <c r="EC38" i="20" s="1"/>
  <c r="EC36" i="20"/>
  <c r="DF36" i="20"/>
  <c r="DI35" i="20"/>
  <c r="L35" i="20"/>
  <c r="O34" i="20"/>
  <c r="AD34" i="20"/>
  <c r="AG33" i="20"/>
  <c r="BQ35" i="20"/>
  <c r="BT35" i="20" s="1"/>
  <c r="ED8" i="20" l="1"/>
  <c r="ED16" i="20"/>
  <c r="ED24" i="20"/>
  <c r="ED32" i="20"/>
  <c r="ED9" i="20"/>
  <c r="ED17" i="20"/>
  <c r="ED25" i="20"/>
  <c r="ED33" i="20"/>
  <c r="ED10" i="20"/>
  <c r="ED18" i="20"/>
  <c r="ED26" i="20"/>
  <c r="ED34" i="20"/>
  <c r="ED11" i="20"/>
  <c r="ED19" i="20"/>
  <c r="ED27" i="20"/>
  <c r="ED35" i="20"/>
  <c r="ED12" i="20"/>
  <c r="ED20" i="20"/>
  <c r="ED28" i="20"/>
  <c r="ED36" i="20"/>
  <c r="ED13" i="20"/>
  <c r="ED21" i="20"/>
  <c r="ED29" i="20"/>
  <c r="ED37" i="20"/>
  <c r="ED30" i="20"/>
  <c r="ED31" i="20"/>
  <c r="ED6" i="20"/>
  <c r="ED5" i="20"/>
  <c r="ED14" i="20"/>
  <c r="ED15" i="20"/>
  <c r="ED22" i="20"/>
  <c r="ED7" i="20"/>
  <c r="ED23" i="20"/>
  <c r="DF37" i="20"/>
  <c r="DI36" i="20"/>
  <c r="AD35" i="20"/>
  <c r="AG34" i="20"/>
  <c r="CL37" i="20"/>
  <c r="CO36" i="20"/>
  <c r="L36" i="20"/>
  <c r="O35" i="20"/>
  <c r="AW40" i="20"/>
  <c r="AZ39" i="20"/>
  <c r="BQ36" i="20"/>
  <c r="BT36" i="20" s="1"/>
  <c r="CL38" i="20" l="1"/>
  <c r="CO37" i="20"/>
  <c r="DF38" i="20"/>
  <c r="DI37" i="20"/>
  <c r="AD36" i="20"/>
  <c r="AG35" i="20"/>
  <c r="AW41" i="20"/>
  <c r="AZ41" i="20" s="1"/>
  <c r="AZ42" i="20" s="1"/>
  <c r="AZ40" i="20"/>
  <c r="L37" i="20"/>
  <c r="O36" i="20"/>
  <c r="BQ37" i="20"/>
  <c r="BT37" i="20" s="1"/>
  <c r="BA9" i="20" l="1"/>
  <c r="BA17" i="20"/>
  <c r="BA25" i="20"/>
  <c r="BA33" i="20"/>
  <c r="BA5" i="20"/>
  <c r="BA10" i="20"/>
  <c r="BA18" i="20"/>
  <c r="BA26" i="20"/>
  <c r="BA34" i="20"/>
  <c r="BA11" i="20"/>
  <c r="BA19" i="20"/>
  <c r="BA27" i="20"/>
  <c r="BA35" i="20"/>
  <c r="BA12" i="20"/>
  <c r="BA20" i="20"/>
  <c r="BA28" i="20"/>
  <c r="BA36" i="20"/>
  <c r="BA41" i="20"/>
  <c r="BA13" i="20"/>
  <c r="BA21" i="20"/>
  <c r="BA29" i="20"/>
  <c r="BA37" i="20"/>
  <c r="BA6" i="20"/>
  <c r="BA14" i="20"/>
  <c r="BA22" i="20"/>
  <c r="BA30" i="20"/>
  <c r="BA38" i="20"/>
  <c r="BA23" i="20"/>
  <c r="BA24" i="20"/>
  <c r="BA31" i="20"/>
  <c r="BA7" i="20"/>
  <c r="BA39" i="20"/>
  <c r="BA8" i="20"/>
  <c r="BA40" i="20"/>
  <c r="BA15" i="20"/>
  <c r="BA32" i="20"/>
  <c r="BA16" i="20"/>
  <c r="DF39" i="20"/>
  <c r="DI38" i="20"/>
  <c r="L38" i="20"/>
  <c r="O37" i="20"/>
  <c r="AD37" i="20"/>
  <c r="AG36" i="20"/>
  <c r="CL39" i="20"/>
  <c r="CO38" i="20"/>
  <c r="BQ38" i="20"/>
  <c r="BT38" i="20" s="1"/>
  <c r="AD38" i="20" l="1"/>
  <c r="AG37" i="20"/>
  <c r="L39" i="20"/>
  <c r="O38" i="20"/>
  <c r="DF40" i="20"/>
  <c r="DI39" i="20"/>
  <c r="CL40" i="20"/>
  <c r="CO39" i="20"/>
  <c r="BQ39" i="20"/>
  <c r="BT39" i="20" s="1"/>
  <c r="DF41" i="20" l="1"/>
  <c r="DI40" i="20"/>
  <c r="CL41" i="20"/>
  <c r="CO40" i="20"/>
  <c r="L40" i="20"/>
  <c r="O39" i="20"/>
  <c r="AD39" i="20"/>
  <c r="AG38" i="20"/>
  <c r="BQ40" i="20"/>
  <c r="BT40" i="20" s="1"/>
  <c r="AD40" i="20" l="1"/>
  <c r="AG39" i="20"/>
  <c r="L41" i="20"/>
  <c r="O40" i="20"/>
  <c r="CL42" i="20"/>
  <c r="CO41" i="20"/>
  <c r="DF42" i="20"/>
  <c r="DI41" i="20"/>
  <c r="BQ41" i="20"/>
  <c r="BT41" i="20" s="1"/>
  <c r="DF43" i="20" l="1"/>
  <c r="DI42" i="20"/>
  <c r="CL43" i="20"/>
  <c r="CO42" i="20"/>
  <c r="L42" i="20"/>
  <c r="O41" i="20"/>
  <c r="AD41" i="20"/>
  <c r="AG40" i="20"/>
  <c r="BQ42" i="20"/>
  <c r="BT42" i="20" s="1"/>
  <c r="AD42" i="20" l="1"/>
  <c r="AG41" i="20"/>
  <c r="L43" i="20"/>
  <c r="O42" i="20"/>
  <c r="CL44" i="20"/>
  <c r="CO43" i="20"/>
  <c r="DF44" i="20"/>
  <c r="DI43" i="20"/>
  <c r="BQ43" i="20"/>
  <c r="BT43" i="20" s="1"/>
  <c r="DF45" i="20" l="1"/>
  <c r="DI44" i="20"/>
  <c r="CL45" i="20"/>
  <c r="CO45" i="20" s="1"/>
  <c r="CO44" i="20"/>
  <c r="L44" i="20"/>
  <c r="O43" i="20"/>
  <c r="AD43" i="20"/>
  <c r="AG42" i="20"/>
  <c r="BQ44" i="20"/>
  <c r="BT44" i="20" s="1"/>
  <c r="CO46" i="20" l="1"/>
  <c r="CP37" i="20" s="1"/>
  <c r="L45" i="20"/>
  <c r="O44" i="20"/>
  <c r="AD44" i="20"/>
  <c r="AG43" i="20"/>
  <c r="CP34" i="20"/>
  <c r="CP21" i="20"/>
  <c r="CP20" i="20"/>
  <c r="CP25" i="20"/>
  <c r="CP9" i="20"/>
  <c r="CP16" i="20"/>
  <c r="CP44" i="20"/>
  <c r="DF46" i="20"/>
  <c r="DI45" i="20"/>
  <c r="BQ45" i="20"/>
  <c r="BT45" i="20" s="1"/>
  <c r="CP41" i="20" l="1"/>
  <c r="CP31" i="20"/>
  <c r="CP38" i="20"/>
  <c r="CP18" i="20"/>
  <c r="CP26" i="20"/>
  <c r="CP29" i="20"/>
  <c r="CP24" i="20"/>
  <c r="CP5" i="20"/>
  <c r="CP17" i="20"/>
  <c r="CP28" i="20"/>
  <c r="CP45" i="20"/>
  <c r="CP6" i="20"/>
  <c r="CP14" i="20"/>
  <c r="CP12" i="20"/>
  <c r="CP36" i="20"/>
  <c r="CP11" i="20"/>
  <c r="CP43" i="20"/>
  <c r="CP35" i="20"/>
  <c r="CP13" i="20"/>
  <c r="CP7" i="20"/>
  <c r="CP15" i="20"/>
  <c r="CP23" i="20"/>
  <c r="CP30" i="20"/>
  <c r="CP42" i="20"/>
  <c r="CP40" i="20"/>
  <c r="CP8" i="20"/>
  <c r="CP10" i="20"/>
  <c r="CP32" i="20"/>
  <c r="CP22" i="20"/>
  <c r="CP19" i="20"/>
  <c r="CP27" i="20"/>
  <c r="CP39" i="20"/>
  <c r="CP33" i="20"/>
  <c r="DF47" i="20"/>
  <c r="DI46" i="20"/>
  <c r="AD45" i="20"/>
  <c r="AG44" i="20"/>
  <c r="L46" i="20"/>
  <c r="O45" i="20"/>
  <c r="BQ46" i="20"/>
  <c r="BT46" i="20" s="1"/>
  <c r="L47" i="20" l="1"/>
  <c r="O46" i="20"/>
  <c r="AD46" i="20"/>
  <c r="AG45" i="20"/>
  <c r="DF48" i="20"/>
  <c r="DI47" i="20"/>
  <c r="BQ47" i="20"/>
  <c r="BT47" i="20" s="1"/>
  <c r="DF49" i="20" l="1"/>
  <c r="DI48" i="20"/>
  <c r="AD47" i="20"/>
  <c r="AG46" i="20"/>
  <c r="L48" i="20"/>
  <c r="O47" i="20"/>
  <c r="BQ48" i="20"/>
  <c r="BT48" i="20" s="1"/>
  <c r="AD48" i="20" l="1"/>
  <c r="AG47" i="20"/>
  <c r="L49" i="20"/>
  <c r="O48" i="20"/>
  <c r="DF50" i="20"/>
  <c r="DI49" i="20"/>
  <c r="BQ49" i="20"/>
  <c r="BT49" i="20" s="1"/>
  <c r="DF51" i="20" l="1"/>
  <c r="DI50" i="20"/>
  <c r="L50" i="20"/>
  <c r="O49" i="20"/>
  <c r="AD49" i="20"/>
  <c r="AG48" i="20"/>
  <c r="BQ50" i="20"/>
  <c r="BT50" i="20" s="1"/>
  <c r="AD50" i="20" l="1"/>
  <c r="AG49" i="20"/>
  <c r="L51" i="20"/>
  <c r="O50" i="20"/>
  <c r="DF52" i="20"/>
  <c r="DI52" i="20" s="1"/>
  <c r="DI53" i="20" s="1"/>
  <c r="DI51" i="20"/>
  <c r="BQ51" i="20"/>
  <c r="BT51" i="20" s="1"/>
  <c r="DJ6" i="20" l="1"/>
  <c r="DJ28" i="20"/>
  <c r="DJ51" i="20"/>
  <c r="DJ11" i="20"/>
  <c r="DJ29" i="20"/>
  <c r="DJ52" i="20"/>
  <c r="DJ12" i="20"/>
  <c r="DJ35" i="20"/>
  <c r="DJ5" i="20"/>
  <c r="DJ13" i="20"/>
  <c r="DJ36" i="20"/>
  <c r="DJ19" i="20"/>
  <c r="DJ37" i="20"/>
  <c r="DJ20" i="20"/>
  <c r="DJ43" i="20"/>
  <c r="DJ21" i="20"/>
  <c r="DJ44" i="20"/>
  <c r="DJ27" i="20"/>
  <c r="DJ45" i="20"/>
  <c r="DJ50" i="20"/>
  <c r="DJ33" i="20"/>
  <c r="DJ16" i="20"/>
  <c r="DJ46" i="20"/>
  <c r="DJ9" i="20"/>
  <c r="DJ41" i="20"/>
  <c r="DJ42" i="20"/>
  <c r="DJ25" i="20"/>
  <c r="DJ8" i="20"/>
  <c r="DJ38" i="20"/>
  <c r="DJ39" i="20"/>
  <c r="DJ34" i="20"/>
  <c r="DJ17" i="20"/>
  <c r="DJ47" i="20"/>
  <c r="DJ30" i="20"/>
  <c r="DJ26" i="20"/>
  <c r="DJ22" i="20"/>
  <c r="DJ18" i="20"/>
  <c r="DJ48" i="20"/>
  <c r="DJ31" i="20"/>
  <c r="DJ14" i="20"/>
  <c r="DJ15" i="20"/>
  <c r="DJ24" i="20"/>
  <c r="DJ10" i="20"/>
  <c r="DJ40" i="20"/>
  <c r="DJ23" i="20"/>
  <c r="DJ49" i="20"/>
  <c r="DJ32" i="20"/>
  <c r="DJ7" i="20"/>
  <c r="L52" i="20"/>
  <c r="O51" i="20"/>
  <c r="AD51" i="20"/>
  <c r="AG50" i="20"/>
  <c r="BQ52" i="20"/>
  <c r="BT52" i="20" s="1"/>
  <c r="AD52" i="20" l="1"/>
  <c r="AG51" i="20"/>
  <c r="L53" i="20"/>
  <c r="O52" i="20"/>
  <c r="BQ53" i="20"/>
  <c r="BT53" i="20" s="1"/>
  <c r="L54" i="20" l="1"/>
  <c r="O53" i="20"/>
  <c r="AD53" i="20"/>
  <c r="AG52" i="20"/>
  <c r="BQ54" i="20"/>
  <c r="BT54" i="20" s="1"/>
  <c r="AD54" i="20" l="1"/>
  <c r="AG53" i="20"/>
  <c r="L55" i="20"/>
  <c r="O54" i="20"/>
  <c r="BQ55" i="20"/>
  <c r="BT55" i="20" s="1"/>
  <c r="L56" i="20" l="1"/>
  <c r="O55" i="20"/>
  <c r="AD55" i="20"/>
  <c r="AG54" i="20"/>
  <c r="BQ56" i="20"/>
  <c r="BT56" i="20" s="1"/>
  <c r="BT57" i="20" s="1"/>
  <c r="AD56" i="20" l="1"/>
  <c r="AG55" i="20"/>
  <c r="BU7" i="20"/>
  <c r="BU9" i="20"/>
  <c r="BU20" i="20"/>
  <c r="BU30" i="20"/>
  <c r="BU42" i="20"/>
  <c r="BU52" i="20"/>
  <c r="BU10" i="20"/>
  <c r="BU21" i="20"/>
  <c r="BU33" i="20"/>
  <c r="BU43" i="20"/>
  <c r="BU53" i="20"/>
  <c r="BU12" i="20"/>
  <c r="BU22" i="20"/>
  <c r="BU34" i="20"/>
  <c r="BU44" i="20"/>
  <c r="BU54" i="20"/>
  <c r="BU13" i="20"/>
  <c r="BU25" i="20"/>
  <c r="BU35" i="20"/>
  <c r="BU45" i="20"/>
  <c r="BU5" i="20"/>
  <c r="BU14" i="20"/>
  <c r="BU26" i="20"/>
  <c r="BU36" i="20"/>
  <c r="BU46" i="20"/>
  <c r="BU17" i="20"/>
  <c r="BU27" i="20"/>
  <c r="BU37" i="20"/>
  <c r="BU49" i="20"/>
  <c r="BU38" i="20"/>
  <c r="BU41" i="20"/>
  <c r="BU50" i="20"/>
  <c r="BU18" i="20"/>
  <c r="BU19" i="20"/>
  <c r="BU28" i="20"/>
  <c r="BU6" i="20"/>
  <c r="BU29" i="20"/>
  <c r="BU51" i="20"/>
  <c r="BU24" i="20"/>
  <c r="BU15" i="20"/>
  <c r="BU11" i="20"/>
  <c r="BU16" i="20"/>
  <c r="BU8" i="20"/>
  <c r="BU55" i="20"/>
  <c r="BU56" i="20"/>
  <c r="BU47" i="20"/>
  <c r="BU31" i="20"/>
  <c r="BU23" i="20"/>
  <c r="BU48" i="20"/>
  <c r="BU39" i="20"/>
  <c r="BU40" i="20"/>
  <c r="BU32" i="20"/>
  <c r="L57" i="20"/>
  <c r="O56" i="20"/>
  <c r="L58" i="20" l="1"/>
  <c r="O57" i="20"/>
  <c r="AD57" i="20"/>
  <c r="AG56" i="20"/>
  <c r="AD58" i="20" l="1"/>
  <c r="AG57" i="20"/>
  <c r="L59" i="20"/>
  <c r="O58" i="20"/>
  <c r="L60" i="20" l="1"/>
  <c r="O59" i="20"/>
  <c r="AD59" i="20"/>
  <c r="AG58" i="20"/>
  <c r="AD60" i="20" l="1"/>
  <c r="AG59" i="20"/>
  <c r="L61" i="20"/>
  <c r="O60" i="20"/>
  <c r="L62" i="20" l="1"/>
  <c r="O61" i="20"/>
  <c r="AD61" i="20"/>
  <c r="AG60" i="20"/>
  <c r="AD62" i="20" l="1"/>
  <c r="AG61" i="20"/>
  <c r="L63" i="20"/>
  <c r="O62" i="20"/>
  <c r="L64" i="20" l="1"/>
  <c r="O63" i="20"/>
  <c r="AD63" i="20"/>
  <c r="AG62" i="20"/>
  <c r="AD64" i="20" l="1"/>
  <c r="AG63" i="20"/>
  <c r="L65" i="20"/>
  <c r="O64" i="20"/>
  <c r="L66" i="20" l="1"/>
  <c r="O65" i="20"/>
  <c r="AD65" i="20"/>
  <c r="AG64" i="20"/>
  <c r="AD66" i="20" l="1"/>
  <c r="AG65" i="20"/>
  <c r="L67" i="20"/>
  <c r="O66" i="20"/>
  <c r="L68" i="20" l="1"/>
  <c r="O67" i="20"/>
  <c r="AD67" i="20"/>
  <c r="AG66" i="20"/>
  <c r="AD68" i="20" l="1"/>
  <c r="AG67" i="20"/>
  <c r="L69" i="20"/>
  <c r="O68" i="20"/>
  <c r="L70" i="20" l="1"/>
  <c r="O69" i="20"/>
  <c r="AD69" i="20"/>
  <c r="AG68" i="20"/>
  <c r="AD70" i="20" l="1"/>
  <c r="AG69" i="20"/>
  <c r="L71" i="20"/>
  <c r="O70" i="20"/>
  <c r="L72" i="20" l="1"/>
  <c r="O71" i="20"/>
  <c r="AD71" i="20"/>
  <c r="AG70" i="20"/>
  <c r="AD72" i="20" l="1"/>
  <c r="AG71" i="20"/>
  <c r="L73" i="20"/>
  <c r="O72" i="20"/>
  <c r="L74" i="20" l="1"/>
  <c r="O74" i="20" s="1"/>
  <c r="O75" i="20" s="1"/>
  <c r="O73" i="20"/>
  <c r="AD73" i="20"/>
  <c r="AG72" i="20"/>
  <c r="AD74" i="20" l="1"/>
  <c r="AG74" i="20" s="1"/>
  <c r="AG75" i="20" s="1"/>
  <c r="AG73" i="20"/>
  <c r="P6" i="20"/>
  <c r="P26" i="20"/>
  <c r="P45" i="20"/>
  <c r="P68" i="20"/>
  <c r="P28" i="20"/>
  <c r="P50" i="20"/>
  <c r="P69" i="20"/>
  <c r="P10" i="20"/>
  <c r="P29" i="20"/>
  <c r="P52" i="20"/>
  <c r="P74" i="20"/>
  <c r="P12" i="20"/>
  <c r="P34" i="20"/>
  <c r="P53" i="20"/>
  <c r="P13" i="20"/>
  <c r="P36" i="20"/>
  <c r="P58" i="20"/>
  <c r="P18" i="20"/>
  <c r="P37" i="20"/>
  <c r="P60" i="20"/>
  <c r="P20" i="20"/>
  <c r="P21" i="20"/>
  <c r="P42" i="20"/>
  <c r="P61" i="20"/>
  <c r="P66" i="20"/>
  <c r="P44" i="20"/>
  <c r="P19" i="20"/>
  <c r="P25" i="20"/>
  <c r="P32" i="20"/>
  <c r="P39" i="20"/>
  <c r="P46" i="20"/>
  <c r="P65" i="20"/>
  <c r="P15" i="20"/>
  <c r="P27" i="20"/>
  <c r="P54" i="20"/>
  <c r="P5" i="20"/>
  <c r="P11" i="20"/>
  <c r="P17" i="20"/>
  <c r="P24" i="20"/>
  <c r="P31" i="20"/>
  <c r="P38" i="20"/>
  <c r="P59" i="20"/>
  <c r="P8" i="20"/>
  <c r="P47" i="20"/>
  <c r="P67" i="20"/>
  <c r="P73" i="20"/>
  <c r="P9" i="20"/>
  <c r="P16" i="20"/>
  <c r="P23" i="20"/>
  <c r="P30" i="20"/>
  <c r="P72" i="20"/>
  <c r="P22" i="20"/>
  <c r="P51" i="20"/>
  <c r="P57" i="20"/>
  <c r="P64" i="20"/>
  <c r="P71" i="20"/>
  <c r="P7" i="20"/>
  <c r="P14" i="20"/>
  <c r="P41" i="20"/>
  <c r="P55" i="20"/>
  <c r="P33" i="20"/>
  <c r="P43" i="20"/>
  <c r="P49" i="20"/>
  <c r="P56" i="20"/>
  <c r="P63" i="20"/>
  <c r="P70" i="20"/>
  <c r="P35" i="20"/>
  <c r="P48" i="20"/>
  <c r="P62" i="20"/>
  <c r="P40" i="20"/>
  <c r="AH12" i="20" l="1"/>
  <c r="AH20" i="20"/>
  <c r="AH28" i="20"/>
  <c r="AH36" i="20"/>
  <c r="AH44" i="20"/>
  <c r="AH52" i="20"/>
  <c r="AH60" i="20"/>
  <c r="AH68" i="20"/>
  <c r="AH13" i="20"/>
  <c r="AH21" i="20"/>
  <c r="AH29" i="20"/>
  <c r="AH37" i="20"/>
  <c r="AH45" i="20"/>
  <c r="AH53" i="20"/>
  <c r="AH61" i="20"/>
  <c r="AH69" i="20"/>
  <c r="AH6" i="20"/>
  <c r="AH14" i="20"/>
  <c r="AH22" i="20"/>
  <c r="AH30" i="20"/>
  <c r="AH38" i="20"/>
  <c r="AH46" i="20"/>
  <c r="AH54" i="20"/>
  <c r="AH62" i="20"/>
  <c r="AH70" i="20"/>
  <c r="AH7" i="20"/>
  <c r="AH15" i="20"/>
  <c r="AH23" i="20"/>
  <c r="AH31" i="20"/>
  <c r="AH39" i="20"/>
  <c r="AH47" i="20"/>
  <c r="AH55" i="20"/>
  <c r="AH63" i="20"/>
  <c r="AH71" i="20"/>
  <c r="AH8" i="20"/>
  <c r="AH16" i="20"/>
  <c r="AH24" i="20"/>
  <c r="AH32" i="20"/>
  <c r="AH40" i="20"/>
  <c r="AH48" i="20"/>
  <c r="AH56" i="20"/>
  <c r="AH64" i="20"/>
  <c r="AH72" i="20"/>
  <c r="AH9" i="20"/>
  <c r="AH17" i="20"/>
  <c r="AH25" i="20"/>
  <c r="AH33" i="20"/>
  <c r="AH41" i="20"/>
  <c r="AH49" i="20"/>
  <c r="AH57" i="20"/>
  <c r="AH65" i="20"/>
  <c r="AH73" i="20"/>
  <c r="AH18" i="20"/>
  <c r="AH50" i="20"/>
  <c r="AH19" i="20"/>
  <c r="AH51" i="20"/>
  <c r="AH26" i="20"/>
  <c r="AH58" i="20"/>
  <c r="AH34" i="20"/>
  <c r="AH66" i="20"/>
  <c r="AH10" i="20"/>
  <c r="AH74" i="20"/>
  <c r="AH35" i="20"/>
  <c r="AH67" i="20"/>
  <c r="AH42" i="20"/>
  <c r="AH27" i="20"/>
  <c r="AH43" i="20"/>
  <c r="AH59" i="20"/>
  <c r="AH5" i="20"/>
  <c r="AH11" i="20"/>
  <c r="E29" i="12"/>
  <c r="AC19" i="21" s="1"/>
  <c r="AC20" i="21" s="1"/>
  <c r="AC26" i="21" l="1"/>
  <c r="AD26" i="21" s="1"/>
  <c r="AC25" i="21"/>
  <c r="AD25" i="21" s="1"/>
  <c r="EO94" i="14" l="1"/>
  <c r="EO95" i="14"/>
  <c r="EO96" i="14"/>
  <c r="EO97" i="14"/>
  <c r="EO98" i="14"/>
  <c r="EO99" i="14"/>
  <c r="EO100" i="14"/>
  <c r="EO101" i="14"/>
  <c r="EO102" i="14"/>
  <c r="EO103" i="14"/>
  <c r="EO104" i="14"/>
  <c r="EO105" i="14"/>
  <c r="EO106" i="14"/>
  <c r="EO107" i="14"/>
  <c r="EO108" i="14"/>
  <c r="EO109" i="14"/>
  <c r="EO110" i="14"/>
  <c r="EO111" i="14"/>
  <c r="EO112" i="14"/>
  <c r="EO113" i="14"/>
  <c r="EO114" i="14"/>
  <c r="EO115" i="14"/>
  <c r="EO116" i="14"/>
  <c r="EO117" i="14"/>
  <c r="EO118" i="14"/>
  <c r="EO119" i="14"/>
  <c r="EO120" i="14"/>
  <c r="EO121" i="14"/>
  <c r="EO122" i="14"/>
  <c r="EO123" i="14"/>
  <c r="EO124" i="14"/>
  <c r="EO125" i="14"/>
  <c r="EO93" i="14"/>
  <c r="DR94" i="14"/>
  <c r="DR95" i="14"/>
  <c r="DR96" i="14"/>
  <c r="DR97" i="14"/>
  <c r="DR98" i="14"/>
  <c r="DR99" i="14"/>
  <c r="DR100" i="14"/>
  <c r="DR101" i="14"/>
  <c r="DR102" i="14"/>
  <c r="DR103" i="14"/>
  <c r="DR104" i="14"/>
  <c r="DR105" i="14"/>
  <c r="DR106" i="14"/>
  <c r="DR107" i="14"/>
  <c r="DR108" i="14"/>
  <c r="DR109" i="14"/>
  <c r="DR110" i="14"/>
  <c r="DR111" i="14"/>
  <c r="DR112" i="14"/>
  <c r="DR113" i="14"/>
  <c r="DR114" i="14"/>
  <c r="DR115" i="14"/>
  <c r="DR116" i="14"/>
  <c r="DR117" i="14"/>
  <c r="DR118" i="14"/>
  <c r="DR119" i="14"/>
  <c r="DR120" i="14"/>
  <c r="DR121" i="14"/>
  <c r="DR122" i="14"/>
  <c r="DR123" i="14"/>
  <c r="DR124" i="14"/>
  <c r="DR125" i="14"/>
  <c r="DR126" i="14"/>
  <c r="DR127" i="14"/>
  <c r="DR128" i="14"/>
  <c r="DR129" i="14"/>
  <c r="DR130" i="14"/>
  <c r="DR131" i="14"/>
  <c r="DR132" i="14"/>
  <c r="DR133" i="14"/>
  <c r="DR134" i="14"/>
  <c r="DR135" i="14"/>
  <c r="DR136" i="14"/>
  <c r="DR137" i="14"/>
  <c r="DR138" i="14"/>
  <c r="DR139" i="14"/>
  <c r="DR140" i="14"/>
  <c r="DR93" i="14"/>
  <c r="CT94" i="14"/>
  <c r="CT95" i="14"/>
  <c r="CT96" i="14"/>
  <c r="CT97" i="14"/>
  <c r="CT98" i="14"/>
  <c r="CT99" i="14"/>
  <c r="CT100" i="14"/>
  <c r="CT101" i="14"/>
  <c r="CT102" i="14"/>
  <c r="CT103" i="14"/>
  <c r="CT104" i="14"/>
  <c r="CT105" i="14"/>
  <c r="CT106" i="14"/>
  <c r="CT107" i="14"/>
  <c r="CT108" i="14"/>
  <c r="CT109" i="14"/>
  <c r="CT110" i="14"/>
  <c r="CT111" i="14"/>
  <c r="CT112" i="14"/>
  <c r="CT113" i="14"/>
  <c r="CT114" i="14"/>
  <c r="CT115" i="14"/>
  <c r="CT116" i="14"/>
  <c r="CT117" i="14"/>
  <c r="CT118" i="14"/>
  <c r="CT119" i="14"/>
  <c r="CT120" i="14"/>
  <c r="CT121" i="14"/>
  <c r="CT122" i="14"/>
  <c r="CT123" i="14"/>
  <c r="CT124" i="14"/>
  <c r="CT125" i="14"/>
  <c r="CT126" i="14"/>
  <c r="CT127" i="14"/>
  <c r="CT128" i="14"/>
  <c r="CT129" i="14"/>
  <c r="CT130" i="14"/>
  <c r="CT131" i="14"/>
  <c r="CT132" i="14"/>
  <c r="CT133" i="14"/>
  <c r="CT93" i="14"/>
  <c r="BX94" i="14"/>
  <c r="BX95" i="14"/>
  <c r="BX96" i="14"/>
  <c r="BX97" i="14"/>
  <c r="BX98" i="14"/>
  <c r="BX99" i="14"/>
  <c r="BX100" i="14"/>
  <c r="BX101" i="14"/>
  <c r="BX102" i="14"/>
  <c r="BX103" i="14"/>
  <c r="BX104" i="14"/>
  <c r="BX105" i="14"/>
  <c r="BX106" i="14"/>
  <c r="BX107" i="14"/>
  <c r="BX108" i="14"/>
  <c r="BX109" i="14"/>
  <c r="BX110" i="14"/>
  <c r="BX111" i="14"/>
  <c r="BX112" i="14"/>
  <c r="BX113" i="14"/>
  <c r="BX114" i="14"/>
  <c r="BX115" i="14"/>
  <c r="BX116" i="14"/>
  <c r="BX117" i="14"/>
  <c r="BX118" i="14"/>
  <c r="BX119" i="14"/>
  <c r="BX120" i="14"/>
  <c r="BX121" i="14"/>
  <c r="BX122" i="14"/>
  <c r="BX123" i="14"/>
  <c r="BX124" i="14"/>
  <c r="BX125" i="14"/>
  <c r="BX126" i="14"/>
  <c r="BX127" i="14"/>
  <c r="BX128" i="14"/>
  <c r="BX129" i="14"/>
  <c r="BX130" i="14"/>
  <c r="BX131" i="14"/>
  <c r="BX132" i="14"/>
  <c r="BX133" i="14"/>
  <c r="BX134" i="14"/>
  <c r="BX135" i="14"/>
  <c r="BX136" i="14"/>
  <c r="BX137" i="14"/>
  <c r="BX138" i="14"/>
  <c r="BX139" i="14"/>
  <c r="BX140" i="14"/>
  <c r="BX141" i="14"/>
  <c r="BX142" i="14"/>
  <c r="BX143" i="14"/>
  <c r="BX144" i="14"/>
  <c r="BX93" i="14"/>
  <c r="BA94" i="14"/>
  <c r="BA95" i="14"/>
  <c r="BA96" i="14"/>
  <c r="BA97" i="14"/>
  <c r="BA98" i="14"/>
  <c r="BA99" i="14"/>
  <c r="BA100" i="14"/>
  <c r="BA101" i="14"/>
  <c r="BA102" i="14"/>
  <c r="BA103" i="14"/>
  <c r="BA104" i="14"/>
  <c r="BA105" i="14"/>
  <c r="BA106" i="14"/>
  <c r="BA107" i="14"/>
  <c r="BA108" i="14"/>
  <c r="BA109" i="14"/>
  <c r="BA110" i="14"/>
  <c r="BA111" i="14"/>
  <c r="BA112" i="14"/>
  <c r="BA113" i="14"/>
  <c r="BA114" i="14"/>
  <c r="BA115" i="14"/>
  <c r="BA116" i="14"/>
  <c r="BA117" i="14"/>
  <c r="BA118" i="14"/>
  <c r="BA119" i="14"/>
  <c r="BA120" i="14"/>
  <c r="BA121" i="14"/>
  <c r="BA122" i="14"/>
  <c r="BA123" i="14"/>
  <c r="BA124" i="14"/>
  <c r="BA125" i="14"/>
  <c r="BA126" i="14"/>
  <c r="BA127" i="14"/>
  <c r="BA128" i="14"/>
  <c r="BA129" i="14"/>
  <c r="BA93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94" i="14"/>
  <c r="AC95" i="14"/>
  <c r="AC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93" i="14"/>
  <c r="FA9" i="14" a="1"/>
  <c r="FA9" i="14" s="1"/>
  <c r="FA10" i="14" a="1"/>
  <c r="FA10" i="14" s="1"/>
  <c r="FA11" i="14" a="1"/>
  <c r="FA11" i="14" s="1"/>
  <c r="FA12" i="14" a="1"/>
  <c r="FA12" i="14"/>
  <c r="FA13" i="14" a="1"/>
  <c r="FA13" i="14" s="1"/>
  <c r="FA14" i="14" a="1"/>
  <c r="FA14" i="14" s="1"/>
  <c r="FA15" i="14" a="1"/>
  <c r="FA15" i="14" s="1"/>
  <c r="FA16" i="14" a="1"/>
  <c r="FA16" i="14"/>
  <c r="FA17" i="14" a="1"/>
  <c r="FA17" i="14" s="1"/>
  <c r="FA18" i="14" a="1"/>
  <c r="FA18" i="14" s="1"/>
  <c r="FA19" i="14" a="1"/>
  <c r="FA19" i="14" s="1"/>
  <c r="FA20" i="14" a="1"/>
  <c r="FA20" i="14"/>
  <c r="FA21" i="14" a="1"/>
  <c r="FA21" i="14" s="1"/>
  <c r="FA22" i="14" a="1"/>
  <c r="FA22" i="14" s="1"/>
  <c r="FA23" i="14" a="1"/>
  <c r="FA23" i="14" s="1"/>
  <c r="FA24" i="14" a="1"/>
  <c r="FA24" i="14"/>
  <c r="FA25" i="14" a="1"/>
  <c r="FA25" i="14" s="1"/>
  <c r="FA26" i="14" a="1"/>
  <c r="FA26" i="14" s="1"/>
  <c r="FA27" i="14" a="1"/>
  <c r="FA27" i="14" s="1"/>
  <c r="FA28" i="14" a="1"/>
  <c r="FA28" i="14"/>
  <c r="FA29" i="14" a="1"/>
  <c r="FA29" i="14" s="1"/>
  <c r="FA30" i="14" a="1"/>
  <c r="FA30" i="14" s="1"/>
  <c r="FA31" i="14" a="1"/>
  <c r="FA31" i="14" s="1"/>
  <c r="FA32" i="14" a="1"/>
  <c r="FA32" i="14"/>
  <c r="FA33" i="14" a="1"/>
  <c r="FA33" i="14" s="1"/>
  <c r="FA34" i="14" a="1"/>
  <c r="FA34" i="14" s="1"/>
  <c r="FA35" i="14" a="1"/>
  <c r="FA35" i="14" s="1"/>
  <c r="FA36" i="14" a="1"/>
  <c r="FA36" i="14"/>
  <c r="FA37" i="14" a="1"/>
  <c r="FA37" i="14" s="1"/>
  <c r="FA38" i="14" a="1"/>
  <c r="FA38" i="14" s="1"/>
  <c r="FA39" i="14" a="1"/>
  <c r="FA39" i="14" s="1"/>
  <c r="FA40" i="14" a="1"/>
  <c r="FA40" i="14"/>
  <c r="FA8" i="14" a="1"/>
  <c r="FA8" i="14" s="1"/>
  <c r="ED45" i="14" a="1"/>
  <c r="ED45" i="14" s="1"/>
  <c r="DF22" i="14" a="1"/>
  <c r="DF22" i="14" s="1"/>
  <c r="DF25" i="14" a="1"/>
  <c r="DF25" i="14" s="1"/>
  <c r="EY9" i="14"/>
  <c r="EY10" i="14"/>
  <c r="EZ10" i="14" s="1"/>
  <c r="EY11" i="14"/>
  <c r="EY12" i="14"/>
  <c r="EZ12" i="14" s="1"/>
  <c r="EY13" i="14"/>
  <c r="EZ13" i="14" s="1"/>
  <c r="EY14" i="14"/>
  <c r="EY15" i="14"/>
  <c r="EY16" i="14"/>
  <c r="EY17" i="14"/>
  <c r="EY18" i="14"/>
  <c r="EZ18" i="14" s="1"/>
  <c r="EY19" i="14"/>
  <c r="EY20" i="14"/>
  <c r="EZ20" i="14" s="1"/>
  <c r="EY21" i="14"/>
  <c r="EY22" i="14"/>
  <c r="EY23" i="14"/>
  <c r="EY24" i="14"/>
  <c r="EY25" i="14"/>
  <c r="EY26" i="14"/>
  <c r="EZ26" i="14" s="1"/>
  <c r="EY27" i="14"/>
  <c r="EY28" i="14"/>
  <c r="EZ28" i="14" s="1"/>
  <c r="EY29" i="14"/>
  <c r="EZ29" i="14" s="1"/>
  <c r="EY30" i="14"/>
  <c r="EY31" i="14"/>
  <c r="EY32" i="14"/>
  <c r="EY33" i="14"/>
  <c r="EY34" i="14"/>
  <c r="EZ34" i="14" s="1"/>
  <c r="EY35" i="14"/>
  <c r="EY36" i="14"/>
  <c r="EZ36" i="14" s="1"/>
  <c r="EY37" i="14"/>
  <c r="EY38" i="14"/>
  <c r="EY39" i="14"/>
  <c r="EY40" i="14"/>
  <c r="EY8" i="14"/>
  <c r="EB9" i="14"/>
  <c r="EC9" i="14" s="1"/>
  <c r="EB10" i="14"/>
  <c r="EB11" i="14"/>
  <c r="EC11" i="14" s="1"/>
  <c r="EB12" i="14"/>
  <c r="EB13" i="14"/>
  <c r="EB14" i="14"/>
  <c r="EB15" i="14"/>
  <c r="EB16" i="14"/>
  <c r="EB17" i="14"/>
  <c r="EC17" i="14" s="1"/>
  <c r="EB18" i="14"/>
  <c r="EB19" i="14"/>
  <c r="EC19" i="14" s="1"/>
  <c r="EB20" i="14"/>
  <c r="EC20" i="14" s="1"/>
  <c r="EB21" i="14"/>
  <c r="EB22" i="14"/>
  <c r="EB23" i="14"/>
  <c r="EB24" i="14"/>
  <c r="EB25" i="14"/>
  <c r="EC25" i="14" s="1"/>
  <c r="EB26" i="14"/>
  <c r="EB27" i="14"/>
  <c r="EC27" i="14" s="1"/>
  <c r="EB28" i="14"/>
  <c r="EC28" i="14" s="1"/>
  <c r="EB29" i="14"/>
  <c r="EB30" i="14"/>
  <c r="EC30" i="14" s="1"/>
  <c r="EB31" i="14"/>
  <c r="EB32" i="14"/>
  <c r="EB33" i="14"/>
  <c r="EC33" i="14" s="1"/>
  <c r="EB34" i="14"/>
  <c r="EC34" i="14" s="1"/>
  <c r="EB35" i="14"/>
  <c r="EC35" i="14" s="1"/>
  <c r="EB36" i="14"/>
  <c r="EC36" i="14" s="1"/>
  <c r="EB37" i="14"/>
  <c r="EB38" i="14"/>
  <c r="EB39" i="14"/>
  <c r="EB40" i="14"/>
  <c r="EB41" i="14"/>
  <c r="EC41" i="14" s="1"/>
  <c r="EB42" i="14"/>
  <c r="EB43" i="14"/>
  <c r="EC43" i="14" s="1"/>
  <c r="EB44" i="14"/>
  <c r="EC44" i="14" s="1"/>
  <c r="EB45" i="14"/>
  <c r="EB46" i="14"/>
  <c r="EB47" i="14"/>
  <c r="EB48" i="14"/>
  <c r="EB49" i="14"/>
  <c r="EC49" i="14" s="1"/>
  <c r="EB50" i="14"/>
  <c r="EC50" i="14" s="1"/>
  <c r="EB51" i="14"/>
  <c r="EC51" i="14" s="1"/>
  <c r="EB52" i="14"/>
  <c r="EB53" i="14"/>
  <c r="EB54" i="14"/>
  <c r="EB55" i="14"/>
  <c r="EB8" i="14"/>
  <c r="DD9" i="14"/>
  <c r="DD10" i="14"/>
  <c r="DD11" i="14"/>
  <c r="DE11" i="14" s="1"/>
  <c r="DD12" i="14"/>
  <c r="DE12" i="14" s="1"/>
  <c r="DD13" i="14"/>
  <c r="DD14" i="14"/>
  <c r="DD15" i="14"/>
  <c r="DD16" i="14"/>
  <c r="DD17" i="14"/>
  <c r="DE17" i="14" s="1"/>
  <c r="DD18" i="14"/>
  <c r="DD19" i="14"/>
  <c r="DE19" i="14" s="1"/>
  <c r="DD20" i="14"/>
  <c r="DE20" i="14" s="1"/>
  <c r="DD21" i="14"/>
  <c r="DE21" i="14" s="1"/>
  <c r="DD22" i="14"/>
  <c r="DD23" i="14"/>
  <c r="DD24" i="14"/>
  <c r="DD25" i="14"/>
  <c r="DE25" i="14" s="1"/>
  <c r="DD26" i="14"/>
  <c r="DD27" i="14"/>
  <c r="DE27" i="14" s="1"/>
  <c r="DD28" i="14"/>
  <c r="DD29" i="14"/>
  <c r="DD30" i="14"/>
  <c r="DD31" i="14"/>
  <c r="DD32" i="14"/>
  <c r="DD33" i="14"/>
  <c r="DE33" i="14" s="1"/>
  <c r="DD34" i="14"/>
  <c r="DD35" i="14"/>
  <c r="DE35" i="14" s="1"/>
  <c r="DD36" i="14"/>
  <c r="DE36" i="14" s="1"/>
  <c r="DD37" i="14"/>
  <c r="DD38" i="14"/>
  <c r="DD39" i="14"/>
  <c r="DD40" i="14"/>
  <c r="DD41" i="14"/>
  <c r="DE41" i="14" s="1"/>
  <c r="DD42" i="14"/>
  <c r="DD43" i="14"/>
  <c r="DE43" i="14" s="1"/>
  <c r="DD44" i="14"/>
  <c r="DE44" i="14" s="1"/>
  <c r="DD45" i="14"/>
  <c r="DD46" i="14"/>
  <c r="DD47" i="14"/>
  <c r="DD48" i="14"/>
  <c r="DD8" i="14"/>
  <c r="CH9" i="14"/>
  <c r="CH10" i="14"/>
  <c r="CI10" i="14" s="1"/>
  <c r="CH11" i="14"/>
  <c r="CI11" i="14" s="1"/>
  <c r="CH12" i="14"/>
  <c r="CH13" i="14"/>
  <c r="CH14" i="14"/>
  <c r="CH15" i="14"/>
  <c r="CH16" i="14"/>
  <c r="CH17" i="14"/>
  <c r="CH18" i="14"/>
  <c r="CI18" i="14" s="1"/>
  <c r="CH19" i="14"/>
  <c r="CI19" i="14" s="1"/>
  <c r="CH20" i="14"/>
  <c r="CH21" i="14"/>
  <c r="CH22" i="14"/>
  <c r="CH23" i="14"/>
  <c r="CH24" i="14"/>
  <c r="CH25" i="14"/>
  <c r="CH26" i="14"/>
  <c r="CI26" i="14" s="1"/>
  <c r="CH27" i="14"/>
  <c r="CI27" i="14" s="1"/>
  <c r="CH28" i="14"/>
  <c r="CH29" i="14"/>
  <c r="CH30" i="14"/>
  <c r="CH31" i="14"/>
  <c r="CH32" i="14"/>
  <c r="CH33" i="14"/>
  <c r="CH34" i="14"/>
  <c r="CI34" i="14" s="1"/>
  <c r="CH35" i="14"/>
  <c r="CH36" i="14"/>
  <c r="CH37" i="14"/>
  <c r="CH38" i="14"/>
  <c r="CH39" i="14"/>
  <c r="CH40" i="14"/>
  <c r="CH41" i="14"/>
  <c r="CH42" i="14"/>
  <c r="CI42" i="14" s="1"/>
  <c r="CH43" i="14"/>
  <c r="CH44" i="14"/>
  <c r="CH45" i="14"/>
  <c r="CH46" i="14"/>
  <c r="CH47" i="14"/>
  <c r="CH48" i="14"/>
  <c r="CH49" i="14"/>
  <c r="CH50" i="14"/>
  <c r="CI50" i="14" s="1"/>
  <c r="CH51" i="14"/>
  <c r="CI51" i="14" s="1"/>
  <c r="CH52" i="14"/>
  <c r="CH53" i="14"/>
  <c r="CH54" i="14"/>
  <c r="CH55" i="14"/>
  <c r="CH56" i="14"/>
  <c r="CH57" i="14"/>
  <c r="CH58" i="14"/>
  <c r="CI58" i="14" s="1"/>
  <c r="CH59" i="14"/>
  <c r="CI59" i="14" s="1"/>
  <c r="CH8" i="14"/>
  <c r="BK9" i="14"/>
  <c r="BK10" i="14"/>
  <c r="BK11" i="14"/>
  <c r="BK12" i="14"/>
  <c r="BL12" i="14" s="1"/>
  <c r="BK13" i="14"/>
  <c r="BK14" i="14"/>
  <c r="BK15" i="14"/>
  <c r="BK16" i="14"/>
  <c r="BK17" i="14"/>
  <c r="BK18" i="14"/>
  <c r="BK19" i="14"/>
  <c r="BK20" i="14"/>
  <c r="BL20" i="14" s="1"/>
  <c r="BK21" i="14"/>
  <c r="BK22" i="14"/>
  <c r="BK23" i="14"/>
  <c r="BK24" i="14"/>
  <c r="BK25" i="14"/>
  <c r="BK26" i="14"/>
  <c r="BK27" i="14"/>
  <c r="BK28" i="14"/>
  <c r="BL28" i="14" s="1"/>
  <c r="BK29" i="14"/>
  <c r="BK30" i="14"/>
  <c r="BK31" i="14"/>
  <c r="BL31" i="14" s="1"/>
  <c r="BK32" i="14"/>
  <c r="BK33" i="14"/>
  <c r="BK34" i="14"/>
  <c r="BK35" i="14"/>
  <c r="BK36" i="14"/>
  <c r="BL36" i="14" s="1"/>
  <c r="BK37" i="14"/>
  <c r="BK38" i="14"/>
  <c r="BK39" i="14"/>
  <c r="BL39" i="14" s="1"/>
  <c r="BK40" i="14"/>
  <c r="BK41" i="14"/>
  <c r="BK42" i="14"/>
  <c r="BK43" i="14"/>
  <c r="BK44" i="14"/>
  <c r="BL44" i="14" s="1"/>
  <c r="BK8" i="14"/>
  <c r="AO41" i="14"/>
  <c r="AP41" i="14" s="1"/>
  <c r="AO42" i="14"/>
  <c r="AP42" i="14" s="1"/>
  <c r="AO43" i="14"/>
  <c r="AO44" i="14"/>
  <c r="AO45" i="14"/>
  <c r="AO46" i="14"/>
  <c r="AO47" i="14"/>
  <c r="AO48" i="14"/>
  <c r="AO49" i="14"/>
  <c r="AP49" i="14" s="1"/>
  <c r="AO50" i="14"/>
  <c r="AP50" i="14" s="1"/>
  <c r="AO51" i="14"/>
  <c r="AO52" i="14"/>
  <c r="AO53" i="14"/>
  <c r="AO54" i="14"/>
  <c r="AO55" i="14"/>
  <c r="AP55" i="14" s="1"/>
  <c r="AO56" i="14"/>
  <c r="AO57" i="14"/>
  <c r="AP57" i="14" s="1"/>
  <c r="AO58" i="14"/>
  <c r="AP58" i="14" s="1"/>
  <c r="AO59" i="14"/>
  <c r="AO60" i="14"/>
  <c r="AO61" i="14"/>
  <c r="AO62" i="14"/>
  <c r="AO63" i="14"/>
  <c r="AP63" i="14" s="1"/>
  <c r="AO64" i="14"/>
  <c r="AO65" i="14"/>
  <c r="AP65" i="14" s="1"/>
  <c r="AO66" i="14"/>
  <c r="AP66" i="14" s="1"/>
  <c r="AO67" i="14"/>
  <c r="AO68" i="14"/>
  <c r="AO69" i="14"/>
  <c r="AO70" i="14"/>
  <c r="AO71" i="14"/>
  <c r="AP71" i="14" s="1"/>
  <c r="AO72" i="14"/>
  <c r="AO73" i="14"/>
  <c r="AP73" i="14" s="1"/>
  <c r="AO74" i="14"/>
  <c r="AP74" i="14" s="1"/>
  <c r="AO75" i="14"/>
  <c r="AO76" i="14"/>
  <c r="AO77" i="14"/>
  <c r="AO11" i="14"/>
  <c r="AO12" i="14"/>
  <c r="AP12" i="14" s="1"/>
  <c r="AO13" i="14"/>
  <c r="AP13" i="14" s="1"/>
  <c r="AO14" i="14"/>
  <c r="AQ14" i="14" s="1" a="1"/>
  <c r="AQ14" i="14" s="1"/>
  <c r="BM37" i="14" s="1" a="1"/>
  <c r="BM37" i="14" s="1"/>
  <c r="AO15" i="14"/>
  <c r="AP15" i="14" s="1"/>
  <c r="AO16" i="14"/>
  <c r="AO17" i="14"/>
  <c r="AO18" i="14"/>
  <c r="AO19" i="14"/>
  <c r="AO20" i="14"/>
  <c r="AP20" i="14" s="1"/>
  <c r="AO21" i="14"/>
  <c r="AO22" i="14"/>
  <c r="AP22" i="14" s="1"/>
  <c r="AO23" i="14"/>
  <c r="AP23" i="14" s="1"/>
  <c r="AO24" i="14"/>
  <c r="AO25" i="14"/>
  <c r="AO26" i="14"/>
  <c r="AO27" i="14"/>
  <c r="AO28" i="14"/>
  <c r="AP28" i="14" s="1"/>
  <c r="AO29" i="14"/>
  <c r="AO30" i="14"/>
  <c r="AP30" i="14" s="1"/>
  <c r="AO31" i="14"/>
  <c r="AP31" i="14" s="1"/>
  <c r="AO32" i="14"/>
  <c r="AO33" i="14"/>
  <c r="AO34" i="14"/>
  <c r="AO35" i="14"/>
  <c r="AO36" i="14"/>
  <c r="AP36" i="14" s="1"/>
  <c r="AO37" i="14"/>
  <c r="AO38" i="14"/>
  <c r="AP38" i="14" s="1"/>
  <c r="AO39" i="14"/>
  <c r="AP39" i="14" s="1"/>
  <c r="AO40" i="14"/>
  <c r="AO9" i="14"/>
  <c r="AO10" i="14"/>
  <c r="AO8" i="14"/>
  <c r="Q9" i="14"/>
  <c r="R9" i="14" s="1"/>
  <c r="Q10" i="14"/>
  <c r="R10" i="14" s="1"/>
  <c r="Q11" i="14"/>
  <c r="Q12" i="14"/>
  <c r="Q13" i="14"/>
  <c r="O98" i="14" s="1"/>
  <c r="Q14" i="14"/>
  <c r="O99" i="14" s="1"/>
  <c r="Q15" i="14"/>
  <c r="Q16" i="14"/>
  <c r="Q17" i="14"/>
  <c r="R17" i="14" s="1"/>
  <c r="Q18" i="14"/>
  <c r="R18" i="14" s="1"/>
  <c r="Q19" i="14"/>
  <c r="R19" i="14" s="1"/>
  <c r="Q20" i="14"/>
  <c r="Q21" i="14"/>
  <c r="O106" i="14" s="1"/>
  <c r="Q22" i="14"/>
  <c r="O107" i="14" s="1"/>
  <c r="Q23" i="14"/>
  <c r="Q24" i="14"/>
  <c r="Q25" i="14"/>
  <c r="R25" i="14" s="1"/>
  <c r="Q26" i="14"/>
  <c r="R26" i="14" s="1"/>
  <c r="Q27" i="14"/>
  <c r="R27" i="14" s="1"/>
  <c r="Q28" i="14"/>
  <c r="Q29" i="14"/>
  <c r="O114" i="14" s="1"/>
  <c r="Q30" i="14"/>
  <c r="Q31" i="14"/>
  <c r="O116" i="14" s="1"/>
  <c r="Q32" i="14"/>
  <c r="Q33" i="14"/>
  <c r="R33" i="14" s="1"/>
  <c r="Q34" i="14"/>
  <c r="Q35" i="14"/>
  <c r="R35" i="14" s="1"/>
  <c r="AQ36" i="14" s="1" a="1"/>
  <c r="AQ36" i="14" s="1"/>
  <c r="Q36" i="14"/>
  <c r="R36" i="14" s="1"/>
  <c r="AQ37" i="14" s="1" a="1"/>
  <c r="AQ37" i="14" s="1"/>
  <c r="Q37" i="14"/>
  <c r="O122" i="14" s="1"/>
  <c r="Q38" i="14"/>
  <c r="Q39" i="14"/>
  <c r="Q40" i="14"/>
  <c r="Q41" i="14"/>
  <c r="R41" i="14" s="1"/>
  <c r="AQ42" i="14" s="1" a="1"/>
  <c r="AQ42" i="14" s="1"/>
  <c r="Q42" i="14"/>
  <c r="R42" i="14" s="1"/>
  <c r="AQ43" i="14" s="1" a="1"/>
  <c r="AQ43" i="14" s="1"/>
  <c r="Q43" i="14"/>
  <c r="R43" i="14" s="1"/>
  <c r="AQ44" i="14" s="1" a="1"/>
  <c r="AQ44" i="14" s="1"/>
  <c r="Q44" i="14"/>
  <c r="Q45" i="14"/>
  <c r="O130" i="14" s="1"/>
  <c r="Q46" i="14"/>
  <c r="Q47" i="14"/>
  <c r="O132" i="14" s="1"/>
  <c r="Q48" i="14"/>
  <c r="Q49" i="14"/>
  <c r="R49" i="14" s="1"/>
  <c r="AQ50" i="14" s="1" a="1"/>
  <c r="AQ50" i="14" s="1"/>
  <c r="Q50" i="14"/>
  <c r="Q51" i="14"/>
  <c r="R51" i="14" s="1"/>
  <c r="AQ51" i="14" s="1" a="1"/>
  <c r="AQ51" i="14" s="1"/>
  <c r="Q52" i="14"/>
  <c r="Q53" i="14"/>
  <c r="O138" i="14" s="1"/>
  <c r="Q54" i="14"/>
  <c r="O139" i="14" s="1"/>
  <c r="Q55" i="14"/>
  <c r="Q56" i="14"/>
  <c r="Q57" i="14"/>
  <c r="R57" i="14" s="1"/>
  <c r="AQ57" i="14" s="1" a="1"/>
  <c r="AQ57" i="14" s="1"/>
  <c r="Q58" i="14"/>
  <c r="R58" i="14" s="1"/>
  <c r="AQ58" i="14" s="1" a="1"/>
  <c r="AQ58" i="14" s="1"/>
  <c r="Q59" i="14"/>
  <c r="Q60" i="14"/>
  <c r="Q61" i="14"/>
  <c r="O146" i="14" s="1"/>
  <c r="Q62" i="14"/>
  <c r="O147" i="14" s="1"/>
  <c r="Q63" i="14"/>
  <c r="Q64" i="14"/>
  <c r="Q65" i="14"/>
  <c r="R65" i="14" s="1"/>
  <c r="AQ65" i="14" s="1" a="1"/>
  <c r="AQ65" i="14" s="1"/>
  <c r="Q66" i="14"/>
  <c r="R66" i="14" s="1"/>
  <c r="AQ66" i="14" s="1" a="1"/>
  <c r="AQ66" i="14" s="1"/>
  <c r="Q67" i="14"/>
  <c r="R67" i="14" s="1"/>
  <c r="AQ67" i="14" s="1" a="1"/>
  <c r="AQ67" i="14" s="1"/>
  <c r="Q68" i="14"/>
  <c r="R68" i="14" s="1"/>
  <c r="AQ68" i="14" s="1" a="1"/>
  <c r="AQ68" i="14" s="1"/>
  <c r="Q69" i="14"/>
  <c r="O154" i="14" s="1"/>
  <c r="Q70" i="14"/>
  <c r="O155" i="14" s="1"/>
  <c r="Q71" i="14"/>
  <c r="Q72" i="14"/>
  <c r="Q73" i="14"/>
  <c r="R73" i="14" s="1"/>
  <c r="AQ73" i="14" s="1" a="1"/>
  <c r="AQ73" i="14" s="1"/>
  <c r="Q74" i="14"/>
  <c r="R74" i="14" s="1"/>
  <c r="AQ74" i="14" s="1" a="1"/>
  <c r="AQ74" i="14" s="1"/>
  <c r="Q75" i="14"/>
  <c r="R75" i="14" s="1"/>
  <c r="AQ75" i="14" s="1" a="1"/>
  <c r="AQ75" i="14" s="1"/>
  <c r="Q76" i="14"/>
  <c r="Q77" i="14"/>
  <c r="O162" i="14" s="1"/>
  <c r="Q8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175" i="14"/>
  <c r="AC244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175" i="14"/>
  <c r="BA176" i="14"/>
  <c r="BA177" i="14"/>
  <c r="BA178" i="14"/>
  <c r="BA179" i="14"/>
  <c r="BA180" i="14"/>
  <c r="BA181" i="14"/>
  <c r="BA182" i="14"/>
  <c r="BA183" i="14"/>
  <c r="BA184" i="14"/>
  <c r="BA185" i="14"/>
  <c r="BA186" i="14"/>
  <c r="BA187" i="14"/>
  <c r="BA188" i="14"/>
  <c r="BA189" i="14"/>
  <c r="BA190" i="14"/>
  <c r="BA191" i="14"/>
  <c r="BA192" i="14"/>
  <c r="BA193" i="14"/>
  <c r="BA194" i="14"/>
  <c r="BA195" i="14"/>
  <c r="BA196" i="14"/>
  <c r="BA197" i="14"/>
  <c r="BA198" i="14"/>
  <c r="BA199" i="14"/>
  <c r="BA200" i="14"/>
  <c r="BA201" i="14"/>
  <c r="BA202" i="14"/>
  <c r="BA203" i="14"/>
  <c r="BA204" i="14"/>
  <c r="BA205" i="14"/>
  <c r="BA206" i="14"/>
  <c r="BA207" i="14"/>
  <c r="BA208" i="14"/>
  <c r="BA209" i="14"/>
  <c r="BA210" i="14"/>
  <c r="BA211" i="14"/>
  <c r="BA175" i="14"/>
  <c r="BX176" i="14"/>
  <c r="BX177" i="14"/>
  <c r="BX178" i="14"/>
  <c r="BX179" i="14"/>
  <c r="BX180" i="14"/>
  <c r="BX181" i="14"/>
  <c r="BX182" i="14"/>
  <c r="BX183" i="14"/>
  <c r="BX184" i="14"/>
  <c r="BX185" i="14"/>
  <c r="BX186" i="14"/>
  <c r="BX187" i="14"/>
  <c r="BX188" i="14"/>
  <c r="BX189" i="14"/>
  <c r="BX190" i="14"/>
  <c r="BX191" i="14"/>
  <c r="BX192" i="14"/>
  <c r="BX193" i="14"/>
  <c r="BX194" i="14"/>
  <c r="BX195" i="14"/>
  <c r="BX196" i="14"/>
  <c r="BX197" i="14"/>
  <c r="BX198" i="14"/>
  <c r="BX199" i="14"/>
  <c r="BX200" i="14"/>
  <c r="BX201" i="14"/>
  <c r="BX202" i="14"/>
  <c r="BX203" i="14"/>
  <c r="BX204" i="14"/>
  <c r="BX205" i="14"/>
  <c r="BX206" i="14"/>
  <c r="BX207" i="14"/>
  <c r="BX208" i="14"/>
  <c r="BX209" i="14"/>
  <c r="BX210" i="14"/>
  <c r="BX211" i="14"/>
  <c r="BX212" i="14"/>
  <c r="BX213" i="14"/>
  <c r="BX214" i="14"/>
  <c r="BX215" i="14"/>
  <c r="BX216" i="14"/>
  <c r="BX217" i="14"/>
  <c r="BX218" i="14"/>
  <c r="BX219" i="14"/>
  <c r="BX220" i="14"/>
  <c r="BX221" i="14"/>
  <c r="BX222" i="14"/>
  <c r="BX223" i="14"/>
  <c r="BX224" i="14"/>
  <c r="BX225" i="14"/>
  <c r="BX226" i="14"/>
  <c r="BX175" i="14"/>
  <c r="CT176" i="14"/>
  <c r="CT177" i="14"/>
  <c r="CT178" i="14"/>
  <c r="CT179" i="14"/>
  <c r="CT180" i="14"/>
  <c r="CT181" i="14"/>
  <c r="CT182" i="14"/>
  <c r="CT183" i="14"/>
  <c r="CT184" i="14"/>
  <c r="CT185" i="14"/>
  <c r="CT186" i="14"/>
  <c r="CT187" i="14"/>
  <c r="CT188" i="14"/>
  <c r="CT189" i="14"/>
  <c r="CT190" i="14"/>
  <c r="CT191" i="14"/>
  <c r="CT192" i="14"/>
  <c r="CT193" i="14"/>
  <c r="CT194" i="14"/>
  <c r="CT195" i="14"/>
  <c r="CT196" i="14"/>
  <c r="CT197" i="14"/>
  <c r="CT198" i="14"/>
  <c r="CT199" i="14"/>
  <c r="CT200" i="14"/>
  <c r="CT201" i="14"/>
  <c r="CT202" i="14"/>
  <c r="CT203" i="14"/>
  <c r="CT204" i="14"/>
  <c r="CT205" i="14"/>
  <c r="CT206" i="14"/>
  <c r="CT207" i="14"/>
  <c r="CT208" i="14"/>
  <c r="CT209" i="14"/>
  <c r="CT210" i="14"/>
  <c r="CT211" i="14"/>
  <c r="CT212" i="14"/>
  <c r="CT213" i="14"/>
  <c r="CT214" i="14"/>
  <c r="CT215" i="14"/>
  <c r="CT175" i="14"/>
  <c r="EO176" i="14"/>
  <c r="EO177" i="14"/>
  <c r="EO178" i="14"/>
  <c r="EO179" i="14"/>
  <c r="EO180" i="14"/>
  <c r="EO181" i="14"/>
  <c r="EO182" i="14"/>
  <c r="EO183" i="14"/>
  <c r="EO184" i="14"/>
  <c r="EO185" i="14"/>
  <c r="EO186" i="14"/>
  <c r="EO187" i="14"/>
  <c r="EO188" i="14"/>
  <c r="EO189" i="14"/>
  <c r="EO190" i="14"/>
  <c r="EO191" i="14"/>
  <c r="EO192" i="14"/>
  <c r="EO193" i="14"/>
  <c r="EO194" i="14"/>
  <c r="EO195" i="14"/>
  <c r="EO196" i="14"/>
  <c r="EO197" i="14"/>
  <c r="EO198" i="14"/>
  <c r="EO199" i="14"/>
  <c r="EO200" i="14"/>
  <c r="EO201" i="14"/>
  <c r="EO202" i="14"/>
  <c r="EO203" i="14"/>
  <c r="EO204" i="14"/>
  <c r="EO205" i="14"/>
  <c r="EO206" i="14"/>
  <c r="EO207" i="14"/>
  <c r="EO175" i="14"/>
  <c r="DR176" i="14"/>
  <c r="DR177" i="14"/>
  <c r="DR178" i="14"/>
  <c r="DR179" i="14"/>
  <c r="DR180" i="14"/>
  <c r="DR181" i="14"/>
  <c r="DR182" i="14"/>
  <c r="DR183" i="14"/>
  <c r="DR184" i="14"/>
  <c r="DR185" i="14"/>
  <c r="DR186" i="14"/>
  <c r="DR187" i="14"/>
  <c r="DR188" i="14"/>
  <c r="DR189" i="14"/>
  <c r="DR190" i="14"/>
  <c r="DR191" i="14"/>
  <c r="DR192" i="14"/>
  <c r="DR193" i="14"/>
  <c r="DR194" i="14"/>
  <c r="DR195" i="14"/>
  <c r="DR196" i="14"/>
  <c r="DR197" i="14"/>
  <c r="DR198" i="14"/>
  <c r="DR199" i="14"/>
  <c r="DR200" i="14"/>
  <c r="DR201" i="14"/>
  <c r="DR202" i="14"/>
  <c r="DR203" i="14"/>
  <c r="DR204" i="14"/>
  <c r="DR205" i="14"/>
  <c r="DR206" i="14"/>
  <c r="DR207" i="14"/>
  <c r="DR208" i="14"/>
  <c r="DR209" i="14"/>
  <c r="DR210" i="14"/>
  <c r="DR211" i="14"/>
  <c r="DR212" i="14"/>
  <c r="DR213" i="14"/>
  <c r="DR214" i="14"/>
  <c r="DR215" i="14"/>
  <c r="DR216" i="14"/>
  <c r="DR217" i="14"/>
  <c r="DR218" i="14"/>
  <c r="DR219" i="14"/>
  <c r="DR220" i="14"/>
  <c r="DR221" i="14"/>
  <c r="DR222" i="14"/>
  <c r="DR175" i="14"/>
  <c r="E3" i="14"/>
  <c r="AM244" i="14"/>
  <c r="AB244" i="14"/>
  <c r="AA244" i="14"/>
  <c r="O244" i="14"/>
  <c r="F244" i="14"/>
  <c r="E244" i="14"/>
  <c r="AM243" i="14"/>
  <c r="AB243" i="14"/>
  <c r="AA243" i="14"/>
  <c r="O243" i="14"/>
  <c r="F243" i="14"/>
  <c r="E243" i="14"/>
  <c r="AM242" i="14"/>
  <c r="AB242" i="14"/>
  <c r="AA242" i="14"/>
  <c r="O242" i="14"/>
  <c r="F242" i="14"/>
  <c r="E242" i="14"/>
  <c r="AM241" i="14"/>
  <c r="AB241" i="14"/>
  <c r="AA241" i="14"/>
  <c r="O241" i="14"/>
  <c r="F241" i="14"/>
  <c r="E241" i="14"/>
  <c r="AM240" i="14"/>
  <c r="AB240" i="14"/>
  <c r="AA240" i="14"/>
  <c r="O240" i="14"/>
  <c r="F240" i="14"/>
  <c r="E240" i="14"/>
  <c r="AM239" i="14"/>
  <c r="AB239" i="14"/>
  <c r="AA239" i="14"/>
  <c r="O239" i="14"/>
  <c r="F239" i="14"/>
  <c r="E239" i="14"/>
  <c r="AM238" i="14"/>
  <c r="AB238" i="14"/>
  <c r="AA238" i="14"/>
  <c r="O238" i="14"/>
  <c r="F238" i="14"/>
  <c r="E238" i="14"/>
  <c r="AM237" i="14"/>
  <c r="AB237" i="14"/>
  <c r="AA237" i="14"/>
  <c r="O237" i="14"/>
  <c r="F237" i="14"/>
  <c r="E237" i="14"/>
  <c r="AM236" i="14"/>
  <c r="AB236" i="14"/>
  <c r="AA236" i="14"/>
  <c r="O236" i="14"/>
  <c r="F236" i="14"/>
  <c r="E236" i="14"/>
  <c r="AM235" i="14"/>
  <c r="AB235" i="14"/>
  <c r="AA235" i="14"/>
  <c r="O235" i="14"/>
  <c r="F235" i="14"/>
  <c r="E235" i="14"/>
  <c r="AM234" i="14"/>
  <c r="AB234" i="14"/>
  <c r="AA234" i="14"/>
  <c r="O234" i="14"/>
  <c r="F234" i="14"/>
  <c r="E234" i="14"/>
  <c r="AM233" i="14"/>
  <c r="AB233" i="14"/>
  <c r="AA233" i="14"/>
  <c r="O233" i="14"/>
  <c r="F233" i="14"/>
  <c r="E233" i="14"/>
  <c r="AM232" i="14"/>
  <c r="AB232" i="14"/>
  <c r="AA232" i="14"/>
  <c r="O232" i="14"/>
  <c r="F232" i="14"/>
  <c r="E232" i="14"/>
  <c r="AM231" i="14"/>
  <c r="AB231" i="14"/>
  <c r="AA231" i="14"/>
  <c r="O231" i="14"/>
  <c r="F231" i="14"/>
  <c r="E231" i="14"/>
  <c r="AM230" i="14"/>
  <c r="AB230" i="14"/>
  <c r="AA230" i="14"/>
  <c r="O230" i="14"/>
  <c r="F230" i="14"/>
  <c r="E230" i="14"/>
  <c r="AM229" i="14"/>
  <c r="AB229" i="14"/>
  <c r="AA229" i="14"/>
  <c r="O229" i="14"/>
  <c r="F229" i="14"/>
  <c r="E229" i="14"/>
  <c r="AM228" i="14"/>
  <c r="AB228" i="14"/>
  <c r="AA228" i="14"/>
  <c r="O228" i="14"/>
  <c r="F228" i="14"/>
  <c r="E228" i="14"/>
  <c r="AM227" i="14"/>
  <c r="AB227" i="14"/>
  <c r="AA227" i="14"/>
  <c r="O227" i="14"/>
  <c r="F227" i="14"/>
  <c r="E227" i="14"/>
  <c r="CF226" i="14"/>
  <c r="BW226" i="14"/>
  <c r="BV226" i="14"/>
  <c r="AM226" i="14"/>
  <c r="AB226" i="14"/>
  <c r="AA226" i="14"/>
  <c r="O226" i="14"/>
  <c r="F226" i="14"/>
  <c r="E226" i="14"/>
  <c r="CF225" i="14"/>
  <c r="BW225" i="14"/>
  <c r="BV225" i="14"/>
  <c r="AM225" i="14"/>
  <c r="AB225" i="14"/>
  <c r="AA225" i="14"/>
  <c r="O225" i="14"/>
  <c r="F225" i="14"/>
  <c r="E225" i="14"/>
  <c r="CF224" i="14"/>
  <c r="BW224" i="14"/>
  <c r="BV224" i="14"/>
  <c r="AM224" i="14"/>
  <c r="AB224" i="14"/>
  <c r="AA224" i="14"/>
  <c r="O224" i="14"/>
  <c r="F224" i="14"/>
  <c r="E224" i="14"/>
  <c r="CF223" i="14"/>
  <c r="BW223" i="14"/>
  <c r="BV223" i="14"/>
  <c r="AM223" i="14"/>
  <c r="AB223" i="14"/>
  <c r="AA223" i="14"/>
  <c r="O223" i="14"/>
  <c r="F223" i="14"/>
  <c r="E223" i="14"/>
  <c r="DZ222" i="14"/>
  <c r="DQ222" i="14"/>
  <c r="DP222" i="14"/>
  <c r="CF222" i="14"/>
  <c r="BW222" i="14"/>
  <c r="BV222" i="14"/>
  <c r="AM222" i="14"/>
  <c r="AB222" i="14"/>
  <c r="AA222" i="14"/>
  <c r="O222" i="14"/>
  <c r="F222" i="14"/>
  <c r="E222" i="14"/>
  <c r="DZ221" i="14"/>
  <c r="DQ221" i="14"/>
  <c r="DP221" i="14"/>
  <c r="CF221" i="14"/>
  <c r="BW221" i="14"/>
  <c r="BV221" i="14"/>
  <c r="AM221" i="14"/>
  <c r="AB221" i="14"/>
  <c r="AA221" i="14"/>
  <c r="O221" i="14"/>
  <c r="F221" i="14"/>
  <c r="E221" i="14"/>
  <c r="DZ220" i="14"/>
  <c r="DQ220" i="14"/>
  <c r="DP220" i="14"/>
  <c r="CF220" i="14"/>
  <c r="BW220" i="14"/>
  <c r="BV220" i="14"/>
  <c r="AM220" i="14"/>
  <c r="AB220" i="14"/>
  <c r="AA220" i="14"/>
  <c r="O220" i="14"/>
  <c r="F220" i="14"/>
  <c r="E220" i="14"/>
  <c r="DZ219" i="14"/>
  <c r="DQ219" i="14"/>
  <c r="DP219" i="14"/>
  <c r="CF219" i="14"/>
  <c r="BW219" i="14"/>
  <c r="BV219" i="14"/>
  <c r="AM219" i="14"/>
  <c r="AB219" i="14"/>
  <c r="AA219" i="14"/>
  <c r="O219" i="14"/>
  <c r="F219" i="14"/>
  <c r="E219" i="14"/>
  <c r="DZ218" i="14"/>
  <c r="DQ218" i="14"/>
  <c r="DP218" i="14"/>
  <c r="CF218" i="14"/>
  <c r="BW218" i="14"/>
  <c r="BV218" i="14"/>
  <c r="AM218" i="14"/>
  <c r="AB218" i="14"/>
  <c r="AA218" i="14"/>
  <c r="O218" i="14"/>
  <c r="F218" i="14"/>
  <c r="E218" i="14"/>
  <c r="DZ217" i="14"/>
  <c r="DQ217" i="14"/>
  <c r="DP217" i="14"/>
  <c r="CF217" i="14"/>
  <c r="BW217" i="14"/>
  <c r="BV217" i="14"/>
  <c r="AM217" i="14"/>
  <c r="AB217" i="14"/>
  <c r="AA217" i="14"/>
  <c r="O217" i="14"/>
  <c r="F217" i="14"/>
  <c r="E217" i="14"/>
  <c r="DZ216" i="14"/>
  <c r="DQ216" i="14"/>
  <c r="DP216" i="14"/>
  <c r="CF216" i="14"/>
  <c r="BW216" i="14"/>
  <c r="BV216" i="14"/>
  <c r="AM216" i="14"/>
  <c r="AB216" i="14"/>
  <c r="AA216" i="14"/>
  <c r="O216" i="14"/>
  <c r="F216" i="14"/>
  <c r="E216" i="14"/>
  <c r="DZ215" i="14"/>
  <c r="DQ215" i="14"/>
  <c r="DP215" i="14"/>
  <c r="CS215" i="14"/>
  <c r="CR215" i="14"/>
  <c r="CF215" i="14"/>
  <c r="BW215" i="14"/>
  <c r="BV215" i="14"/>
  <c r="AM215" i="14"/>
  <c r="AB215" i="14"/>
  <c r="AA215" i="14"/>
  <c r="O215" i="14"/>
  <c r="F215" i="14"/>
  <c r="E215" i="14"/>
  <c r="DZ214" i="14"/>
  <c r="DQ214" i="14"/>
  <c r="DP214" i="14"/>
  <c r="DB214" i="14"/>
  <c r="CS214" i="14"/>
  <c r="CR214" i="14"/>
  <c r="CF214" i="14"/>
  <c r="BW214" i="14"/>
  <c r="BV214" i="14"/>
  <c r="AM214" i="14"/>
  <c r="AB214" i="14"/>
  <c r="AA214" i="14"/>
  <c r="O214" i="14"/>
  <c r="F214" i="14"/>
  <c r="E214" i="14"/>
  <c r="DZ213" i="14"/>
  <c r="DQ213" i="14"/>
  <c r="DP213" i="14"/>
  <c r="DB213" i="14"/>
  <c r="CS213" i="14"/>
  <c r="CR213" i="14"/>
  <c r="CF213" i="14"/>
  <c r="BW213" i="14"/>
  <c r="BV213" i="14"/>
  <c r="AM213" i="14"/>
  <c r="AB213" i="14"/>
  <c r="AA213" i="14"/>
  <c r="O213" i="14"/>
  <c r="F213" i="14"/>
  <c r="E213" i="14"/>
  <c r="DZ212" i="14"/>
  <c r="DQ212" i="14"/>
  <c r="DP212" i="14"/>
  <c r="DB212" i="14"/>
  <c r="CS212" i="14"/>
  <c r="CR212" i="14"/>
  <c r="CF212" i="14"/>
  <c r="BW212" i="14"/>
  <c r="BV212" i="14"/>
  <c r="AM212" i="14"/>
  <c r="AB212" i="14"/>
  <c r="AA212" i="14"/>
  <c r="O212" i="14"/>
  <c r="F212" i="14"/>
  <c r="E212" i="14"/>
  <c r="DZ211" i="14"/>
  <c r="DQ211" i="14"/>
  <c r="DP211" i="14"/>
  <c r="DB211" i="14"/>
  <c r="CS211" i="14"/>
  <c r="CR211" i="14"/>
  <c r="CF211" i="14"/>
  <c r="BW211" i="14"/>
  <c r="BV211" i="14"/>
  <c r="BI211" i="14"/>
  <c r="AZ211" i="14"/>
  <c r="AY211" i="14"/>
  <c r="AM211" i="14"/>
  <c r="AB211" i="14"/>
  <c r="AA211" i="14"/>
  <c r="O211" i="14"/>
  <c r="F211" i="14"/>
  <c r="E211" i="14"/>
  <c r="DZ210" i="14"/>
  <c r="DQ210" i="14"/>
  <c r="DP210" i="14"/>
  <c r="DB210" i="14"/>
  <c r="CS210" i="14"/>
  <c r="CR210" i="14"/>
  <c r="CF210" i="14"/>
  <c r="BW210" i="14"/>
  <c r="BV210" i="14"/>
  <c r="BI210" i="14"/>
  <c r="AZ210" i="14"/>
  <c r="AY210" i="14"/>
  <c r="AM210" i="14"/>
  <c r="AB210" i="14"/>
  <c r="AA210" i="14"/>
  <c r="O210" i="14"/>
  <c r="F210" i="14"/>
  <c r="E210" i="14"/>
  <c r="DZ209" i="14"/>
  <c r="DQ209" i="14"/>
  <c r="DP209" i="14"/>
  <c r="DB209" i="14"/>
  <c r="CS209" i="14"/>
  <c r="CR209" i="14"/>
  <c r="CF209" i="14"/>
  <c r="BW209" i="14"/>
  <c r="BV209" i="14"/>
  <c r="BI209" i="14"/>
  <c r="AZ209" i="14"/>
  <c r="AY209" i="14"/>
  <c r="AM209" i="14"/>
  <c r="AB209" i="14"/>
  <c r="AA209" i="14"/>
  <c r="O209" i="14"/>
  <c r="F209" i="14"/>
  <c r="E209" i="14"/>
  <c r="DZ208" i="14"/>
  <c r="DQ208" i="14"/>
  <c r="DP208" i="14"/>
  <c r="DB208" i="14"/>
  <c r="CS208" i="14"/>
  <c r="CR208" i="14"/>
  <c r="CF208" i="14"/>
  <c r="BW208" i="14"/>
  <c r="BV208" i="14"/>
  <c r="BI208" i="14"/>
  <c r="AZ208" i="14"/>
  <c r="AY208" i="14"/>
  <c r="AM208" i="14"/>
  <c r="AB208" i="14"/>
  <c r="AA208" i="14"/>
  <c r="O208" i="14"/>
  <c r="F208" i="14"/>
  <c r="E208" i="14"/>
  <c r="EW207" i="14"/>
  <c r="EN207" i="14"/>
  <c r="EM207" i="14"/>
  <c r="DZ207" i="14"/>
  <c r="DQ207" i="14"/>
  <c r="DP207" i="14"/>
  <c r="DB207" i="14"/>
  <c r="CS207" i="14"/>
  <c r="CR207" i="14"/>
  <c r="CF207" i="14"/>
  <c r="BW207" i="14"/>
  <c r="BV207" i="14"/>
  <c r="BI207" i="14"/>
  <c r="AZ207" i="14"/>
  <c r="AY207" i="14"/>
  <c r="AM207" i="14"/>
  <c r="AB207" i="14"/>
  <c r="AA207" i="14"/>
  <c r="O207" i="14"/>
  <c r="F207" i="14"/>
  <c r="E207" i="14"/>
  <c r="EW206" i="14"/>
  <c r="EN206" i="14"/>
  <c r="EM206" i="14"/>
  <c r="DZ206" i="14"/>
  <c r="DQ206" i="14"/>
  <c r="DP206" i="14"/>
  <c r="DB206" i="14"/>
  <c r="CS206" i="14"/>
  <c r="CR206" i="14"/>
  <c r="CF206" i="14"/>
  <c r="BW206" i="14"/>
  <c r="BV206" i="14"/>
  <c r="BI206" i="14"/>
  <c r="AZ206" i="14"/>
  <c r="AY206" i="14"/>
  <c r="AM206" i="14"/>
  <c r="AB206" i="14"/>
  <c r="AA206" i="14"/>
  <c r="O206" i="14"/>
  <c r="F206" i="14"/>
  <c r="E206" i="14"/>
  <c r="EW205" i="14"/>
  <c r="EN205" i="14"/>
  <c r="EM205" i="14"/>
  <c r="DZ205" i="14"/>
  <c r="DQ205" i="14"/>
  <c r="DP205" i="14"/>
  <c r="DB205" i="14"/>
  <c r="CS205" i="14"/>
  <c r="CR205" i="14"/>
  <c r="CF205" i="14"/>
  <c r="BW205" i="14"/>
  <c r="BV205" i="14"/>
  <c r="BI205" i="14"/>
  <c r="AZ205" i="14"/>
  <c r="AY205" i="14"/>
  <c r="AM205" i="14"/>
  <c r="AB205" i="14"/>
  <c r="AA205" i="14"/>
  <c r="O205" i="14"/>
  <c r="F205" i="14"/>
  <c r="E205" i="14"/>
  <c r="EW204" i="14"/>
  <c r="EN204" i="14"/>
  <c r="EM204" i="14"/>
  <c r="DZ204" i="14"/>
  <c r="DQ204" i="14"/>
  <c r="DP204" i="14"/>
  <c r="DB204" i="14"/>
  <c r="CS204" i="14"/>
  <c r="CR204" i="14"/>
  <c r="CF204" i="14"/>
  <c r="BW204" i="14"/>
  <c r="BV204" i="14"/>
  <c r="BI204" i="14"/>
  <c r="AZ204" i="14"/>
  <c r="AY204" i="14"/>
  <c r="AM204" i="14"/>
  <c r="AB204" i="14"/>
  <c r="AA204" i="14"/>
  <c r="O204" i="14"/>
  <c r="F204" i="14"/>
  <c r="E204" i="14"/>
  <c r="EW203" i="14"/>
  <c r="EN203" i="14"/>
  <c r="EM203" i="14"/>
  <c r="DZ203" i="14"/>
  <c r="DQ203" i="14"/>
  <c r="DP203" i="14"/>
  <c r="DB203" i="14"/>
  <c r="CS203" i="14"/>
  <c r="CR203" i="14"/>
  <c r="CF203" i="14"/>
  <c r="BW203" i="14"/>
  <c r="BV203" i="14"/>
  <c r="BI203" i="14"/>
  <c r="AZ203" i="14"/>
  <c r="AY203" i="14"/>
  <c r="AM203" i="14"/>
  <c r="AB203" i="14"/>
  <c r="AA203" i="14"/>
  <c r="O203" i="14"/>
  <c r="F203" i="14"/>
  <c r="E203" i="14"/>
  <c r="EW202" i="14"/>
  <c r="EN202" i="14"/>
  <c r="EM202" i="14"/>
  <c r="DZ202" i="14"/>
  <c r="DQ202" i="14"/>
  <c r="DP202" i="14"/>
  <c r="DB202" i="14"/>
  <c r="CS202" i="14"/>
  <c r="CR202" i="14"/>
  <c r="CF202" i="14"/>
  <c r="BW202" i="14"/>
  <c r="BV202" i="14"/>
  <c r="BI202" i="14"/>
  <c r="AZ202" i="14"/>
  <c r="AY202" i="14"/>
  <c r="AM202" i="14"/>
  <c r="AB202" i="14"/>
  <c r="AA202" i="14"/>
  <c r="O202" i="14"/>
  <c r="F202" i="14"/>
  <c r="E202" i="14"/>
  <c r="EW201" i="14"/>
  <c r="EN201" i="14"/>
  <c r="EM201" i="14"/>
  <c r="DZ201" i="14"/>
  <c r="DQ201" i="14"/>
  <c r="DP201" i="14"/>
  <c r="DB201" i="14"/>
  <c r="CS201" i="14"/>
  <c r="CR201" i="14"/>
  <c r="CF201" i="14"/>
  <c r="BW201" i="14"/>
  <c r="BV201" i="14"/>
  <c r="BI201" i="14"/>
  <c r="AZ201" i="14"/>
  <c r="AY201" i="14"/>
  <c r="AM201" i="14"/>
  <c r="AB201" i="14"/>
  <c r="AA201" i="14"/>
  <c r="O201" i="14"/>
  <c r="F201" i="14"/>
  <c r="E201" i="14"/>
  <c r="EW200" i="14"/>
  <c r="EN200" i="14"/>
  <c r="EM200" i="14"/>
  <c r="DZ200" i="14"/>
  <c r="DQ200" i="14"/>
  <c r="DP200" i="14"/>
  <c r="DB200" i="14"/>
  <c r="CS200" i="14"/>
  <c r="CR200" i="14"/>
  <c r="CF200" i="14"/>
  <c r="BW200" i="14"/>
  <c r="BV200" i="14"/>
  <c r="BI200" i="14"/>
  <c r="AZ200" i="14"/>
  <c r="AY200" i="14"/>
  <c r="AM200" i="14"/>
  <c r="AB200" i="14"/>
  <c r="AA200" i="14"/>
  <c r="O200" i="14"/>
  <c r="F200" i="14"/>
  <c r="E200" i="14"/>
  <c r="EW199" i="14"/>
  <c r="EN199" i="14"/>
  <c r="EM199" i="14"/>
  <c r="DZ199" i="14"/>
  <c r="DQ199" i="14"/>
  <c r="DP199" i="14"/>
  <c r="DB199" i="14"/>
  <c r="CS199" i="14"/>
  <c r="CR199" i="14"/>
  <c r="CF199" i="14"/>
  <c r="BW199" i="14"/>
  <c r="BV199" i="14"/>
  <c r="BI199" i="14"/>
  <c r="AZ199" i="14"/>
  <c r="AY199" i="14"/>
  <c r="AM199" i="14"/>
  <c r="AB199" i="14"/>
  <c r="AA199" i="14"/>
  <c r="O199" i="14"/>
  <c r="F199" i="14"/>
  <c r="E199" i="14"/>
  <c r="EW198" i="14"/>
  <c r="EN198" i="14"/>
  <c r="EM198" i="14"/>
  <c r="DZ198" i="14"/>
  <c r="DQ198" i="14"/>
  <c r="DP198" i="14"/>
  <c r="DB198" i="14"/>
  <c r="CS198" i="14"/>
  <c r="CR198" i="14"/>
  <c r="CF198" i="14"/>
  <c r="BW198" i="14"/>
  <c r="BV198" i="14"/>
  <c r="BI198" i="14"/>
  <c r="AZ198" i="14"/>
  <c r="AY198" i="14"/>
  <c r="AM198" i="14"/>
  <c r="AB198" i="14"/>
  <c r="AA198" i="14"/>
  <c r="F198" i="14"/>
  <c r="E198" i="14"/>
  <c r="EW197" i="14"/>
  <c r="EN197" i="14"/>
  <c r="EM197" i="14"/>
  <c r="DZ197" i="14"/>
  <c r="DQ197" i="14"/>
  <c r="DP197" i="14"/>
  <c r="DB197" i="14"/>
  <c r="CS197" i="14"/>
  <c r="CR197" i="14"/>
  <c r="CF197" i="14"/>
  <c r="BW197" i="14"/>
  <c r="BV197" i="14"/>
  <c r="BI197" i="14"/>
  <c r="AZ197" i="14"/>
  <c r="AY197" i="14"/>
  <c r="AM197" i="14"/>
  <c r="AB197" i="14"/>
  <c r="AA197" i="14"/>
  <c r="O197" i="14"/>
  <c r="F197" i="14"/>
  <c r="E197" i="14"/>
  <c r="EW196" i="14"/>
  <c r="EN196" i="14"/>
  <c r="EM196" i="14"/>
  <c r="DZ196" i="14"/>
  <c r="DQ196" i="14"/>
  <c r="DP196" i="14"/>
  <c r="DB196" i="14"/>
  <c r="CS196" i="14"/>
  <c r="CR196" i="14"/>
  <c r="CF196" i="14"/>
  <c r="BW196" i="14"/>
  <c r="BV196" i="14"/>
  <c r="BI196" i="14"/>
  <c r="AZ196" i="14"/>
  <c r="AY196" i="14"/>
  <c r="AM196" i="14"/>
  <c r="AB196" i="14"/>
  <c r="AA196" i="14"/>
  <c r="O196" i="14"/>
  <c r="F196" i="14"/>
  <c r="E196" i="14"/>
  <c r="EW195" i="14"/>
  <c r="EN195" i="14"/>
  <c r="EM195" i="14"/>
  <c r="DZ195" i="14"/>
  <c r="DQ195" i="14"/>
  <c r="DP195" i="14"/>
  <c r="DB195" i="14"/>
  <c r="CS195" i="14"/>
  <c r="CR195" i="14"/>
  <c r="CF195" i="14"/>
  <c r="BW195" i="14"/>
  <c r="BV195" i="14"/>
  <c r="BI195" i="14"/>
  <c r="AZ195" i="14"/>
  <c r="AY195" i="14"/>
  <c r="AM195" i="14"/>
  <c r="AB195" i="14"/>
  <c r="AA195" i="14"/>
  <c r="O195" i="14"/>
  <c r="F195" i="14"/>
  <c r="E195" i="14"/>
  <c r="EW194" i="14"/>
  <c r="EN194" i="14"/>
  <c r="EM194" i="14"/>
  <c r="DZ194" i="14"/>
  <c r="DQ194" i="14"/>
  <c r="DP194" i="14"/>
  <c r="DB194" i="14"/>
  <c r="CS194" i="14"/>
  <c r="CR194" i="14"/>
  <c r="CF194" i="14"/>
  <c r="BW194" i="14"/>
  <c r="BV194" i="14"/>
  <c r="BI194" i="14"/>
  <c r="AZ194" i="14"/>
  <c r="AY194" i="14"/>
  <c r="AM194" i="14"/>
  <c r="AB194" i="14"/>
  <c r="AA194" i="14"/>
  <c r="O194" i="14"/>
  <c r="F194" i="14"/>
  <c r="E194" i="14"/>
  <c r="EW193" i="14"/>
  <c r="EN193" i="14"/>
  <c r="EM193" i="14"/>
  <c r="DZ193" i="14"/>
  <c r="DQ193" i="14"/>
  <c r="DP193" i="14"/>
  <c r="DB193" i="14"/>
  <c r="CS193" i="14"/>
  <c r="CR193" i="14"/>
  <c r="CF193" i="14"/>
  <c r="BW193" i="14"/>
  <c r="BV193" i="14"/>
  <c r="BI193" i="14"/>
  <c r="AZ193" i="14"/>
  <c r="AY193" i="14"/>
  <c r="AM193" i="14"/>
  <c r="AB193" i="14"/>
  <c r="AA193" i="14"/>
  <c r="O193" i="14"/>
  <c r="F193" i="14"/>
  <c r="E193" i="14"/>
  <c r="EW192" i="14"/>
  <c r="EN192" i="14"/>
  <c r="EM192" i="14"/>
  <c r="DZ192" i="14"/>
  <c r="DQ192" i="14"/>
  <c r="DP192" i="14"/>
  <c r="DB192" i="14"/>
  <c r="CS192" i="14"/>
  <c r="CR192" i="14"/>
  <c r="CF192" i="14"/>
  <c r="BW192" i="14"/>
  <c r="BV192" i="14"/>
  <c r="BI192" i="14"/>
  <c r="AZ192" i="14"/>
  <c r="AY192" i="14"/>
  <c r="AM192" i="14"/>
  <c r="AB192" i="14"/>
  <c r="AA192" i="14"/>
  <c r="O192" i="14"/>
  <c r="F192" i="14"/>
  <c r="E192" i="14"/>
  <c r="EW191" i="14"/>
  <c r="EN191" i="14"/>
  <c r="EM191" i="14"/>
  <c r="DZ191" i="14"/>
  <c r="DQ191" i="14"/>
  <c r="DP191" i="14"/>
  <c r="DB191" i="14"/>
  <c r="CS191" i="14"/>
  <c r="CR191" i="14"/>
  <c r="CF191" i="14"/>
  <c r="BW191" i="14"/>
  <c r="BV191" i="14"/>
  <c r="BI191" i="14"/>
  <c r="AZ191" i="14"/>
  <c r="AY191" i="14"/>
  <c r="AM191" i="14"/>
  <c r="AB191" i="14"/>
  <c r="AA191" i="14"/>
  <c r="O191" i="14"/>
  <c r="F191" i="14"/>
  <c r="E191" i="14"/>
  <c r="EW190" i="14"/>
  <c r="EN190" i="14"/>
  <c r="EM190" i="14"/>
  <c r="DZ190" i="14"/>
  <c r="DQ190" i="14"/>
  <c r="DP190" i="14"/>
  <c r="DB190" i="14"/>
  <c r="CS190" i="14"/>
  <c r="CR190" i="14"/>
  <c r="CF190" i="14"/>
  <c r="BW190" i="14"/>
  <c r="BV190" i="14"/>
  <c r="BI190" i="14"/>
  <c r="AZ190" i="14"/>
  <c r="AY190" i="14"/>
  <c r="AM190" i="14"/>
  <c r="AB190" i="14"/>
  <c r="AA190" i="14"/>
  <c r="O190" i="14"/>
  <c r="F190" i="14"/>
  <c r="E190" i="14"/>
  <c r="EW189" i="14"/>
  <c r="EN189" i="14"/>
  <c r="EM189" i="14"/>
  <c r="DZ189" i="14"/>
  <c r="DQ189" i="14"/>
  <c r="DP189" i="14"/>
  <c r="DB189" i="14"/>
  <c r="CS189" i="14"/>
  <c r="CR189" i="14"/>
  <c r="CF189" i="14"/>
  <c r="BW189" i="14"/>
  <c r="BV189" i="14"/>
  <c r="BI189" i="14"/>
  <c r="AZ189" i="14"/>
  <c r="AY189" i="14"/>
  <c r="AM189" i="14"/>
  <c r="AB189" i="14"/>
  <c r="AA189" i="14"/>
  <c r="O189" i="14"/>
  <c r="F189" i="14"/>
  <c r="E189" i="14"/>
  <c r="EW188" i="14"/>
  <c r="EN188" i="14"/>
  <c r="EM188" i="14"/>
  <c r="DZ188" i="14"/>
  <c r="DQ188" i="14"/>
  <c r="DP188" i="14"/>
  <c r="DB188" i="14"/>
  <c r="CS188" i="14"/>
  <c r="CR188" i="14"/>
  <c r="CF188" i="14"/>
  <c r="BW188" i="14"/>
  <c r="BV188" i="14"/>
  <c r="BI188" i="14"/>
  <c r="AZ188" i="14"/>
  <c r="AY188" i="14"/>
  <c r="AM188" i="14"/>
  <c r="AB188" i="14"/>
  <c r="AA188" i="14"/>
  <c r="O188" i="14"/>
  <c r="F188" i="14"/>
  <c r="E188" i="14"/>
  <c r="EW187" i="14"/>
  <c r="EN187" i="14"/>
  <c r="EM187" i="14"/>
  <c r="DZ187" i="14"/>
  <c r="DQ187" i="14"/>
  <c r="DP187" i="14"/>
  <c r="DB187" i="14"/>
  <c r="CS187" i="14"/>
  <c r="CR187" i="14"/>
  <c r="CF187" i="14"/>
  <c r="BW187" i="14"/>
  <c r="BV187" i="14"/>
  <c r="BI187" i="14"/>
  <c r="AZ187" i="14"/>
  <c r="AY187" i="14"/>
  <c r="AM187" i="14"/>
  <c r="AB187" i="14"/>
  <c r="AA187" i="14"/>
  <c r="O187" i="14"/>
  <c r="F187" i="14"/>
  <c r="E187" i="14"/>
  <c r="EW186" i="14"/>
  <c r="EN186" i="14"/>
  <c r="EM186" i="14"/>
  <c r="DZ186" i="14"/>
  <c r="DQ186" i="14"/>
  <c r="DP186" i="14"/>
  <c r="DB186" i="14"/>
  <c r="CS186" i="14"/>
  <c r="CR186" i="14"/>
  <c r="CF186" i="14"/>
  <c r="BW186" i="14"/>
  <c r="BV186" i="14"/>
  <c r="BI186" i="14"/>
  <c r="AZ186" i="14"/>
  <c r="AY186" i="14"/>
  <c r="AM186" i="14"/>
  <c r="AB186" i="14"/>
  <c r="AA186" i="14"/>
  <c r="O186" i="14"/>
  <c r="F186" i="14"/>
  <c r="E186" i="14"/>
  <c r="EW185" i="14"/>
  <c r="EN185" i="14"/>
  <c r="EM185" i="14"/>
  <c r="DZ185" i="14"/>
  <c r="DQ185" i="14"/>
  <c r="DP185" i="14"/>
  <c r="DB185" i="14"/>
  <c r="CS185" i="14"/>
  <c r="CR185" i="14"/>
  <c r="CF185" i="14"/>
  <c r="BW185" i="14"/>
  <c r="BV185" i="14"/>
  <c r="BI185" i="14"/>
  <c r="AZ185" i="14"/>
  <c r="AY185" i="14"/>
  <c r="AM185" i="14"/>
  <c r="AB185" i="14"/>
  <c r="AA185" i="14"/>
  <c r="O185" i="14"/>
  <c r="F185" i="14"/>
  <c r="E185" i="14"/>
  <c r="EW184" i="14"/>
  <c r="EN184" i="14"/>
  <c r="EM184" i="14"/>
  <c r="DZ184" i="14"/>
  <c r="DQ184" i="14"/>
  <c r="DP184" i="14"/>
  <c r="DB184" i="14"/>
  <c r="CS184" i="14"/>
  <c r="CR184" i="14"/>
  <c r="CF184" i="14"/>
  <c r="BW184" i="14"/>
  <c r="BV184" i="14"/>
  <c r="BI184" i="14"/>
  <c r="AZ184" i="14"/>
  <c r="AY184" i="14"/>
  <c r="AM184" i="14"/>
  <c r="AB184" i="14"/>
  <c r="AA184" i="14"/>
  <c r="O184" i="14"/>
  <c r="F184" i="14"/>
  <c r="E184" i="14"/>
  <c r="EW183" i="14"/>
  <c r="EN183" i="14"/>
  <c r="EM183" i="14"/>
  <c r="DZ183" i="14"/>
  <c r="DQ183" i="14"/>
  <c r="DP183" i="14"/>
  <c r="DB183" i="14"/>
  <c r="CS183" i="14"/>
  <c r="CR183" i="14"/>
  <c r="CF183" i="14"/>
  <c r="BW183" i="14"/>
  <c r="BV183" i="14"/>
  <c r="BI183" i="14"/>
  <c r="AZ183" i="14"/>
  <c r="AY183" i="14"/>
  <c r="AM183" i="14"/>
  <c r="AB183" i="14"/>
  <c r="AA183" i="14"/>
  <c r="O183" i="14"/>
  <c r="F183" i="14"/>
  <c r="E183" i="14"/>
  <c r="EW182" i="14"/>
  <c r="EN182" i="14"/>
  <c r="EM182" i="14"/>
  <c r="DZ182" i="14"/>
  <c r="DQ182" i="14"/>
  <c r="DP182" i="14"/>
  <c r="DB182" i="14"/>
  <c r="CS182" i="14"/>
  <c r="CR182" i="14"/>
  <c r="CF182" i="14"/>
  <c r="BW182" i="14"/>
  <c r="BV182" i="14"/>
  <c r="BI182" i="14"/>
  <c r="AZ182" i="14"/>
  <c r="AY182" i="14"/>
  <c r="AM182" i="14"/>
  <c r="AB182" i="14"/>
  <c r="AA182" i="14"/>
  <c r="O182" i="14"/>
  <c r="F182" i="14"/>
  <c r="E182" i="14"/>
  <c r="EW181" i="14"/>
  <c r="EN181" i="14"/>
  <c r="EM181" i="14"/>
  <c r="DZ181" i="14"/>
  <c r="DQ181" i="14"/>
  <c r="DP181" i="14"/>
  <c r="DB181" i="14"/>
  <c r="CS181" i="14"/>
  <c r="CR181" i="14"/>
  <c r="CF181" i="14"/>
  <c r="BW181" i="14"/>
  <c r="BV181" i="14"/>
  <c r="BI181" i="14"/>
  <c r="AZ181" i="14"/>
  <c r="AY181" i="14"/>
  <c r="AM181" i="14"/>
  <c r="AB181" i="14"/>
  <c r="AA181" i="14"/>
  <c r="O181" i="14"/>
  <c r="F181" i="14"/>
  <c r="E181" i="14"/>
  <c r="EW180" i="14"/>
  <c r="EN180" i="14"/>
  <c r="EM180" i="14"/>
  <c r="DZ180" i="14"/>
  <c r="DQ180" i="14"/>
  <c r="DP180" i="14"/>
  <c r="DB180" i="14"/>
  <c r="CS180" i="14"/>
  <c r="CR180" i="14"/>
  <c r="CF180" i="14"/>
  <c r="BW180" i="14"/>
  <c r="BV180" i="14"/>
  <c r="BI180" i="14"/>
  <c r="AZ180" i="14"/>
  <c r="AY180" i="14"/>
  <c r="AM180" i="14"/>
  <c r="AB180" i="14"/>
  <c r="AA180" i="14"/>
  <c r="O180" i="14"/>
  <c r="F180" i="14"/>
  <c r="E180" i="14"/>
  <c r="EW179" i="14"/>
  <c r="EN179" i="14"/>
  <c r="EM179" i="14"/>
  <c r="DZ179" i="14"/>
  <c r="DQ179" i="14"/>
  <c r="DP179" i="14"/>
  <c r="DB179" i="14"/>
  <c r="CS179" i="14"/>
  <c r="CR179" i="14"/>
  <c r="CF179" i="14"/>
  <c r="BW179" i="14"/>
  <c r="BV179" i="14"/>
  <c r="BI179" i="14"/>
  <c r="AZ179" i="14"/>
  <c r="AY179" i="14"/>
  <c r="AM179" i="14"/>
  <c r="AB179" i="14"/>
  <c r="AA179" i="14"/>
  <c r="O179" i="14"/>
  <c r="F179" i="14"/>
  <c r="E179" i="14"/>
  <c r="EW178" i="14"/>
  <c r="EN178" i="14"/>
  <c r="EM178" i="14"/>
  <c r="DZ178" i="14"/>
  <c r="DQ178" i="14"/>
  <c r="DP178" i="14"/>
  <c r="DB178" i="14"/>
  <c r="CS178" i="14"/>
  <c r="CR178" i="14"/>
  <c r="CF178" i="14"/>
  <c r="BW178" i="14"/>
  <c r="BV178" i="14"/>
  <c r="BI178" i="14"/>
  <c r="AZ178" i="14"/>
  <c r="AY178" i="14"/>
  <c r="AM178" i="14"/>
  <c r="AB178" i="14"/>
  <c r="AA178" i="14"/>
  <c r="O178" i="14"/>
  <c r="F178" i="14"/>
  <c r="E178" i="14"/>
  <c r="EW177" i="14"/>
  <c r="EN177" i="14"/>
  <c r="EM177" i="14"/>
  <c r="DZ177" i="14"/>
  <c r="DQ177" i="14"/>
  <c r="DP177" i="14"/>
  <c r="DB177" i="14"/>
  <c r="CS177" i="14"/>
  <c r="CR177" i="14"/>
  <c r="CF177" i="14"/>
  <c r="BW177" i="14"/>
  <c r="BV177" i="14"/>
  <c r="BI177" i="14"/>
  <c r="AZ177" i="14"/>
  <c r="AY177" i="14"/>
  <c r="AM177" i="14"/>
  <c r="AB177" i="14"/>
  <c r="AA177" i="14"/>
  <c r="O177" i="14"/>
  <c r="F177" i="14"/>
  <c r="E177" i="14"/>
  <c r="EW176" i="14"/>
  <c r="EN176" i="14"/>
  <c r="EM176" i="14"/>
  <c r="DZ176" i="14"/>
  <c r="DQ176" i="14"/>
  <c r="DP176" i="14"/>
  <c r="DB176" i="14"/>
  <c r="CS176" i="14"/>
  <c r="CR176" i="14"/>
  <c r="CF176" i="14"/>
  <c r="BW176" i="14"/>
  <c r="BV176" i="14"/>
  <c r="BI176" i="14"/>
  <c r="AZ176" i="14"/>
  <c r="AY176" i="14"/>
  <c r="AM176" i="14"/>
  <c r="AB176" i="14"/>
  <c r="AA176" i="14"/>
  <c r="O176" i="14"/>
  <c r="F176" i="14"/>
  <c r="E176" i="14"/>
  <c r="EW175" i="14"/>
  <c r="EN175" i="14"/>
  <c r="EM175" i="14"/>
  <c r="DZ175" i="14"/>
  <c r="DQ175" i="14"/>
  <c r="DP175" i="14"/>
  <c r="DB175" i="14"/>
  <c r="CS175" i="14"/>
  <c r="CR175" i="14"/>
  <c r="CF175" i="14"/>
  <c r="BW175" i="14"/>
  <c r="BV175" i="14"/>
  <c r="BI175" i="14"/>
  <c r="AZ175" i="14"/>
  <c r="AY175" i="14"/>
  <c r="AM175" i="14"/>
  <c r="AB175" i="14"/>
  <c r="AA175" i="14"/>
  <c r="O175" i="14"/>
  <c r="F175" i="14"/>
  <c r="E175" i="14"/>
  <c r="O94" i="14"/>
  <c r="O102" i="14"/>
  <c r="O104" i="14"/>
  <c r="O110" i="14"/>
  <c r="O118" i="14"/>
  <c r="O126" i="14"/>
  <c r="O134" i="14"/>
  <c r="O142" i="14"/>
  <c r="O150" i="14"/>
  <c r="O158" i="14"/>
  <c r="O93" i="14"/>
  <c r="AJ162" i="19"/>
  <c r="AL162" i="19" s="1"/>
  <c r="Y162" i="19"/>
  <c r="X162" i="19"/>
  <c r="O162" i="19"/>
  <c r="Q162" i="19" s="1"/>
  <c r="F162" i="19"/>
  <c r="E162" i="19"/>
  <c r="AJ161" i="19"/>
  <c r="AL161" i="19" s="1"/>
  <c r="Y161" i="19"/>
  <c r="X161" i="19"/>
  <c r="O161" i="19"/>
  <c r="Q161" i="19" s="1"/>
  <c r="F161" i="19"/>
  <c r="E161" i="19"/>
  <c r="AJ160" i="19"/>
  <c r="AL160" i="19" s="1"/>
  <c r="Y160" i="19"/>
  <c r="X160" i="19"/>
  <c r="O160" i="19"/>
  <c r="Q160" i="19" s="1"/>
  <c r="F160" i="19"/>
  <c r="E160" i="19"/>
  <c r="AJ159" i="19"/>
  <c r="AL159" i="19" s="1"/>
  <c r="Y159" i="19"/>
  <c r="X159" i="19"/>
  <c r="O159" i="19"/>
  <c r="Q159" i="19" s="1"/>
  <c r="F159" i="19"/>
  <c r="E159" i="19"/>
  <c r="AJ158" i="19"/>
  <c r="AL158" i="19" s="1"/>
  <c r="Y158" i="19"/>
  <c r="X158" i="19"/>
  <c r="O158" i="19"/>
  <c r="Q158" i="19" s="1"/>
  <c r="F158" i="19"/>
  <c r="E158" i="19"/>
  <c r="AJ157" i="19"/>
  <c r="AL157" i="19" s="1"/>
  <c r="Y157" i="19"/>
  <c r="X157" i="19"/>
  <c r="O157" i="19"/>
  <c r="Q157" i="19" s="1"/>
  <c r="F157" i="19"/>
  <c r="E157" i="19"/>
  <c r="AJ156" i="19"/>
  <c r="AL156" i="19" s="1"/>
  <c r="Y156" i="19"/>
  <c r="X156" i="19"/>
  <c r="O156" i="19"/>
  <c r="Q156" i="19" s="1"/>
  <c r="F156" i="19"/>
  <c r="E156" i="19"/>
  <c r="AJ155" i="19"/>
  <c r="AL155" i="19" s="1"/>
  <c r="Y155" i="19"/>
  <c r="X155" i="19"/>
  <c r="O155" i="19"/>
  <c r="Q155" i="19" s="1"/>
  <c r="F155" i="19"/>
  <c r="E155" i="19"/>
  <c r="AJ154" i="19"/>
  <c r="AL154" i="19" s="1"/>
  <c r="Y154" i="19"/>
  <c r="X154" i="19"/>
  <c r="O154" i="19"/>
  <c r="Q154" i="19" s="1"/>
  <c r="F154" i="19"/>
  <c r="E154" i="19"/>
  <c r="AJ153" i="19"/>
  <c r="AL153" i="19" s="1"/>
  <c r="Y153" i="19"/>
  <c r="X153" i="19"/>
  <c r="Q153" i="19"/>
  <c r="O153" i="19"/>
  <c r="F153" i="19"/>
  <c r="E153" i="19"/>
  <c r="AJ152" i="19"/>
  <c r="AL152" i="19" s="1"/>
  <c r="Y152" i="19"/>
  <c r="X152" i="19"/>
  <c r="O152" i="19"/>
  <c r="Q152" i="19" s="1"/>
  <c r="F152" i="19"/>
  <c r="E152" i="19"/>
  <c r="AJ151" i="19"/>
  <c r="AL151" i="19" s="1"/>
  <c r="Y151" i="19"/>
  <c r="X151" i="19"/>
  <c r="Q151" i="19"/>
  <c r="O151" i="19"/>
  <c r="F151" i="19"/>
  <c r="E151" i="19"/>
  <c r="AJ150" i="19"/>
  <c r="AL150" i="19" s="1"/>
  <c r="Y150" i="19"/>
  <c r="X150" i="19"/>
  <c r="Q150" i="19"/>
  <c r="O150" i="19"/>
  <c r="F150" i="19"/>
  <c r="E150" i="19"/>
  <c r="AJ149" i="19"/>
  <c r="AL149" i="19" s="1"/>
  <c r="Y149" i="19"/>
  <c r="X149" i="19"/>
  <c r="O149" i="19"/>
  <c r="Q149" i="19" s="1"/>
  <c r="F149" i="19"/>
  <c r="E149" i="19"/>
  <c r="AJ148" i="19"/>
  <c r="AL148" i="19" s="1"/>
  <c r="Y148" i="19"/>
  <c r="X148" i="19"/>
  <c r="Q148" i="19"/>
  <c r="O148" i="19"/>
  <c r="F148" i="19"/>
  <c r="E148" i="19"/>
  <c r="AJ147" i="19"/>
  <c r="AL147" i="19" s="1"/>
  <c r="Y147" i="19"/>
  <c r="X147" i="19"/>
  <c r="O147" i="19"/>
  <c r="Q147" i="19" s="1"/>
  <c r="F147" i="19"/>
  <c r="E147" i="19"/>
  <c r="AJ146" i="19"/>
  <c r="AL146" i="19" s="1"/>
  <c r="Y146" i="19"/>
  <c r="X146" i="19"/>
  <c r="O146" i="19"/>
  <c r="Q146" i="19" s="1"/>
  <c r="F146" i="19"/>
  <c r="E146" i="19"/>
  <c r="AJ145" i="19"/>
  <c r="AL145" i="19" s="1"/>
  <c r="Y145" i="19"/>
  <c r="X145" i="19"/>
  <c r="Q145" i="19"/>
  <c r="O145" i="19"/>
  <c r="F145" i="19"/>
  <c r="E145" i="19"/>
  <c r="BX144" i="19"/>
  <c r="BZ144" i="19" s="1"/>
  <c r="BO144" i="19"/>
  <c r="BN144" i="19"/>
  <c r="AJ144" i="19"/>
  <c r="AL144" i="19" s="1"/>
  <c r="Y144" i="19"/>
  <c r="X144" i="19"/>
  <c r="O144" i="19"/>
  <c r="Q144" i="19" s="1"/>
  <c r="F144" i="19"/>
  <c r="E144" i="19"/>
  <c r="BZ143" i="19"/>
  <c r="BX143" i="19"/>
  <c r="BO143" i="19"/>
  <c r="BN143" i="19"/>
  <c r="AJ143" i="19"/>
  <c r="AL143" i="19" s="1"/>
  <c r="Y143" i="19"/>
  <c r="X143" i="19"/>
  <c r="Q143" i="19"/>
  <c r="O143" i="19"/>
  <c r="F143" i="19"/>
  <c r="E143" i="19"/>
  <c r="BX142" i="19"/>
  <c r="BZ142" i="19" s="1"/>
  <c r="BO142" i="19"/>
  <c r="BN142" i="19"/>
  <c r="AJ142" i="19"/>
  <c r="AL142" i="19" s="1"/>
  <c r="Y142" i="19"/>
  <c r="X142" i="19"/>
  <c r="O142" i="19"/>
  <c r="Q142" i="19" s="1"/>
  <c r="F142" i="19"/>
  <c r="E142" i="19"/>
  <c r="BZ141" i="19"/>
  <c r="BX141" i="19"/>
  <c r="BO141" i="19"/>
  <c r="BN141" i="19"/>
  <c r="AJ141" i="19"/>
  <c r="AL141" i="19" s="1"/>
  <c r="Y141" i="19"/>
  <c r="X141" i="19"/>
  <c r="O141" i="19"/>
  <c r="Q141" i="19" s="1"/>
  <c r="F141" i="19"/>
  <c r="E141" i="19"/>
  <c r="DM140" i="19"/>
  <c r="DO140" i="19" s="1"/>
  <c r="DD140" i="19"/>
  <c r="DC140" i="19"/>
  <c r="BX140" i="19"/>
  <c r="BZ140" i="19" s="1"/>
  <c r="BO140" i="19"/>
  <c r="BN140" i="19"/>
  <c r="AJ140" i="19"/>
  <c r="AL140" i="19" s="1"/>
  <c r="Y140" i="19"/>
  <c r="X140" i="19"/>
  <c r="Q140" i="19"/>
  <c r="O140" i="19"/>
  <c r="F140" i="19"/>
  <c r="E140" i="19"/>
  <c r="DM139" i="19"/>
  <c r="DO139" i="19" s="1"/>
  <c r="DD139" i="19"/>
  <c r="DC139" i="19"/>
  <c r="BX139" i="19"/>
  <c r="BZ139" i="19" s="1"/>
  <c r="BO139" i="19"/>
  <c r="BN139" i="19"/>
  <c r="AJ139" i="19"/>
  <c r="AL139" i="19" s="1"/>
  <c r="Y139" i="19"/>
  <c r="X139" i="19"/>
  <c r="Q139" i="19"/>
  <c r="O139" i="19"/>
  <c r="F139" i="19"/>
  <c r="E139" i="19"/>
  <c r="DM138" i="19"/>
  <c r="DO138" i="19" s="1"/>
  <c r="DD138" i="19"/>
  <c r="DC138" i="19"/>
  <c r="BZ138" i="19"/>
  <c r="BX138" i="19"/>
  <c r="BO138" i="19"/>
  <c r="BN138" i="19"/>
  <c r="AJ138" i="19"/>
  <c r="AL138" i="19" s="1"/>
  <c r="Y138" i="19"/>
  <c r="X138" i="19"/>
  <c r="O138" i="19"/>
  <c r="Q138" i="19" s="1"/>
  <c r="F138" i="19"/>
  <c r="E138" i="19"/>
  <c r="DM137" i="19"/>
  <c r="DO137" i="19" s="1"/>
  <c r="DD137" i="19"/>
  <c r="DC137" i="19"/>
  <c r="BZ137" i="19"/>
  <c r="BX137" i="19"/>
  <c r="BO137" i="19"/>
  <c r="BN137" i="19"/>
  <c r="AJ137" i="19"/>
  <c r="AL137" i="19" s="1"/>
  <c r="Y137" i="19"/>
  <c r="X137" i="19"/>
  <c r="O137" i="19"/>
  <c r="Q137" i="19" s="1"/>
  <c r="F137" i="19"/>
  <c r="E137" i="19"/>
  <c r="DM136" i="19"/>
  <c r="DO136" i="19" s="1"/>
  <c r="DD136" i="19"/>
  <c r="DC136" i="19"/>
  <c r="BX136" i="19"/>
  <c r="BZ136" i="19" s="1"/>
  <c r="BO136" i="19"/>
  <c r="BN136" i="19"/>
  <c r="AJ136" i="19"/>
  <c r="AL136" i="19" s="1"/>
  <c r="Y136" i="19"/>
  <c r="X136" i="19"/>
  <c r="Q136" i="19"/>
  <c r="O136" i="19"/>
  <c r="F136" i="19"/>
  <c r="E136" i="19"/>
  <c r="DM135" i="19"/>
  <c r="DO135" i="19" s="1"/>
  <c r="DD135" i="19"/>
  <c r="DC135" i="19"/>
  <c r="BX135" i="19"/>
  <c r="BZ135" i="19" s="1"/>
  <c r="BO135" i="19"/>
  <c r="BN135" i="19"/>
  <c r="AJ135" i="19"/>
  <c r="AL135" i="19" s="1"/>
  <c r="Y135" i="19"/>
  <c r="X135" i="19"/>
  <c r="Q135" i="19"/>
  <c r="O135" i="19"/>
  <c r="F135" i="19"/>
  <c r="E135" i="19"/>
  <c r="DM134" i="19"/>
  <c r="DO134" i="19" s="1"/>
  <c r="DD134" i="19"/>
  <c r="DC134" i="19"/>
  <c r="BZ134" i="19"/>
  <c r="BX134" i="19"/>
  <c r="BO134" i="19"/>
  <c r="BN134" i="19"/>
  <c r="AJ134" i="19"/>
  <c r="AL134" i="19" s="1"/>
  <c r="Y134" i="19"/>
  <c r="X134" i="19"/>
  <c r="O134" i="19"/>
  <c r="Q134" i="19" s="1"/>
  <c r="F134" i="19"/>
  <c r="E134" i="19"/>
  <c r="DM133" i="19"/>
  <c r="DO133" i="19" s="1"/>
  <c r="DD133" i="19"/>
  <c r="DC133" i="19"/>
  <c r="CU133" i="19"/>
  <c r="CS133" i="19"/>
  <c r="CJ133" i="19"/>
  <c r="CI133" i="19"/>
  <c r="BX133" i="19"/>
  <c r="BZ133" i="19" s="1"/>
  <c r="BO133" i="19"/>
  <c r="BN133" i="19"/>
  <c r="AJ133" i="19"/>
  <c r="AL133" i="19" s="1"/>
  <c r="Y133" i="19"/>
  <c r="X133" i="19"/>
  <c r="O133" i="19"/>
  <c r="Q133" i="19" s="1"/>
  <c r="F133" i="19"/>
  <c r="E133" i="19"/>
  <c r="DM132" i="19"/>
  <c r="DO132" i="19" s="1"/>
  <c r="DD132" i="19"/>
  <c r="DC132" i="19"/>
  <c r="CS132" i="19"/>
  <c r="CU132" i="19" s="1"/>
  <c r="CJ132" i="19"/>
  <c r="CI132" i="19"/>
  <c r="BZ132" i="19"/>
  <c r="BX132" i="19"/>
  <c r="BO132" i="19"/>
  <c r="BN132" i="19"/>
  <c r="AJ132" i="19"/>
  <c r="AL132" i="19" s="1"/>
  <c r="Y132" i="19"/>
  <c r="X132" i="19"/>
  <c r="O132" i="19"/>
  <c r="Q132" i="19" s="1"/>
  <c r="F132" i="19"/>
  <c r="E132" i="19"/>
  <c r="DM131" i="19"/>
  <c r="DO131" i="19" s="1"/>
  <c r="DD131" i="19"/>
  <c r="DC131" i="19"/>
  <c r="CU131" i="19"/>
  <c r="CS131" i="19"/>
  <c r="CJ131" i="19"/>
  <c r="CI131" i="19"/>
  <c r="BX131" i="19"/>
  <c r="BZ131" i="19" s="1"/>
  <c r="BO131" i="19"/>
  <c r="BN131" i="19"/>
  <c r="AL131" i="19"/>
  <c r="AJ131" i="19"/>
  <c r="Y131" i="19"/>
  <c r="X131" i="19"/>
  <c r="O131" i="19"/>
  <c r="Q131" i="19" s="1"/>
  <c r="F131" i="19"/>
  <c r="E131" i="19"/>
  <c r="DM130" i="19"/>
  <c r="DO130" i="19" s="1"/>
  <c r="DD130" i="19"/>
  <c r="DC130" i="19"/>
  <c r="CS130" i="19"/>
  <c r="CU130" i="19" s="1"/>
  <c r="CJ130" i="19"/>
  <c r="CI130" i="19"/>
  <c r="BZ130" i="19"/>
  <c r="BX130" i="19"/>
  <c r="BO130" i="19"/>
  <c r="BN130" i="19"/>
  <c r="AJ130" i="19"/>
  <c r="AL130" i="19" s="1"/>
  <c r="Y130" i="19"/>
  <c r="X130" i="19"/>
  <c r="O130" i="19"/>
  <c r="Q130" i="19" s="1"/>
  <c r="F130" i="19"/>
  <c r="E130" i="19"/>
  <c r="DM129" i="19"/>
  <c r="DO129" i="19" s="1"/>
  <c r="DD129" i="19"/>
  <c r="DC129" i="19"/>
  <c r="CS129" i="19"/>
  <c r="CU129" i="19" s="1"/>
  <c r="CJ129" i="19"/>
  <c r="CI129" i="19"/>
  <c r="BX129" i="19"/>
  <c r="BZ129" i="19" s="1"/>
  <c r="BO129" i="19"/>
  <c r="BN129" i="19"/>
  <c r="BF129" i="19"/>
  <c r="BD129" i="19"/>
  <c r="AU129" i="19"/>
  <c r="AT129" i="19"/>
  <c r="AJ129" i="19"/>
  <c r="AL129" i="19" s="1"/>
  <c r="Y129" i="19"/>
  <c r="X129" i="19"/>
  <c r="O129" i="19"/>
  <c r="Q129" i="19" s="1"/>
  <c r="F129" i="19"/>
  <c r="E129" i="19"/>
  <c r="DM128" i="19"/>
  <c r="DO128" i="19" s="1"/>
  <c r="DD128" i="19"/>
  <c r="DC128" i="19"/>
  <c r="CU128" i="19"/>
  <c r="CS128" i="19"/>
  <c r="CJ128" i="19"/>
  <c r="CI128" i="19"/>
  <c r="BX128" i="19"/>
  <c r="BZ128" i="19" s="1"/>
  <c r="BO128" i="19"/>
  <c r="BN128" i="19"/>
  <c r="BF128" i="19"/>
  <c r="BD128" i="19"/>
  <c r="AU128" i="19"/>
  <c r="AT128" i="19"/>
  <c r="AJ128" i="19"/>
  <c r="AL128" i="19" s="1"/>
  <c r="Y128" i="19"/>
  <c r="X128" i="19"/>
  <c r="O128" i="19"/>
  <c r="Q128" i="19" s="1"/>
  <c r="F128" i="19"/>
  <c r="E128" i="19"/>
  <c r="DM127" i="19"/>
  <c r="DO127" i="19" s="1"/>
  <c r="DD127" i="19"/>
  <c r="DC127" i="19"/>
  <c r="CU127" i="19"/>
  <c r="CS127" i="19"/>
  <c r="CJ127" i="19"/>
  <c r="CI127" i="19"/>
  <c r="BX127" i="19"/>
  <c r="BZ127" i="19" s="1"/>
  <c r="BO127" i="19"/>
  <c r="BN127" i="19"/>
  <c r="BD127" i="19"/>
  <c r="BF127" i="19" s="1"/>
  <c r="AU127" i="19"/>
  <c r="AT127" i="19"/>
  <c r="AJ127" i="19"/>
  <c r="AL127" i="19" s="1"/>
  <c r="Y127" i="19"/>
  <c r="X127" i="19"/>
  <c r="O127" i="19"/>
  <c r="Q127" i="19" s="1"/>
  <c r="F127" i="19"/>
  <c r="E127" i="19"/>
  <c r="DM126" i="19"/>
  <c r="DO126" i="19" s="1"/>
  <c r="DD126" i="19"/>
  <c r="DC126" i="19"/>
  <c r="CU126" i="19"/>
  <c r="CS126" i="19"/>
  <c r="CJ126" i="19"/>
  <c r="CI126" i="19"/>
  <c r="BX126" i="19"/>
  <c r="BZ126" i="19" s="1"/>
  <c r="BO126" i="19"/>
  <c r="BN126" i="19"/>
  <c r="BD126" i="19"/>
  <c r="BF126" i="19" s="1"/>
  <c r="AU126" i="19"/>
  <c r="AT126" i="19"/>
  <c r="AJ126" i="19"/>
  <c r="AL126" i="19" s="1"/>
  <c r="Y126" i="19"/>
  <c r="X126" i="19"/>
  <c r="Q126" i="19"/>
  <c r="O126" i="19"/>
  <c r="F126" i="19"/>
  <c r="E126" i="19"/>
  <c r="EH125" i="19"/>
  <c r="EJ125" i="19" s="1"/>
  <c r="DY125" i="19"/>
  <c r="DX125" i="19"/>
  <c r="DO125" i="19"/>
  <c r="DM125" i="19"/>
  <c r="DD125" i="19"/>
  <c r="DC125" i="19"/>
  <c r="CS125" i="19"/>
  <c r="CU125" i="19" s="1"/>
  <c r="CJ125" i="19"/>
  <c r="CI125" i="19"/>
  <c r="BX125" i="19"/>
  <c r="BZ125" i="19" s="1"/>
  <c r="BO125" i="19"/>
  <c r="BN125" i="19"/>
  <c r="BD125" i="19"/>
  <c r="BF125" i="19" s="1"/>
  <c r="AU125" i="19"/>
  <c r="AT125" i="19"/>
  <c r="AL125" i="19"/>
  <c r="AJ125" i="19"/>
  <c r="Y125" i="19"/>
  <c r="X125" i="19"/>
  <c r="O125" i="19"/>
  <c r="Q125" i="19" s="1"/>
  <c r="F125" i="19"/>
  <c r="E125" i="19"/>
  <c r="EH124" i="19"/>
  <c r="EJ124" i="19" s="1"/>
  <c r="DY124" i="19"/>
  <c r="DX124" i="19"/>
  <c r="DM124" i="19"/>
  <c r="DO124" i="19" s="1"/>
  <c r="DD124" i="19"/>
  <c r="DC124" i="19"/>
  <c r="CS124" i="19"/>
  <c r="CU124" i="19" s="1"/>
  <c r="CJ124" i="19"/>
  <c r="CI124" i="19"/>
  <c r="BX124" i="19"/>
  <c r="BZ124" i="19" s="1"/>
  <c r="BO124" i="19"/>
  <c r="BN124" i="19"/>
  <c r="BF124" i="19"/>
  <c r="BD124" i="19"/>
  <c r="AU124" i="19"/>
  <c r="AT124" i="19"/>
  <c r="AJ124" i="19"/>
  <c r="AL124" i="19" s="1"/>
  <c r="Y124" i="19"/>
  <c r="X124" i="19"/>
  <c r="O124" i="19"/>
  <c r="Q124" i="19" s="1"/>
  <c r="F124" i="19"/>
  <c r="E124" i="19"/>
  <c r="EH123" i="19"/>
  <c r="EJ123" i="19" s="1"/>
  <c r="DY123" i="19"/>
  <c r="DX123" i="19"/>
  <c r="DO123" i="19"/>
  <c r="DM123" i="19"/>
  <c r="DD123" i="19"/>
  <c r="DC123" i="19"/>
  <c r="CS123" i="19"/>
  <c r="CU123" i="19" s="1"/>
  <c r="CJ123" i="19"/>
  <c r="CI123" i="19"/>
  <c r="BZ123" i="19"/>
  <c r="BX123" i="19"/>
  <c r="BO123" i="19"/>
  <c r="BN123" i="19"/>
  <c r="BD123" i="19"/>
  <c r="BF123" i="19" s="1"/>
  <c r="AU123" i="19"/>
  <c r="AT123" i="19"/>
  <c r="AJ123" i="19"/>
  <c r="AL123" i="19" s="1"/>
  <c r="Y123" i="19"/>
  <c r="X123" i="19"/>
  <c r="O123" i="19"/>
  <c r="Q123" i="19" s="1"/>
  <c r="F123" i="19"/>
  <c r="E123" i="19"/>
  <c r="EJ122" i="19"/>
  <c r="EH122" i="19"/>
  <c r="DY122" i="19"/>
  <c r="DX122" i="19"/>
  <c r="DM122" i="19"/>
  <c r="DO122" i="19" s="1"/>
  <c r="DD122" i="19"/>
  <c r="DC122" i="19"/>
  <c r="CS122" i="19"/>
  <c r="CU122" i="19" s="1"/>
  <c r="CJ122" i="19"/>
  <c r="CI122" i="19"/>
  <c r="BX122" i="19"/>
  <c r="BZ122" i="19" s="1"/>
  <c r="BO122" i="19"/>
  <c r="BN122" i="19"/>
  <c r="BD122" i="19"/>
  <c r="BF122" i="19" s="1"/>
  <c r="AU122" i="19"/>
  <c r="AT122" i="19"/>
  <c r="AJ122" i="19"/>
  <c r="AL122" i="19" s="1"/>
  <c r="Y122" i="19"/>
  <c r="X122" i="19"/>
  <c r="Q122" i="19"/>
  <c r="O122" i="19"/>
  <c r="F122" i="19"/>
  <c r="E122" i="19"/>
  <c r="EH121" i="19"/>
  <c r="EJ121" i="19" s="1"/>
  <c r="DY121" i="19"/>
  <c r="DX121" i="19"/>
  <c r="DM121" i="19"/>
  <c r="DO121" i="19" s="1"/>
  <c r="DD121" i="19"/>
  <c r="DC121" i="19"/>
  <c r="CS121" i="19"/>
  <c r="CU121" i="19" s="1"/>
  <c r="CJ121" i="19"/>
  <c r="CI121" i="19"/>
  <c r="BZ121" i="19"/>
  <c r="BX121" i="19"/>
  <c r="BO121" i="19"/>
  <c r="BN121" i="19"/>
  <c r="BD121" i="19"/>
  <c r="BF121" i="19" s="1"/>
  <c r="AU121" i="19"/>
  <c r="AT121" i="19"/>
  <c r="AL121" i="19"/>
  <c r="AJ121" i="19"/>
  <c r="Y121" i="19"/>
  <c r="X121" i="19"/>
  <c r="O121" i="19"/>
  <c r="Q121" i="19" s="1"/>
  <c r="F121" i="19"/>
  <c r="E121" i="19"/>
  <c r="EH120" i="19"/>
  <c r="EJ120" i="19" s="1"/>
  <c r="DY120" i="19"/>
  <c r="DX120" i="19"/>
  <c r="DM120" i="19"/>
  <c r="DO120" i="19" s="1"/>
  <c r="DD120" i="19"/>
  <c r="DC120" i="19"/>
  <c r="CU120" i="19"/>
  <c r="CS120" i="19"/>
  <c r="CJ120" i="19"/>
  <c r="CI120" i="19"/>
  <c r="BX120" i="19"/>
  <c r="BZ120" i="19" s="1"/>
  <c r="BO120" i="19"/>
  <c r="BN120" i="19"/>
  <c r="BD120" i="19"/>
  <c r="BF120" i="19" s="1"/>
  <c r="AU120" i="19"/>
  <c r="AT120" i="19"/>
  <c r="AJ120" i="19"/>
  <c r="AL120" i="19" s="1"/>
  <c r="Y120" i="19"/>
  <c r="X120" i="19"/>
  <c r="O120" i="19"/>
  <c r="Q120" i="19" s="1"/>
  <c r="F120" i="19"/>
  <c r="E120" i="19"/>
  <c r="EH119" i="19"/>
  <c r="EJ119" i="19" s="1"/>
  <c r="DY119" i="19"/>
  <c r="DX119" i="19"/>
  <c r="DO119" i="19"/>
  <c r="DM119" i="19"/>
  <c r="DD119" i="19"/>
  <c r="DC119" i="19"/>
  <c r="CS119" i="19"/>
  <c r="CU119" i="19" s="1"/>
  <c r="CJ119" i="19"/>
  <c r="CI119" i="19"/>
  <c r="BX119" i="19"/>
  <c r="BZ119" i="19" s="1"/>
  <c r="BO119" i="19"/>
  <c r="BN119" i="19"/>
  <c r="BD119" i="19"/>
  <c r="BF119" i="19" s="1"/>
  <c r="AU119" i="19"/>
  <c r="AT119" i="19"/>
  <c r="AL119" i="19"/>
  <c r="AJ119" i="19"/>
  <c r="Y119" i="19"/>
  <c r="X119" i="19"/>
  <c r="O119" i="19"/>
  <c r="Q119" i="19" s="1"/>
  <c r="F119" i="19"/>
  <c r="E119" i="19"/>
  <c r="EH118" i="19"/>
  <c r="EJ118" i="19" s="1"/>
  <c r="DY118" i="19"/>
  <c r="DX118" i="19"/>
  <c r="DM118" i="19"/>
  <c r="DO118" i="19" s="1"/>
  <c r="DD118" i="19"/>
  <c r="DC118" i="19"/>
  <c r="CU118" i="19"/>
  <c r="CS118" i="19"/>
  <c r="CJ118" i="19"/>
  <c r="CI118" i="19"/>
  <c r="BX118" i="19"/>
  <c r="BZ118" i="19" s="1"/>
  <c r="BO118" i="19"/>
  <c r="BN118" i="19"/>
  <c r="BF118" i="19"/>
  <c r="BD118" i="19"/>
  <c r="AU118" i="19"/>
  <c r="AT118" i="19"/>
  <c r="AJ118" i="19"/>
  <c r="AL118" i="19" s="1"/>
  <c r="Y118" i="19"/>
  <c r="X118" i="19"/>
  <c r="O118" i="19"/>
  <c r="Q118" i="19" s="1"/>
  <c r="F118" i="19"/>
  <c r="E118" i="19"/>
  <c r="EH117" i="19"/>
  <c r="EJ117" i="19" s="1"/>
  <c r="DY117" i="19"/>
  <c r="DX117" i="19"/>
  <c r="DO117" i="19"/>
  <c r="DM117" i="19"/>
  <c r="DD117" i="19"/>
  <c r="DC117" i="19"/>
  <c r="CS117" i="19"/>
  <c r="CU117" i="19" s="1"/>
  <c r="CJ117" i="19"/>
  <c r="CI117" i="19"/>
  <c r="BZ117" i="19"/>
  <c r="BX117" i="19"/>
  <c r="BO117" i="19"/>
  <c r="BN117" i="19"/>
  <c r="BD117" i="19"/>
  <c r="BF117" i="19" s="1"/>
  <c r="AU117" i="19"/>
  <c r="AT117" i="19"/>
  <c r="AJ117" i="19"/>
  <c r="AL117" i="19" s="1"/>
  <c r="Y117" i="19"/>
  <c r="X117" i="19"/>
  <c r="O117" i="19"/>
  <c r="Q117" i="19" s="1"/>
  <c r="F117" i="19"/>
  <c r="E117" i="19"/>
  <c r="EJ116" i="19"/>
  <c r="EH116" i="19"/>
  <c r="DY116" i="19"/>
  <c r="DX116" i="19"/>
  <c r="DM116" i="19"/>
  <c r="DO116" i="19" s="1"/>
  <c r="DD116" i="19"/>
  <c r="DC116" i="19"/>
  <c r="CS116" i="19"/>
  <c r="CU116" i="19" s="1"/>
  <c r="CJ116" i="19"/>
  <c r="CI116" i="19"/>
  <c r="BX116" i="19"/>
  <c r="BZ116" i="19" s="1"/>
  <c r="BO116" i="19"/>
  <c r="BN116" i="19"/>
  <c r="BF116" i="19"/>
  <c r="BD116" i="19"/>
  <c r="AU116" i="19"/>
  <c r="AT116" i="19"/>
  <c r="AJ116" i="19"/>
  <c r="AL116" i="19" s="1"/>
  <c r="Y116" i="19"/>
  <c r="X116" i="19"/>
  <c r="Q116" i="19"/>
  <c r="O116" i="19"/>
  <c r="F116" i="19"/>
  <c r="E116" i="19"/>
  <c r="EH115" i="19"/>
  <c r="EJ115" i="19" s="1"/>
  <c r="DY115" i="19"/>
  <c r="DX115" i="19"/>
  <c r="DM115" i="19"/>
  <c r="DO115" i="19" s="1"/>
  <c r="DD115" i="19"/>
  <c r="DC115" i="19"/>
  <c r="CS115" i="19"/>
  <c r="CU115" i="19" s="1"/>
  <c r="CJ115" i="19"/>
  <c r="CI115" i="19"/>
  <c r="BZ115" i="19"/>
  <c r="BX115" i="19"/>
  <c r="BO115" i="19"/>
  <c r="BN115" i="19"/>
  <c r="BD115" i="19"/>
  <c r="BF115" i="19" s="1"/>
  <c r="AU115" i="19"/>
  <c r="AT115" i="19"/>
  <c r="AL115" i="19"/>
  <c r="AJ115" i="19"/>
  <c r="Y115" i="19"/>
  <c r="X115" i="19"/>
  <c r="O115" i="19"/>
  <c r="Q115" i="19" s="1"/>
  <c r="F115" i="19"/>
  <c r="E115" i="19"/>
  <c r="EH114" i="19"/>
  <c r="EJ114" i="19" s="1"/>
  <c r="DY114" i="19"/>
  <c r="DX114" i="19"/>
  <c r="DM114" i="19"/>
  <c r="DO114" i="19" s="1"/>
  <c r="DD114" i="19"/>
  <c r="DC114" i="19"/>
  <c r="CU114" i="19"/>
  <c r="CS114" i="19"/>
  <c r="CJ114" i="19"/>
  <c r="CI114" i="19"/>
  <c r="BX114" i="19"/>
  <c r="BZ114" i="19" s="1"/>
  <c r="BO114" i="19"/>
  <c r="BN114" i="19"/>
  <c r="BD114" i="19"/>
  <c r="BF114" i="19" s="1"/>
  <c r="AU114" i="19"/>
  <c r="AT114" i="19"/>
  <c r="AJ114" i="19"/>
  <c r="AL114" i="19" s="1"/>
  <c r="Y114" i="19"/>
  <c r="X114" i="19"/>
  <c r="Q114" i="19"/>
  <c r="O114" i="19"/>
  <c r="F114" i="19"/>
  <c r="E114" i="19"/>
  <c r="EH113" i="19"/>
  <c r="EJ113" i="19" s="1"/>
  <c r="DY113" i="19"/>
  <c r="DX113" i="19"/>
  <c r="DO113" i="19"/>
  <c r="DM113" i="19"/>
  <c r="DD113" i="19"/>
  <c r="DC113" i="19"/>
  <c r="CS113" i="19"/>
  <c r="CU113" i="19" s="1"/>
  <c r="CJ113" i="19"/>
  <c r="CI113" i="19"/>
  <c r="BX113" i="19"/>
  <c r="BZ113" i="19" s="1"/>
  <c r="BO113" i="19"/>
  <c r="BN113" i="19"/>
  <c r="BD113" i="19"/>
  <c r="BF113" i="19" s="1"/>
  <c r="AU113" i="19"/>
  <c r="AT113" i="19"/>
  <c r="AL113" i="19"/>
  <c r="AJ113" i="19"/>
  <c r="Y113" i="19"/>
  <c r="X113" i="19"/>
  <c r="O113" i="19"/>
  <c r="Q113" i="19" s="1"/>
  <c r="F113" i="19"/>
  <c r="E113" i="19"/>
  <c r="EJ112" i="19"/>
  <c r="EH112" i="19"/>
  <c r="DY112" i="19"/>
  <c r="DX112" i="19"/>
  <c r="DM112" i="19"/>
  <c r="DO112" i="19" s="1"/>
  <c r="DD112" i="19"/>
  <c r="DC112" i="19"/>
  <c r="CS112" i="19"/>
  <c r="CU112" i="19" s="1"/>
  <c r="CJ112" i="19"/>
  <c r="CI112" i="19"/>
  <c r="BX112" i="19"/>
  <c r="BZ112" i="19" s="1"/>
  <c r="BO112" i="19"/>
  <c r="BN112" i="19"/>
  <c r="BF112" i="19"/>
  <c r="BD112" i="19"/>
  <c r="AU112" i="19"/>
  <c r="AT112" i="19"/>
  <c r="AJ112" i="19"/>
  <c r="AL112" i="19" s="1"/>
  <c r="Y112" i="19"/>
  <c r="X112" i="19"/>
  <c r="O112" i="19"/>
  <c r="Q112" i="19" s="1"/>
  <c r="F112" i="19"/>
  <c r="E112" i="19"/>
  <c r="EH111" i="19"/>
  <c r="EJ111" i="19" s="1"/>
  <c r="DY111" i="19"/>
  <c r="DX111" i="19"/>
  <c r="DO111" i="19"/>
  <c r="DM111" i="19"/>
  <c r="DD111" i="19"/>
  <c r="DC111" i="19"/>
  <c r="CS111" i="19"/>
  <c r="CU111" i="19" s="1"/>
  <c r="CJ111" i="19"/>
  <c r="CI111" i="19"/>
  <c r="BZ111" i="19"/>
  <c r="BX111" i="19"/>
  <c r="BO111" i="19"/>
  <c r="BN111" i="19"/>
  <c r="BD111" i="19"/>
  <c r="BF111" i="19" s="1"/>
  <c r="AU111" i="19"/>
  <c r="AT111" i="19"/>
  <c r="AJ111" i="19"/>
  <c r="AL111" i="19" s="1"/>
  <c r="Y111" i="19"/>
  <c r="X111" i="19"/>
  <c r="O111" i="19"/>
  <c r="Q111" i="19" s="1"/>
  <c r="F111" i="19"/>
  <c r="E111" i="19"/>
  <c r="EJ110" i="19"/>
  <c r="EH110" i="19"/>
  <c r="DY110" i="19"/>
  <c r="DX110" i="19"/>
  <c r="DM110" i="19"/>
  <c r="DO110" i="19" s="1"/>
  <c r="DD110" i="19"/>
  <c r="DC110" i="19"/>
  <c r="CU110" i="19"/>
  <c r="CS110" i="19"/>
  <c r="CJ110" i="19"/>
  <c r="CI110" i="19"/>
  <c r="BX110" i="19"/>
  <c r="BZ110" i="19" s="1"/>
  <c r="BO110" i="19"/>
  <c r="BN110" i="19"/>
  <c r="BD110" i="19"/>
  <c r="BF110" i="19" s="1"/>
  <c r="AU110" i="19"/>
  <c r="AT110" i="19"/>
  <c r="AJ110" i="19"/>
  <c r="AL110" i="19" s="1"/>
  <c r="Y110" i="19"/>
  <c r="X110" i="19"/>
  <c r="Q110" i="19"/>
  <c r="O110" i="19"/>
  <c r="F110" i="19"/>
  <c r="E110" i="19"/>
  <c r="EH109" i="19"/>
  <c r="EJ109" i="19" s="1"/>
  <c r="DY109" i="19"/>
  <c r="DX109" i="19"/>
  <c r="DM109" i="19"/>
  <c r="DO109" i="19" s="1"/>
  <c r="DD109" i="19"/>
  <c r="DC109" i="19"/>
  <c r="CS109" i="19"/>
  <c r="CU109" i="19" s="1"/>
  <c r="CJ109" i="19"/>
  <c r="CI109" i="19"/>
  <c r="BZ109" i="19"/>
  <c r="BX109" i="19"/>
  <c r="BO109" i="19"/>
  <c r="BN109" i="19"/>
  <c r="BD109" i="19"/>
  <c r="BF109" i="19" s="1"/>
  <c r="AU109" i="19"/>
  <c r="AT109" i="19"/>
  <c r="AL109" i="19"/>
  <c r="AJ109" i="19"/>
  <c r="Y109" i="19"/>
  <c r="X109" i="19"/>
  <c r="O109" i="19"/>
  <c r="Q109" i="19" s="1"/>
  <c r="F109" i="19"/>
  <c r="E109" i="19"/>
  <c r="EH108" i="19"/>
  <c r="EJ108" i="19" s="1"/>
  <c r="DY108" i="19"/>
  <c r="DX108" i="19"/>
  <c r="DM108" i="19"/>
  <c r="DO108" i="19" s="1"/>
  <c r="DD108" i="19"/>
  <c r="DC108" i="19"/>
  <c r="CU108" i="19"/>
  <c r="CS108" i="19"/>
  <c r="CJ108" i="19"/>
  <c r="CI108" i="19"/>
  <c r="BX108" i="19"/>
  <c r="BZ108" i="19" s="1"/>
  <c r="BO108" i="19"/>
  <c r="BN108" i="19"/>
  <c r="BF108" i="19"/>
  <c r="BD108" i="19"/>
  <c r="AU108" i="19"/>
  <c r="AT108" i="19"/>
  <c r="AJ108" i="19"/>
  <c r="AL108" i="19" s="1"/>
  <c r="Y108" i="19"/>
  <c r="X108" i="19"/>
  <c r="O108" i="19"/>
  <c r="Q108" i="19" s="1"/>
  <c r="F108" i="19"/>
  <c r="E108" i="19"/>
  <c r="EH107" i="19"/>
  <c r="EJ107" i="19" s="1"/>
  <c r="DY107" i="19"/>
  <c r="DX107" i="19"/>
  <c r="DO107" i="19"/>
  <c r="DM107" i="19"/>
  <c r="DD107" i="19"/>
  <c r="DC107" i="19"/>
  <c r="CS107" i="19"/>
  <c r="CU107" i="19" s="1"/>
  <c r="CJ107" i="19"/>
  <c r="CI107" i="19"/>
  <c r="BX107" i="19"/>
  <c r="BZ107" i="19" s="1"/>
  <c r="BO107" i="19"/>
  <c r="BN107" i="19"/>
  <c r="BD107" i="19"/>
  <c r="BF107" i="19" s="1"/>
  <c r="AU107" i="19"/>
  <c r="AT107" i="19"/>
  <c r="AL107" i="19"/>
  <c r="AJ107" i="19"/>
  <c r="Y107" i="19"/>
  <c r="X107" i="19"/>
  <c r="O107" i="19"/>
  <c r="Q107" i="19" s="1"/>
  <c r="F107" i="19"/>
  <c r="E107" i="19"/>
  <c r="EJ106" i="19"/>
  <c r="EH106" i="19"/>
  <c r="DY106" i="19"/>
  <c r="DX106" i="19"/>
  <c r="DM106" i="19"/>
  <c r="DO106" i="19" s="1"/>
  <c r="DD106" i="19"/>
  <c r="DC106" i="19"/>
  <c r="CS106" i="19"/>
  <c r="CU106" i="19" s="1"/>
  <c r="CJ106" i="19"/>
  <c r="CI106" i="19"/>
  <c r="BX106" i="19"/>
  <c r="BZ106" i="19" s="1"/>
  <c r="BO106" i="19"/>
  <c r="BN106" i="19"/>
  <c r="BF106" i="19"/>
  <c r="BD106" i="19"/>
  <c r="AU106" i="19"/>
  <c r="AT106" i="19"/>
  <c r="AJ106" i="19"/>
  <c r="AL106" i="19" s="1"/>
  <c r="Y106" i="19"/>
  <c r="X106" i="19"/>
  <c r="Q106" i="19"/>
  <c r="O106" i="19"/>
  <c r="F106" i="19"/>
  <c r="E106" i="19"/>
  <c r="EH105" i="19"/>
  <c r="EJ105" i="19" s="1"/>
  <c r="DY105" i="19"/>
  <c r="DX105" i="19"/>
  <c r="DM105" i="19"/>
  <c r="DO105" i="19" s="1"/>
  <c r="DD105" i="19"/>
  <c r="DC105" i="19"/>
  <c r="CS105" i="19"/>
  <c r="CU105" i="19" s="1"/>
  <c r="CJ105" i="19"/>
  <c r="CI105" i="19"/>
  <c r="BZ105" i="19"/>
  <c r="BX105" i="19"/>
  <c r="BO105" i="19"/>
  <c r="BN105" i="19"/>
  <c r="BD105" i="19"/>
  <c r="BF105" i="19" s="1"/>
  <c r="AU105" i="19"/>
  <c r="AT105" i="19"/>
  <c r="AJ105" i="19"/>
  <c r="AL105" i="19" s="1"/>
  <c r="Y105" i="19"/>
  <c r="X105" i="19"/>
  <c r="O105" i="19"/>
  <c r="Q105" i="19" s="1"/>
  <c r="F105" i="19"/>
  <c r="E105" i="19"/>
  <c r="EJ104" i="19"/>
  <c r="EH104" i="19"/>
  <c r="DY104" i="19"/>
  <c r="DX104" i="19"/>
  <c r="DM104" i="19"/>
  <c r="DO104" i="19" s="1"/>
  <c r="DD104" i="19"/>
  <c r="DC104" i="19"/>
  <c r="CU104" i="19"/>
  <c r="CS104" i="19"/>
  <c r="CJ104" i="19"/>
  <c r="CI104" i="19"/>
  <c r="BX104" i="19"/>
  <c r="BZ104" i="19" s="1"/>
  <c r="BO104" i="19"/>
  <c r="BN104" i="19"/>
  <c r="BD104" i="19"/>
  <c r="BF104" i="19" s="1"/>
  <c r="AU104" i="19"/>
  <c r="AT104" i="19"/>
  <c r="AJ104" i="19"/>
  <c r="AL104" i="19" s="1"/>
  <c r="Y104" i="19"/>
  <c r="X104" i="19"/>
  <c r="Q104" i="19"/>
  <c r="O104" i="19"/>
  <c r="F104" i="19"/>
  <c r="E104" i="19"/>
  <c r="EH103" i="19"/>
  <c r="EJ103" i="19" s="1"/>
  <c r="DY103" i="19"/>
  <c r="DX103" i="19"/>
  <c r="DO103" i="19"/>
  <c r="DM103" i="19"/>
  <c r="DD103" i="19"/>
  <c r="DC103" i="19"/>
  <c r="CS103" i="19"/>
  <c r="CU103" i="19" s="1"/>
  <c r="CJ103" i="19"/>
  <c r="CI103" i="19"/>
  <c r="BX103" i="19"/>
  <c r="BZ103" i="19" s="1"/>
  <c r="BO103" i="19"/>
  <c r="BN103" i="19"/>
  <c r="BD103" i="19"/>
  <c r="BF103" i="19" s="1"/>
  <c r="AU103" i="19"/>
  <c r="AT103" i="19"/>
  <c r="AL103" i="19"/>
  <c r="AJ103" i="19"/>
  <c r="Y103" i="19"/>
  <c r="X103" i="19"/>
  <c r="O103" i="19"/>
  <c r="Q103" i="19" s="1"/>
  <c r="F103" i="19"/>
  <c r="E103" i="19"/>
  <c r="EH102" i="19"/>
  <c r="EJ102" i="19" s="1"/>
  <c r="DY102" i="19"/>
  <c r="DX102" i="19"/>
  <c r="DM102" i="19"/>
  <c r="DO102" i="19" s="1"/>
  <c r="DD102" i="19"/>
  <c r="DC102" i="19"/>
  <c r="CU102" i="19"/>
  <c r="CS102" i="19"/>
  <c r="CJ102" i="19"/>
  <c r="CI102" i="19"/>
  <c r="BX102" i="19"/>
  <c r="BZ102" i="19" s="1"/>
  <c r="BO102" i="19"/>
  <c r="BN102" i="19"/>
  <c r="BF102" i="19"/>
  <c r="BD102" i="19"/>
  <c r="AU102" i="19"/>
  <c r="AT102" i="19"/>
  <c r="AJ102" i="19"/>
  <c r="AL102" i="19" s="1"/>
  <c r="Y102" i="19"/>
  <c r="X102" i="19"/>
  <c r="O102" i="19"/>
  <c r="Q102" i="19" s="1"/>
  <c r="F102" i="19"/>
  <c r="E102" i="19"/>
  <c r="EH101" i="19"/>
  <c r="EJ101" i="19" s="1"/>
  <c r="DY101" i="19"/>
  <c r="DX101" i="19"/>
  <c r="DM101" i="19"/>
  <c r="DO101" i="19" s="1"/>
  <c r="DD101" i="19"/>
  <c r="DC101" i="19"/>
  <c r="CS101" i="19"/>
  <c r="CU101" i="19" s="1"/>
  <c r="CJ101" i="19"/>
  <c r="CI101" i="19"/>
  <c r="BZ101" i="19"/>
  <c r="BX101" i="19"/>
  <c r="BO101" i="19"/>
  <c r="BN101" i="19"/>
  <c r="BD101" i="19"/>
  <c r="BF101" i="19" s="1"/>
  <c r="AU101" i="19"/>
  <c r="AT101" i="19"/>
  <c r="AJ101" i="19"/>
  <c r="AL101" i="19" s="1"/>
  <c r="Y101" i="19"/>
  <c r="X101" i="19"/>
  <c r="O101" i="19"/>
  <c r="Q101" i="19" s="1"/>
  <c r="F101" i="19"/>
  <c r="E101" i="19"/>
  <c r="EJ100" i="19"/>
  <c r="EH100" i="19"/>
  <c r="DY100" i="19"/>
  <c r="DX100" i="19"/>
  <c r="DM100" i="19"/>
  <c r="DO100" i="19" s="1"/>
  <c r="DD100" i="19"/>
  <c r="DC100" i="19"/>
  <c r="CS100" i="19"/>
  <c r="CU100" i="19" s="1"/>
  <c r="CJ100" i="19"/>
  <c r="CI100" i="19"/>
  <c r="BX100" i="19"/>
  <c r="BZ100" i="19" s="1"/>
  <c r="BO100" i="19"/>
  <c r="BN100" i="19"/>
  <c r="BF100" i="19"/>
  <c r="BD100" i="19"/>
  <c r="AU100" i="19"/>
  <c r="AT100" i="19"/>
  <c r="AJ100" i="19"/>
  <c r="AL100" i="19" s="1"/>
  <c r="Y100" i="19"/>
  <c r="X100" i="19"/>
  <c r="Q100" i="19"/>
  <c r="O100" i="19"/>
  <c r="F100" i="19"/>
  <c r="E100" i="19"/>
  <c r="EH99" i="19"/>
  <c r="EJ99" i="19" s="1"/>
  <c r="DY99" i="19"/>
  <c r="DX99" i="19"/>
  <c r="DM99" i="19"/>
  <c r="DO99" i="19" s="1"/>
  <c r="DD99" i="19"/>
  <c r="DC99" i="19"/>
  <c r="CS99" i="19"/>
  <c r="CU99" i="19" s="1"/>
  <c r="CJ99" i="19"/>
  <c r="CI99" i="19"/>
  <c r="BX99" i="19"/>
  <c r="BZ99" i="19" s="1"/>
  <c r="BO99" i="19"/>
  <c r="BN99" i="19"/>
  <c r="BD99" i="19"/>
  <c r="BF99" i="19" s="1"/>
  <c r="AU99" i="19"/>
  <c r="AT99" i="19"/>
  <c r="AL99" i="19"/>
  <c r="AJ99" i="19"/>
  <c r="Y99" i="19"/>
  <c r="X99" i="19"/>
  <c r="O99" i="19"/>
  <c r="Q99" i="19" s="1"/>
  <c r="F99" i="19"/>
  <c r="E99" i="19"/>
  <c r="EH98" i="19"/>
  <c r="EJ98" i="19" s="1"/>
  <c r="DY98" i="19"/>
  <c r="DX98" i="19"/>
  <c r="DM98" i="19"/>
  <c r="DO98" i="19" s="1"/>
  <c r="DD98" i="19"/>
  <c r="DC98" i="19"/>
  <c r="CU98" i="19"/>
  <c r="CS98" i="19"/>
  <c r="CJ98" i="19"/>
  <c r="CI98" i="19"/>
  <c r="BX98" i="19"/>
  <c r="BZ98" i="19" s="1"/>
  <c r="BO98" i="19"/>
  <c r="BN98" i="19"/>
  <c r="BD98" i="19"/>
  <c r="BF98" i="19" s="1"/>
  <c r="AU98" i="19"/>
  <c r="AT98" i="19"/>
  <c r="AJ98" i="19"/>
  <c r="AL98" i="19" s="1"/>
  <c r="Y98" i="19"/>
  <c r="X98" i="19"/>
  <c r="Q98" i="19"/>
  <c r="O98" i="19"/>
  <c r="F98" i="19"/>
  <c r="E98" i="19"/>
  <c r="EH97" i="19"/>
  <c r="EJ97" i="19" s="1"/>
  <c r="DY97" i="19"/>
  <c r="DX97" i="19"/>
  <c r="DO97" i="19"/>
  <c r="DM97" i="19"/>
  <c r="DD97" i="19"/>
  <c r="DC97" i="19"/>
  <c r="CS97" i="19"/>
  <c r="CU97" i="19" s="1"/>
  <c r="CJ97" i="19"/>
  <c r="CI97" i="19"/>
  <c r="BX97" i="19"/>
  <c r="BZ97" i="19" s="1"/>
  <c r="BO97" i="19"/>
  <c r="BN97" i="19"/>
  <c r="BF97" i="19"/>
  <c r="BD97" i="19"/>
  <c r="AU97" i="19"/>
  <c r="AT97" i="19"/>
  <c r="AJ97" i="19"/>
  <c r="AL97" i="19" s="1"/>
  <c r="Y97" i="19"/>
  <c r="X97" i="19"/>
  <c r="Q97" i="19"/>
  <c r="O97" i="19"/>
  <c r="F97" i="19"/>
  <c r="E97" i="19"/>
  <c r="EH96" i="19"/>
  <c r="EJ96" i="19" s="1"/>
  <c r="DY96" i="19"/>
  <c r="DX96" i="19"/>
  <c r="DM96" i="19"/>
  <c r="DO96" i="19" s="1"/>
  <c r="DD96" i="19"/>
  <c r="DC96" i="19"/>
  <c r="CS96" i="19"/>
  <c r="CU96" i="19" s="1"/>
  <c r="CJ96" i="19"/>
  <c r="CI96" i="19"/>
  <c r="BX96" i="19"/>
  <c r="BZ96" i="19" s="1"/>
  <c r="BO96" i="19"/>
  <c r="BN96" i="19"/>
  <c r="BD96" i="19"/>
  <c r="BF96" i="19" s="1"/>
  <c r="AU96" i="19"/>
  <c r="AT96" i="19"/>
  <c r="AL96" i="19"/>
  <c r="AJ96" i="19"/>
  <c r="Y96" i="19"/>
  <c r="X96" i="19"/>
  <c r="O96" i="19"/>
  <c r="Q96" i="19" s="1"/>
  <c r="F96" i="19"/>
  <c r="E96" i="19"/>
  <c r="EH95" i="19"/>
  <c r="EJ95" i="19" s="1"/>
  <c r="DY95" i="19"/>
  <c r="DX95" i="19"/>
  <c r="DM95" i="19"/>
  <c r="DO95" i="19" s="1"/>
  <c r="DD95" i="19"/>
  <c r="DC95" i="19"/>
  <c r="CU95" i="19"/>
  <c r="CS95" i="19"/>
  <c r="CJ95" i="19"/>
  <c r="CI95" i="19"/>
  <c r="BX95" i="19"/>
  <c r="BZ95" i="19" s="1"/>
  <c r="BO95" i="19"/>
  <c r="BN95" i="19"/>
  <c r="BD95" i="19"/>
  <c r="BF95" i="19" s="1"/>
  <c r="AU95" i="19"/>
  <c r="AT95" i="19"/>
  <c r="AJ95" i="19"/>
  <c r="AL95" i="19" s="1"/>
  <c r="Y95" i="19"/>
  <c r="X95" i="19"/>
  <c r="O95" i="19"/>
  <c r="Q95" i="19" s="1"/>
  <c r="F95" i="19"/>
  <c r="E95" i="19"/>
  <c r="EH94" i="19"/>
  <c r="EJ94" i="19" s="1"/>
  <c r="DY94" i="19"/>
  <c r="DX94" i="19"/>
  <c r="DO94" i="19"/>
  <c r="DM94" i="19"/>
  <c r="DD94" i="19"/>
  <c r="DC94" i="19"/>
  <c r="CS94" i="19"/>
  <c r="CU94" i="19" s="1"/>
  <c r="CJ94" i="19"/>
  <c r="CI94" i="19"/>
  <c r="BX94" i="19"/>
  <c r="BZ94" i="19" s="1"/>
  <c r="BO94" i="19"/>
  <c r="BN94" i="19"/>
  <c r="BD94" i="19"/>
  <c r="BF94" i="19" s="1"/>
  <c r="AU94" i="19"/>
  <c r="AT94" i="19"/>
  <c r="AJ94" i="19"/>
  <c r="AL94" i="19" s="1"/>
  <c r="Y94" i="19"/>
  <c r="X94" i="19"/>
  <c r="O94" i="19"/>
  <c r="Q94" i="19" s="1"/>
  <c r="F94" i="19"/>
  <c r="E94" i="19"/>
  <c r="EJ93" i="19"/>
  <c r="EH93" i="19"/>
  <c r="DY93" i="19"/>
  <c r="DX93" i="19"/>
  <c r="DM93" i="19"/>
  <c r="DO93" i="19" s="1"/>
  <c r="DD93" i="19"/>
  <c r="DC93" i="19"/>
  <c r="CS93" i="19"/>
  <c r="CU93" i="19" s="1"/>
  <c r="CJ93" i="19"/>
  <c r="CI93" i="19"/>
  <c r="BX93" i="19"/>
  <c r="BZ93" i="19" s="1"/>
  <c r="BO93" i="19"/>
  <c r="BN93" i="19"/>
  <c r="BF93" i="19"/>
  <c r="BD93" i="19"/>
  <c r="AU93" i="19"/>
  <c r="AT93" i="19"/>
  <c r="AJ93" i="19"/>
  <c r="AL93" i="19" s="1"/>
  <c r="Y93" i="19"/>
  <c r="X93" i="19"/>
  <c r="O93" i="19"/>
  <c r="Q93" i="19" s="1"/>
  <c r="F93" i="19"/>
  <c r="E93" i="19"/>
  <c r="AJ77" i="19"/>
  <c r="AL77" i="19" s="1"/>
  <c r="Y77" i="19"/>
  <c r="X77" i="19"/>
  <c r="O77" i="19"/>
  <c r="Q77" i="19" s="1"/>
  <c r="F77" i="19"/>
  <c r="E77" i="19"/>
  <c r="AJ76" i="19"/>
  <c r="AL76" i="19" s="1"/>
  <c r="Y76" i="19"/>
  <c r="X76" i="19"/>
  <c r="Q76" i="19"/>
  <c r="O76" i="19"/>
  <c r="F76" i="19"/>
  <c r="E76" i="19"/>
  <c r="AJ75" i="19"/>
  <c r="AL75" i="19" s="1"/>
  <c r="Y75" i="19"/>
  <c r="X75" i="19"/>
  <c r="O75" i="19"/>
  <c r="Q75" i="19" s="1"/>
  <c r="F75" i="19"/>
  <c r="E75" i="19"/>
  <c r="AJ74" i="19"/>
  <c r="AL74" i="19" s="1"/>
  <c r="Y74" i="19"/>
  <c r="X74" i="19"/>
  <c r="O74" i="19"/>
  <c r="Q74" i="19" s="1"/>
  <c r="F74" i="19"/>
  <c r="E74" i="19"/>
  <c r="AJ73" i="19"/>
  <c r="AL73" i="19" s="1"/>
  <c r="Y73" i="19"/>
  <c r="X73" i="19"/>
  <c r="Q73" i="19"/>
  <c r="O73" i="19"/>
  <c r="F73" i="19"/>
  <c r="E73" i="19"/>
  <c r="AJ72" i="19"/>
  <c r="AL72" i="19" s="1"/>
  <c r="Y72" i="19"/>
  <c r="X72" i="19"/>
  <c r="O72" i="19"/>
  <c r="Q72" i="19" s="1"/>
  <c r="F72" i="19"/>
  <c r="E72" i="19"/>
  <c r="AJ71" i="19"/>
  <c r="AL71" i="19" s="1"/>
  <c r="Y71" i="19"/>
  <c r="X71" i="19"/>
  <c r="Q71" i="19"/>
  <c r="O71" i="19"/>
  <c r="F71" i="19"/>
  <c r="E71" i="19"/>
  <c r="AJ70" i="19"/>
  <c r="AL70" i="19" s="1"/>
  <c r="Y70" i="19"/>
  <c r="X70" i="19"/>
  <c r="O70" i="19"/>
  <c r="Q70" i="19" s="1"/>
  <c r="F70" i="19"/>
  <c r="E70" i="19"/>
  <c r="AJ69" i="19"/>
  <c r="AL69" i="19" s="1"/>
  <c r="Y69" i="19"/>
  <c r="X69" i="19"/>
  <c r="O69" i="19"/>
  <c r="Q69" i="19" s="1"/>
  <c r="F69" i="19"/>
  <c r="E69" i="19"/>
  <c r="AJ68" i="19"/>
  <c r="AL68" i="19" s="1"/>
  <c r="Y68" i="19"/>
  <c r="X68" i="19"/>
  <c r="Q68" i="19"/>
  <c r="O68" i="19"/>
  <c r="F68" i="19"/>
  <c r="E68" i="19"/>
  <c r="AJ67" i="19"/>
  <c r="AL67" i="19" s="1"/>
  <c r="Y67" i="19"/>
  <c r="X67" i="19"/>
  <c r="O67" i="19"/>
  <c r="Q67" i="19" s="1"/>
  <c r="F67" i="19"/>
  <c r="E67" i="19"/>
  <c r="AJ66" i="19"/>
  <c r="AL66" i="19" s="1"/>
  <c r="Y66" i="19"/>
  <c r="X66" i="19"/>
  <c r="O66" i="19"/>
  <c r="Q66" i="19" s="1"/>
  <c r="F66" i="19"/>
  <c r="E66" i="19"/>
  <c r="AJ65" i="19"/>
  <c r="AL65" i="19" s="1"/>
  <c r="Y65" i="19"/>
  <c r="X65" i="19"/>
  <c r="Q65" i="19"/>
  <c r="O65" i="19"/>
  <c r="F65" i="19"/>
  <c r="E65" i="19"/>
  <c r="AJ64" i="19"/>
  <c r="AL64" i="19" s="1"/>
  <c r="Y64" i="19"/>
  <c r="X64" i="19"/>
  <c r="O64" i="19"/>
  <c r="Q64" i="19" s="1"/>
  <c r="F64" i="19"/>
  <c r="E64" i="19"/>
  <c r="AJ63" i="19"/>
  <c r="AL63" i="19" s="1"/>
  <c r="Y63" i="19"/>
  <c r="X63" i="19"/>
  <c r="Q63" i="19"/>
  <c r="O63" i="19"/>
  <c r="F63" i="19"/>
  <c r="E63" i="19"/>
  <c r="AJ62" i="19"/>
  <c r="AL62" i="19" s="1"/>
  <c r="Y62" i="19"/>
  <c r="X62" i="19"/>
  <c r="O62" i="19"/>
  <c r="Q62" i="19" s="1"/>
  <c r="F62" i="19"/>
  <c r="E62" i="19"/>
  <c r="AJ61" i="19"/>
  <c r="AL61" i="19" s="1"/>
  <c r="Y61" i="19"/>
  <c r="X61" i="19"/>
  <c r="O61" i="19"/>
  <c r="Q61" i="19" s="1"/>
  <c r="F61" i="19"/>
  <c r="E61" i="19"/>
  <c r="AJ60" i="19"/>
  <c r="AL60" i="19" s="1"/>
  <c r="Y60" i="19"/>
  <c r="X60" i="19"/>
  <c r="Q60" i="19"/>
  <c r="O60" i="19"/>
  <c r="F60" i="19"/>
  <c r="E60" i="19"/>
  <c r="BX59" i="19"/>
  <c r="BZ59" i="19" s="1"/>
  <c r="BO59" i="19"/>
  <c r="BN59" i="19"/>
  <c r="AJ59" i="19"/>
  <c r="AL59" i="19" s="1"/>
  <c r="Y59" i="19"/>
  <c r="X59" i="19"/>
  <c r="O59" i="19"/>
  <c r="Q59" i="19" s="1"/>
  <c r="F59" i="19"/>
  <c r="E59" i="19"/>
  <c r="BX58" i="19"/>
  <c r="BZ58" i="19" s="1"/>
  <c r="BO58" i="19"/>
  <c r="BN58" i="19"/>
  <c r="AJ58" i="19"/>
  <c r="AL58" i="19" s="1"/>
  <c r="Y58" i="19"/>
  <c r="X58" i="19"/>
  <c r="Q58" i="19"/>
  <c r="O58" i="19"/>
  <c r="F58" i="19"/>
  <c r="E58" i="19"/>
  <c r="BX57" i="19"/>
  <c r="BZ57" i="19" s="1"/>
  <c r="BO57" i="19"/>
  <c r="BN57" i="19"/>
  <c r="AJ57" i="19"/>
  <c r="AL57" i="19" s="1"/>
  <c r="Y57" i="19"/>
  <c r="X57" i="19"/>
  <c r="O57" i="19"/>
  <c r="Q57" i="19" s="1"/>
  <c r="F57" i="19"/>
  <c r="E57" i="19"/>
  <c r="BZ56" i="19"/>
  <c r="BX56" i="19"/>
  <c r="BO56" i="19"/>
  <c r="BN56" i="19"/>
  <c r="AJ56" i="19"/>
  <c r="AL56" i="19" s="1"/>
  <c r="Y56" i="19"/>
  <c r="X56" i="19"/>
  <c r="O56" i="19"/>
  <c r="Q56" i="19" s="1"/>
  <c r="F56" i="19"/>
  <c r="E56" i="19"/>
  <c r="DM55" i="19"/>
  <c r="DO55" i="19" s="1"/>
  <c r="DD55" i="19"/>
  <c r="DC55" i="19"/>
  <c r="BX55" i="19"/>
  <c r="BZ55" i="19" s="1"/>
  <c r="BO55" i="19"/>
  <c r="BN55" i="19"/>
  <c r="AJ55" i="19"/>
  <c r="AL55" i="19" s="1"/>
  <c r="Y55" i="19"/>
  <c r="X55" i="19"/>
  <c r="Q55" i="19"/>
  <c r="O55" i="19"/>
  <c r="F55" i="19"/>
  <c r="E55" i="19"/>
  <c r="DM54" i="19"/>
  <c r="DO54" i="19" s="1"/>
  <c r="DD54" i="19"/>
  <c r="DC54" i="19"/>
  <c r="BX54" i="19"/>
  <c r="BZ54" i="19" s="1"/>
  <c r="BO54" i="19"/>
  <c r="BN54" i="19"/>
  <c r="AJ54" i="19"/>
  <c r="AL54" i="19" s="1"/>
  <c r="Y54" i="19"/>
  <c r="X54" i="19"/>
  <c r="O54" i="19"/>
  <c r="Q54" i="19" s="1"/>
  <c r="F54" i="19"/>
  <c r="E54" i="19"/>
  <c r="DM53" i="19"/>
  <c r="DO53" i="19" s="1"/>
  <c r="DD53" i="19"/>
  <c r="DC53" i="19"/>
  <c r="BZ53" i="19"/>
  <c r="BX53" i="19"/>
  <c r="BO53" i="19"/>
  <c r="BN53" i="19"/>
  <c r="AJ53" i="19"/>
  <c r="AL53" i="19" s="1"/>
  <c r="Y53" i="19"/>
  <c r="X53" i="19"/>
  <c r="O53" i="19"/>
  <c r="Q53" i="19" s="1"/>
  <c r="F53" i="19"/>
  <c r="E53" i="19"/>
  <c r="DM52" i="19"/>
  <c r="DO52" i="19" s="1"/>
  <c r="DD52" i="19"/>
  <c r="DC52" i="19"/>
  <c r="BZ52" i="19"/>
  <c r="BX52" i="19"/>
  <c r="BO52" i="19"/>
  <c r="BN52" i="19"/>
  <c r="AJ52" i="19"/>
  <c r="AL52" i="19" s="1"/>
  <c r="Y52" i="19"/>
  <c r="X52" i="19"/>
  <c r="O52" i="19"/>
  <c r="Q52" i="19" s="1"/>
  <c r="F52" i="19"/>
  <c r="E52" i="19"/>
  <c r="DM51" i="19"/>
  <c r="DO51" i="19" s="1"/>
  <c r="DD51" i="19"/>
  <c r="DC51" i="19"/>
  <c r="BX51" i="19"/>
  <c r="BZ51" i="19" s="1"/>
  <c r="BO51" i="19"/>
  <c r="BN51" i="19"/>
  <c r="AJ51" i="19"/>
  <c r="AL51" i="19" s="1"/>
  <c r="Y51" i="19"/>
  <c r="X51" i="19"/>
  <c r="Q51" i="19"/>
  <c r="O51" i="19"/>
  <c r="F51" i="19"/>
  <c r="E51" i="19"/>
  <c r="DM50" i="19"/>
  <c r="DO50" i="19" s="1"/>
  <c r="DD50" i="19"/>
  <c r="DC50" i="19"/>
  <c r="BX50" i="19"/>
  <c r="BZ50" i="19" s="1"/>
  <c r="BO50" i="19"/>
  <c r="BN50" i="19"/>
  <c r="AJ50" i="19"/>
  <c r="AL50" i="19" s="1"/>
  <c r="Y50" i="19"/>
  <c r="X50" i="19"/>
  <c r="O50" i="19"/>
  <c r="Q50" i="19" s="1"/>
  <c r="F50" i="19"/>
  <c r="E50" i="19"/>
  <c r="DM49" i="19"/>
  <c r="DO49" i="19" s="1"/>
  <c r="DD49" i="19"/>
  <c r="DC49" i="19"/>
  <c r="BZ49" i="19"/>
  <c r="BX49" i="19"/>
  <c r="BO49" i="19"/>
  <c r="BN49" i="19"/>
  <c r="AJ49" i="19"/>
  <c r="AL49" i="19" s="1"/>
  <c r="Y49" i="19"/>
  <c r="X49" i="19"/>
  <c r="O49" i="19"/>
  <c r="Q49" i="19" s="1"/>
  <c r="F49" i="19"/>
  <c r="E49" i="19"/>
  <c r="DM48" i="19"/>
  <c r="DO48" i="19" s="1"/>
  <c r="DD48" i="19"/>
  <c r="DC48" i="19"/>
  <c r="CU48" i="19"/>
  <c r="CS48" i="19"/>
  <c r="CJ48" i="19"/>
  <c r="CI48" i="19"/>
  <c r="BX48" i="19"/>
  <c r="BZ48" i="19" s="1"/>
  <c r="BO48" i="19"/>
  <c r="BN48" i="19"/>
  <c r="AJ48" i="19"/>
  <c r="AL48" i="19" s="1"/>
  <c r="Y48" i="19"/>
  <c r="X48" i="19"/>
  <c r="O48" i="19"/>
  <c r="Q48" i="19" s="1"/>
  <c r="F48" i="19"/>
  <c r="E48" i="19"/>
  <c r="DM47" i="19"/>
  <c r="DO47" i="19" s="1"/>
  <c r="DD47" i="19"/>
  <c r="DC47" i="19"/>
  <c r="CS47" i="19"/>
  <c r="CU47" i="19" s="1"/>
  <c r="CJ47" i="19"/>
  <c r="CI47" i="19"/>
  <c r="BZ47" i="19"/>
  <c r="BX47" i="19"/>
  <c r="BO47" i="19"/>
  <c r="BN47" i="19"/>
  <c r="AJ47" i="19"/>
  <c r="AL47" i="19" s="1"/>
  <c r="Y47" i="19"/>
  <c r="X47" i="19"/>
  <c r="O47" i="19"/>
  <c r="Q47" i="19" s="1"/>
  <c r="F47" i="19"/>
  <c r="E47" i="19"/>
  <c r="DM46" i="19"/>
  <c r="DO46" i="19" s="1"/>
  <c r="DD46" i="19"/>
  <c r="DC46" i="19"/>
  <c r="CS46" i="19"/>
  <c r="CU46" i="19" s="1"/>
  <c r="CJ46" i="19"/>
  <c r="CI46" i="19"/>
  <c r="BX46" i="19"/>
  <c r="BZ46" i="19" s="1"/>
  <c r="BO46" i="19"/>
  <c r="BN46" i="19"/>
  <c r="AL46" i="19"/>
  <c r="AJ46" i="19"/>
  <c r="Y46" i="19"/>
  <c r="X46" i="19"/>
  <c r="O46" i="19"/>
  <c r="Q46" i="19" s="1"/>
  <c r="F46" i="19"/>
  <c r="E46" i="19"/>
  <c r="DM45" i="19"/>
  <c r="DO45" i="19" s="1"/>
  <c r="DD45" i="19"/>
  <c r="DC45" i="19"/>
  <c r="CS45" i="19"/>
  <c r="CU45" i="19" s="1"/>
  <c r="CJ45" i="19"/>
  <c r="CI45" i="19"/>
  <c r="BZ45" i="19"/>
  <c r="BX45" i="19"/>
  <c r="BO45" i="19"/>
  <c r="BN45" i="19"/>
  <c r="AJ45" i="19"/>
  <c r="AL45" i="19" s="1"/>
  <c r="Y45" i="19"/>
  <c r="X45" i="19"/>
  <c r="O45" i="19"/>
  <c r="Q45" i="19" s="1"/>
  <c r="F45" i="19"/>
  <c r="E45" i="19"/>
  <c r="DM44" i="19"/>
  <c r="DO44" i="19" s="1"/>
  <c r="DD44" i="19"/>
  <c r="DC44" i="19"/>
  <c r="CS44" i="19"/>
  <c r="CU44" i="19" s="1"/>
  <c r="CJ44" i="19"/>
  <c r="CI44" i="19"/>
  <c r="BX44" i="19"/>
  <c r="BZ44" i="19" s="1"/>
  <c r="BO44" i="19"/>
  <c r="BN44" i="19"/>
  <c r="BF44" i="19"/>
  <c r="BD44" i="19"/>
  <c r="AU44" i="19"/>
  <c r="AT44" i="19"/>
  <c r="AJ44" i="19"/>
  <c r="AL44" i="19" s="1"/>
  <c r="Y44" i="19"/>
  <c r="X44" i="19"/>
  <c r="O44" i="19"/>
  <c r="Q44" i="19" s="1"/>
  <c r="F44" i="19"/>
  <c r="E44" i="19"/>
  <c r="DM43" i="19"/>
  <c r="DO43" i="19" s="1"/>
  <c r="DD43" i="19"/>
  <c r="DC43" i="19"/>
  <c r="CS43" i="19"/>
  <c r="CU43" i="19" s="1"/>
  <c r="CJ43" i="19"/>
  <c r="CI43" i="19"/>
  <c r="BX43" i="19"/>
  <c r="BZ43" i="19" s="1"/>
  <c r="BO43" i="19"/>
  <c r="BN43" i="19"/>
  <c r="BF43" i="19"/>
  <c r="BD43" i="19"/>
  <c r="AU43" i="19"/>
  <c r="AT43" i="19"/>
  <c r="AJ43" i="19"/>
  <c r="AL43" i="19" s="1"/>
  <c r="Y43" i="19"/>
  <c r="X43" i="19"/>
  <c r="O43" i="19"/>
  <c r="Q43" i="19" s="1"/>
  <c r="F43" i="19"/>
  <c r="E43" i="19"/>
  <c r="DM42" i="19"/>
  <c r="DO42" i="19" s="1"/>
  <c r="DD42" i="19"/>
  <c r="DC42" i="19"/>
  <c r="CU42" i="19"/>
  <c r="CS42" i="19"/>
  <c r="CJ42" i="19"/>
  <c r="CI42" i="19"/>
  <c r="BX42" i="19"/>
  <c r="BZ42" i="19" s="1"/>
  <c r="BO42" i="19"/>
  <c r="BN42" i="19"/>
  <c r="BD42" i="19"/>
  <c r="BF42" i="19" s="1"/>
  <c r="AU42" i="19"/>
  <c r="AT42" i="19"/>
  <c r="AJ42" i="19"/>
  <c r="AL42" i="19" s="1"/>
  <c r="Y42" i="19"/>
  <c r="X42" i="19"/>
  <c r="O42" i="19"/>
  <c r="Q42" i="19" s="1"/>
  <c r="F42" i="19"/>
  <c r="E42" i="19"/>
  <c r="DM41" i="19"/>
  <c r="DO41" i="19" s="1"/>
  <c r="DD41" i="19"/>
  <c r="DC41" i="19"/>
  <c r="CU41" i="19"/>
  <c r="CS41" i="19"/>
  <c r="CJ41" i="19"/>
  <c r="CI41" i="19"/>
  <c r="BX41" i="19"/>
  <c r="BZ41" i="19" s="1"/>
  <c r="BO41" i="19"/>
  <c r="BN41" i="19"/>
  <c r="BD41" i="19"/>
  <c r="BF41" i="19" s="1"/>
  <c r="AU41" i="19"/>
  <c r="AT41" i="19"/>
  <c r="AJ41" i="19"/>
  <c r="AL41" i="19" s="1"/>
  <c r="Y41" i="19"/>
  <c r="X41" i="19"/>
  <c r="O41" i="19"/>
  <c r="Q41" i="19" s="1"/>
  <c r="F41" i="19"/>
  <c r="E41" i="19"/>
  <c r="EH40" i="19"/>
  <c r="EJ40" i="19" s="1"/>
  <c r="DY40" i="19"/>
  <c r="DX40" i="19"/>
  <c r="DM40" i="19"/>
  <c r="DO40" i="19" s="1"/>
  <c r="DD40" i="19"/>
  <c r="DC40" i="19"/>
  <c r="CS40" i="19"/>
  <c r="CU40" i="19" s="1"/>
  <c r="CJ40" i="19"/>
  <c r="CI40" i="19"/>
  <c r="BX40" i="19"/>
  <c r="BZ40" i="19" s="1"/>
  <c r="BO40" i="19"/>
  <c r="BN40" i="19"/>
  <c r="BD40" i="19"/>
  <c r="BF40" i="19" s="1"/>
  <c r="AU40" i="19"/>
  <c r="AT40" i="19"/>
  <c r="AJ40" i="19"/>
  <c r="AL40" i="19" s="1"/>
  <c r="Y40" i="19"/>
  <c r="X40" i="19"/>
  <c r="O40" i="19"/>
  <c r="Q40" i="19" s="1"/>
  <c r="F40" i="19"/>
  <c r="E40" i="19"/>
  <c r="EH39" i="19"/>
  <c r="EJ39" i="19" s="1"/>
  <c r="DY39" i="19"/>
  <c r="DX39" i="19"/>
  <c r="DM39" i="19"/>
  <c r="DO39" i="19" s="1"/>
  <c r="DD39" i="19"/>
  <c r="DC39" i="19"/>
  <c r="CS39" i="19"/>
  <c r="CU39" i="19" s="1"/>
  <c r="CJ39" i="19"/>
  <c r="CI39" i="19"/>
  <c r="BX39" i="19"/>
  <c r="BZ39" i="19" s="1"/>
  <c r="BO39" i="19"/>
  <c r="BN39" i="19"/>
  <c r="BD39" i="19"/>
  <c r="BF39" i="19" s="1"/>
  <c r="AU39" i="19"/>
  <c r="AT39" i="19"/>
  <c r="AJ39" i="19"/>
  <c r="AL39" i="19" s="1"/>
  <c r="Y39" i="19"/>
  <c r="X39" i="19"/>
  <c r="O39" i="19"/>
  <c r="Q39" i="19" s="1"/>
  <c r="F39" i="19"/>
  <c r="E39" i="19"/>
  <c r="EH38" i="19"/>
  <c r="EJ38" i="19" s="1"/>
  <c r="DY38" i="19"/>
  <c r="DX38" i="19"/>
  <c r="DM38" i="19"/>
  <c r="DO38" i="19" s="1"/>
  <c r="DD38" i="19"/>
  <c r="DC38" i="19"/>
  <c r="CS38" i="19"/>
  <c r="CU38" i="19" s="1"/>
  <c r="CJ38" i="19"/>
  <c r="CI38" i="19"/>
  <c r="BX38" i="19"/>
  <c r="BZ38" i="19" s="1"/>
  <c r="BO38" i="19"/>
  <c r="BN38" i="19"/>
  <c r="BD38" i="19"/>
  <c r="BF38" i="19" s="1"/>
  <c r="AU38" i="19"/>
  <c r="AT38" i="19"/>
  <c r="AJ38" i="19"/>
  <c r="AL38" i="19" s="1"/>
  <c r="Y38" i="19"/>
  <c r="X38" i="19"/>
  <c r="O38" i="19"/>
  <c r="Q38" i="19" s="1"/>
  <c r="F38" i="19"/>
  <c r="E38" i="19"/>
  <c r="EH37" i="19"/>
  <c r="EJ37" i="19" s="1"/>
  <c r="DY37" i="19"/>
  <c r="DX37" i="19"/>
  <c r="DM37" i="19"/>
  <c r="DO37" i="19" s="1"/>
  <c r="DD37" i="19"/>
  <c r="DC37" i="19"/>
  <c r="CS37" i="19"/>
  <c r="CU37" i="19" s="1"/>
  <c r="CJ37" i="19"/>
  <c r="CI37" i="19"/>
  <c r="BX37" i="19"/>
  <c r="BZ37" i="19" s="1"/>
  <c r="BO37" i="19"/>
  <c r="BN37" i="19"/>
  <c r="BD37" i="19"/>
  <c r="BF37" i="19" s="1"/>
  <c r="AU37" i="19"/>
  <c r="AT37" i="19"/>
  <c r="AJ37" i="19"/>
  <c r="AL37" i="19" s="1"/>
  <c r="Y37" i="19"/>
  <c r="X37" i="19"/>
  <c r="O37" i="19"/>
  <c r="Q37" i="19" s="1"/>
  <c r="F37" i="19"/>
  <c r="E37" i="19"/>
  <c r="EH36" i="19"/>
  <c r="EJ36" i="19" s="1"/>
  <c r="DY36" i="19"/>
  <c r="DX36" i="19"/>
  <c r="DM36" i="19"/>
  <c r="DO36" i="19" s="1"/>
  <c r="DD36" i="19"/>
  <c r="DC36" i="19"/>
  <c r="CS36" i="19"/>
  <c r="CU36" i="19" s="1"/>
  <c r="CJ36" i="19"/>
  <c r="CI36" i="19"/>
  <c r="BX36" i="19"/>
  <c r="BZ36" i="19" s="1"/>
  <c r="BO36" i="19"/>
  <c r="BN36" i="19"/>
  <c r="BD36" i="19"/>
  <c r="BF36" i="19" s="1"/>
  <c r="AU36" i="19"/>
  <c r="AT36" i="19"/>
  <c r="AJ36" i="19"/>
  <c r="AL36" i="19" s="1"/>
  <c r="Y36" i="19"/>
  <c r="X36" i="19"/>
  <c r="O36" i="19"/>
  <c r="Q36" i="19" s="1"/>
  <c r="F36" i="19"/>
  <c r="E36" i="19"/>
  <c r="EH35" i="19"/>
  <c r="EJ35" i="19" s="1"/>
  <c r="DY35" i="19"/>
  <c r="DX35" i="19"/>
  <c r="DM35" i="19"/>
  <c r="DO35" i="19" s="1"/>
  <c r="DD35" i="19"/>
  <c r="DC35" i="19"/>
  <c r="CS35" i="19"/>
  <c r="CU35" i="19" s="1"/>
  <c r="CJ35" i="19"/>
  <c r="CI35" i="19"/>
  <c r="BX35" i="19"/>
  <c r="BZ35" i="19" s="1"/>
  <c r="BO35" i="19"/>
  <c r="BN35" i="19"/>
  <c r="BD35" i="19"/>
  <c r="BF35" i="19" s="1"/>
  <c r="AU35" i="19"/>
  <c r="AT35" i="19"/>
  <c r="AJ35" i="19"/>
  <c r="AL35" i="19" s="1"/>
  <c r="Y35" i="19"/>
  <c r="X35" i="19"/>
  <c r="O35" i="19"/>
  <c r="Q35" i="19" s="1"/>
  <c r="F35" i="19"/>
  <c r="E35" i="19"/>
  <c r="EH34" i="19"/>
  <c r="EJ34" i="19" s="1"/>
  <c r="DY34" i="19"/>
  <c r="DX34" i="19"/>
  <c r="DM34" i="19"/>
  <c r="DO34" i="19" s="1"/>
  <c r="DD34" i="19"/>
  <c r="DC34" i="19"/>
  <c r="CS34" i="19"/>
  <c r="CU34" i="19" s="1"/>
  <c r="CJ34" i="19"/>
  <c r="CI34" i="19"/>
  <c r="BX34" i="19"/>
  <c r="BZ34" i="19" s="1"/>
  <c r="BO34" i="19"/>
  <c r="BN34" i="19"/>
  <c r="BD34" i="19"/>
  <c r="BF34" i="19" s="1"/>
  <c r="AU34" i="19"/>
  <c r="AT34" i="19"/>
  <c r="AJ34" i="19"/>
  <c r="AL34" i="19" s="1"/>
  <c r="Y34" i="19"/>
  <c r="X34" i="19"/>
  <c r="O34" i="19"/>
  <c r="Q34" i="19" s="1"/>
  <c r="F34" i="19"/>
  <c r="E34" i="19"/>
  <c r="EH33" i="19"/>
  <c r="EJ33" i="19" s="1"/>
  <c r="DY33" i="19"/>
  <c r="DX33" i="19"/>
  <c r="DM33" i="19"/>
  <c r="DO33" i="19" s="1"/>
  <c r="DD33" i="19"/>
  <c r="DC33" i="19"/>
  <c r="CS33" i="19"/>
  <c r="CU33" i="19" s="1"/>
  <c r="CJ33" i="19"/>
  <c r="CI33" i="19"/>
  <c r="BX33" i="19"/>
  <c r="BZ33" i="19" s="1"/>
  <c r="BO33" i="19"/>
  <c r="BN33" i="19"/>
  <c r="BD33" i="19"/>
  <c r="BF33" i="19" s="1"/>
  <c r="AU33" i="19"/>
  <c r="AT33" i="19"/>
  <c r="AJ33" i="19"/>
  <c r="AL33" i="19" s="1"/>
  <c r="Y33" i="19"/>
  <c r="X33" i="19"/>
  <c r="O33" i="19"/>
  <c r="Q33" i="19" s="1"/>
  <c r="F33" i="19"/>
  <c r="E33" i="19"/>
  <c r="EH32" i="19"/>
  <c r="EJ32" i="19" s="1"/>
  <c r="DY32" i="19"/>
  <c r="DX32" i="19"/>
  <c r="DM32" i="19"/>
  <c r="DO32" i="19" s="1"/>
  <c r="DD32" i="19"/>
  <c r="DC32" i="19"/>
  <c r="CS32" i="19"/>
  <c r="CU32" i="19" s="1"/>
  <c r="CJ32" i="19"/>
  <c r="CI32" i="19"/>
  <c r="BX32" i="19"/>
  <c r="BZ32" i="19" s="1"/>
  <c r="BO32" i="19"/>
  <c r="BN32" i="19"/>
  <c r="BD32" i="19"/>
  <c r="BF32" i="19" s="1"/>
  <c r="AU32" i="19"/>
  <c r="AT32" i="19"/>
  <c r="AJ32" i="19"/>
  <c r="AL32" i="19" s="1"/>
  <c r="Y32" i="19"/>
  <c r="X32" i="19"/>
  <c r="O32" i="19"/>
  <c r="Q32" i="19" s="1"/>
  <c r="F32" i="19"/>
  <c r="E32" i="19"/>
  <c r="EH31" i="19"/>
  <c r="EJ31" i="19" s="1"/>
  <c r="DY31" i="19"/>
  <c r="DX31" i="19"/>
  <c r="DM31" i="19"/>
  <c r="DO31" i="19" s="1"/>
  <c r="DD31" i="19"/>
  <c r="DC31" i="19"/>
  <c r="CS31" i="19"/>
  <c r="CU31" i="19" s="1"/>
  <c r="CJ31" i="19"/>
  <c r="CI31" i="19"/>
  <c r="BX31" i="19"/>
  <c r="BZ31" i="19" s="1"/>
  <c r="BO31" i="19"/>
  <c r="BN31" i="19"/>
  <c r="BD31" i="19"/>
  <c r="BF31" i="19" s="1"/>
  <c r="AU31" i="19"/>
  <c r="AT31" i="19"/>
  <c r="AJ31" i="19"/>
  <c r="AL31" i="19" s="1"/>
  <c r="Y31" i="19"/>
  <c r="X31" i="19"/>
  <c r="O31" i="19"/>
  <c r="Q31" i="19" s="1"/>
  <c r="F31" i="19"/>
  <c r="E31" i="19"/>
  <c r="EH30" i="19"/>
  <c r="EJ30" i="19" s="1"/>
  <c r="DY30" i="19"/>
  <c r="DX30" i="19"/>
  <c r="DM30" i="19"/>
  <c r="DO30" i="19" s="1"/>
  <c r="DD30" i="19"/>
  <c r="DC30" i="19"/>
  <c r="CS30" i="19"/>
  <c r="CU30" i="19" s="1"/>
  <c r="CJ30" i="19"/>
  <c r="CI30" i="19"/>
  <c r="BX30" i="19"/>
  <c r="BZ30" i="19" s="1"/>
  <c r="BO30" i="19"/>
  <c r="BN30" i="19"/>
  <c r="BD30" i="19"/>
  <c r="BF30" i="19" s="1"/>
  <c r="AU30" i="19"/>
  <c r="AT30" i="19"/>
  <c r="AJ30" i="19"/>
  <c r="AL30" i="19" s="1"/>
  <c r="Y30" i="19"/>
  <c r="X30" i="19"/>
  <c r="O30" i="19"/>
  <c r="Q30" i="19" s="1"/>
  <c r="F30" i="19"/>
  <c r="E30" i="19"/>
  <c r="EH29" i="19"/>
  <c r="EJ29" i="19" s="1"/>
  <c r="DY29" i="19"/>
  <c r="DX29" i="19"/>
  <c r="DM29" i="19"/>
  <c r="DO29" i="19" s="1"/>
  <c r="DD29" i="19"/>
  <c r="DC29" i="19"/>
  <c r="CS29" i="19"/>
  <c r="CU29" i="19" s="1"/>
  <c r="CJ29" i="19"/>
  <c r="CI29" i="19"/>
  <c r="BX29" i="19"/>
  <c r="BZ29" i="19" s="1"/>
  <c r="BO29" i="19"/>
  <c r="BN29" i="19"/>
  <c r="BD29" i="19"/>
  <c r="BF29" i="19" s="1"/>
  <c r="AU29" i="19"/>
  <c r="AT29" i="19"/>
  <c r="AJ29" i="19"/>
  <c r="AL29" i="19" s="1"/>
  <c r="Y29" i="19"/>
  <c r="X29" i="19"/>
  <c r="O29" i="19"/>
  <c r="Q29" i="19" s="1"/>
  <c r="F29" i="19"/>
  <c r="E29" i="19"/>
  <c r="EH28" i="19"/>
  <c r="EJ28" i="19" s="1"/>
  <c r="DY28" i="19"/>
  <c r="DX28" i="19"/>
  <c r="DM28" i="19"/>
  <c r="DO28" i="19" s="1"/>
  <c r="DD28" i="19"/>
  <c r="DC28" i="19"/>
  <c r="CS28" i="19"/>
  <c r="CU28" i="19" s="1"/>
  <c r="CJ28" i="19"/>
  <c r="CI28" i="19"/>
  <c r="BX28" i="19"/>
  <c r="BZ28" i="19" s="1"/>
  <c r="BO28" i="19"/>
  <c r="BN28" i="19"/>
  <c r="BD28" i="19"/>
  <c r="BF28" i="19" s="1"/>
  <c r="AU28" i="19"/>
  <c r="AT28" i="19"/>
  <c r="AJ28" i="19"/>
  <c r="AL28" i="19" s="1"/>
  <c r="Y28" i="19"/>
  <c r="X28" i="19"/>
  <c r="O28" i="19"/>
  <c r="Q28" i="19" s="1"/>
  <c r="F28" i="19"/>
  <c r="E28" i="19"/>
  <c r="EH27" i="19"/>
  <c r="EJ27" i="19" s="1"/>
  <c r="DY27" i="19"/>
  <c r="DX27" i="19"/>
  <c r="DM27" i="19"/>
  <c r="DO27" i="19" s="1"/>
  <c r="DD27" i="19"/>
  <c r="DC27" i="19"/>
  <c r="CS27" i="19"/>
  <c r="CU27" i="19" s="1"/>
  <c r="CJ27" i="19"/>
  <c r="CI27" i="19"/>
  <c r="BX27" i="19"/>
  <c r="BZ27" i="19" s="1"/>
  <c r="BO27" i="19"/>
  <c r="BN27" i="19"/>
  <c r="BD27" i="19"/>
  <c r="BF27" i="19" s="1"/>
  <c r="AU27" i="19"/>
  <c r="AT27" i="19"/>
  <c r="AJ27" i="19"/>
  <c r="AL27" i="19" s="1"/>
  <c r="Y27" i="19"/>
  <c r="X27" i="19"/>
  <c r="O27" i="19"/>
  <c r="Q27" i="19" s="1"/>
  <c r="F27" i="19"/>
  <c r="E27" i="19"/>
  <c r="EH26" i="19"/>
  <c r="EJ26" i="19" s="1"/>
  <c r="DY26" i="19"/>
  <c r="DX26" i="19"/>
  <c r="DM26" i="19"/>
  <c r="DO26" i="19" s="1"/>
  <c r="DD26" i="19"/>
  <c r="DC26" i="19"/>
  <c r="CS26" i="19"/>
  <c r="CU26" i="19" s="1"/>
  <c r="CJ26" i="19"/>
  <c r="CI26" i="19"/>
  <c r="BX26" i="19"/>
  <c r="BZ26" i="19" s="1"/>
  <c r="BO26" i="19"/>
  <c r="BN26" i="19"/>
  <c r="BD26" i="19"/>
  <c r="BF26" i="19" s="1"/>
  <c r="AU26" i="19"/>
  <c r="AT26" i="19"/>
  <c r="AJ26" i="19"/>
  <c r="AL26" i="19" s="1"/>
  <c r="Y26" i="19"/>
  <c r="X26" i="19"/>
  <c r="O26" i="19"/>
  <c r="Q26" i="19" s="1"/>
  <c r="F26" i="19"/>
  <c r="E26" i="19"/>
  <c r="EH25" i="19"/>
  <c r="EJ25" i="19" s="1"/>
  <c r="DY25" i="19"/>
  <c r="DX25" i="19"/>
  <c r="DM25" i="19"/>
  <c r="DO25" i="19" s="1"/>
  <c r="DD25" i="19"/>
  <c r="DC25" i="19"/>
  <c r="CS25" i="19"/>
  <c r="CU25" i="19" s="1"/>
  <c r="CJ25" i="19"/>
  <c r="CI25" i="19"/>
  <c r="BX25" i="19"/>
  <c r="BZ25" i="19" s="1"/>
  <c r="BO25" i="19"/>
  <c r="BN25" i="19"/>
  <c r="BD25" i="19"/>
  <c r="BF25" i="19" s="1"/>
  <c r="AU25" i="19"/>
  <c r="AT25" i="19"/>
  <c r="AJ25" i="19"/>
  <c r="AL25" i="19" s="1"/>
  <c r="Y25" i="19"/>
  <c r="X25" i="19"/>
  <c r="O25" i="19"/>
  <c r="Q25" i="19" s="1"/>
  <c r="F25" i="19"/>
  <c r="E25" i="19"/>
  <c r="EH24" i="19"/>
  <c r="EJ24" i="19" s="1"/>
  <c r="DY24" i="19"/>
  <c r="DX24" i="19"/>
  <c r="DM24" i="19"/>
  <c r="DO24" i="19" s="1"/>
  <c r="DD24" i="19"/>
  <c r="DC24" i="19"/>
  <c r="CS24" i="19"/>
  <c r="CU24" i="19" s="1"/>
  <c r="CJ24" i="19"/>
  <c r="CI24" i="19"/>
  <c r="BX24" i="19"/>
  <c r="BZ24" i="19" s="1"/>
  <c r="BO24" i="19"/>
  <c r="BN24" i="19"/>
  <c r="BD24" i="19"/>
  <c r="BF24" i="19" s="1"/>
  <c r="AU24" i="19"/>
  <c r="AT24" i="19"/>
  <c r="AJ24" i="19"/>
  <c r="AL24" i="19" s="1"/>
  <c r="Y24" i="19"/>
  <c r="X24" i="19"/>
  <c r="O24" i="19"/>
  <c r="Q24" i="19" s="1"/>
  <c r="F24" i="19"/>
  <c r="E24" i="19"/>
  <c r="EH23" i="19"/>
  <c r="EJ23" i="19" s="1"/>
  <c r="DY23" i="19"/>
  <c r="DX23" i="19"/>
  <c r="DM23" i="19"/>
  <c r="DO23" i="19" s="1"/>
  <c r="DD23" i="19"/>
  <c r="DC23" i="19"/>
  <c r="CS23" i="19"/>
  <c r="CU23" i="19" s="1"/>
  <c r="CJ23" i="19"/>
  <c r="CI23" i="19"/>
  <c r="BX23" i="19"/>
  <c r="BZ23" i="19" s="1"/>
  <c r="BO23" i="19"/>
  <c r="BN23" i="19"/>
  <c r="BD23" i="19"/>
  <c r="BF23" i="19" s="1"/>
  <c r="AU23" i="19"/>
  <c r="AT23" i="19"/>
  <c r="AJ23" i="19"/>
  <c r="AL23" i="19" s="1"/>
  <c r="Y23" i="19"/>
  <c r="X23" i="19"/>
  <c r="O23" i="19"/>
  <c r="Q23" i="19" s="1"/>
  <c r="F23" i="19"/>
  <c r="E23" i="19"/>
  <c r="EH22" i="19"/>
  <c r="EJ22" i="19" s="1"/>
  <c r="DY22" i="19"/>
  <c r="DX22" i="19"/>
  <c r="DM22" i="19"/>
  <c r="DO22" i="19" s="1"/>
  <c r="DD22" i="19"/>
  <c r="DC22" i="19"/>
  <c r="CS22" i="19"/>
  <c r="CU22" i="19" s="1"/>
  <c r="CJ22" i="19"/>
  <c r="CI22" i="19"/>
  <c r="BX22" i="19"/>
  <c r="BZ22" i="19" s="1"/>
  <c r="BO22" i="19"/>
  <c r="BN22" i="19"/>
  <c r="BD22" i="19"/>
  <c r="BF22" i="19" s="1"/>
  <c r="AU22" i="19"/>
  <c r="AT22" i="19"/>
  <c r="AJ22" i="19"/>
  <c r="AL22" i="19" s="1"/>
  <c r="Y22" i="19"/>
  <c r="X22" i="19"/>
  <c r="O22" i="19"/>
  <c r="Q22" i="19" s="1"/>
  <c r="F22" i="19"/>
  <c r="E22" i="19"/>
  <c r="EH21" i="19"/>
  <c r="EJ21" i="19" s="1"/>
  <c r="DY21" i="19"/>
  <c r="DX21" i="19"/>
  <c r="DM21" i="19"/>
  <c r="DO21" i="19" s="1"/>
  <c r="DD21" i="19"/>
  <c r="DC21" i="19"/>
  <c r="CS21" i="19"/>
  <c r="CU21" i="19" s="1"/>
  <c r="CJ21" i="19"/>
  <c r="CI21" i="19"/>
  <c r="BX21" i="19"/>
  <c r="BZ21" i="19" s="1"/>
  <c r="BO21" i="19"/>
  <c r="BN21" i="19"/>
  <c r="BD21" i="19"/>
  <c r="BF21" i="19" s="1"/>
  <c r="AU21" i="19"/>
  <c r="AT21" i="19"/>
  <c r="AJ21" i="19"/>
  <c r="AL21" i="19" s="1"/>
  <c r="Y21" i="19"/>
  <c r="X21" i="19"/>
  <c r="O21" i="19"/>
  <c r="Q21" i="19" s="1"/>
  <c r="F21" i="19"/>
  <c r="E21" i="19"/>
  <c r="EH20" i="19"/>
  <c r="EJ20" i="19" s="1"/>
  <c r="DY20" i="19"/>
  <c r="DX20" i="19"/>
  <c r="DM20" i="19"/>
  <c r="DO20" i="19" s="1"/>
  <c r="DD20" i="19"/>
  <c r="DC20" i="19"/>
  <c r="CS20" i="19"/>
  <c r="CU20" i="19" s="1"/>
  <c r="CJ20" i="19"/>
  <c r="CI20" i="19"/>
  <c r="BX20" i="19"/>
  <c r="BZ20" i="19" s="1"/>
  <c r="BO20" i="19"/>
  <c r="BN20" i="19"/>
  <c r="BD20" i="19"/>
  <c r="BF20" i="19" s="1"/>
  <c r="AU20" i="19"/>
  <c r="AT20" i="19"/>
  <c r="AJ20" i="19"/>
  <c r="AL20" i="19" s="1"/>
  <c r="Y20" i="19"/>
  <c r="X20" i="19"/>
  <c r="O20" i="19"/>
  <c r="Q20" i="19" s="1"/>
  <c r="F20" i="19"/>
  <c r="E20" i="19"/>
  <c r="EH19" i="19"/>
  <c r="EJ19" i="19" s="1"/>
  <c r="DY19" i="19"/>
  <c r="DX19" i="19"/>
  <c r="DM19" i="19"/>
  <c r="DO19" i="19" s="1"/>
  <c r="DD19" i="19"/>
  <c r="DC19" i="19"/>
  <c r="CS19" i="19"/>
  <c r="CU19" i="19" s="1"/>
  <c r="CJ19" i="19"/>
  <c r="CI19" i="19"/>
  <c r="BX19" i="19"/>
  <c r="BZ19" i="19" s="1"/>
  <c r="BO19" i="19"/>
  <c r="BN19" i="19"/>
  <c r="BD19" i="19"/>
  <c r="BF19" i="19" s="1"/>
  <c r="AU19" i="19"/>
  <c r="AT19" i="19"/>
  <c r="AL19" i="19"/>
  <c r="AJ19" i="19"/>
  <c r="Y19" i="19"/>
  <c r="X19" i="19"/>
  <c r="O19" i="19"/>
  <c r="Q19" i="19" s="1"/>
  <c r="F19" i="19"/>
  <c r="E19" i="19"/>
  <c r="EH18" i="19"/>
  <c r="EJ18" i="19" s="1"/>
  <c r="DY18" i="19"/>
  <c r="DX18" i="19"/>
  <c r="DM18" i="19"/>
  <c r="DO18" i="19" s="1"/>
  <c r="DD18" i="19"/>
  <c r="DC18" i="19"/>
  <c r="CU18" i="19"/>
  <c r="CS18" i="19"/>
  <c r="CJ18" i="19"/>
  <c r="CI18" i="19"/>
  <c r="BX18" i="19"/>
  <c r="BZ18" i="19" s="1"/>
  <c r="BO18" i="19"/>
  <c r="BN18" i="19"/>
  <c r="BD18" i="19"/>
  <c r="BF18" i="19" s="1"/>
  <c r="AU18" i="19"/>
  <c r="AT18" i="19"/>
  <c r="AJ18" i="19"/>
  <c r="AL18" i="19" s="1"/>
  <c r="Y18" i="19"/>
  <c r="X18" i="19"/>
  <c r="Q18" i="19"/>
  <c r="O18" i="19"/>
  <c r="F18" i="19"/>
  <c r="E18" i="19"/>
  <c r="EH17" i="19"/>
  <c r="EJ17" i="19" s="1"/>
  <c r="DY17" i="19"/>
  <c r="DX17" i="19"/>
  <c r="DO17" i="19"/>
  <c r="DM17" i="19"/>
  <c r="DD17" i="19"/>
  <c r="DC17" i="19"/>
  <c r="CS17" i="19"/>
  <c r="CU17" i="19" s="1"/>
  <c r="CJ17" i="19"/>
  <c r="CI17" i="19"/>
  <c r="BX17" i="19"/>
  <c r="BZ17" i="19" s="1"/>
  <c r="BO17" i="19"/>
  <c r="BN17" i="19"/>
  <c r="BD17" i="19"/>
  <c r="BF17" i="19" s="1"/>
  <c r="AU17" i="19"/>
  <c r="AT17" i="19"/>
  <c r="AJ17" i="19"/>
  <c r="AL17" i="19" s="1"/>
  <c r="Y17" i="19"/>
  <c r="X17" i="19"/>
  <c r="O17" i="19"/>
  <c r="Q17" i="19" s="1"/>
  <c r="F17" i="19"/>
  <c r="E17" i="19"/>
  <c r="EJ16" i="19"/>
  <c r="EH16" i="19"/>
  <c r="DY16" i="19"/>
  <c r="DX16" i="19"/>
  <c r="DM16" i="19"/>
  <c r="DO16" i="19" s="1"/>
  <c r="DD16" i="19"/>
  <c r="DC16" i="19"/>
  <c r="CS16" i="19"/>
  <c r="CU16" i="19" s="1"/>
  <c r="CJ16" i="19"/>
  <c r="CI16" i="19"/>
  <c r="BX16" i="19"/>
  <c r="BZ16" i="19" s="1"/>
  <c r="BO16" i="19"/>
  <c r="BN16" i="19"/>
  <c r="BF16" i="19"/>
  <c r="BD16" i="19"/>
  <c r="AU16" i="19"/>
  <c r="AT16" i="19"/>
  <c r="AJ16" i="19"/>
  <c r="AL16" i="19" s="1"/>
  <c r="Y16" i="19"/>
  <c r="X16" i="19"/>
  <c r="O16" i="19"/>
  <c r="Q16" i="19" s="1"/>
  <c r="F16" i="19"/>
  <c r="E16" i="19"/>
  <c r="EH15" i="19"/>
  <c r="EJ15" i="19" s="1"/>
  <c r="DY15" i="19"/>
  <c r="DX15" i="19"/>
  <c r="DO15" i="19"/>
  <c r="DM15" i="19"/>
  <c r="DD15" i="19"/>
  <c r="DC15" i="19"/>
  <c r="CS15" i="19"/>
  <c r="CU15" i="19" s="1"/>
  <c r="CJ15" i="19"/>
  <c r="CI15" i="19"/>
  <c r="BZ15" i="19"/>
  <c r="BX15" i="19"/>
  <c r="BO15" i="19"/>
  <c r="BN15" i="19"/>
  <c r="BD15" i="19"/>
  <c r="BF15" i="19" s="1"/>
  <c r="AU15" i="19"/>
  <c r="AT15" i="19"/>
  <c r="AJ15" i="19"/>
  <c r="AL15" i="19" s="1"/>
  <c r="Y15" i="19"/>
  <c r="X15" i="19"/>
  <c r="O15" i="19"/>
  <c r="Q15" i="19" s="1"/>
  <c r="F15" i="19"/>
  <c r="E15" i="19"/>
  <c r="EH14" i="19"/>
  <c r="EJ14" i="19" s="1"/>
  <c r="DY14" i="19"/>
  <c r="DX14" i="19"/>
  <c r="DM14" i="19"/>
  <c r="DO14" i="19" s="1"/>
  <c r="DD14" i="19"/>
  <c r="DC14" i="19"/>
  <c r="CU14" i="19"/>
  <c r="CS14" i="19"/>
  <c r="CJ14" i="19"/>
  <c r="CI14" i="19"/>
  <c r="BX14" i="19"/>
  <c r="BZ14" i="19" s="1"/>
  <c r="BO14" i="19"/>
  <c r="BN14" i="19"/>
  <c r="BD14" i="19"/>
  <c r="BF14" i="19" s="1"/>
  <c r="AU14" i="19"/>
  <c r="AT14" i="19"/>
  <c r="AJ14" i="19"/>
  <c r="AL14" i="19" s="1"/>
  <c r="Y14" i="19"/>
  <c r="X14" i="19"/>
  <c r="Q14" i="19"/>
  <c r="O14" i="19"/>
  <c r="F14" i="19"/>
  <c r="E14" i="19"/>
  <c r="EH13" i="19"/>
  <c r="EJ13" i="19" s="1"/>
  <c r="DY13" i="19"/>
  <c r="DX13" i="19"/>
  <c r="DM13" i="19"/>
  <c r="DO13" i="19" s="1"/>
  <c r="DD13" i="19"/>
  <c r="DC13" i="19"/>
  <c r="CS13" i="19"/>
  <c r="CU13" i="19" s="1"/>
  <c r="CJ13" i="19"/>
  <c r="CI13" i="19"/>
  <c r="BZ13" i="19"/>
  <c r="BX13" i="19"/>
  <c r="BO13" i="19"/>
  <c r="BN13" i="19"/>
  <c r="BD13" i="19"/>
  <c r="BF13" i="19" s="1"/>
  <c r="AU13" i="19"/>
  <c r="AT13" i="19"/>
  <c r="AL13" i="19"/>
  <c r="AJ13" i="19"/>
  <c r="Y13" i="19"/>
  <c r="X13" i="19"/>
  <c r="O13" i="19"/>
  <c r="Q13" i="19" s="1"/>
  <c r="F13" i="19"/>
  <c r="E13" i="19"/>
  <c r="EJ12" i="19"/>
  <c r="EH12" i="19"/>
  <c r="DY12" i="19"/>
  <c r="DX12" i="19"/>
  <c r="DM12" i="19"/>
  <c r="DO12" i="19" s="1"/>
  <c r="DD12" i="19"/>
  <c r="DC12" i="19"/>
  <c r="CS12" i="19"/>
  <c r="CU12" i="19" s="1"/>
  <c r="CJ12" i="19"/>
  <c r="CI12" i="19"/>
  <c r="BX12" i="19"/>
  <c r="BZ12" i="19" s="1"/>
  <c r="BO12" i="19"/>
  <c r="BN12" i="19"/>
  <c r="BF12" i="19"/>
  <c r="BD12" i="19"/>
  <c r="AU12" i="19"/>
  <c r="AT12" i="19"/>
  <c r="AJ12" i="19"/>
  <c r="AL12" i="19" s="1"/>
  <c r="Y12" i="19"/>
  <c r="X12" i="19"/>
  <c r="O12" i="19"/>
  <c r="Q12" i="19" s="1"/>
  <c r="F12" i="19"/>
  <c r="E12" i="19"/>
  <c r="EH11" i="19"/>
  <c r="EJ11" i="19" s="1"/>
  <c r="DY11" i="19"/>
  <c r="DX11" i="19"/>
  <c r="DO11" i="19"/>
  <c r="DM11" i="19"/>
  <c r="DD11" i="19"/>
  <c r="DC11" i="19"/>
  <c r="CS11" i="19"/>
  <c r="CU11" i="19" s="1"/>
  <c r="CJ11" i="19"/>
  <c r="CI11" i="19"/>
  <c r="BX11" i="19"/>
  <c r="BZ11" i="19" s="1"/>
  <c r="BO11" i="19"/>
  <c r="BN11" i="19"/>
  <c r="BD11" i="19"/>
  <c r="BF11" i="19" s="1"/>
  <c r="AU11" i="19"/>
  <c r="AT11" i="19"/>
  <c r="AL11" i="19"/>
  <c r="AJ11" i="19"/>
  <c r="Y11" i="19"/>
  <c r="X11" i="19"/>
  <c r="O11" i="19"/>
  <c r="Q11" i="19" s="1"/>
  <c r="F11" i="19"/>
  <c r="E11" i="19"/>
  <c r="EJ10" i="19"/>
  <c r="EH10" i="19"/>
  <c r="DY10" i="19"/>
  <c r="DX10" i="19"/>
  <c r="DM10" i="19"/>
  <c r="DO10" i="19" s="1"/>
  <c r="DD10" i="19"/>
  <c r="DC10" i="19"/>
  <c r="CU10" i="19"/>
  <c r="CS10" i="19"/>
  <c r="CJ10" i="19"/>
  <c r="CI10" i="19"/>
  <c r="BX10" i="19"/>
  <c r="BZ10" i="19" s="1"/>
  <c r="BO10" i="19"/>
  <c r="BN10" i="19"/>
  <c r="BD10" i="19"/>
  <c r="BF10" i="19" s="1"/>
  <c r="AU10" i="19"/>
  <c r="AT10" i="19"/>
  <c r="AJ10" i="19"/>
  <c r="AL10" i="19" s="1"/>
  <c r="Y10" i="19"/>
  <c r="X10" i="19"/>
  <c r="Q10" i="19"/>
  <c r="O10" i="19"/>
  <c r="F10" i="19"/>
  <c r="E10" i="19"/>
  <c r="EH9" i="19"/>
  <c r="EJ9" i="19" s="1"/>
  <c r="DY9" i="19"/>
  <c r="DX9" i="19"/>
  <c r="DM9" i="19"/>
  <c r="DO9" i="19" s="1"/>
  <c r="DD9" i="19"/>
  <c r="DC9" i="19"/>
  <c r="CS9" i="19"/>
  <c r="CU9" i="19" s="1"/>
  <c r="CJ9" i="19"/>
  <c r="CI9" i="19"/>
  <c r="BZ9" i="19"/>
  <c r="BX9" i="19"/>
  <c r="BO9" i="19"/>
  <c r="BN9" i="19"/>
  <c r="BD9" i="19"/>
  <c r="BF9" i="19" s="1"/>
  <c r="AU9" i="19"/>
  <c r="AT9" i="19"/>
  <c r="AJ9" i="19"/>
  <c r="AL9" i="19" s="1"/>
  <c r="Y9" i="19"/>
  <c r="X9" i="19"/>
  <c r="O9" i="19"/>
  <c r="Q9" i="19" s="1"/>
  <c r="F9" i="19"/>
  <c r="E9" i="19"/>
  <c r="EJ8" i="19"/>
  <c r="EH8" i="19"/>
  <c r="DY8" i="19"/>
  <c r="DX8" i="19"/>
  <c r="DM8" i="19"/>
  <c r="DO8" i="19" s="1"/>
  <c r="DD8" i="19"/>
  <c r="DC8" i="19"/>
  <c r="CU8" i="19"/>
  <c r="CS8" i="19"/>
  <c r="CJ8" i="19"/>
  <c r="CI8" i="19"/>
  <c r="BX8" i="19"/>
  <c r="BZ8" i="19" s="1"/>
  <c r="BO8" i="19"/>
  <c r="BN8" i="19"/>
  <c r="BF8" i="19"/>
  <c r="BD8" i="19"/>
  <c r="AU8" i="19"/>
  <c r="AT8" i="19"/>
  <c r="AJ8" i="19"/>
  <c r="AL8" i="19" s="1"/>
  <c r="Y8" i="19"/>
  <c r="X8" i="19"/>
  <c r="O8" i="19"/>
  <c r="Q8" i="19" s="1"/>
  <c r="F8" i="19"/>
  <c r="E8" i="19"/>
  <c r="E3" i="19"/>
  <c r="DV2" i="19"/>
  <c r="AM162" i="14"/>
  <c r="AB162" i="14"/>
  <c r="AA162" i="14"/>
  <c r="F162" i="14"/>
  <c r="E162" i="14"/>
  <c r="AM161" i="14"/>
  <c r="AB161" i="14"/>
  <c r="AA161" i="14"/>
  <c r="F161" i="14"/>
  <c r="E161" i="14"/>
  <c r="AM160" i="14"/>
  <c r="AB160" i="14"/>
  <c r="AA160" i="14"/>
  <c r="F160" i="14"/>
  <c r="E160" i="14"/>
  <c r="AM159" i="14"/>
  <c r="AB159" i="14"/>
  <c r="AA159" i="14"/>
  <c r="F159" i="14"/>
  <c r="E159" i="14"/>
  <c r="AM158" i="14"/>
  <c r="AB158" i="14"/>
  <c r="AA158" i="14"/>
  <c r="F158" i="14"/>
  <c r="E158" i="14"/>
  <c r="AM157" i="14"/>
  <c r="AB157" i="14"/>
  <c r="AA157" i="14"/>
  <c r="F157" i="14"/>
  <c r="E157" i="14"/>
  <c r="AM156" i="14"/>
  <c r="AB156" i="14"/>
  <c r="AA156" i="14"/>
  <c r="F156" i="14"/>
  <c r="E156" i="14"/>
  <c r="AM155" i="14"/>
  <c r="AB155" i="14"/>
  <c r="AA155" i="14"/>
  <c r="F155" i="14"/>
  <c r="E155" i="14"/>
  <c r="AM154" i="14"/>
  <c r="AB154" i="14"/>
  <c r="AA154" i="14"/>
  <c r="F154" i="14"/>
  <c r="E154" i="14"/>
  <c r="AM153" i="14"/>
  <c r="AB153" i="14"/>
  <c r="AA153" i="14"/>
  <c r="F153" i="14"/>
  <c r="E153" i="14"/>
  <c r="AM152" i="14"/>
  <c r="AB152" i="14"/>
  <c r="AA152" i="14"/>
  <c r="F152" i="14"/>
  <c r="E152" i="14"/>
  <c r="AM151" i="14"/>
  <c r="AB151" i="14"/>
  <c r="AA151" i="14"/>
  <c r="F151" i="14"/>
  <c r="E151" i="14"/>
  <c r="AM150" i="14"/>
  <c r="AB150" i="14"/>
  <c r="AA150" i="14"/>
  <c r="F150" i="14"/>
  <c r="E150" i="14"/>
  <c r="AM149" i="14"/>
  <c r="AB149" i="14"/>
  <c r="AA149" i="14"/>
  <c r="F149" i="14"/>
  <c r="E149" i="14"/>
  <c r="AM148" i="14"/>
  <c r="AB148" i="14"/>
  <c r="AA148" i="14"/>
  <c r="F148" i="14"/>
  <c r="E148" i="14"/>
  <c r="AM147" i="14"/>
  <c r="AB147" i="14"/>
  <c r="AA147" i="14"/>
  <c r="F147" i="14"/>
  <c r="E147" i="14"/>
  <c r="AM146" i="14"/>
  <c r="AB146" i="14"/>
  <c r="AA146" i="14"/>
  <c r="F146" i="14"/>
  <c r="E146" i="14"/>
  <c r="AM145" i="14"/>
  <c r="AB145" i="14"/>
  <c r="AA145" i="14"/>
  <c r="F145" i="14"/>
  <c r="E145" i="14"/>
  <c r="CF144" i="14"/>
  <c r="BW144" i="14"/>
  <c r="BV144" i="14"/>
  <c r="AM144" i="14"/>
  <c r="AB144" i="14"/>
  <c r="AA144" i="14"/>
  <c r="F144" i="14"/>
  <c r="E144" i="14"/>
  <c r="CF143" i="14"/>
  <c r="BW143" i="14"/>
  <c r="BV143" i="14"/>
  <c r="AM143" i="14"/>
  <c r="AB143" i="14"/>
  <c r="AA143" i="14"/>
  <c r="F143" i="14"/>
  <c r="E143" i="14"/>
  <c r="CF142" i="14"/>
  <c r="BW142" i="14"/>
  <c r="BV142" i="14"/>
  <c r="AM142" i="14"/>
  <c r="AB142" i="14"/>
  <c r="AA142" i="14"/>
  <c r="F142" i="14"/>
  <c r="E142" i="14"/>
  <c r="CF141" i="14"/>
  <c r="BW141" i="14"/>
  <c r="BV141" i="14"/>
  <c r="AM141" i="14"/>
  <c r="AB141" i="14"/>
  <c r="AA141" i="14"/>
  <c r="F141" i="14"/>
  <c r="E141" i="14"/>
  <c r="DZ140" i="14"/>
  <c r="DQ140" i="14"/>
  <c r="DP140" i="14"/>
  <c r="CF140" i="14"/>
  <c r="BW140" i="14"/>
  <c r="BV140" i="14"/>
  <c r="AM140" i="14"/>
  <c r="AB140" i="14"/>
  <c r="AA140" i="14"/>
  <c r="F140" i="14"/>
  <c r="E140" i="14"/>
  <c r="DZ139" i="14"/>
  <c r="DQ139" i="14"/>
  <c r="DP139" i="14"/>
  <c r="CF139" i="14"/>
  <c r="BW139" i="14"/>
  <c r="BV139" i="14"/>
  <c r="AM139" i="14"/>
  <c r="AB139" i="14"/>
  <c r="AA139" i="14"/>
  <c r="F139" i="14"/>
  <c r="E139" i="14"/>
  <c r="DZ138" i="14"/>
  <c r="DQ138" i="14"/>
  <c r="DP138" i="14"/>
  <c r="CF138" i="14"/>
  <c r="BW138" i="14"/>
  <c r="BV138" i="14"/>
  <c r="AM138" i="14"/>
  <c r="AB138" i="14"/>
  <c r="AA138" i="14"/>
  <c r="F138" i="14"/>
  <c r="E138" i="14"/>
  <c r="DZ137" i="14"/>
  <c r="DQ137" i="14"/>
  <c r="DP137" i="14"/>
  <c r="CF137" i="14"/>
  <c r="BW137" i="14"/>
  <c r="BV137" i="14"/>
  <c r="AM137" i="14"/>
  <c r="AB137" i="14"/>
  <c r="AA137" i="14"/>
  <c r="F137" i="14"/>
  <c r="E137" i="14"/>
  <c r="DZ136" i="14"/>
  <c r="DQ136" i="14"/>
  <c r="DP136" i="14"/>
  <c r="CF136" i="14"/>
  <c r="BW136" i="14"/>
  <c r="BV136" i="14"/>
  <c r="AM136" i="14"/>
  <c r="AB136" i="14"/>
  <c r="AA136" i="14"/>
  <c r="F136" i="14"/>
  <c r="E136" i="14"/>
  <c r="DZ135" i="14"/>
  <c r="DQ135" i="14"/>
  <c r="DP135" i="14"/>
  <c r="CF135" i="14"/>
  <c r="BW135" i="14"/>
  <c r="BV135" i="14"/>
  <c r="AM135" i="14"/>
  <c r="AB135" i="14"/>
  <c r="AA135" i="14"/>
  <c r="F135" i="14"/>
  <c r="E135" i="14"/>
  <c r="DZ134" i="14"/>
  <c r="DQ134" i="14"/>
  <c r="DP134" i="14"/>
  <c r="CF134" i="14"/>
  <c r="BW134" i="14"/>
  <c r="BV134" i="14"/>
  <c r="AM134" i="14"/>
  <c r="AB134" i="14"/>
  <c r="AA134" i="14"/>
  <c r="F134" i="14"/>
  <c r="E134" i="14"/>
  <c r="DZ133" i="14"/>
  <c r="DQ133" i="14"/>
  <c r="DP133" i="14"/>
  <c r="CS133" i="14"/>
  <c r="CR133" i="14"/>
  <c r="CF133" i="14"/>
  <c r="BW133" i="14"/>
  <c r="BV133" i="14"/>
  <c r="AM133" i="14"/>
  <c r="AB133" i="14"/>
  <c r="AA133" i="14"/>
  <c r="F133" i="14"/>
  <c r="E133" i="14"/>
  <c r="DZ132" i="14"/>
  <c r="DQ132" i="14"/>
  <c r="DP132" i="14"/>
  <c r="DB132" i="14"/>
  <c r="CS132" i="14"/>
  <c r="CR132" i="14"/>
  <c r="CF132" i="14"/>
  <c r="BW132" i="14"/>
  <c r="BV132" i="14"/>
  <c r="AM132" i="14"/>
  <c r="AB132" i="14"/>
  <c r="AA132" i="14"/>
  <c r="F132" i="14"/>
  <c r="E132" i="14"/>
  <c r="DZ131" i="14"/>
  <c r="DQ131" i="14"/>
  <c r="DP131" i="14"/>
  <c r="DB131" i="14"/>
  <c r="CS131" i="14"/>
  <c r="CR131" i="14"/>
  <c r="CF131" i="14"/>
  <c r="BW131" i="14"/>
  <c r="BV131" i="14"/>
  <c r="AM131" i="14"/>
  <c r="AB131" i="14"/>
  <c r="AA131" i="14"/>
  <c r="F131" i="14"/>
  <c r="E131" i="14"/>
  <c r="DZ130" i="14"/>
  <c r="DQ130" i="14"/>
  <c r="DP130" i="14"/>
  <c r="DB130" i="14"/>
  <c r="CS130" i="14"/>
  <c r="CR130" i="14"/>
  <c r="CF130" i="14"/>
  <c r="BW130" i="14"/>
  <c r="BV130" i="14"/>
  <c r="AM130" i="14"/>
  <c r="AB130" i="14"/>
  <c r="AA130" i="14"/>
  <c r="F130" i="14"/>
  <c r="E130" i="14"/>
  <c r="DZ129" i="14"/>
  <c r="DQ129" i="14"/>
  <c r="DP129" i="14"/>
  <c r="DB129" i="14"/>
  <c r="CS129" i="14"/>
  <c r="CR129" i="14"/>
  <c r="CF129" i="14"/>
  <c r="BW129" i="14"/>
  <c r="BV129" i="14"/>
  <c r="BI129" i="14"/>
  <c r="AZ129" i="14"/>
  <c r="AY129" i="14"/>
  <c r="AM129" i="14"/>
  <c r="AB129" i="14"/>
  <c r="AA129" i="14"/>
  <c r="F129" i="14"/>
  <c r="E129" i="14"/>
  <c r="DZ128" i="14"/>
  <c r="DQ128" i="14"/>
  <c r="DP128" i="14"/>
  <c r="DB128" i="14"/>
  <c r="CS128" i="14"/>
  <c r="CR128" i="14"/>
  <c r="CF128" i="14"/>
  <c r="BW128" i="14"/>
  <c r="BV128" i="14"/>
  <c r="BI128" i="14"/>
  <c r="AZ128" i="14"/>
  <c r="AY128" i="14"/>
  <c r="AM128" i="14"/>
  <c r="AB128" i="14"/>
  <c r="AA128" i="14"/>
  <c r="F128" i="14"/>
  <c r="E128" i="14"/>
  <c r="DZ127" i="14"/>
  <c r="DQ127" i="14"/>
  <c r="DP127" i="14"/>
  <c r="DB127" i="14"/>
  <c r="CS127" i="14"/>
  <c r="CR127" i="14"/>
  <c r="CF127" i="14"/>
  <c r="BW127" i="14"/>
  <c r="BV127" i="14"/>
  <c r="BI127" i="14"/>
  <c r="AZ127" i="14"/>
  <c r="AY127" i="14"/>
  <c r="AM127" i="14"/>
  <c r="AB127" i="14"/>
  <c r="AA127" i="14"/>
  <c r="F127" i="14"/>
  <c r="E127" i="14"/>
  <c r="DZ126" i="14"/>
  <c r="DQ126" i="14"/>
  <c r="DP126" i="14"/>
  <c r="DB126" i="14"/>
  <c r="CS126" i="14"/>
  <c r="CR126" i="14"/>
  <c r="CF126" i="14"/>
  <c r="BW126" i="14"/>
  <c r="BV126" i="14"/>
  <c r="BI126" i="14"/>
  <c r="AZ126" i="14"/>
  <c r="AY126" i="14"/>
  <c r="AM126" i="14"/>
  <c r="AB126" i="14"/>
  <c r="AA126" i="14"/>
  <c r="F126" i="14"/>
  <c r="E126" i="14"/>
  <c r="EW125" i="14"/>
  <c r="EN125" i="14"/>
  <c r="EM125" i="14"/>
  <c r="DZ125" i="14"/>
  <c r="DQ125" i="14"/>
  <c r="DP125" i="14"/>
  <c r="DB125" i="14"/>
  <c r="CS125" i="14"/>
  <c r="CR125" i="14"/>
  <c r="CF125" i="14"/>
  <c r="BW125" i="14"/>
  <c r="BV125" i="14"/>
  <c r="BI125" i="14"/>
  <c r="AZ125" i="14"/>
  <c r="AY125" i="14"/>
  <c r="AM125" i="14"/>
  <c r="AB125" i="14"/>
  <c r="AA125" i="14"/>
  <c r="F125" i="14"/>
  <c r="E125" i="14"/>
  <c r="EW124" i="14"/>
  <c r="EN124" i="14"/>
  <c r="EM124" i="14"/>
  <c r="DZ124" i="14"/>
  <c r="DQ124" i="14"/>
  <c r="DP124" i="14"/>
  <c r="DB124" i="14"/>
  <c r="CS124" i="14"/>
  <c r="CR124" i="14"/>
  <c r="CF124" i="14"/>
  <c r="BW124" i="14"/>
  <c r="BV124" i="14"/>
  <c r="BI124" i="14"/>
  <c r="AZ124" i="14"/>
  <c r="AY124" i="14"/>
  <c r="AM124" i="14"/>
  <c r="AB124" i="14"/>
  <c r="AA124" i="14"/>
  <c r="F124" i="14"/>
  <c r="E124" i="14"/>
  <c r="EW123" i="14"/>
  <c r="EN123" i="14"/>
  <c r="EM123" i="14"/>
  <c r="DZ123" i="14"/>
  <c r="DQ123" i="14"/>
  <c r="DP123" i="14"/>
  <c r="DB123" i="14"/>
  <c r="CS123" i="14"/>
  <c r="CR123" i="14"/>
  <c r="CF123" i="14"/>
  <c r="BW123" i="14"/>
  <c r="BV123" i="14"/>
  <c r="BI123" i="14"/>
  <c r="AZ123" i="14"/>
  <c r="AY123" i="14"/>
  <c r="AM123" i="14"/>
  <c r="AB123" i="14"/>
  <c r="AA123" i="14"/>
  <c r="F123" i="14"/>
  <c r="E123" i="14"/>
  <c r="EW122" i="14"/>
  <c r="EN122" i="14"/>
  <c r="EM122" i="14"/>
  <c r="DZ122" i="14"/>
  <c r="DQ122" i="14"/>
  <c r="DP122" i="14"/>
  <c r="DB122" i="14"/>
  <c r="CS122" i="14"/>
  <c r="CR122" i="14"/>
  <c r="CF122" i="14"/>
  <c r="BW122" i="14"/>
  <c r="BV122" i="14"/>
  <c r="BI122" i="14"/>
  <c r="AZ122" i="14"/>
  <c r="AY122" i="14"/>
  <c r="AM122" i="14"/>
  <c r="AB122" i="14"/>
  <c r="AA122" i="14"/>
  <c r="F122" i="14"/>
  <c r="E122" i="14"/>
  <c r="EW121" i="14"/>
  <c r="EN121" i="14"/>
  <c r="EM121" i="14"/>
  <c r="DZ121" i="14"/>
  <c r="DQ121" i="14"/>
  <c r="DP121" i="14"/>
  <c r="DB121" i="14"/>
  <c r="CS121" i="14"/>
  <c r="CR121" i="14"/>
  <c r="CF121" i="14"/>
  <c r="BW121" i="14"/>
  <c r="BV121" i="14"/>
  <c r="BI121" i="14"/>
  <c r="AZ121" i="14"/>
  <c r="AY121" i="14"/>
  <c r="AM121" i="14"/>
  <c r="AB121" i="14"/>
  <c r="AA121" i="14"/>
  <c r="F121" i="14"/>
  <c r="E121" i="14"/>
  <c r="EW120" i="14"/>
  <c r="EN120" i="14"/>
  <c r="EM120" i="14"/>
  <c r="DZ120" i="14"/>
  <c r="DQ120" i="14"/>
  <c r="DP120" i="14"/>
  <c r="DB120" i="14"/>
  <c r="CS120" i="14"/>
  <c r="CR120" i="14"/>
  <c r="CF120" i="14"/>
  <c r="BW120" i="14"/>
  <c r="BV120" i="14"/>
  <c r="BI120" i="14"/>
  <c r="AZ120" i="14"/>
  <c r="AY120" i="14"/>
  <c r="AM120" i="14"/>
  <c r="AB120" i="14"/>
  <c r="AA120" i="14"/>
  <c r="F120" i="14"/>
  <c r="E120" i="14"/>
  <c r="EW119" i="14"/>
  <c r="EN119" i="14"/>
  <c r="EM119" i="14"/>
  <c r="DZ119" i="14"/>
  <c r="DQ119" i="14"/>
  <c r="DP119" i="14"/>
  <c r="DB119" i="14"/>
  <c r="CS119" i="14"/>
  <c r="CR119" i="14"/>
  <c r="CF119" i="14"/>
  <c r="BW119" i="14"/>
  <c r="BV119" i="14"/>
  <c r="BI119" i="14"/>
  <c r="AZ119" i="14"/>
  <c r="AY119" i="14"/>
  <c r="AM119" i="14"/>
  <c r="AB119" i="14"/>
  <c r="AA119" i="14"/>
  <c r="F119" i="14"/>
  <c r="E119" i="14"/>
  <c r="EW118" i="14"/>
  <c r="EN118" i="14"/>
  <c r="EM118" i="14"/>
  <c r="DZ118" i="14"/>
  <c r="DQ118" i="14"/>
  <c r="DP118" i="14"/>
  <c r="DB118" i="14"/>
  <c r="CS118" i="14"/>
  <c r="CR118" i="14"/>
  <c r="CF118" i="14"/>
  <c r="BW118" i="14"/>
  <c r="BV118" i="14"/>
  <c r="BI118" i="14"/>
  <c r="AZ118" i="14"/>
  <c r="AY118" i="14"/>
  <c r="AM118" i="14"/>
  <c r="AB118" i="14"/>
  <c r="AA118" i="14"/>
  <c r="F118" i="14"/>
  <c r="E118" i="14"/>
  <c r="EW117" i="14"/>
  <c r="EN117" i="14"/>
  <c r="EM117" i="14"/>
  <c r="DZ117" i="14"/>
  <c r="DQ117" i="14"/>
  <c r="DP117" i="14"/>
  <c r="DB117" i="14"/>
  <c r="CS117" i="14"/>
  <c r="CR117" i="14"/>
  <c r="CF117" i="14"/>
  <c r="BW117" i="14"/>
  <c r="BV117" i="14"/>
  <c r="BI117" i="14"/>
  <c r="AZ117" i="14"/>
  <c r="AY117" i="14"/>
  <c r="AM117" i="14"/>
  <c r="AB117" i="14"/>
  <c r="AA117" i="14"/>
  <c r="F117" i="14"/>
  <c r="E117" i="14"/>
  <c r="EW116" i="14"/>
  <c r="EN116" i="14"/>
  <c r="EM116" i="14"/>
  <c r="DZ116" i="14"/>
  <c r="DQ116" i="14"/>
  <c r="DP116" i="14"/>
  <c r="DB116" i="14"/>
  <c r="CS116" i="14"/>
  <c r="CR116" i="14"/>
  <c r="CF116" i="14"/>
  <c r="BW116" i="14"/>
  <c r="BV116" i="14"/>
  <c r="BI116" i="14"/>
  <c r="AZ116" i="14"/>
  <c r="AY116" i="14"/>
  <c r="AM116" i="14"/>
  <c r="AB116" i="14"/>
  <c r="AA116" i="14"/>
  <c r="F116" i="14"/>
  <c r="E116" i="14"/>
  <c r="EW115" i="14"/>
  <c r="EN115" i="14"/>
  <c r="EM115" i="14"/>
  <c r="DZ115" i="14"/>
  <c r="DQ115" i="14"/>
  <c r="DP115" i="14"/>
  <c r="DB115" i="14"/>
  <c r="CS115" i="14"/>
  <c r="CR115" i="14"/>
  <c r="CF115" i="14"/>
  <c r="BW115" i="14"/>
  <c r="BV115" i="14"/>
  <c r="BI115" i="14"/>
  <c r="AZ115" i="14"/>
  <c r="AY115" i="14"/>
  <c r="AM115" i="14"/>
  <c r="AB115" i="14"/>
  <c r="AA115" i="14"/>
  <c r="F115" i="14"/>
  <c r="E115" i="14"/>
  <c r="EW114" i="14"/>
  <c r="EN114" i="14"/>
  <c r="EM114" i="14"/>
  <c r="DZ114" i="14"/>
  <c r="DQ114" i="14"/>
  <c r="DP114" i="14"/>
  <c r="DB114" i="14"/>
  <c r="CS114" i="14"/>
  <c r="CR114" i="14"/>
  <c r="CF114" i="14"/>
  <c r="BW114" i="14"/>
  <c r="BV114" i="14"/>
  <c r="BI114" i="14"/>
  <c r="AZ114" i="14"/>
  <c r="AY114" i="14"/>
  <c r="AM114" i="14"/>
  <c r="AB114" i="14"/>
  <c r="AA114" i="14"/>
  <c r="F114" i="14"/>
  <c r="E114" i="14"/>
  <c r="EW113" i="14"/>
  <c r="EN113" i="14"/>
  <c r="EM113" i="14"/>
  <c r="DZ113" i="14"/>
  <c r="DQ113" i="14"/>
  <c r="DP113" i="14"/>
  <c r="DB113" i="14"/>
  <c r="CS113" i="14"/>
  <c r="CR113" i="14"/>
  <c r="CF113" i="14"/>
  <c r="BW113" i="14"/>
  <c r="BV113" i="14"/>
  <c r="BI113" i="14"/>
  <c r="AZ113" i="14"/>
  <c r="AY113" i="14"/>
  <c r="AM113" i="14"/>
  <c r="AB113" i="14"/>
  <c r="AA113" i="14"/>
  <c r="F113" i="14"/>
  <c r="E113" i="14"/>
  <c r="EW112" i="14"/>
  <c r="EN112" i="14"/>
  <c r="EM112" i="14"/>
  <c r="DZ112" i="14"/>
  <c r="DQ112" i="14"/>
  <c r="DP112" i="14"/>
  <c r="DB112" i="14"/>
  <c r="CS112" i="14"/>
  <c r="CR112" i="14"/>
  <c r="CF112" i="14"/>
  <c r="BW112" i="14"/>
  <c r="BV112" i="14"/>
  <c r="BI112" i="14"/>
  <c r="AZ112" i="14"/>
  <c r="AY112" i="14"/>
  <c r="AM112" i="14"/>
  <c r="AB112" i="14"/>
  <c r="AA112" i="14"/>
  <c r="F112" i="14"/>
  <c r="E112" i="14"/>
  <c r="EW111" i="14"/>
  <c r="EN111" i="14"/>
  <c r="EM111" i="14"/>
  <c r="DZ111" i="14"/>
  <c r="DQ111" i="14"/>
  <c r="DP111" i="14"/>
  <c r="DB111" i="14"/>
  <c r="CS111" i="14"/>
  <c r="CR111" i="14"/>
  <c r="CF111" i="14"/>
  <c r="BW111" i="14"/>
  <c r="BV111" i="14"/>
  <c r="BI111" i="14"/>
  <c r="AZ111" i="14"/>
  <c r="AY111" i="14"/>
  <c r="AM111" i="14"/>
  <c r="AB111" i="14"/>
  <c r="AA111" i="14"/>
  <c r="F111" i="14"/>
  <c r="E111" i="14"/>
  <c r="EW110" i="14"/>
  <c r="EN110" i="14"/>
  <c r="EM110" i="14"/>
  <c r="DZ110" i="14"/>
  <c r="DQ110" i="14"/>
  <c r="DP110" i="14"/>
  <c r="DB110" i="14"/>
  <c r="CS110" i="14"/>
  <c r="CR110" i="14"/>
  <c r="CF110" i="14"/>
  <c r="BW110" i="14"/>
  <c r="BV110" i="14"/>
  <c r="BI110" i="14"/>
  <c r="AZ110" i="14"/>
  <c r="AY110" i="14"/>
  <c r="AM110" i="14"/>
  <c r="AB110" i="14"/>
  <c r="AA110" i="14"/>
  <c r="F110" i="14"/>
  <c r="E110" i="14"/>
  <c r="EW109" i="14"/>
  <c r="EN109" i="14"/>
  <c r="EM109" i="14"/>
  <c r="DZ109" i="14"/>
  <c r="DQ109" i="14"/>
  <c r="DP109" i="14"/>
  <c r="DB109" i="14"/>
  <c r="CS109" i="14"/>
  <c r="CR109" i="14"/>
  <c r="CF109" i="14"/>
  <c r="BW109" i="14"/>
  <c r="BV109" i="14"/>
  <c r="BI109" i="14"/>
  <c r="AZ109" i="14"/>
  <c r="AY109" i="14"/>
  <c r="AM109" i="14"/>
  <c r="AB109" i="14"/>
  <c r="AA109" i="14"/>
  <c r="F109" i="14"/>
  <c r="E109" i="14"/>
  <c r="EW108" i="14"/>
  <c r="EN108" i="14"/>
  <c r="EM108" i="14"/>
  <c r="DZ108" i="14"/>
  <c r="DQ108" i="14"/>
  <c r="DP108" i="14"/>
  <c r="DB108" i="14"/>
  <c r="CS108" i="14"/>
  <c r="CR108" i="14"/>
  <c r="CF108" i="14"/>
  <c r="BW108" i="14"/>
  <c r="BV108" i="14"/>
  <c r="BI108" i="14"/>
  <c r="AZ108" i="14"/>
  <c r="AY108" i="14"/>
  <c r="AM108" i="14"/>
  <c r="AB108" i="14"/>
  <c r="AA108" i="14"/>
  <c r="F108" i="14"/>
  <c r="E108" i="14"/>
  <c r="EW107" i="14"/>
  <c r="EN107" i="14"/>
  <c r="EM107" i="14"/>
  <c r="DZ107" i="14"/>
  <c r="DQ107" i="14"/>
  <c r="DP107" i="14"/>
  <c r="DB107" i="14"/>
  <c r="CS107" i="14"/>
  <c r="CR107" i="14"/>
  <c r="CF107" i="14"/>
  <c r="BW107" i="14"/>
  <c r="BV107" i="14"/>
  <c r="BI107" i="14"/>
  <c r="AZ107" i="14"/>
  <c r="AY107" i="14"/>
  <c r="AM107" i="14"/>
  <c r="AB107" i="14"/>
  <c r="AA107" i="14"/>
  <c r="F107" i="14"/>
  <c r="E107" i="14"/>
  <c r="EW106" i="14"/>
  <c r="EN106" i="14"/>
  <c r="EM106" i="14"/>
  <c r="DZ106" i="14"/>
  <c r="DQ106" i="14"/>
  <c r="DP106" i="14"/>
  <c r="DB106" i="14"/>
  <c r="CS106" i="14"/>
  <c r="CR106" i="14"/>
  <c r="CF106" i="14"/>
  <c r="BW106" i="14"/>
  <c r="BV106" i="14"/>
  <c r="BI106" i="14"/>
  <c r="AZ106" i="14"/>
  <c r="AY106" i="14"/>
  <c r="AM106" i="14"/>
  <c r="AB106" i="14"/>
  <c r="AA106" i="14"/>
  <c r="F106" i="14"/>
  <c r="E106" i="14"/>
  <c r="EW105" i="14"/>
  <c r="EN105" i="14"/>
  <c r="EM105" i="14"/>
  <c r="DZ105" i="14"/>
  <c r="DQ105" i="14"/>
  <c r="DP105" i="14"/>
  <c r="DB105" i="14"/>
  <c r="CS105" i="14"/>
  <c r="CR105" i="14"/>
  <c r="CF105" i="14"/>
  <c r="BW105" i="14"/>
  <c r="BV105" i="14"/>
  <c r="BI105" i="14"/>
  <c r="AZ105" i="14"/>
  <c r="AY105" i="14"/>
  <c r="AM105" i="14"/>
  <c r="AB105" i="14"/>
  <c r="AA105" i="14"/>
  <c r="F105" i="14"/>
  <c r="E105" i="14"/>
  <c r="EW104" i="14"/>
  <c r="EN104" i="14"/>
  <c r="EM104" i="14"/>
  <c r="DZ104" i="14"/>
  <c r="DQ104" i="14"/>
  <c r="DP104" i="14"/>
  <c r="DB104" i="14"/>
  <c r="CS104" i="14"/>
  <c r="CR104" i="14"/>
  <c r="CF104" i="14"/>
  <c r="BW104" i="14"/>
  <c r="BV104" i="14"/>
  <c r="BI104" i="14"/>
  <c r="AZ104" i="14"/>
  <c r="AY104" i="14"/>
  <c r="AM104" i="14"/>
  <c r="AB104" i="14"/>
  <c r="AA104" i="14"/>
  <c r="F104" i="14"/>
  <c r="E104" i="14"/>
  <c r="EW103" i="14"/>
  <c r="EN103" i="14"/>
  <c r="EM103" i="14"/>
  <c r="DZ103" i="14"/>
  <c r="DQ103" i="14"/>
  <c r="DP103" i="14"/>
  <c r="DB103" i="14"/>
  <c r="CS103" i="14"/>
  <c r="CR103" i="14"/>
  <c r="CF103" i="14"/>
  <c r="BW103" i="14"/>
  <c r="BV103" i="14"/>
  <c r="BI103" i="14"/>
  <c r="AZ103" i="14"/>
  <c r="AY103" i="14"/>
  <c r="AM103" i="14"/>
  <c r="AB103" i="14"/>
  <c r="AA103" i="14"/>
  <c r="F103" i="14"/>
  <c r="E103" i="14"/>
  <c r="EW102" i="14"/>
  <c r="EN102" i="14"/>
  <c r="EM102" i="14"/>
  <c r="DZ102" i="14"/>
  <c r="DQ102" i="14"/>
  <c r="DP102" i="14"/>
  <c r="DB102" i="14"/>
  <c r="CS102" i="14"/>
  <c r="CR102" i="14"/>
  <c r="CF102" i="14"/>
  <c r="BW102" i="14"/>
  <c r="BV102" i="14"/>
  <c r="BI102" i="14"/>
  <c r="AZ102" i="14"/>
  <c r="AY102" i="14"/>
  <c r="AM102" i="14"/>
  <c r="AB102" i="14"/>
  <c r="AA102" i="14"/>
  <c r="F102" i="14"/>
  <c r="E102" i="14"/>
  <c r="EW101" i="14"/>
  <c r="EN101" i="14"/>
  <c r="EM101" i="14"/>
  <c r="DZ101" i="14"/>
  <c r="DQ101" i="14"/>
  <c r="DP101" i="14"/>
  <c r="DB101" i="14"/>
  <c r="CS101" i="14"/>
  <c r="CR101" i="14"/>
  <c r="CF101" i="14"/>
  <c r="BW101" i="14"/>
  <c r="BV101" i="14"/>
  <c r="BI101" i="14"/>
  <c r="AZ101" i="14"/>
  <c r="AY101" i="14"/>
  <c r="AM101" i="14"/>
  <c r="AB101" i="14"/>
  <c r="AA101" i="14"/>
  <c r="F101" i="14"/>
  <c r="E101" i="14"/>
  <c r="EW100" i="14"/>
  <c r="EN100" i="14"/>
  <c r="EM100" i="14"/>
  <c r="DZ100" i="14"/>
  <c r="DQ100" i="14"/>
  <c r="DP100" i="14"/>
  <c r="DB100" i="14"/>
  <c r="CS100" i="14"/>
  <c r="CR100" i="14"/>
  <c r="CF100" i="14"/>
  <c r="BW100" i="14"/>
  <c r="BV100" i="14"/>
  <c r="BI100" i="14"/>
  <c r="AZ100" i="14"/>
  <c r="AY100" i="14"/>
  <c r="AM100" i="14"/>
  <c r="AB100" i="14"/>
  <c r="AA100" i="14"/>
  <c r="F100" i="14"/>
  <c r="E100" i="14"/>
  <c r="EW99" i="14"/>
  <c r="EN99" i="14"/>
  <c r="EM99" i="14"/>
  <c r="DZ99" i="14"/>
  <c r="DQ99" i="14"/>
  <c r="DP99" i="14"/>
  <c r="DB99" i="14"/>
  <c r="CS99" i="14"/>
  <c r="CR99" i="14"/>
  <c r="CF99" i="14"/>
  <c r="BW99" i="14"/>
  <c r="BV99" i="14"/>
  <c r="BI99" i="14"/>
  <c r="AZ99" i="14"/>
  <c r="AY99" i="14"/>
  <c r="AM99" i="14"/>
  <c r="AB99" i="14"/>
  <c r="AA99" i="14"/>
  <c r="F99" i="14"/>
  <c r="E99" i="14"/>
  <c r="EW98" i="14"/>
  <c r="EN98" i="14"/>
  <c r="EM98" i="14"/>
  <c r="DZ98" i="14"/>
  <c r="DQ98" i="14"/>
  <c r="DP98" i="14"/>
  <c r="DB98" i="14"/>
  <c r="CS98" i="14"/>
  <c r="CR98" i="14"/>
  <c r="CF98" i="14"/>
  <c r="BW98" i="14"/>
  <c r="BV98" i="14"/>
  <c r="BI98" i="14"/>
  <c r="AZ98" i="14"/>
  <c r="AY98" i="14"/>
  <c r="AM98" i="14"/>
  <c r="AB98" i="14"/>
  <c r="AA98" i="14"/>
  <c r="F98" i="14"/>
  <c r="E98" i="14"/>
  <c r="EW97" i="14"/>
  <c r="EN97" i="14"/>
  <c r="EM97" i="14"/>
  <c r="DZ97" i="14"/>
  <c r="DQ97" i="14"/>
  <c r="DP97" i="14"/>
  <c r="DB97" i="14"/>
  <c r="CS97" i="14"/>
  <c r="CR97" i="14"/>
  <c r="CF97" i="14"/>
  <c r="BW97" i="14"/>
  <c r="BV97" i="14"/>
  <c r="BI97" i="14"/>
  <c r="AZ97" i="14"/>
  <c r="AY97" i="14"/>
  <c r="AM97" i="14"/>
  <c r="AB97" i="14"/>
  <c r="AA97" i="14"/>
  <c r="F97" i="14"/>
  <c r="E97" i="14"/>
  <c r="EW96" i="14"/>
  <c r="EN96" i="14"/>
  <c r="EM96" i="14"/>
  <c r="DZ96" i="14"/>
  <c r="DQ96" i="14"/>
  <c r="DP96" i="14"/>
  <c r="DB96" i="14"/>
  <c r="CS96" i="14"/>
  <c r="CR96" i="14"/>
  <c r="CF96" i="14"/>
  <c r="BW96" i="14"/>
  <c r="BV96" i="14"/>
  <c r="BI96" i="14"/>
  <c r="AZ96" i="14"/>
  <c r="AY96" i="14"/>
  <c r="AM96" i="14"/>
  <c r="AB96" i="14"/>
  <c r="AA96" i="14"/>
  <c r="F96" i="14"/>
  <c r="E96" i="14"/>
  <c r="EW95" i="14"/>
  <c r="EN95" i="14"/>
  <c r="EM95" i="14"/>
  <c r="DZ95" i="14"/>
  <c r="DQ95" i="14"/>
  <c r="DP95" i="14"/>
  <c r="DB95" i="14"/>
  <c r="CS95" i="14"/>
  <c r="CR95" i="14"/>
  <c r="CF95" i="14"/>
  <c r="BW95" i="14"/>
  <c r="BV95" i="14"/>
  <c r="BI95" i="14"/>
  <c r="AZ95" i="14"/>
  <c r="AY95" i="14"/>
  <c r="AM95" i="14"/>
  <c r="AB95" i="14"/>
  <c r="AA95" i="14"/>
  <c r="F95" i="14"/>
  <c r="E95" i="14"/>
  <c r="EW94" i="14"/>
  <c r="EN94" i="14"/>
  <c r="EM94" i="14"/>
  <c r="DZ94" i="14"/>
  <c r="DQ94" i="14"/>
  <c r="DP94" i="14"/>
  <c r="DB94" i="14"/>
  <c r="CS94" i="14"/>
  <c r="CR94" i="14"/>
  <c r="CF94" i="14"/>
  <c r="BW94" i="14"/>
  <c r="BV94" i="14"/>
  <c r="BI94" i="14"/>
  <c r="AZ94" i="14"/>
  <c r="AY94" i="14"/>
  <c r="AM94" i="14"/>
  <c r="AB94" i="14"/>
  <c r="AA94" i="14"/>
  <c r="F94" i="14"/>
  <c r="E94" i="14"/>
  <c r="EW93" i="14"/>
  <c r="EN93" i="14"/>
  <c r="EM93" i="14"/>
  <c r="DZ93" i="14"/>
  <c r="DQ93" i="14"/>
  <c r="DP93" i="14"/>
  <c r="DB93" i="14"/>
  <c r="CS93" i="14"/>
  <c r="CR93" i="14"/>
  <c r="CF93" i="14"/>
  <c r="BW93" i="14"/>
  <c r="BV93" i="14"/>
  <c r="BI93" i="14"/>
  <c r="AZ93" i="14"/>
  <c r="AY93" i="14"/>
  <c r="AM93" i="14"/>
  <c r="AB93" i="14"/>
  <c r="AA93" i="14"/>
  <c r="F93" i="14"/>
  <c r="E93" i="14"/>
  <c r="EM9" i="14"/>
  <c r="EN9" i="14"/>
  <c r="EM10" i="14"/>
  <c r="EN10" i="14"/>
  <c r="EM11" i="14"/>
  <c r="EN11" i="14"/>
  <c r="EM12" i="14"/>
  <c r="EN12" i="14"/>
  <c r="EM13" i="14"/>
  <c r="EN13" i="14"/>
  <c r="EM14" i="14"/>
  <c r="EN14" i="14"/>
  <c r="EM15" i="14"/>
  <c r="EN15" i="14"/>
  <c r="EM16" i="14"/>
  <c r="EN16" i="14"/>
  <c r="EM17" i="14"/>
  <c r="EN17" i="14"/>
  <c r="EM18" i="14"/>
  <c r="EN18" i="14"/>
  <c r="EM19" i="14"/>
  <c r="EN19" i="14"/>
  <c r="EM20" i="14"/>
  <c r="EN20" i="14"/>
  <c r="EM21" i="14"/>
  <c r="EN21" i="14"/>
  <c r="EM22" i="14"/>
  <c r="EN22" i="14"/>
  <c r="EM23" i="14"/>
  <c r="EN23" i="14"/>
  <c r="EM24" i="14"/>
  <c r="EN24" i="14"/>
  <c r="EM25" i="14"/>
  <c r="EN25" i="14"/>
  <c r="EM26" i="14"/>
  <c r="EN26" i="14"/>
  <c r="EM27" i="14"/>
  <c r="EN27" i="14"/>
  <c r="EM28" i="14"/>
  <c r="EN28" i="14"/>
  <c r="EM29" i="14"/>
  <c r="EN29" i="14"/>
  <c r="EM30" i="14"/>
  <c r="EN30" i="14"/>
  <c r="EM31" i="14"/>
  <c r="EN31" i="14"/>
  <c r="EM32" i="14"/>
  <c r="EN32" i="14"/>
  <c r="EM33" i="14"/>
  <c r="EN33" i="14"/>
  <c r="EM34" i="14"/>
  <c r="EN34" i="14"/>
  <c r="EM35" i="14"/>
  <c r="EN35" i="14"/>
  <c r="EM36" i="14"/>
  <c r="EN36" i="14"/>
  <c r="EM37" i="14"/>
  <c r="EN37" i="14"/>
  <c r="EM38" i="14"/>
  <c r="EN38" i="14"/>
  <c r="EM39" i="14"/>
  <c r="EN39" i="14"/>
  <c r="EM40" i="14"/>
  <c r="EN40" i="14"/>
  <c r="EN8" i="14"/>
  <c r="EM8" i="14"/>
  <c r="EW9" i="14"/>
  <c r="EW10" i="14"/>
  <c r="EW11" i="14"/>
  <c r="EW12" i="14"/>
  <c r="EW13" i="14"/>
  <c r="EW14" i="14"/>
  <c r="EW15" i="14"/>
  <c r="EW16" i="14"/>
  <c r="EW17" i="14"/>
  <c r="EW18" i="14"/>
  <c r="EW19" i="14"/>
  <c r="EW20" i="14"/>
  <c r="EW21" i="14"/>
  <c r="EW22" i="14"/>
  <c r="EW23" i="14"/>
  <c r="EW24" i="14"/>
  <c r="EW25" i="14"/>
  <c r="EW26" i="14"/>
  <c r="EW27" i="14"/>
  <c r="EW28" i="14"/>
  <c r="EW29" i="14"/>
  <c r="EW30" i="14"/>
  <c r="EW31" i="14"/>
  <c r="EW32" i="14"/>
  <c r="EW33" i="14"/>
  <c r="EW34" i="14"/>
  <c r="EW35" i="14"/>
  <c r="EW36" i="14"/>
  <c r="EW37" i="14"/>
  <c r="EW38" i="14"/>
  <c r="EW39" i="14"/>
  <c r="EW40" i="14"/>
  <c r="EW8" i="14"/>
  <c r="DZ9" i="14"/>
  <c r="DZ10" i="14"/>
  <c r="DZ11" i="14"/>
  <c r="DZ12" i="14"/>
  <c r="DZ13" i="14"/>
  <c r="DZ14" i="14"/>
  <c r="DZ15" i="14"/>
  <c r="DZ16" i="14"/>
  <c r="DZ17" i="14"/>
  <c r="DZ18" i="14"/>
  <c r="DZ19" i="14"/>
  <c r="DZ20" i="14"/>
  <c r="DZ21" i="14"/>
  <c r="DZ22" i="14"/>
  <c r="DZ23" i="14"/>
  <c r="DZ24" i="14"/>
  <c r="DZ25" i="14"/>
  <c r="DZ26" i="14"/>
  <c r="DZ27" i="14"/>
  <c r="DZ28" i="14"/>
  <c r="DZ29" i="14"/>
  <c r="DZ30" i="14"/>
  <c r="DZ31" i="14"/>
  <c r="DZ32" i="14"/>
  <c r="DZ33" i="14"/>
  <c r="DZ34" i="14"/>
  <c r="DZ35" i="14"/>
  <c r="DZ36" i="14"/>
  <c r="DZ37" i="14"/>
  <c r="DZ38" i="14"/>
  <c r="DZ39" i="14"/>
  <c r="DZ40" i="14"/>
  <c r="DZ41" i="14"/>
  <c r="DZ42" i="14"/>
  <c r="DZ43" i="14"/>
  <c r="DZ44" i="14"/>
  <c r="DZ45" i="14"/>
  <c r="DZ46" i="14"/>
  <c r="DZ47" i="14"/>
  <c r="DZ48" i="14"/>
  <c r="DZ49" i="14"/>
  <c r="DZ50" i="14"/>
  <c r="DZ51" i="14"/>
  <c r="DZ52" i="14"/>
  <c r="DZ53" i="14"/>
  <c r="DZ54" i="14"/>
  <c r="DZ55" i="14"/>
  <c r="DZ8" i="14"/>
  <c r="DB9" i="14"/>
  <c r="DB10" i="14"/>
  <c r="DB11" i="14"/>
  <c r="DB12" i="14"/>
  <c r="DB13" i="14"/>
  <c r="DB14" i="14"/>
  <c r="DB15" i="14"/>
  <c r="DB16" i="14"/>
  <c r="DB17" i="14"/>
  <c r="DB18" i="14"/>
  <c r="DB19" i="14"/>
  <c r="DB20" i="14"/>
  <c r="DB21" i="14"/>
  <c r="DB22" i="14"/>
  <c r="DB23" i="14"/>
  <c r="DB24" i="14"/>
  <c r="DB25" i="14"/>
  <c r="DB26" i="14"/>
  <c r="DB27" i="14"/>
  <c r="DB28" i="14"/>
  <c r="DB29" i="14"/>
  <c r="DB30" i="14"/>
  <c r="DB31" i="14"/>
  <c r="DB32" i="14"/>
  <c r="DB33" i="14"/>
  <c r="DB34" i="14"/>
  <c r="DB35" i="14"/>
  <c r="DB36" i="14"/>
  <c r="DB37" i="14"/>
  <c r="DB38" i="14"/>
  <c r="DB39" i="14"/>
  <c r="DB40" i="14"/>
  <c r="DB41" i="14"/>
  <c r="DB42" i="14"/>
  <c r="DB43" i="14"/>
  <c r="DB44" i="14"/>
  <c r="DB45" i="14"/>
  <c r="DB46" i="14"/>
  <c r="DB47" i="14"/>
  <c r="DB8" i="14"/>
  <c r="CF9" i="14"/>
  <c r="CF10" i="14"/>
  <c r="CF11" i="14"/>
  <c r="CF12" i="14"/>
  <c r="CF13" i="14"/>
  <c r="CF14" i="14"/>
  <c r="CF15" i="14"/>
  <c r="CF16" i="14"/>
  <c r="CF17" i="14"/>
  <c r="CF18" i="14"/>
  <c r="CF19" i="14"/>
  <c r="CF20" i="14"/>
  <c r="CF21" i="14"/>
  <c r="CF22" i="14"/>
  <c r="CF23" i="14"/>
  <c r="CF24" i="14"/>
  <c r="CF25" i="14"/>
  <c r="CF26" i="14"/>
  <c r="CF27" i="14"/>
  <c r="CF28" i="14"/>
  <c r="CF29" i="14"/>
  <c r="CF30" i="14"/>
  <c r="CF31" i="14"/>
  <c r="CF32" i="14"/>
  <c r="CF33" i="14"/>
  <c r="CF34" i="14"/>
  <c r="CF35" i="14"/>
  <c r="CF36" i="14"/>
  <c r="CF37" i="14"/>
  <c r="CF38" i="14"/>
  <c r="CF39" i="14"/>
  <c r="CF40" i="14"/>
  <c r="CF41" i="14"/>
  <c r="CF42" i="14"/>
  <c r="CF43" i="14"/>
  <c r="CF44" i="14"/>
  <c r="CF45" i="14"/>
  <c r="CF46" i="14"/>
  <c r="CF47" i="14"/>
  <c r="CF48" i="14"/>
  <c r="CF49" i="14"/>
  <c r="CF50" i="14"/>
  <c r="CF51" i="14"/>
  <c r="CF52" i="14"/>
  <c r="CF53" i="14"/>
  <c r="CF54" i="14"/>
  <c r="CF55" i="14"/>
  <c r="CF56" i="14"/>
  <c r="CF57" i="14"/>
  <c r="CF58" i="14"/>
  <c r="CF59" i="14"/>
  <c r="CF8" i="14"/>
  <c r="DP32" i="14"/>
  <c r="DQ32" i="14"/>
  <c r="DP33" i="14"/>
  <c r="DQ33" i="14"/>
  <c r="DP34" i="14"/>
  <c r="DQ34" i="14"/>
  <c r="DP35" i="14"/>
  <c r="DQ35" i="14"/>
  <c r="DP36" i="14"/>
  <c r="DQ36" i="14"/>
  <c r="DP37" i="14"/>
  <c r="DQ37" i="14"/>
  <c r="DP38" i="14"/>
  <c r="DQ38" i="14"/>
  <c r="DP39" i="14"/>
  <c r="DQ39" i="14"/>
  <c r="DP40" i="14"/>
  <c r="DQ40" i="14"/>
  <c r="DP41" i="14"/>
  <c r="DQ41" i="14"/>
  <c r="DP42" i="14"/>
  <c r="DQ42" i="14"/>
  <c r="DP43" i="14"/>
  <c r="DQ43" i="14"/>
  <c r="DP44" i="14"/>
  <c r="DQ44" i="14"/>
  <c r="DP45" i="14"/>
  <c r="DQ45" i="14"/>
  <c r="DP46" i="14"/>
  <c r="DQ46" i="14"/>
  <c r="DP47" i="14"/>
  <c r="DQ47" i="14"/>
  <c r="DP48" i="14"/>
  <c r="DQ48" i="14"/>
  <c r="DP49" i="14"/>
  <c r="DQ49" i="14"/>
  <c r="DP50" i="14"/>
  <c r="DQ50" i="14"/>
  <c r="DP51" i="14"/>
  <c r="DQ51" i="14"/>
  <c r="DP52" i="14"/>
  <c r="DQ52" i="14"/>
  <c r="DP53" i="14"/>
  <c r="DQ53" i="14"/>
  <c r="DP54" i="14"/>
  <c r="DQ54" i="14"/>
  <c r="DP55" i="14"/>
  <c r="DQ55" i="14"/>
  <c r="DP9" i="14"/>
  <c r="DQ9" i="14"/>
  <c r="DP10" i="14"/>
  <c r="DQ10" i="14"/>
  <c r="DP11" i="14"/>
  <c r="DQ11" i="14"/>
  <c r="DP12" i="14"/>
  <c r="DQ12" i="14"/>
  <c r="DP13" i="14"/>
  <c r="DQ13" i="14"/>
  <c r="DP14" i="14"/>
  <c r="DQ14" i="14"/>
  <c r="DP15" i="14"/>
  <c r="DQ15" i="14"/>
  <c r="DP16" i="14"/>
  <c r="DQ16" i="14"/>
  <c r="DP17" i="14"/>
  <c r="DQ17" i="14"/>
  <c r="DP18" i="14"/>
  <c r="DQ18" i="14"/>
  <c r="DP19" i="14"/>
  <c r="DQ19" i="14"/>
  <c r="DP20" i="14"/>
  <c r="DQ20" i="14"/>
  <c r="DP21" i="14"/>
  <c r="DQ21" i="14"/>
  <c r="DP22" i="14"/>
  <c r="DQ22" i="14"/>
  <c r="DP23" i="14"/>
  <c r="DQ23" i="14"/>
  <c r="DP24" i="14"/>
  <c r="DQ24" i="14"/>
  <c r="DP25" i="14"/>
  <c r="DQ25" i="14"/>
  <c r="DP26" i="14"/>
  <c r="DQ26" i="14"/>
  <c r="DP27" i="14"/>
  <c r="DQ27" i="14"/>
  <c r="DP28" i="14"/>
  <c r="DQ28" i="14"/>
  <c r="DP29" i="14"/>
  <c r="DQ29" i="14"/>
  <c r="DP30" i="14"/>
  <c r="DQ30" i="14"/>
  <c r="DP31" i="14"/>
  <c r="DQ31" i="14"/>
  <c r="DQ8" i="14"/>
  <c r="DP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8" i="14"/>
  <c r="CS39" i="14"/>
  <c r="CS40" i="14"/>
  <c r="CS41" i="14"/>
  <c r="CS42" i="14"/>
  <c r="CS43" i="14"/>
  <c r="CS44" i="14"/>
  <c r="CS45" i="14"/>
  <c r="CS46" i="14"/>
  <c r="CS47" i="14"/>
  <c r="CS48" i="14"/>
  <c r="CS8" i="14"/>
  <c r="CR9" i="14"/>
  <c r="CR10" i="14"/>
  <c r="CR11" i="14"/>
  <c r="CR12" i="14"/>
  <c r="CR13" i="14"/>
  <c r="CR14" i="14"/>
  <c r="CR15" i="14"/>
  <c r="CR16" i="14"/>
  <c r="CR17" i="14"/>
  <c r="CR18" i="14"/>
  <c r="CR19" i="14"/>
  <c r="CR20" i="14"/>
  <c r="CR21" i="14"/>
  <c r="CR22" i="14"/>
  <c r="CR23" i="14"/>
  <c r="CR24" i="14"/>
  <c r="CR25" i="14"/>
  <c r="CR26" i="14"/>
  <c r="CR27" i="14"/>
  <c r="CR28" i="14"/>
  <c r="CR29" i="14"/>
  <c r="CR30" i="14"/>
  <c r="CR31" i="14"/>
  <c r="CR32" i="14"/>
  <c r="CR33" i="14"/>
  <c r="CR34" i="14"/>
  <c r="CR35" i="14"/>
  <c r="CR36" i="14"/>
  <c r="CR37" i="14"/>
  <c r="CR38" i="14"/>
  <c r="CR39" i="14"/>
  <c r="CR40" i="14"/>
  <c r="CR41" i="14"/>
  <c r="CR42" i="14"/>
  <c r="CR43" i="14"/>
  <c r="CR44" i="14"/>
  <c r="CR45" i="14"/>
  <c r="CR46" i="14"/>
  <c r="CR47" i="14"/>
  <c r="CR48" i="14"/>
  <c r="CR8" i="14"/>
  <c r="EK2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8" i="14"/>
  <c r="BW39" i="14"/>
  <c r="BW40" i="14"/>
  <c r="BW41" i="14"/>
  <c r="BW42" i="14"/>
  <c r="BW43" i="14"/>
  <c r="BW44" i="14"/>
  <c r="BW45" i="14"/>
  <c r="BW46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8" i="14"/>
  <c r="BV9" i="14"/>
  <c r="BV10" i="14"/>
  <c r="BV11" i="14"/>
  <c r="BV12" i="14"/>
  <c r="BV13" i="14"/>
  <c r="BV14" i="14"/>
  <c r="BV15" i="14"/>
  <c r="BV16" i="14"/>
  <c r="BV17" i="14"/>
  <c r="BV18" i="14"/>
  <c r="BV19" i="14"/>
  <c r="BV20" i="14"/>
  <c r="BV21" i="14"/>
  <c r="BV22" i="14"/>
  <c r="BV23" i="14"/>
  <c r="BV24" i="14"/>
  <c r="BV25" i="14"/>
  <c r="BV26" i="14"/>
  <c r="BV27" i="14"/>
  <c r="BV28" i="14"/>
  <c r="BV29" i="14"/>
  <c r="BV30" i="14"/>
  <c r="BV31" i="14"/>
  <c r="BV32" i="14"/>
  <c r="BV33" i="14"/>
  <c r="BV34" i="14"/>
  <c r="BV35" i="14"/>
  <c r="BV36" i="14"/>
  <c r="BV37" i="14"/>
  <c r="BV38" i="14"/>
  <c r="BV39" i="14"/>
  <c r="BV40" i="14"/>
  <c r="BV41" i="14"/>
  <c r="BV42" i="14"/>
  <c r="BV43" i="14"/>
  <c r="BV44" i="14"/>
  <c r="BV45" i="14"/>
  <c r="BV46" i="14"/>
  <c r="BV47" i="14"/>
  <c r="BV48" i="14"/>
  <c r="BV49" i="14"/>
  <c r="BV50" i="14"/>
  <c r="BV51" i="14"/>
  <c r="BV52" i="14"/>
  <c r="BV53" i="14"/>
  <c r="BV54" i="14"/>
  <c r="BV55" i="14"/>
  <c r="BV56" i="14"/>
  <c r="BV57" i="14"/>
  <c r="BV58" i="14"/>
  <c r="BV59" i="14"/>
  <c r="BV8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9" i="14"/>
  <c r="BI8" i="14"/>
  <c r="AZ9" i="14"/>
  <c r="AZ10" i="14"/>
  <c r="AZ11" i="14"/>
  <c r="AZ12" i="14"/>
  <c r="AZ13" i="14"/>
  <c r="AZ14" i="14"/>
  <c r="AZ15" i="14"/>
  <c r="AZ16" i="14"/>
  <c r="AZ17" i="14"/>
  <c r="AZ18" i="14"/>
  <c r="AZ19" i="14"/>
  <c r="AZ20" i="14"/>
  <c r="AZ21" i="14"/>
  <c r="AZ22" i="14"/>
  <c r="AZ23" i="14"/>
  <c r="AZ24" i="14"/>
  <c r="AZ25" i="14"/>
  <c r="AZ26" i="14"/>
  <c r="AZ27" i="14"/>
  <c r="AZ28" i="14"/>
  <c r="AZ29" i="14"/>
  <c r="AZ30" i="14"/>
  <c r="AZ31" i="14"/>
  <c r="AZ32" i="14"/>
  <c r="AZ33" i="14"/>
  <c r="AZ34" i="14"/>
  <c r="AZ35" i="14"/>
  <c r="AZ36" i="14"/>
  <c r="AZ37" i="14"/>
  <c r="AZ38" i="14"/>
  <c r="AZ39" i="14"/>
  <c r="AZ40" i="14"/>
  <c r="AZ41" i="14"/>
  <c r="AZ42" i="14"/>
  <c r="AZ43" i="14"/>
  <c r="AZ44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Z8" i="14"/>
  <c r="AY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8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" i="17"/>
  <c r="R139" i="17"/>
  <c r="R205" i="17"/>
  <c r="R113" i="17"/>
  <c r="R2" i="17"/>
  <c r="R206" i="17"/>
  <c r="R5" i="17"/>
  <c r="R4" i="17"/>
  <c r="R6" i="17"/>
  <c r="R7" i="17"/>
  <c r="R8" i="17"/>
  <c r="R9" i="17"/>
  <c r="R35" i="17"/>
  <c r="R36" i="17"/>
  <c r="R34" i="17"/>
  <c r="R33" i="17"/>
  <c r="R38" i="17"/>
  <c r="R39" i="17"/>
  <c r="R40" i="17"/>
  <c r="R41" i="17"/>
  <c r="R42" i="17"/>
  <c r="R43" i="17"/>
  <c r="R183" i="17"/>
  <c r="R184" i="17"/>
  <c r="R185" i="17"/>
  <c r="R108" i="17"/>
  <c r="R106" i="17"/>
  <c r="R107" i="17"/>
  <c r="R109" i="17"/>
  <c r="R204" i="17"/>
  <c r="R110" i="17"/>
  <c r="R203" i="17"/>
  <c r="R202" i="17"/>
  <c r="R200" i="17"/>
  <c r="R201" i="17"/>
  <c r="R199" i="17"/>
  <c r="R198" i="17"/>
  <c r="R197" i="17"/>
  <c r="R196" i="17"/>
  <c r="R195" i="17"/>
  <c r="R193" i="17"/>
  <c r="R192" i="17"/>
  <c r="R191" i="17"/>
  <c r="R190" i="17"/>
  <c r="R189" i="17"/>
  <c r="R188" i="17"/>
  <c r="R187" i="17"/>
  <c r="R77" i="17"/>
  <c r="R141" i="17"/>
  <c r="R142" i="17"/>
  <c r="R82" i="17"/>
  <c r="R126" i="17"/>
  <c r="R143" i="17"/>
  <c r="R144" i="17"/>
  <c r="R145" i="17"/>
  <c r="R147" i="17"/>
  <c r="R146" i="17"/>
  <c r="R149" i="17"/>
  <c r="R150" i="17"/>
  <c r="R169" i="17"/>
  <c r="R170" i="17"/>
  <c r="R172" i="17"/>
  <c r="R148" i="17"/>
  <c r="R181" i="17"/>
  <c r="R136" i="17"/>
  <c r="R124" i="17"/>
  <c r="R93" i="17"/>
  <c r="R104" i="17"/>
  <c r="R114" i="17"/>
  <c r="R115" i="17"/>
  <c r="R116" i="17"/>
  <c r="R117" i="17"/>
  <c r="R118" i="17"/>
  <c r="R119" i="17"/>
  <c r="R120" i="17"/>
  <c r="R122" i="17"/>
  <c r="R121" i="17"/>
  <c r="R112" i="17"/>
  <c r="R123" i="17"/>
  <c r="R125" i="17"/>
  <c r="R127" i="17"/>
  <c r="R128" i="17"/>
  <c r="R16" i="17"/>
  <c r="R138" i="17"/>
  <c r="R140" i="17"/>
  <c r="R151" i="17"/>
  <c r="R18" i="17"/>
  <c r="R17" i="17"/>
  <c r="R19" i="17"/>
  <c r="R20" i="17"/>
  <c r="R21" i="17"/>
  <c r="R111" i="17"/>
  <c r="R22" i="17"/>
  <c r="R23" i="17"/>
  <c r="R26" i="17"/>
  <c r="R24" i="17"/>
  <c r="R28" i="17"/>
  <c r="R27" i="17"/>
  <c r="R15" i="17"/>
  <c r="R13" i="17"/>
  <c r="R12" i="17"/>
  <c r="R11" i="17"/>
  <c r="R171" i="17"/>
  <c r="R159" i="17"/>
  <c r="R10" i="17"/>
  <c r="R194" i="17"/>
  <c r="R3" i="17"/>
  <c r="R25" i="17"/>
  <c r="R14" i="17"/>
  <c r="R37" i="17"/>
  <c r="R48" i="17"/>
  <c r="R60" i="17"/>
  <c r="R71" i="17"/>
  <c r="R129" i="17"/>
  <c r="R130" i="17"/>
  <c r="R131" i="17"/>
  <c r="R133" i="17"/>
  <c r="R132" i="17"/>
  <c r="R134" i="17"/>
  <c r="R135" i="17"/>
  <c r="R137" i="17"/>
  <c r="R182" i="17"/>
  <c r="R180" i="17"/>
  <c r="R179" i="17"/>
  <c r="R178" i="17"/>
  <c r="R177" i="17"/>
  <c r="R175" i="17"/>
  <c r="R176" i="17"/>
  <c r="R174" i="17"/>
  <c r="R152" i="17"/>
  <c r="R153" i="17"/>
  <c r="R154" i="17"/>
  <c r="R155" i="17"/>
  <c r="R156" i="17"/>
  <c r="R157" i="17"/>
  <c r="R158" i="17"/>
  <c r="R161" i="17"/>
  <c r="R160" i="17"/>
  <c r="R162" i="17"/>
  <c r="R163" i="17"/>
  <c r="R164" i="17"/>
  <c r="R165" i="17"/>
  <c r="R166" i="17"/>
  <c r="R167" i="17"/>
  <c r="R168" i="17"/>
  <c r="R173" i="17"/>
  <c r="R105" i="17"/>
  <c r="R103" i="17"/>
  <c r="R102" i="17"/>
  <c r="R101" i="17"/>
  <c r="R100" i="17"/>
  <c r="R99" i="17"/>
  <c r="R98" i="17"/>
  <c r="R97" i="17"/>
  <c r="R96" i="17"/>
  <c r="R95" i="17"/>
  <c r="R94" i="17"/>
  <c r="R92" i="17"/>
  <c r="R91" i="17"/>
  <c r="R90" i="17"/>
  <c r="R88" i="17"/>
  <c r="R89" i="17"/>
  <c r="R87" i="17"/>
  <c r="R86" i="17"/>
  <c r="R85" i="17"/>
  <c r="R84" i="17"/>
  <c r="R83" i="17"/>
  <c r="R81" i="17"/>
  <c r="R79" i="17"/>
  <c r="R80" i="17"/>
  <c r="R78" i="17"/>
  <c r="R58" i="17"/>
  <c r="R57" i="17"/>
  <c r="R56" i="17"/>
  <c r="R50" i="17"/>
  <c r="R49" i="17"/>
  <c r="R46" i="17"/>
  <c r="R47" i="17"/>
  <c r="R45" i="17"/>
  <c r="R44" i="17"/>
  <c r="R32" i="17"/>
  <c r="R31" i="17"/>
  <c r="R30" i="17"/>
  <c r="R29" i="17"/>
  <c r="R186" i="17"/>
  <c r="R76" i="17"/>
  <c r="R75" i="17"/>
  <c r="R74" i="17"/>
  <c r="R73" i="17"/>
  <c r="R72" i="17"/>
  <c r="R70" i="17"/>
  <c r="R69" i="17"/>
  <c r="R68" i="17"/>
  <c r="R67" i="17"/>
  <c r="R66" i="17"/>
  <c r="R64" i="17"/>
  <c r="R65" i="17"/>
  <c r="R63" i="17"/>
  <c r="R62" i="17"/>
  <c r="R61" i="17"/>
  <c r="R59" i="17"/>
  <c r="R55" i="17"/>
  <c r="R54" i="17"/>
  <c r="R52" i="17"/>
  <c r="R53" i="17"/>
  <c r="R51" i="17"/>
  <c r="M26" i="12"/>
  <c r="M27" i="12" s="1"/>
  <c r="M28" i="12" s="1"/>
  <c r="I26" i="12"/>
  <c r="E31" i="12"/>
  <c r="E32" i="12" s="1"/>
  <c r="E34" i="12"/>
  <c r="AC18" i="21" l="1"/>
  <c r="AJ18" i="21" s="1"/>
  <c r="I26" i="5"/>
  <c r="J26" i="5"/>
  <c r="J27" i="5" s="1"/>
  <c r="H26" i="5"/>
  <c r="H27" i="5" s="1"/>
  <c r="H19" i="21" s="1"/>
  <c r="H20" i="21" s="1"/>
  <c r="H18" i="21"/>
  <c r="O18" i="21" s="1"/>
  <c r="DF16" i="14" a="1"/>
  <c r="DF16" i="14" s="1"/>
  <c r="ED40" i="14" a="1"/>
  <c r="ED40" i="14" s="1"/>
  <c r="O136" i="14"/>
  <c r="DF15" i="14" a="1"/>
  <c r="DF15" i="14" s="1"/>
  <c r="CJ56" i="14" a="1"/>
  <c r="CJ56" i="14" s="1"/>
  <c r="DF9" i="14" a="1"/>
  <c r="DF9" i="14" s="1"/>
  <c r="ED24" i="14" a="1"/>
  <c r="ED24" i="14" s="1"/>
  <c r="CJ45" i="14" a="1"/>
  <c r="CJ45" i="14" s="1"/>
  <c r="ED8" i="14" a="1"/>
  <c r="ED8" i="14" s="1"/>
  <c r="ED22" i="14" a="1"/>
  <c r="ED22" i="14" s="1"/>
  <c r="CJ24" i="14" a="1"/>
  <c r="CJ24" i="14" s="1"/>
  <c r="ED54" i="14" a="1"/>
  <c r="ED54" i="14" s="1"/>
  <c r="ED14" i="14" a="1"/>
  <c r="ED14" i="14" s="1"/>
  <c r="O160" i="14"/>
  <c r="DF48" i="14" a="1"/>
  <c r="DF48" i="14" s="1"/>
  <c r="ED46" i="14" a="1"/>
  <c r="ED46" i="14" s="1"/>
  <c r="ED13" i="14" a="1"/>
  <c r="ED13" i="14" s="1"/>
  <c r="DF28" i="14" a="1"/>
  <c r="DF28" i="14" s="1"/>
  <c r="ED51" i="14" a="1"/>
  <c r="ED51" i="14" s="1"/>
  <c r="ED19" i="14" a="1"/>
  <c r="ED19" i="14" s="1"/>
  <c r="O128" i="14"/>
  <c r="O96" i="14"/>
  <c r="CJ40" i="14" a="1"/>
  <c r="CJ40" i="14" s="1"/>
  <c r="DF27" i="14" a="1"/>
  <c r="DF27" i="14" s="1"/>
  <c r="DF14" i="14" a="1"/>
  <c r="DF14" i="14" s="1"/>
  <c r="ED50" i="14" a="1"/>
  <c r="ED50" i="14" s="1"/>
  <c r="ED18" i="14" a="1"/>
  <c r="ED18" i="14" s="1"/>
  <c r="O152" i="14"/>
  <c r="CJ29" i="14" a="1"/>
  <c r="CJ29" i="14" s="1"/>
  <c r="DF26" i="14" a="1"/>
  <c r="DF26" i="14" s="1"/>
  <c r="DF20" i="14" a="1"/>
  <c r="DF20" i="14" s="1"/>
  <c r="DF13" i="14" a="1"/>
  <c r="DF13" i="14" s="1"/>
  <c r="ED55" i="14" a="1"/>
  <c r="ED55" i="14" s="1"/>
  <c r="ED49" i="14" a="1"/>
  <c r="ED49" i="14" s="1"/>
  <c r="ED44" i="14" a="1"/>
  <c r="ED44" i="14" s="1"/>
  <c r="ED39" i="14" a="1"/>
  <c r="ED39" i="14" s="1"/>
  <c r="ED23" i="14" a="1"/>
  <c r="ED23" i="14" s="1"/>
  <c r="ED17" i="14" a="1"/>
  <c r="ED17" i="14" s="1"/>
  <c r="ED12" i="14" a="1"/>
  <c r="ED12" i="14" s="1"/>
  <c r="O120" i="14"/>
  <c r="DF19" i="14" a="1"/>
  <c r="DF19" i="14" s="1"/>
  <c r="O144" i="14"/>
  <c r="BM20" i="14" a="1"/>
  <c r="BM20" i="14" s="1"/>
  <c r="CJ13" i="14" a="1"/>
  <c r="CJ13" i="14" s="1"/>
  <c r="DF18" i="14" a="1"/>
  <c r="DF18" i="14" s="1"/>
  <c r="DF12" i="14" a="1"/>
  <c r="DF12" i="14" s="1"/>
  <c r="ED53" i="14" a="1"/>
  <c r="ED53" i="14" s="1"/>
  <c r="ED48" i="14" a="1"/>
  <c r="ED48" i="14" s="1"/>
  <c r="ED43" i="14" a="1"/>
  <c r="ED43" i="14" s="1"/>
  <c r="ED27" i="14" a="1"/>
  <c r="ED27" i="14" s="1"/>
  <c r="ED21" i="14" a="1"/>
  <c r="ED21" i="14" s="1"/>
  <c r="ED16" i="14" a="1"/>
  <c r="ED16" i="14" s="1"/>
  <c r="ED11" i="14" a="1"/>
  <c r="ED11" i="14" s="1"/>
  <c r="O112" i="14"/>
  <c r="BM13" i="14" a="1"/>
  <c r="BM13" i="14" s="1"/>
  <c r="DF8" i="14" a="1"/>
  <c r="DF8" i="14" s="1"/>
  <c r="DF30" i="14" a="1"/>
  <c r="DF30" i="14" s="1"/>
  <c r="DF24" i="14" a="1"/>
  <c r="DF24" i="14" s="1"/>
  <c r="DF17" i="14" a="1"/>
  <c r="DF17" i="14" s="1"/>
  <c r="DF11" i="14" a="1"/>
  <c r="DF11" i="14" s="1"/>
  <c r="ED42" i="14" a="1"/>
  <c r="ED42" i="14" s="1"/>
  <c r="ED26" i="14" a="1"/>
  <c r="ED26" i="14" s="1"/>
  <c r="ED10" i="14" a="1"/>
  <c r="ED10" i="14" s="1"/>
  <c r="O141" i="14"/>
  <c r="BM22" i="14" a="1"/>
  <c r="BM22" i="14" s="1"/>
  <c r="DF43" i="14" s="1" a="1"/>
  <c r="DF43" i="14" s="1"/>
  <c r="DF29" i="14" a="1"/>
  <c r="DF29" i="14" s="1"/>
  <c r="DF23" i="14" a="1"/>
  <c r="DF23" i="14" s="1"/>
  <c r="DF10" i="14" a="1"/>
  <c r="DF10" i="14" s="1"/>
  <c r="ED52" i="14" a="1"/>
  <c r="ED52" i="14" s="1"/>
  <c r="ED47" i="14" a="1"/>
  <c r="ED47" i="14" s="1"/>
  <c r="ED41" i="14" a="1"/>
  <c r="ED41" i="14" s="1"/>
  <c r="ED25" i="14" a="1"/>
  <c r="ED25" i="14" s="1"/>
  <c r="ED20" i="14" a="1"/>
  <c r="ED20" i="14" s="1"/>
  <c r="ED15" i="14" a="1"/>
  <c r="ED15" i="14" s="1"/>
  <c r="ED9" i="14" a="1"/>
  <c r="ED9" i="14" s="1"/>
  <c r="CJ19" i="14" a="1"/>
  <c r="CJ19" i="14" s="1"/>
  <c r="BM32" i="14" a="1"/>
  <c r="BM32" i="14" s="1"/>
  <c r="BM27" i="14" a="1"/>
  <c r="BM27" i="14" s="1"/>
  <c r="BM21" i="14" a="1"/>
  <c r="BM21" i="14" s="1"/>
  <c r="DF42" i="14" s="1" a="1"/>
  <c r="DF42" i="14" s="1"/>
  <c r="CJ50" i="14" a="1"/>
  <c r="CJ50" i="14" s="1"/>
  <c r="CJ18" i="14" a="1"/>
  <c r="CJ18" i="14" s="1"/>
  <c r="BM18" i="14" a="1"/>
  <c r="BM18" i="14" s="1"/>
  <c r="BM12" i="14" a="1"/>
  <c r="BM12" i="14" s="1"/>
  <c r="BM26" i="14" a="1"/>
  <c r="BM26" i="14" s="1"/>
  <c r="DF47" i="14" s="1" a="1"/>
  <c r="DF47" i="14" s="1"/>
  <c r="CJ8" i="14" a="1"/>
  <c r="CJ8" i="14" s="1"/>
  <c r="CJ55" i="14" a="1"/>
  <c r="CJ55" i="14" s="1"/>
  <c r="CJ49" i="14" a="1"/>
  <c r="CJ49" i="14" s="1"/>
  <c r="CJ44" i="14" a="1"/>
  <c r="CJ44" i="14" s="1"/>
  <c r="CJ39" i="14" a="1"/>
  <c r="CJ39" i="14" s="1"/>
  <c r="CJ28" i="14" a="1"/>
  <c r="CJ28" i="14" s="1"/>
  <c r="CJ23" i="14" a="1"/>
  <c r="CJ23" i="14" s="1"/>
  <c r="CJ17" i="14" a="1"/>
  <c r="CJ17" i="14" s="1"/>
  <c r="CJ12" i="14" a="1"/>
  <c r="CJ12" i="14" s="1"/>
  <c r="CJ51" i="14" a="1"/>
  <c r="CJ51" i="14" s="1"/>
  <c r="BM17" i="14" a="1"/>
  <c r="BM17" i="14" s="1"/>
  <c r="BM11" i="14" a="1"/>
  <c r="BM11" i="14" s="1"/>
  <c r="BM36" i="14" a="1"/>
  <c r="BM36" i="14" s="1"/>
  <c r="BM31" i="14" a="1"/>
  <c r="BM31" i="14" s="1"/>
  <c r="BM25" i="14" a="1"/>
  <c r="BM25" i="14" s="1"/>
  <c r="DF46" i="14" s="1" a="1"/>
  <c r="DF46" i="14" s="1"/>
  <c r="CJ54" i="14" a="1"/>
  <c r="CJ54" i="14" s="1"/>
  <c r="CJ22" i="14" a="1"/>
  <c r="CJ22" i="14" s="1"/>
  <c r="BM10" i="14" a="1"/>
  <c r="BM10" i="14" s="1"/>
  <c r="BM30" i="14" a="1"/>
  <c r="BM30" i="14" s="1"/>
  <c r="CJ59" i="14" a="1"/>
  <c r="CJ59" i="14" s="1"/>
  <c r="CJ53" i="14" a="1"/>
  <c r="CJ53" i="14" s="1"/>
  <c r="CJ48" i="14" a="1"/>
  <c r="CJ48" i="14" s="1"/>
  <c r="CJ43" i="14" a="1"/>
  <c r="CJ43" i="14" s="1"/>
  <c r="CJ27" i="14" a="1"/>
  <c r="CJ27" i="14" s="1"/>
  <c r="CJ21" i="14" a="1"/>
  <c r="CJ21" i="14" s="1"/>
  <c r="CJ16" i="14" a="1"/>
  <c r="CJ16" i="14" s="1"/>
  <c r="CJ11" i="14" a="1"/>
  <c r="CJ11" i="14" s="1"/>
  <c r="O113" i="14"/>
  <c r="BL8" i="14"/>
  <c r="BM16" i="14" a="1"/>
  <c r="BM16" i="14" s="1"/>
  <c r="BM9" i="14" a="1"/>
  <c r="BM9" i="14" s="1"/>
  <c r="BM35" i="14" a="1"/>
  <c r="BM35" i="14" s="1"/>
  <c r="BM29" i="14" a="1"/>
  <c r="BM29" i="14" s="1"/>
  <c r="BM24" i="14" a="1"/>
  <c r="BM24" i="14" s="1"/>
  <c r="DF45" i="14" s="1" a="1"/>
  <c r="DF45" i="14" s="1"/>
  <c r="CJ58" i="14" a="1"/>
  <c r="CJ58" i="14" s="1"/>
  <c r="CJ42" i="14" a="1"/>
  <c r="CJ42" i="14" s="1"/>
  <c r="CJ26" i="14" a="1"/>
  <c r="CJ26" i="14" s="1"/>
  <c r="CJ10" i="14" a="1"/>
  <c r="CJ10" i="14" s="1"/>
  <c r="BM8" i="14" a="1"/>
  <c r="BM8" i="14" s="1"/>
  <c r="BM15" i="14" a="1"/>
  <c r="BM15" i="14" s="1"/>
  <c r="BM34" i="14" a="1"/>
  <c r="BM34" i="14" s="1"/>
  <c r="CJ57" i="14" a="1"/>
  <c r="CJ57" i="14" s="1"/>
  <c r="CJ52" i="14" a="1"/>
  <c r="CJ52" i="14" s="1"/>
  <c r="CJ47" i="14" a="1"/>
  <c r="CJ47" i="14" s="1"/>
  <c r="CJ41" i="14" a="1"/>
  <c r="CJ41" i="14" s="1"/>
  <c r="CJ25" i="14" a="1"/>
  <c r="CJ25" i="14" s="1"/>
  <c r="CJ20" i="14" a="1"/>
  <c r="CJ20" i="14" s="1"/>
  <c r="CJ15" i="14" a="1"/>
  <c r="CJ15" i="14" s="1"/>
  <c r="BM14" i="14" a="1"/>
  <c r="BM14" i="14" s="1"/>
  <c r="BM33" i="14" a="1"/>
  <c r="BM33" i="14" s="1"/>
  <c r="BM28" i="14" a="1"/>
  <c r="BM28" i="14" s="1"/>
  <c r="BM23" i="14" a="1"/>
  <c r="BM23" i="14" s="1"/>
  <c r="DF44" i="14" s="1" a="1"/>
  <c r="DF44" i="14" s="1"/>
  <c r="CJ46" i="14" a="1"/>
  <c r="CJ46" i="14" s="1"/>
  <c r="CJ14" i="14" a="1"/>
  <c r="CJ14" i="14" s="1"/>
  <c r="EZ16" i="14"/>
  <c r="O143" i="14"/>
  <c r="O159" i="14"/>
  <c r="CI41" i="14"/>
  <c r="DE39" i="14"/>
  <c r="CI25" i="14"/>
  <c r="O129" i="14"/>
  <c r="DE31" i="14"/>
  <c r="O145" i="14"/>
  <c r="EC55" i="14"/>
  <c r="AP61" i="14"/>
  <c r="EC47" i="14"/>
  <c r="AP43" i="14"/>
  <c r="EZ24" i="14"/>
  <c r="CI46" i="14"/>
  <c r="EC22" i="14"/>
  <c r="AP59" i="14"/>
  <c r="CI45" i="14"/>
  <c r="CI22" i="14"/>
  <c r="DE38" i="14"/>
  <c r="EC54" i="14"/>
  <c r="EC21" i="14"/>
  <c r="EZ23" i="14"/>
  <c r="CI21" i="14"/>
  <c r="EC14" i="14"/>
  <c r="O161" i="14"/>
  <c r="O105" i="14"/>
  <c r="BL23" i="14"/>
  <c r="CI38" i="14"/>
  <c r="CI17" i="14"/>
  <c r="DE30" i="14"/>
  <c r="EC46" i="14"/>
  <c r="EC13" i="14"/>
  <c r="EZ15" i="14"/>
  <c r="CI57" i="14"/>
  <c r="CI37" i="14"/>
  <c r="CI14" i="14"/>
  <c r="DE23" i="14"/>
  <c r="EC39" i="14"/>
  <c r="EZ40" i="14"/>
  <c r="AQ8" i="14" a="1"/>
  <c r="AQ8" i="14" s="1"/>
  <c r="O121" i="14"/>
  <c r="CI54" i="14"/>
  <c r="CI33" i="14"/>
  <c r="CI13" i="14"/>
  <c r="DE22" i="14"/>
  <c r="EC38" i="14"/>
  <c r="EZ39" i="14"/>
  <c r="AQ29" i="14" a="1"/>
  <c r="AQ29" i="14" s="1"/>
  <c r="O97" i="14"/>
  <c r="CI53" i="14"/>
  <c r="CI30" i="14"/>
  <c r="DE47" i="14"/>
  <c r="DE15" i="14"/>
  <c r="EZ32" i="14"/>
  <c r="AQ23" i="14" a="1"/>
  <c r="AQ23" i="14" s="1"/>
  <c r="O153" i="14"/>
  <c r="O137" i="14"/>
  <c r="AP75" i="14"/>
  <c r="CI49" i="14"/>
  <c r="CI29" i="14"/>
  <c r="DE46" i="14"/>
  <c r="DE14" i="14"/>
  <c r="EC29" i="14"/>
  <c r="EZ31" i="14"/>
  <c r="AQ10" i="14" a="1"/>
  <c r="AQ10" i="14" s="1"/>
  <c r="BL15" i="14"/>
  <c r="AQ22" i="14" a="1"/>
  <c r="AQ22" i="14" s="1"/>
  <c r="AQ16" i="14" a="1"/>
  <c r="AQ16" i="14" s="1"/>
  <c r="BM39" i="14" s="1" a="1"/>
  <c r="BM39" i="14" s="1"/>
  <c r="AQ9" i="14" a="1"/>
  <c r="AQ9" i="14" s="1"/>
  <c r="BM19" i="14" s="1" a="1"/>
  <c r="BM19" i="14" s="1"/>
  <c r="AP16" i="14"/>
  <c r="AP53" i="14"/>
  <c r="CI8" i="14"/>
  <c r="CI52" i="14"/>
  <c r="CI44" i="14"/>
  <c r="CI36" i="14"/>
  <c r="CI28" i="14"/>
  <c r="CI20" i="14"/>
  <c r="CI12" i="14"/>
  <c r="DE45" i="14"/>
  <c r="DE37" i="14"/>
  <c r="DE29" i="14"/>
  <c r="DE13" i="14"/>
  <c r="EC53" i="14"/>
  <c r="EC45" i="14"/>
  <c r="EC37" i="14"/>
  <c r="EC12" i="14"/>
  <c r="EZ38" i="14"/>
  <c r="EZ30" i="14"/>
  <c r="EZ22" i="14"/>
  <c r="EZ14" i="14"/>
  <c r="AQ28" i="14" a="1"/>
  <c r="AQ28" i="14" s="1"/>
  <c r="AQ21" i="14" a="1"/>
  <c r="AQ21" i="14" s="1"/>
  <c r="BM44" i="14" s="1" a="1"/>
  <c r="BM44" i="14" s="1"/>
  <c r="AQ15" i="14" a="1"/>
  <c r="AQ15" i="14" s="1"/>
  <c r="BM38" i="14" s="1" a="1"/>
  <c r="BM38" i="14" s="1"/>
  <c r="AP14" i="14"/>
  <c r="AP51" i="14"/>
  <c r="CI43" i="14"/>
  <c r="CI35" i="14"/>
  <c r="DE28" i="14"/>
  <c r="EC52" i="14"/>
  <c r="EZ37" i="14"/>
  <c r="EZ21" i="14"/>
  <c r="AQ33" i="14" a="1"/>
  <c r="AQ33" i="14" s="1"/>
  <c r="AQ27" i="14" a="1"/>
  <c r="AQ27" i="14" s="1"/>
  <c r="AP77" i="14"/>
  <c r="AP45" i="14"/>
  <c r="EC26" i="14"/>
  <c r="EC18" i="14"/>
  <c r="EC10" i="14"/>
  <c r="AQ26" i="14" a="1"/>
  <c r="AQ26" i="14" s="1"/>
  <c r="AQ20" i="14" a="1"/>
  <c r="AQ20" i="14" s="1"/>
  <c r="BM43" i="14" s="1" a="1"/>
  <c r="BM43" i="14" s="1"/>
  <c r="AQ13" i="14" a="1"/>
  <c r="AQ13" i="14" s="1"/>
  <c r="CI9" i="14"/>
  <c r="DE42" i="14"/>
  <c r="DE34" i="14"/>
  <c r="DE26" i="14"/>
  <c r="DE18" i="14"/>
  <c r="DE10" i="14"/>
  <c r="EC42" i="14"/>
  <c r="EZ35" i="14"/>
  <c r="EZ27" i="14"/>
  <c r="EZ19" i="14"/>
  <c r="EZ11" i="14"/>
  <c r="AQ32" i="14" a="1"/>
  <c r="AQ32" i="14" s="1"/>
  <c r="AQ25" i="14" a="1"/>
  <c r="AQ25" i="14" s="1"/>
  <c r="AQ19" i="14" a="1"/>
  <c r="AQ19" i="14" s="1"/>
  <c r="BM42" i="14" s="1" a="1"/>
  <c r="BM42" i="14" s="1"/>
  <c r="AP69" i="14"/>
  <c r="CI56" i="14"/>
  <c r="CI48" i="14"/>
  <c r="CI40" i="14"/>
  <c r="CI32" i="14"/>
  <c r="CI24" i="14"/>
  <c r="CI16" i="14"/>
  <c r="DE8" i="14"/>
  <c r="DE9" i="14"/>
  <c r="EC24" i="14"/>
  <c r="EC16" i="14"/>
  <c r="EC32" i="14"/>
  <c r="AQ31" i="14" a="1"/>
  <c r="AQ31" i="14" s="1"/>
  <c r="AQ18" i="14" a="1"/>
  <c r="AQ18" i="14" s="1"/>
  <c r="BM41" i="14" s="1" a="1"/>
  <c r="BM41" i="14" s="1"/>
  <c r="AQ12" i="14" a="1"/>
  <c r="AQ12" i="14" s="1"/>
  <c r="AP67" i="14"/>
  <c r="CI55" i="14"/>
  <c r="CI47" i="14"/>
  <c r="CI39" i="14"/>
  <c r="CI31" i="14"/>
  <c r="CI23" i="14"/>
  <c r="CI15" i="14"/>
  <c r="DE48" i="14"/>
  <c r="DE40" i="14"/>
  <c r="DE32" i="14"/>
  <c r="DE24" i="14"/>
  <c r="DE16" i="14"/>
  <c r="EC8" i="14"/>
  <c r="EC48" i="14"/>
  <c r="EC40" i="14"/>
  <c r="EC31" i="14"/>
  <c r="EC23" i="14"/>
  <c r="EC15" i="14"/>
  <c r="EZ8" i="14"/>
  <c r="EZ33" i="14"/>
  <c r="EZ25" i="14"/>
  <c r="EZ17" i="14"/>
  <c r="EZ9" i="14"/>
  <c r="AQ30" i="14" a="1"/>
  <c r="AQ30" i="14" s="1"/>
  <c r="AQ24" i="14" a="1"/>
  <c r="AQ24" i="14" s="1"/>
  <c r="AQ17" i="14" a="1"/>
  <c r="AQ17" i="14" s="1"/>
  <c r="BM40" i="14" s="1" a="1"/>
  <c r="BM40" i="14" s="1"/>
  <c r="AQ11" i="14" a="1"/>
  <c r="AQ11" i="14" s="1"/>
  <c r="AP37" i="14"/>
  <c r="AP29" i="14"/>
  <c r="AP21" i="14"/>
  <c r="O127" i="14"/>
  <c r="O111" i="14"/>
  <c r="O95" i="14"/>
  <c r="AP76" i="14"/>
  <c r="AP68" i="14"/>
  <c r="AP60" i="14"/>
  <c r="AP52" i="14"/>
  <c r="AP44" i="14"/>
  <c r="BL38" i="14"/>
  <c r="BL30" i="14"/>
  <c r="BL22" i="14"/>
  <c r="BL14" i="14"/>
  <c r="AP35" i="14"/>
  <c r="AP27" i="14"/>
  <c r="BL37" i="14"/>
  <c r="BL29" i="14"/>
  <c r="BL21" i="14"/>
  <c r="BL13" i="14"/>
  <c r="R76" i="14"/>
  <c r="AQ76" i="14" s="1" a="1"/>
  <c r="AQ76" i="14" s="1"/>
  <c r="AP34" i="14"/>
  <c r="AP26" i="14"/>
  <c r="O151" i="14"/>
  <c r="AP8" i="14"/>
  <c r="AP33" i="14"/>
  <c r="AP25" i="14"/>
  <c r="BL43" i="14"/>
  <c r="BL35" i="14"/>
  <c r="BL27" i="14"/>
  <c r="BL19" i="14"/>
  <c r="BL11" i="14"/>
  <c r="O135" i="14"/>
  <c r="O119" i="14"/>
  <c r="O103" i="14"/>
  <c r="AP19" i="14"/>
  <c r="AP11" i="14"/>
  <c r="AP72" i="14"/>
  <c r="AP64" i="14"/>
  <c r="AP56" i="14"/>
  <c r="AP48" i="14"/>
  <c r="AP40" i="14"/>
  <c r="AP32" i="14"/>
  <c r="AP24" i="14"/>
  <c r="BL42" i="14"/>
  <c r="BL34" i="14"/>
  <c r="BL26" i="14"/>
  <c r="BL18" i="14"/>
  <c r="BL10" i="14"/>
  <c r="AP18" i="14"/>
  <c r="AP10" i="14"/>
  <c r="AP47" i="14"/>
  <c r="BL41" i="14"/>
  <c r="BL33" i="14"/>
  <c r="BL25" i="14"/>
  <c r="BL17" i="14"/>
  <c r="BL9" i="14"/>
  <c r="AP17" i="14"/>
  <c r="AP9" i="14"/>
  <c r="AP70" i="14"/>
  <c r="AP62" i="14"/>
  <c r="AP54" i="14"/>
  <c r="AP46" i="14"/>
  <c r="BL40" i="14"/>
  <c r="BL32" i="14"/>
  <c r="BL24" i="14"/>
  <c r="BL16" i="14"/>
  <c r="R23" i="14"/>
  <c r="R15" i="14"/>
  <c r="R60" i="14"/>
  <c r="AQ60" i="14" s="1" a="1"/>
  <c r="AQ60" i="14" s="1"/>
  <c r="R52" i="14"/>
  <c r="AQ52" i="14" s="1" a="1"/>
  <c r="AQ52" i="14" s="1"/>
  <c r="R44" i="14"/>
  <c r="AQ45" i="14" s="1" a="1"/>
  <c r="AQ45" i="14" s="1"/>
  <c r="O125" i="14"/>
  <c r="R8" i="14"/>
  <c r="R22" i="14"/>
  <c r="R14" i="14"/>
  <c r="R59" i="14"/>
  <c r="AQ59" i="14" s="1" a="1"/>
  <c r="AQ59" i="14" s="1"/>
  <c r="R29" i="14"/>
  <c r="R21" i="14"/>
  <c r="R13" i="14"/>
  <c r="R50" i="14"/>
  <c r="R34" i="14"/>
  <c r="AQ35" i="14" s="1" a="1"/>
  <c r="AQ35" i="14" s="1"/>
  <c r="O149" i="14"/>
  <c r="R28" i="14"/>
  <c r="R20" i="14"/>
  <c r="R12" i="14"/>
  <c r="R11" i="14"/>
  <c r="R72" i="14"/>
  <c r="AQ72" i="14" s="1" a="1"/>
  <c r="AQ72" i="14" s="1"/>
  <c r="R64" i="14"/>
  <c r="AQ64" i="14" s="1" a="1"/>
  <c r="AQ64" i="14" s="1"/>
  <c r="R56" i="14"/>
  <c r="AQ56" i="14" s="1" a="1"/>
  <c r="AQ56" i="14" s="1"/>
  <c r="R48" i="14"/>
  <c r="AQ49" i="14" s="1" a="1"/>
  <c r="AQ49" i="14" s="1"/>
  <c r="R40" i="14"/>
  <c r="AQ41" i="14" s="1" a="1"/>
  <c r="AQ41" i="14" s="1"/>
  <c r="R32" i="14"/>
  <c r="AQ34" i="14" s="1" a="1"/>
  <c r="AQ34" i="14" s="1"/>
  <c r="R71" i="14"/>
  <c r="AQ71" i="14" s="1" a="1"/>
  <c r="AQ71" i="14" s="1"/>
  <c r="R63" i="14"/>
  <c r="AQ63" i="14" s="1" a="1"/>
  <c r="AQ63" i="14" s="1"/>
  <c r="R55" i="14"/>
  <c r="AQ55" i="14" s="1" a="1"/>
  <c r="AQ55" i="14" s="1"/>
  <c r="R47" i="14"/>
  <c r="AQ48" i="14" s="1" a="1"/>
  <c r="AQ48" i="14" s="1"/>
  <c r="R39" i="14"/>
  <c r="AQ40" i="14" s="1" a="1"/>
  <c r="AQ40" i="14" s="1"/>
  <c r="R31" i="14"/>
  <c r="R70" i="14"/>
  <c r="AQ70" i="14" s="1" a="1"/>
  <c r="AQ70" i="14" s="1"/>
  <c r="R62" i="14"/>
  <c r="AQ62" i="14" s="1" a="1"/>
  <c r="AQ62" i="14" s="1"/>
  <c r="R54" i="14"/>
  <c r="AQ54" i="14" s="1" a="1"/>
  <c r="AQ54" i="14" s="1"/>
  <c r="R46" i="14"/>
  <c r="AQ47" i="14" s="1" a="1"/>
  <c r="AQ47" i="14" s="1"/>
  <c r="R38" i="14"/>
  <c r="AQ39" i="14" s="1" a="1"/>
  <c r="AQ39" i="14" s="1"/>
  <c r="R30" i="14"/>
  <c r="R24" i="14"/>
  <c r="R16" i="14"/>
  <c r="R77" i="14"/>
  <c r="AQ77" i="14" s="1" a="1"/>
  <c r="AQ77" i="14" s="1"/>
  <c r="R69" i="14"/>
  <c r="AQ69" i="14" s="1" a="1"/>
  <c r="AQ69" i="14" s="1"/>
  <c r="R61" i="14"/>
  <c r="AQ61" i="14" s="1" a="1"/>
  <c r="AQ61" i="14" s="1"/>
  <c r="R53" i="14"/>
  <c r="AQ53" i="14" s="1" a="1"/>
  <c r="AQ53" i="14" s="1"/>
  <c r="R45" i="14"/>
  <c r="AQ46" i="14" s="1" a="1"/>
  <c r="AQ46" i="14" s="1"/>
  <c r="R37" i="14"/>
  <c r="AQ38" i="14" s="1" a="1"/>
  <c r="AQ38" i="14" s="1"/>
  <c r="O108" i="14"/>
  <c r="O131" i="14"/>
  <c r="O100" i="14"/>
  <c r="O156" i="14"/>
  <c r="O148" i="14"/>
  <c r="O140" i="14"/>
  <c r="O124" i="14"/>
  <c r="O115" i="14"/>
  <c r="O133" i="14"/>
  <c r="O123" i="14"/>
  <c r="O157" i="14"/>
  <c r="O101" i="14"/>
  <c r="O109" i="14"/>
  <c r="O117" i="14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07" i="13"/>
  <c r="U107" i="13"/>
  <c r="AA107" i="13"/>
  <c r="Z107" i="13"/>
  <c r="I282" i="13"/>
  <c r="AJ145" i="13"/>
  <c r="AR144" i="13"/>
  <c r="AR143" i="13"/>
  <c r="AR142" i="13"/>
  <c r="AR141" i="13"/>
  <c r="AR140" i="13"/>
  <c r="AR139" i="13"/>
  <c r="AR138" i="13"/>
  <c r="AR137" i="13"/>
  <c r="AR136" i="13"/>
  <c r="AR135" i="13"/>
  <c r="AR134" i="13"/>
  <c r="AR133" i="13"/>
  <c r="AR132" i="13"/>
  <c r="AR131" i="13"/>
  <c r="AR130" i="13"/>
  <c r="AR129" i="13"/>
  <c r="AR128" i="13"/>
  <c r="AR127" i="13"/>
  <c r="AR126" i="13"/>
  <c r="AR125" i="13"/>
  <c r="AR124" i="13"/>
  <c r="AR123" i="13"/>
  <c r="AR122" i="13"/>
  <c r="AR121" i="13"/>
  <c r="AR120" i="13"/>
  <c r="AR119" i="13"/>
  <c r="AR118" i="13"/>
  <c r="AR117" i="13"/>
  <c r="AR116" i="13"/>
  <c r="AR115" i="13"/>
  <c r="AR114" i="13"/>
  <c r="AR113" i="13"/>
  <c r="AR112" i="13"/>
  <c r="AR111" i="13"/>
  <c r="AR110" i="13"/>
  <c r="AR109" i="13"/>
  <c r="AR108" i="13"/>
  <c r="CX22" i="13"/>
  <c r="CY22" i="13"/>
  <c r="DB22" i="13"/>
  <c r="DC22" i="13"/>
  <c r="CX23" i="13"/>
  <c r="CY23" i="13"/>
  <c r="DB23" i="13"/>
  <c r="DC23" i="13"/>
  <c r="CX24" i="13"/>
  <c r="CY24" i="13"/>
  <c r="DB24" i="13"/>
  <c r="DC24" i="13"/>
  <c r="CX25" i="13"/>
  <c r="CY25" i="13"/>
  <c r="DB25" i="13"/>
  <c r="DC25" i="13"/>
  <c r="CX26" i="13"/>
  <c r="CY26" i="13"/>
  <c r="DB26" i="13"/>
  <c r="DC26" i="13"/>
  <c r="CX27" i="13"/>
  <c r="CY27" i="13"/>
  <c r="DB27" i="13"/>
  <c r="DC27" i="13"/>
  <c r="CX28" i="13"/>
  <c r="CY28" i="13"/>
  <c r="DB28" i="13"/>
  <c r="DC28" i="13"/>
  <c r="CX29" i="13"/>
  <c r="CY29" i="13"/>
  <c r="DB29" i="13"/>
  <c r="DC29" i="13"/>
  <c r="CX30" i="13"/>
  <c r="CY30" i="13"/>
  <c r="DB30" i="13"/>
  <c r="DC30" i="13"/>
  <c r="CX31" i="13"/>
  <c r="CY31" i="13"/>
  <c r="DB31" i="13"/>
  <c r="DC31" i="13"/>
  <c r="CX32" i="13"/>
  <c r="CY32" i="13"/>
  <c r="DB32" i="13"/>
  <c r="DC32" i="13"/>
  <c r="CX33" i="13"/>
  <c r="CY33" i="13"/>
  <c r="DB33" i="13"/>
  <c r="DC33" i="13"/>
  <c r="CX34" i="13"/>
  <c r="CY34" i="13"/>
  <c r="DB34" i="13"/>
  <c r="DC34" i="13"/>
  <c r="CX35" i="13"/>
  <c r="CY35" i="13"/>
  <c r="DB35" i="13"/>
  <c r="DC35" i="13"/>
  <c r="CX36" i="13"/>
  <c r="CY36" i="13"/>
  <c r="DB36" i="13"/>
  <c r="DC36" i="13"/>
  <c r="CX37" i="13"/>
  <c r="CY37" i="13"/>
  <c r="DB37" i="13"/>
  <c r="DC37" i="13"/>
  <c r="CX38" i="13"/>
  <c r="CY38" i="13"/>
  <c r="DB38" i="13"/>
  <c r="DC38" i="13"/>
  <c r="CX39" i="13"/>
  <c r="CY39" i="13"/>
  <c r="DB39" i="13"/>
  <c r="DC39" i="13"/>
  <c r="CX40" i="13"/>
  <c r="CY40" i="13"/>
  <c r="DB40" i="13"/>
  <c r="DC40" i="13"/>
  <c r="CX41" i="13"/>
  <c r="CY41" i="13"/>
  <c r="DB41" i="13"/>
  <c r="DC41" i="13"/>
  <c r="CX42" i="13"/>
  <c r="CY42" i="13"/>
  <c r="DB42" i="13"/>
  <c r="DC42" i="13"/>
  <c r="CX43" i="13"/>
  <c r="CY43" i="13"/>
  <c r="DB43" i="13"/>
  <c r="DC43" i="13"/>
  <c r="CX44" i="13"/>
  <c r="CY44" i="13"/>
  <c r="DB44" i="13"/>
  <c r="DC44" i="13"/>
  <c r="CX45" i="13"/>
  <c r="CY45" i="13"/>
  <c r="DB45" i="13"/>
  <c r="DC45" i="13"/>
  <c r="CX46" i="13"/>
  <c r="CY46" i="13"/>
  <c r="DB46" i="13"/>
  <c r="DC46" i="13"/>
  <c r="CX47" i="13"/>
  <c r="CY47" i="13"/>
  <c r="DB47" i="13"/>
  <c r="DC47" i="13"/>
  <c r="CX48" i="13"/>
  <c r="CY48" i="13"/>
  <c r="DB48" i="13"/>
  <c r="DC48" i="13"/>
  <c r="CX49" i="13"/>
  <c r="CY49" i="13"/>
  <c r="DB49" i="13"/>
  <c r="DC49" i="13"/>
  <c r="CX50" i="13"/>
  <c r="CY50" i="13"/>
  <c r="DB50" i="13"/>
  <c r="DC50" i="13"/>
  <c r="CX51" i="13"/>
  <c r="CY51" i="13"/>
  <c r="DB51" i="13"/>
  <c r="DC51" i="13"/>
  <c r="CX52" i="13"/>
  <c r="CY52" i="13"/>
  <c r="DB52" i="13"/>
  <c r="DC52" i="13"/>
  <c r="CX53" i="13"/>
  <c r="CY53" i="13"/>
  <c r="DB53" i="13"/>
  <c r="DC53" i="13"/>
  <c r="CX54" i="13"/>
  <c r="CY54" i="13"/>
  <c r="DB54" i="13"/>
  <c r="DC54" i="13"/>
  <c r="DC16" i="13"/>
  <c r="DB16" i="13"/>
  <c r="DA16" i="13"/>
  <c r="CZ16" i="13"/>
  <c r="CY16" i="13"/>
  <c r="CX16" i="13"/>
  <c r="DE16" i="13" s="1"/>
  <c r="CH22" i="13"/>
  <c r="CH23" i="13"/>
  <c r="CH24" i="13"/>
  <c r="CH25" i="13"/>
  <c r="CH26" i="13"/>
  <c r="CH27" i="13"/>
  <c r="CH28" i="13"/>
  <c r="CH29" i="13"/>
  <c r="CH30" i="13"/>
  <c r="CH31" i="13"/>
  <c r="CH32" i="13"/>
  <c r="CH33" i="13"/>
  <c r="CH34" i="13"/>
  <c r="CH35" i="13"/>
  <c r="CH36" i="13"/>
  <c r="CH37" i="13"/>
  <c r="CH38" i="13"/>
  <c r="CH39" i="13"/>
  <c r="CH40" i="13"/>
  <c r="CH41" i="13"/>
  <c r="CH42" i="13"/>
  <c r="CH43" i="13"/>
  <c r="CH44" i="13"/>
  <c r="CH45" i="13"/>
  <c r="CH46" i="13"/>
  <c r="CH47" i="13"/>
  <c r="CH48" i="13"/>
  <c r="CH49" i="13"/>
  <c r="CH50" i="13"/>
  <c r="CH51" i="13"/>
  <c r="CH52" i="13"/>
  <c r="CH53" i="13"/>
  <c r="CH54" i="13"/>
  <c r="CH55" i="13"/>
  <c r="CH56" i="13"/>
  <c r="CH57" i="13"/>
  <c r="CH58" i="13"/>
  <c r="CH59" i="13"/>
  <c r="CH60" i="13"/>
  <c r="CH61" i="13"/>
  <c r="CH62" i="13"/>
  <c r="CH63" i="13"/>
  <c r="CH64" i="13"/>
  <c r="CH65" i="13"/>
  <c r="CH66" i="13"/>
  <c r="CH67" i="13"/>
  <c r="CH68" i="13"/>
  <c r="CH69" i="13"/>
  <c r="CM16" i="13"/>
  <c r="CL16" i="13"/>
  <c r="CK16" i="13"/>
  <c r="CJ16" i="13"/>
  <c r="CI16" i="13"/>
  <c r="CH16" i="13"/>
  <c r="CO16" i="13" s="1"/>
  <c r="BW16" i="13"/>
  <c r="BV16" i="13"/>
  <c r="BU16" i="13"/>
  <c r="BT16" i="13"/>
  <c r="BS16" i="13"/>
  <c r="BR16" i="13"/>
  <c r="BY16" i="13" s="1"/>
  <c r="BR22" i="13"/>
  <c r="BV22" i="13"/>
  <c r="BR23" i="13"/>
  <c r="BV23" i="13"/>
  <c r="BR24" i="13"/>
  <c r="BV24" i="13"/>
  <c r="BR25" i="13"/>
  <c r="BV25" i="13"/>
  <c r="BR26" i="13"/>
  <c r="BV26" i="13"/>
  <c r="BR27" i="13"/>
  <c r="BV27" i="13"/>
  <c r="BR28" i="13"/>
  <c r="BV28" i="13"/>
  <c r="BR29" i="13"/>
  <c r="BV29" i="13"/>
  <c r="BR30" i="13"/>
  <c r="BV30" i="13"/>
  <c r="BR31" i="13"/>
  <c r="BV31" i="13"/>
  <c r="BR32" i="13"/>
  <c r="BV32" i="13"/>
  <c r="BR33" i="13"/>
  <c r="BV33" i="13"/>
  <c r="BR34" i="13"/>
  <c r="BV34" i="13"/>
  <c r="BR35" i="13"/>
  <c r="BV35" i="13"/>
  <c r="BR36" i="13"/>
  <c r="BV36" i="13"/>
  <c r="BR37" i="13"/>
  <c r="BV37" i="13"/>
  <c r="BR38" i="13"/>
  <c r="BV38" i="13"/>
  <c r="BR39" i="13"/>
  <c r="BV39" i="13"/>
  <c r="BR40" i="13"/>
  <c r="BV40" i="13"/>
  <c r="BR41" i="13"/>
  <c r="BV41" i="13"/>
  <c r="BR42" i="13"/>
  <c r="BV42" i="13"/>
  <c r="BR43" i="13"/>
  <c r="BV43" i="13"/>
  <c r="BR44" i="13"/>
  <c r="BV44" i="13"/>
  <c r="BR45" i="13"/>
  <c r="BV45" i="13"/>
  <c r="BR46" i="13"/>
  <c r="BV46" i="13"/>
  <c r="BR47" i="13"/>
  <c r="BV47" i="13"/>
  <c r="BR48" i="13"/>
  <c r="BV48" i="13"/>
  <c r="BR49" i="13"/>
  <c r="BV49" i="13"/>
  <c r="BR50" i="13"/>
  <c r="BV50" i="13"/>
  <c r="BR51" i="13"/>
  <c r="BV51" i="13"/>
  <c r="BR52" i="13"/>
  <c r="BV52" i="13"/>
  <c r="BR53" i="13"/>
  <c r="BV53" i="13"/>
  <c r="BR54" i="13"/>
  <c r="BV54" i="13"/>
  <c r="BR55" i="13"/>
  <c r="BV55" i="13"/>
  <c r="BR56" i="13"/>
  <c r="BV56" i="13"/>
  <c r="BR57" i="13"/>
  <c r="BV57" i="13"/>
  <c r="BR58" i="13"/>
  <c r="BV58" i="13"/>
  <c r="BR59" i="13"/>
  <c r="BV59" i="13"/>
  <c r="BR60" i="13"/>
  <c r="BV60" i="13"/>
  <c r="BR61" i="13"/>
  <c r="BV61" i="13"/>
  <c r="BR62" i="13"/>
  <c r="BV62" i="13"/>
  <c r="BG16" i="13"/>
  <c r="BE16" i="13"/>
  <c r="BD16" i="13"/>
  <c r="BC16" i="13"/>
  <c r="BB16" i="13"/>
  <c r="BI16" i="13" s="1"/>
  <c r="BB22" i="13"/>
  <c r="BF22" i="13"/>
  <c r="BB23" i="13"/>
  <c r="BF23" i="13"/>
  <c r="BB24" i="13"/>
  <c r="BF24" i="13"/>
  <c r="BB25" i="13"/>
  <c r="BF25" i="13"/>
  <c r="BB26" i="13"/>
  <c r="BF26" i="13"/>
  <c r="BB27" i="13"/>
  <c r="BF27" i="13"/>
  <c r="BB28" i="13"/>
  <c r="BF28" i="13"/>
  <c r="BB29" i="13"/>
  <c r="BF29" i="13"/>
  <c r="BB30" i="13"/>
  <c r="BF30" i="13"/>
  <c r="BB31" i="13"/>
  <c r="BF31" i="13"/>
  <c r="BB32" i="13"/>
  <c r="BF32" i="13"/>
  <c r="BB33" i="13"/>
  <c r="BF33" i="13"/>
  <c r="BB34" i="13"/>
  <c r="BF34" i="13"/>
  <c r="BB35" i="13"/>
  <c r="BF35" i="13"/>
  <c r="BB36" i="13"/>
  <c r="BF36" i="13"/>
  <c r="BB37" i="13"/>
  <c r="BF37" i="13"/>
  <c r="BB38" i="13"/>
  <c r="BF38" i="13"/>
  <c r="BB39" i="13"/>
  <c r="BF39" i="13"/>
  <c r="BB40" i="13"/>
  <c r="BF40" i="13"/>
  <c r="BB41" i="13"/>
  <c r="BF41" i="13"/>
  <c r="BB42" i="13"/>
  <c r="BF42" i="13"/>
  <c r="BB43" i="13"/>
  <c r="BF43" i="13"/>
  <c r="BB44" i="13"/>
  <c r="BF44" i="13"/>
  <c r="BB45" i="13"/>
  <c r="BF45" i="13"/>
  <c r="BB46" i="13"/>
  <c r="BF46" i="13"/>
  <c r="BB47" i="13"/>
  <c r="BF47" i="13"/>
  <c r="BB48" i="13"/>
  <c r="BF48" i="13"/>
  <c r="BB49" i="13"/>
  <c r="BF49" i="13"/>
  <c r="BB50" i="13"/>
  <c r="BF50" i="13"/>
  <c r="BB51" i="13"/>
  <c r="BF51" i="13"/>
  <c r="BB52" i="13"/>
  <c r="BF52" i="13"/>
  <c r="BB53" i="13"/>
  <c r="BF53" i="13"/>
  <c r="BB54" i="13"/>
  <c r="BF54" i="13"/>
  <c r="BB55" i="13"/>
  <c r="BF55" i="13"/>
  <c r="BB56" i="13"/>
  <c r="BF56" i="13"/>
  <c r="BB57" i="13"/>
  <c r="BF57" i="13"/>
  <c r="BB58" i="13"/>
  <c r="BF58" i="13"/>
  <c r="BB59" i="13"/>
  <c r="BF59" i="13"/>
  <c r="BB60" i="13"/>
  <c r="BF60" i="13"/>
  <c r="BB61" i="13"/>
  <c r="BF61" i="13"/>
  <c r="BB62" i="13"/>
  <c r="BF62" i="13"/>
  <c r="BB63" i="13"/>
  <c r="BF63" i="13"/>
  <c r="BB64" i="13"/>
  <c r="BF64" i="13"/>
  <c r="BB65" i="13"/>
  <c r="BC65" i="13"/>
  <c r="BF65" i="13"/>
  <c r="BG65" i="13"/>
  <c r="BB66" i="13"/>
  <c r="BC66" i="13"/>
  <c r="BF66" i="13"/>
  <c r="BG66" i="13"/>
  <c r="BB67" i="13"/>
  <c r="BC67" i="13"/>
  <c r="BF67" i="13"/>
  <c r="BG67" i="13"/>
  <c r="BB68" i="13"/>
  <c r="BC68" i="13"/>
  <c r="BF68" i="13"/>
  <c r="BG68" i="13"/>
  <c r="BB69" i="13"/>
  <c r="BC69" i="13"/>
  <c r="BF69" i="13"/>
  <c r="BG69" i="13"/>
  <c r="BB70" i="13"/>
  <c r="BC70" i="13"/>
  <c r="BF70" i="13"/>
  <c r="BG70" i="13"/>
  <c r="BB71" i="13"/>
  <c r="BC71" i="13"/>
  <c r="BF71" i="13"/>
  <c r="BG71" i="13"/>
  <c r="BB72" i="13"/>
  <c r="BC72" i="13"/>
  <c r="BF72" i="13"/>
  <c r="BG72" i="13"/>
  <c r="BB73" i="13"/>
  <c r="BC73" i="13"/>
  <c r="BF73" i="13"/>
  <c r="BG73" i="13"/>
  <c r="AQ16" i="13"/>
  <c r="AO16" i="13"/>
  <c r="AN16" i="13"/>
  <c r="AM16" i="13"/>
  <c r="AL16" i="13"/>
  <c r="AS16" i="13" s="1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W91" i="13"/>
  <c r="S91" i="13"/>
  <c r="W177" i="13" s="1"/>
  <c r="R91" i="13"/>
  <c r="W90" i="13"/>
  <c r="S90" i="13"/>
  <c r="W176" i="13" s="1"/>
  <c r="R90" i="13"/>
  <c r="W89" i="13"/>
  <c r="S89" i="13"/>
  <c r="W175" i="13" s="1"/>
  <c r="R89" i="13"/>
  <c r="W88" i="13"/>
  <c r="S88" i="13"/>
  <c r="W174" i="13" s="1"/>
  <c r="R88" i="13"/>
  <c r="W87" i="13"/>
  <c r="S87" i="13"/>
  <c r="W173" i="13" s="1"/>
  <c r="R87" i="13"/>
  <c r="W86" i="13"/>
  <c r="S86" i="13"/>
  <c r="W172" i="13" s="1"/>
  <c r="R86" i="13"/>
  <c r="W85" i="13"/>
  <c r="S85" i="13"/>
  <c r="W171" i="13" s="1"/>
  <c r="R85" i="13"/>
  <c r="W84" i="13"/>
  <c r="S84" i="13"/>
  <c r="W170" i="13" s="1"/>
  <c r="R84" i="13"/>
  <c r="W83" i="13"/>
  <c r="S83" i="13"/>
  <c r="W169" i="13" s="1"/>
  <c r="R83" i="13"/>
  <c r="W82" i="13"/>
  <c r="S82" i="13"/>
  <c r="W168" i="13" s="1"/>
  <c r="R82" i="13"/>
  <c r="W81" i="13"/>
  <c r="S81" i="13"/>
  <c r="W167" i="13" s="1"/>
  <c r="R81" i="13"/>
  <c r="W80" i="13"/>
  <c r="S80" i="13"/>
  <c r="W166" i="13" s="1"/>
  <c r="R80" i="13"/>
  <c r="W79" i="13"/>
  <c r="S79" i="13"/>
  <c r="W165" i="13" s="1"/>
  <c r="R79" i="13"/>
  <c r="W78" i="13"/>
  <c r="S78" i="13"/>
  <c r="W164" i="13" s="1"/>
  <c r="R78" i="13"/>
  <c r="W77" i="13"/>
  <c r="S77" i="13"/>
  <c r="W163" i="13" s="1"/>
  <c r="R77" i="13"/>
  <c r="W76" i="13"/>
  <c r="S76" i="13"/>
  <c r="W162" i="13" s="1"/>
  <c r="R76" i="13"/>
  <c r="W75" i="13"/>
  <c r="S75" i="13"/>
  <c r="W161" i="13" s="1"/>
  <c r="R75" i="13"/>
  <c r="W74" i="13"/>
  <c r="S74" i="13"/>
  <c r="W160" i="13" s="1"/>
  <c r="R74" i="13"/>
  <c r="W73" i="13"/>
  <c r="S73" i="13"/>
  <c r="W159" i="13" s="1"/>
  <c r="R73" i="13"/>
  <c r="W72" i="13"/>
  <c r="S72" i="13"/>
  <c r="W158" i="13" s="1"/>
  <c r="R72" i="13"/>
  <c r="W71" i="13"/>
  <c r="S71" i="13"/>
  <c r="W157" i="13" s="1"/>
  <c r="R71" i="13"/>
  <c r="W70" i="13"/>
  <c r="S70" i="13"/>
  <c r="W156" i="13" s="1"/>
  <c r="R70" i="13"/>
  <c r="W69" i="13"/>
  <c r="S69" i="13"/>
  <c r="W155" i="13" s="1"/>
  <c r="R69" i="13"/>
  <c r="W68" i="13"/>
  <c r="S68" i="13"/>
  <c r="W154" i="13" s="1"/>
  <c r="R68" i="13"/>
  <c r="W67" i="13"/>
  <c r="S67" i="13"/>
  <c r="W153" i="13" s="1"/>
  <c r="R67" i="13"/>
  <c r="W66" i="13"/>
  <c r="S66" i="13"/>
  <c r="W152" i="13" s="1"/>
  <c r="R66" i="13"/>
  <c r="W65" i="13"/>
  <c r="S65" i="13"/>
  <c r="W151" i="13" s="1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T54" i="10"/>
  <c r="T65" i="13" s="1"/>
  <c r="T55" i="10"/>
  <c r="T66" i="13" s="1"/>
  <c r="T56" i="10"/>
  <c r="T67" i="13" s="1"/>
  <c r="T57" i="10"/>
  <c r="T68" i="13" s="1"/>
  <c r="T58" i="10"/>
  <c r="V58" i="10" s="1"/>
  <c r="W58" i="10" s="1"/>
  <c r="X58" i="10" s="1"/>
  <c r="Y58" i="10" s="1" a="1"/>
  <c r="Y58" i="10" s="1"/>
  <c r="U69" i="13" s="1"/>
  <c r="T59" i="10"/>
  <c r="T70" i="13" s="1"/>
  <c r="T60" i="10"/>
  <c r="T71" i="13" s="1"/>
  <c r="T61" i="10"/>
  <c r="T72" i="13" s="1"/>
  <c r="T62" i="10"/>
  <c r="T73" i="13" s="1"/>
  <c r="T63" i="10"/>
  <c r="T74" i="13" s="1"/>
  <c r="T64" i="10"/>
  <c r="V64" i="10" s="1"/>
  <c r="W64" i="10" s="1"/>
  <c r="X64" i="10" s="1"/>
  <c r="Y64" i="10" s="1" a="1"/>
  <c r="Y64" i="10" s="1"/>
  <c r="U75" i="13" s="1"/>
  <c r="T65" i="10"/>
  <c r="T76" i="13" s="1"/>
  <c r="T66" i="10"/>
  <c r="T77" i="13" s="1"/>
  <c r="T67" i="10"/>
  <c r="T78" i="13" s="1"/>
  <c r="T68" i="10"/>
  <c r="T79" i="13" s="1"/>
  <c r="T69" i="10"/>
  <c r="T80" i="13" s="1"/>
  <c r="T70" i="10"/>
  <c r="V70" i="10" s="1"/>
  <c r="W70" i="10" s="1"/>
  <c r="X70" i="10" s="1"/>
  <c r="Y70" i="10" s="1" a="1"/>
  <c r="Y70" i="10" s="1"/>
  <c r="U81" i="13" s="1"/>
  <c r="T71" i="10"/>
  <c r="T82" i="13" s="1"/>
  <c r="T72" i="10"/>
  <c r="T83" i="13" s="1"/>
  <c r="T73" i="10"/>
  <c r="T84" i="13" s="1"/>
  <c r="T74" i="10"/>
  <c r="T85" i="13" s="1"/>
  <c r="T75" i="10"/>
  <c r="T86" i="13" s="1"/>
  <c r="T76" i="10"/>
  <c r="V76" i="10" s="1"/>
  <c r="W76" i="10" s="1"/>
  <c r="X76" i="10" s="1"/>
  <c r="Y76" i="10" s="1" a="1"/>
  <c r="Y76" i="10" s="1"/>
  <c r="U87" i="13" s="1"/>
  <c r="T77" i="10"/>
  <c r="T88" i="13" s="1"/>
  <c r="T78" i="10"/>
  <c r="T89" i="13" s="1"/>
  <c r="T79" i="10"/>
  <c r="T90" i="13" s="1"/>
  <c r="T80" i="10"/>
  <c r="T91" i="13" s="1"/>
  <c r="CI12" i="10"/>
  <c r="CI13" i="10"/>
  <c r="CI14" i="10"/>
  <c r="CI15" i="10"/>
  <c r="CI16" i="10"/>
  <c r="CI17" i="10"/>
  <c r="CI18" i="10"/>
  <c r="CI19" i="10"/>
  <c r="CI20" i="10"/>
  <c r="CI21" i="10"/>
  <c r="CI22" i="10"/>
  <c r="CI23" i="10"/>
  <c r="CI24" i="10"/>
  <c r="CI25" i="10"/>
  <c r="CI26" i="10"/>
  <c r="CI27" i="10"/>
  <c r="CI28" i="10"/>
  <c r="CZ39" i="13" s="1"/>
  <c r="CI29" i="10"/>
  <c r="CI30" i="10"/>
  <c r="CI31" i="10"/>
  <c r="CI32" i="10"/>
  <c r="CI33" i="10"/>
  <c r="CI34" i="10"/>
  <c r="CI35" i="10"/>
  <c r="CI36" i="10"/>
  <c r="CI37" i="10"/>
  <c r="CI38" i="10"/>
  <c r="CI39" i="10"/>
  <c r="CI40" i="10"/>
  <c r="CI41" i="10"/>
  <c r="CI42" i="10"/>
  <c r="CI43" i="10"/>
  <c r="CI11" i="10"/>
  <c r="F13" i="10"/>
  <c r="G13" i="10" s="1"/>
  <c r="I13" i="10" s="1"/>
  <c r="J13" i="10" s="1"/>
  <c r="K13" i="10" s="1"/>
  <c r="L13" i="10" s="1" a="1"/>
  <c r="L13" i="10" s="1"/>
  <c r="R13" i="10"/>
  <c r="S24" i="13" s="1"/>
  <c r="W110" i="13" s="1"/>
  <c r="S13" i="10"/>
  <c r="T13" i="10" s="1"/>
  <c r="V13" i="10" s="1"/>
  <c r="W13" i="10" s="1"/>
  <c r="X13" i="10" s="1"/>
  <c r="Y13" i="10" s="1" a="1"/>
  <c r="Y13" i="10" s="1"/>
  <c r="U24" i="13" s="1"/>
  <c r="AA13" i="10"/>
  <c r="W24" i="13" s="1"/>
  <c r="AE13" i="10"/>
  <c r="AF13" i="10"/>
  <c r="AG13" i="10" s="1"/>
  <c r="AN13" i="10"/>
  <c r="AR13" i="10"/>
  <c r="BC24" i="13" s="1"/>
  <c r="AS13" i="10"/>
  <c r="AT13" i="10" s="1"/>
  <c r="BA13" i="10"/>
  <c r="BG24" i="13" s="1"/>
  <c r="BG13" i="10"/>
  <c r="BS24" i="13" s="1"/>
  <c r="BH13" i="10"/>
  <c r="BI13" i="10" s="1"/>
  <c r="BK13" i="10" s="1"/>
  <c r="BL13" i="10" s="1"/>
  <c r="BM13" i="10" s="1"/>
  <c r="BN13" i="10" s="1" a="1"/>
  <c r="BN13" i="10" s="1"/>
  <c r="BU24" i="13" s="1"/>
  <c r="BP13" i="10"/>
  <c r="BW24" i="13" s="1"/>
  <c r="BT13" i="10"/>
  <c r="CI24" i="13" s="1"/>
  <c r="BU13" i="10"/>
  <c r="BV13" i="10" s="1"/>
  <c r="CC13" i="10"/>
  <c r="CM24" i="13" s="1"/>
  <c r="J16" i="13"/>
  <c r="H16" i="13"/>
  <c r="G16" i="13"/>
  <c r="F16" i="13"/>
  <c r="E16" i="13"/>
  <c r="D16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CF9" i="10"/>
  <c r="CC11" i="10"/>
  <c r="CM22" i="13" s="1"/>
  <c r="BT11" i="10"/>
  <c r="CI22" i="13" s="1"/>
  <c r="BU11" i="10"/>
  <c r="BV11" i="10" s="1"/>
  <c r="CC12" i="10"/>
  <c r="CM23" i="13" s="1"/>
  <c r="BT12" i="10"/>
  <c r="CI23" i="13" s="1"/>
  <c r="BU12" i="10"/>
  <c r="BV12" i="10" s="1"/>
  <c r="CC14" i="10"/>
  <c r="CM25" i="13" s="1"/>
  <c r="BT14" i="10"/>
  <c r="CI25" i="13" s="1"/>
  <c r="BU14" i="10"/>
  <c r="BV14" i="10" s="1"/>
  <c r="CC15" i="10"/>
  <c r="CM26" i="13" s="1"/>
  <c r="BT15" i="10"/>
  <c r="CI26" i="13" s="1"/>
  <c r="BU15" i="10"/>
  <c r="BV15" i="10" s="1"/>
  <c r="CC16" i="10"/>
  <c r="CM27" i="13" s="1"/>
  <c r="BT16" i="10"/>
  <c r="CI27" i="13" s="1"/>
  <c r="BU16" i="10"/>
  <c r="BV16" i="10" s="1"/>
  <c r="CC17" i="10"/>
  <c r="CM28" i="13" s="1"/>
  <c r="BT17" i="10"/>
  <c r="CI28" i="13" s="1"/>
  <c r="BU17" i="10"/>
  <c r="BV17" i="10" s="1"/>
  <c r="CC18" i="10"/>
  <c r="CM29" i="13" s="1"/>
  <c r="BT18" i="10"/>
  <c r="CI29" i="13" s="1"/>
  <c r="BU18" i="10"/>
  <c r="BV18" i="10" s="1"/>
  <c r="CC19" i="10"/>
  <c r="CM30" i="13" s="1"/>
  <c r="BT19" i="10"/>
  <c r="CI30" i="13" s="1"/>
  <c r="BU19" i="10"/>
  <c r="BV19" i="10" s="1"/>
  <c r="BX19" i="10" s="1"/>
  <c r="BY19" i="10" s="1"/>
  <c r="BZ19" i="10" s="1"/>
  <c r="CA19" i="10" s="1" a="1"/>
  <c r="CA19" i="10" s="1"/>
  <c r="CK30" i="13" s="1"/>
  <c r="CC20" i="10"/>
  <c r="CM31" i="13" s="1"/>
  <c r="BT20" i="10"/>
  <c r="CI31" i="13" s="1"/>
  <c r="BU20" i="10"/>
  <c r="BV20" i="10" s="1"/>
  <c r="CC21" i="10"/>
  <c r="CM32" i="13" s="1"/>
  <c r="BT21" i="10"/>
  <c r="CI32" i="13" s="1"/>
  <c r="BU21" i="10"/>
  <c r="BV21" i="10" s="1"/>
  <c r="CC22" i="10"/>
  <c r="CM33" i="13" s="1"/>
  <c r="BT22" i="10"/>
  <c r="CI33" i="13" s="1"/>
  <c r="BU22" i="10"/>
  <c r="BV22" i="10" s="1"/>
  <c r="CC23" i="10"/>
  <c r="CM34" i="13" s="1"/>
  <c r="BT23" i="10"/>
  <c r="CI34" i="13" s="1"/>
  <c r="BU23" i="10"/>
  <c r="BV23" i="10" s="1"/>
  <c r="BX23" i="10" s="1"/>
  <c r="BY23" i="10" s="1"/>
  <c r="BZ23" i="10" s="1"/>
  <c r="CA23" i="10" s="1" a="1"/>
  <c r="CA23" i="10" s="1"/>
  <c r="CK34" i="13" s="1"/>
  <c r="CC24" i="10"/>
  <c r="CM35" i="13" s="1"/>
  <c r="BT24" i="10"/>
  <c r="CI35" i="13" s="1"/>
  <c r="BU24" i="10"/>
  <c r="BV24" i="10" s="1"/>
  <c r="CC25" i="10"/>
  <c r="CM36" i="13" s="1"/>
  <c r="BT25" i="10"/>
  <c r="CI36" i="13" s="1"/>
  <c r="BU25" i="10"/>
  <c r="BV25" i="10" s="1"/>
  <c r="CC26" i="10"/>
  <c r="CM37" i="13" s="1"/>
  <c r="BT26" i="10"/>
  <c r="CI37" i="13" s="1"/>
  <c r="BU26" i="10"/>
  <c r="BV26" i="10" s="1"/>
  <c r="CC27" i="10"/>
  <c r="CM38" i="13" s="1"/>
  <c r="BT27" i="10"/>
  <c r="CI38" i="13" s="1"/>
  <c r="BU27" i="10"/>
  <c r="BV27" i="10" s="1"/>
  <c r="CC28" i="10"/>
  <c r="CM39" i="13" s="1"/>
  <c r="BT28" i="10"/>
  <c r="CI39" i="13" s="1"/>
  <c r="BU28" i="10"/>
  <c r="BV28" i="10" s="1"/>
  <c r="CC29" i="10"/>
  <c r="CM40" i="13" s="1"/>
  <c r="CI40" i="13"/>
  <c r="BU29" i="10"/>
  <c r="BV29" i="10" s="1"/>
  <c r="CC30" i="10"/>
  <c r="CM41" i="13" s="1"/>
  <c r="BT30" i="10"/>
  <c r="CI41" i="13" s="1"/>
  <c r="BU30" i="10"/>
  <c r="BV30" i="10" s="1"/>
  <c r="CC31" i="10"/>
  <c r="CM42" i="13" s="1"/>
  <c r="BT31" i="10"/>
  <c r="CI42" i="13" s="1"/>
  <c r="BU31" i="10"/>
  <c r="BV31" i="10" s="1"/>
  <c r="CC32" i="10"/>
  <c r="CM43" i="13" s="1"/>
  <c r="BT32" i="10"/>
  <c r="CI43" i="13" s="1"/>
  <c r="BU32" i="10"/>
  <c r="BV32" i="10" s="1"/>
  <c r="CC33" i="10"/>
  <c r="CM44" i="13" s="1"/>
  <c r="BT33" i="10"/>
  <c r="CI44" i="13" s="1"/>
  <c r="BU33" i="10"/>
  <c r="BV33" i="10" s="1"/>
  <c r="CC34" i="10"/>
  <c r="CM45" i="13" s="1"/>
  <c r="BT34" i="10"/>
  <c r="CI45" i="13" s="1"/>
  <c r="BU34" i="10"/>
  <c r="BV34" i="10" s="1"/>
  <c r="CC35" i="10"/>
  <c r="CM46" i="13" s="1"/>
  <c r="BT35" i="10"/>
  <c r="CI46" i="13" s="1"/>
  <c r="BU35" i="10"/>
  <c r="BV35" i="10" s="1"/>
  <c r="CC36" i="10"/>
  <c r="CM47" i="13" s="1"/>
  <c r="BT36" i="10"/>
  <c r="CI47" i="13" s="1"/>
  <c r="BU36" i="10"/>
  <c r="BV36" i="10" s="1"/>
  <c r="CC37" i="10"/>
  <c r="CM48" i="13" s="1"/>
  <c r="BT37" i="10"/>
  <c r="CI48" i="13" s="1"/>
  <c r="BU37" i="10"/>
  <c r="BV37" i="10" s="1"/>
  <c r="CC38" i="10"/>
  <c r="CM49" i="13" s="1"/>
  <c r="BT38" i="10"/>
  <c r="CI49" i="13" s="1"/>
  <c r="BU38" i="10"/>
  <c r="BV38" i="10" s="1"/>
  <c r="CC39" i="10"/>
  <c r="CM50" i="13" s="1"/>
  <c r="BT39" i="10"/>
  <c r="CI50" i="13" s="1"/>
  <c r="BU39" i="10"/>
  <c r="BV39" i="10" s="1"/>
  <c r="CC40" i="10"/>
  <c r="CM51" i="13" s="1"/>
  <c r="BT40" i="10"/>
  <c r="CI51" i="13" s="1"/>
  <c r="BU40" i="10"/>
  <c r="BV40" i="10" s="1"/>
  <c r="CC41" i="10"/>
  <c r="CM52" i="13" s="1"/>
  <c r="BT41" i="10"/>
  <c r="CI52" i="13" s="1"/>
  <c r="BU41" i="10"/>
  <c r="BV41" i="10" s="1"/>
  <c r="BX41" i="10" s="1"/>
  <c r="BY41" i="10" s="1"/>
  <c r="BZ41" i="10" s="1"/>
  <c r="CA41" i="10" s="1" a="1"/>
  <c r="CA41" i="10" s="1"/>
  <c r="CK52" i="13" s="1"/>
  <c r="CC42" i="10"/>
  <c r="CM53" i="13" s="1"/>
  <c r="BT42" i="10"/>
  <c r="CI53" i="13" s="1"/>
  <c r="BU42" i="10"/>
  <c r="BV42" i="10" s="1"/>
  <c r="CC43" i="10"/>
  <c r="CM54" i="13" s="1"/>
  <c r="BT43" i="10"/>
  <c r="CI54" i="13" s="1"/>
  <c r="BU43" i="10"/>
  <c r="BV43" i="10" s="1"/>
  <c r="CC44" i="10"/>
  <c r="CM55" i="13" s="1"/>
  <c r="BT44" i="10"/>
  <c r="CI55" i="13" s="1"/>
  <c r="BU44" i="10"/>
  <c r="BV44" i="10" s="1"/>
  <c r="CC45" i="10"/>
  <c r="CM56" i="13" s="1"/>
  <c r="BT45" i="10"/>
  <c r="CI56" i="13" s="1"/>
  <c r="BU45" i="10"/>
  <c r="BV45" i="10" s="1"/>
  <c r="CC46" i="10"/>
  <c r="CM57" i="13" s="1"/>
  <c r="BT46" i="10"/>
  <c r="CI57" i="13" s="1"/>
  <c r="BU46" i="10"/>
  <c r="BV46" i="10" s="1"/>
  <c r="CC47" i="10"/>
  <c r="CM58" i="13" s="1"/>
  <c r="BT47" i="10"/>
  <c r="CI58" i="13" s="1"/>
  <c r="BU47" i="10"/>
  <c r="BV47" i="10" s="1"/>
  <c r="CC48" i="10"/>
  <c r="CM59" i="13" s="1"/>
  <c r="BT48" i="10"/>
  <c r="CI59" i="13" s="1"/>
  <c r="BU48" i="10"/>
  <c r="BV48" i="10" s="1"/>
  <c r="CC49" i="10"/>
  <c r="CM60" i="13" s="1"/>
  <c r="BT49" i="10"/>
  <c r="CI60" i="13" s="1"/>
  <c r="BU49" i="10"/>
  <c r="BV49" i="10" s="1"/>
  <c r="CC50" i="10"/>
  <c r="CM61" i="13" s="1"/>
  <c r="BT50" i="10"/>
  <c r="CI61" i="13" s="1"/>
  <c r="BU50" i="10"/>
  <c r="BV50" i="10" s="1"/>
  <c r="CC51" i="10"/>
  <c r="CM62" i="13" s="1"/>
  <c r="BT51" i="10"/>
  <c r="CI62" i="13" s="1"/>
  <c r="BU51" i="10"/>
  <c r="BV51" i="10" s="1"/>
  <c r="CC52" i="10"/>
  <c r="CM63" i="13" s="1"/>
  <c r="BT52" i="10"/>
  <c r="CI63" i="13" s="1"/>
  <c r="BU52" i="10"/>
  <c r="BV52" i="10" s="1"/>
  <c r="CC53" i="10"/>
  <c r="CM64" i="13" s="1"/>
  <c r="BT53" i="10"/>
  <c r="CI64" i="13" s="1"/>
  <c r="BU53" i="10"/>
  <c r="BV53" i="10" s="1"/>
  <c r="CC54" i="10"/>
  <c r="CM65" i="13" s="1"/>
  <c r="BT54" i="10"/>
  <c r="CI65" i="13" s="1"/>
  <c r="BU54" i="10"/>
  <c r="BV54" i="10" s="1"/>
  <c r="CC55" i="10"/>
  <c r="CM66" i="13" s="1"/>
  <c r="BT55" i="10"/>
  <c r="CI66" i="13" s="1"/>
  <c r="BU55" i="10"/>
  <c r="BV55" i="10" s="1"/>
  <c r="CC56" i="10"/>
  <c r="CM67" i="13" s="1"/>
  <c r="BT56" i="10"/>
  <c r="CI67" i="13" s="1"/>
  <c r="BU56" i="10"/>
  <c r="BV56" i="10" s="1"/>
  <c r="CC57" i="10"/>
  <c r="CM68" i="13" s="1"/>
  <c r="BT57" i="10"/>
  <c r="CI68" i="13" s="1"/>
  <c r="BU57" i="10"/>
  <c r="BV57" i="10" s="1"/>
  <c r="CC58" i="10"/>
  <c r="CM69" i="13" s="1"/>
  <c r="BT58" i="10"/>
  <c r="CI69" i="13" s="1"/>
  <c r="BU58" i="10"/>
  <c r="BV58" i="10" s="1"/>
  <c r="BT9" i="10"/>
  <c r="BP11" i="10"/>
  <c r="BW22" i="13" s="1"/>
  <c r="BG11" i="10"/>
  <c r="BS22" i="13" s="1"/>
  <c r="BH11" i="10"/>
  <c r="BI11" i="10" s="1"/>
  <c r="BK11" i="10" s="1"/>
  <c r="BL11" i="10" s="1"/>
  <c r="BM11" i="10" s="1"/>
  <c r="BN11" i="10" s="1" a="1"/>
  <c r="BN11" i="10" s="1"/>
  <c r="BU22" i="13" s="1"/>
  <c r="BP12" i="10"/>
  <c r="BW23" i="13" s="1"/>
  <c r="BG12" i="10"/>
  <c r="BS23" i="13" s="1"/>
  <c r="BH12" i="10"/>
  <c r="BI12" i="10" s="1"/>
  <c r="BP14" i="10"/>
  <c r="BW25" i="13" s="1"/>
  <c r="BG14" i="10"/>
  <c r="BS25" i="13" s="1"/>
  <c r="BH14" i="10"/>
  <c r="BI14" i="10" s="1"/>
  <c r="BP15" i="10"/>
  <c r="BW26" i="13" s="1"/>
  <c r="BG15" i="10"/>
  <c r="BS26" i="13" s="1"/>
  <c r="BH15" i="10"/>
  <c r="BI15" i="10" s="1"/>
  <c r="BK15" i="10" s="1"/>
  <c r="BL15" i="10" s="1"/>
  <c r="BM15" i="10" s="1"/>
  <c r="BN15" i="10" s="1" a="1"/>
  <c r="BN15" i="10" s="1"/>
  <c r="BU26" i="13" s="1"/>
  <c r="BP16" i="10"/>
  <c r="BW27" i="13" s="1"/>
  <c r="BG16" i="10"/>
  <c r="BS27" i="13" s="1"/>
  <c r="BH16" i="10"/>
  <c r="BI16" i="10" s="1"/>
  <c r="BP17" i="10"/>
  <c r="BW28" i="13" s="1"/>
  <c r="BG17" i="10"/>
  <c r="BS28" i="13" s="1"/>
  <c r="BH17" i="10"/>
  <c r="BI17" i="10" s="1"/>
  <c r="BK17" i="10" s="1"/>
  <c r="BL17" i="10" s="1"/>
  <c r="BM17" i="10" s="1"/>
  <c r="BN17" i="10" s="1" a="1"/>
  <c r="BN17" i="10" s="1"/>
  <c r="BU28" i="13" s="1"/>
  <c r="BP18" i="10"/>
  <c r="BW29" i="13" s="1"/>
  <c r="BG18" i="10"/>
  <c r="BS29" i="13" s="1"/>
  <c r="BH18" i="10"/>
  <c r="BI18" i="10" s="1"/>
  <c r="BP19" i="10"/>
  <c r="BW30" i="13" s="1"/>
  <c r="BG19" i="10"/>
  <c r="BS30" i="13" s="1"/>
  <c r="BH19" i="10"/>
  <c r="BI19" i="10" s="1"/>
  <c r="BK19" i="10" s="1"/>
  <c r="BL19" i="10" s="1"/>
  <c r="BM19" i="10" s="1"/>
  <c r="BN19" i="10" s="1" a="1"/>
  <c r="BN19" i="10" s="1"/>
  <c r="BU30" i="13" s="1"/>
  <c r="BP20" i="10"/>
  <c r="BW31" i="13" s="1"/>
  <c r="BG20" i="10"/>
  <c r="BS31" i="13" s="1"/>
  <c r="BH20" i="10"/>
  <c r="BI20" i="10" s="1"/>
  <c r="BP21" i="10"/>
  <c r="BW32" i="13" s="1"/>
  <c r="BG21" i="10"/>
  <c r="BS32" i="13" s="1"/>
  <c r="BH21" i="10"/>
  <c r="BI21" i="10" s="1"/>
  <c r="BK21" i="10" s="1"/>
  <c r="BL21" i="10" s="1"/>
  <c r="BM21" i="10" s="1"/>
  <c r="BN21" i="10" s="1" a="1"/>
  <c r="BN21" i="10" s="1"/>
  <c r="BU32" i="13" s="1"/>
  <c r="BP22" i="10"/>
  <c r="BW33" i="13" s="1"/>
  <c r="BG22" i="10"/>
  <c r="BS33" i="13" s="1"/>
  <c r="BH22" i="10"/>
  <c r="BI22" i="10" s="1"/>
  <c r="BP23" i="10"/>
  <c r="BW34" i="13" s="1"/>
  <c r="BG23" i="10"/>
  <c r="BS34" i="13" s="1"/>
  <c r="BH23" i="10"/>
  <c r="BI23" i="10" s="1"/>
  <c r="BK23" i="10" s="1"/>
  <c r="BL23" i="10" s="1"/>
  <c r="BM23" i="10" s="1"/>
  <c r="BN23" i="10" s="1" a="1"/>
  <c r="BN23" i="10" s="1"/>
  <c r="BU34" i="13" s="1"/>
  <c r="BP24" i="10"/>
  <c r="BW35" i="13" s="1"/>
  <c r="BG24" i="10"/>
  <c r="BS35" i="13" s="1"/>
  <c r="BH24" i="10"/>
  <c r="BI24" i="10" s="1"/>
  <c r="BP25" i="10"/>
  <c r="BW36" i="13" s="1"/>
  <c r="BG25" i="10"/>
  <c r="BS36" i="13" s="1"/>
  <c r="BH25" i="10"/>
  <c r="BI25" i="10" s="1"/>
  <c r="BK25" i="10" s="1"/>
  <c r="BL25" i="10" s="1"/>
  <c r="BM25" i="10" s="1"/>
  <c r="BN25" i="10" s="1" a="1"/>
  <c r="BN25" i="10" s="1"/>
  <c r="BU36" i="13" s="1"/>
  <c r="BP26" i="10"/>
  <c r="BW37" i="13" s="1"/>
  <c r="BG26" i="10"/>
  <c r="BS37" i="13" s="1"/>
  <c r="BH26" i="10"/>
  <c r="BI26" i="10" s="1"/>
  <c r="BP27" i="10"/>
  <c r="BW38" i="13" s="1"/>
  <c r="BG27" i="10"/>
  <c r="BS38" i="13" s="1"/>
  <c r="BH27" i="10"/>
  <c r="BI27" i="10" s="1"/>
  <c r="BK27" i="10" s="1"/>
  <c r="BL27" i="10" s="1"/>
  <c r="BM27" i="10" s="1"/>
  <c r="BN27" i="10" s="1" a="1"/>
  <c r="BN27" i="10" s="1"/>
  <c r="BU38" i="13" s="1"/>
  <c r="BP28" i="10"/>
  <c r="BW39" i="13" s="1"/>
  <c r="BG28" i="10"/>
  <c r="BS39" i="13" s="1"/>
  <c r="BH28" i="10"/>
  <c r="BI28" i="10" s="1"/>
  <c r="BP29" i="10"/>
  <c r="BW40" i="13" s="1"/>
  <c r="BG29" i="10"/>
  <c r="BS40" i="13" s="1"/>
  <c r="BH29" i="10"/>
  <c r="BI29" i="10" s="1"/>
  <c r="BK29" i="10" s="1"/>
  <c r="BL29" i="10" s="1"/>
  <c r="BM29" i="10" s="1"/>
  <c r="BN29" i="10" s="1" a="1"/>
  <c r="BN29" i="10" s="1"/>
  <c r="BU40" i="13" s="1"/>
  <c r="BP30" i="10"/>
  <c r="BW41" i="13" s="1"/>
  <c r="BG30" i="10"/>
  <c r="BS41" i="13" s="1"/>
  <c r="BH30" i="10"/>
  <c r="BI30" i="10" s="1"/>
  <c r="BP31" i="10"/>
  <c r="BW42" i="13" s="1"/>
  <c r="BG31" i="10"/>
  <c r="BS42" i="13" s="1"/>
  <c r="BH31" i="10"/>
  <c r="BI31" i="10" s="1"/>
  <c r="BK31" i="10" s="1"/>
  <c r="BL31" i="10" s="1"/>
  <c r="BM31" i="10" s="1"/>
  <c r="BN31" i="10" s="1" a="1"/>
  <c r="BN31" i="10" s="1"/>
  <c r="BU42" i="13" s="1"/>
  <c r="BP32" i="10"/>
  <c r="BW43" i="13" s="1"/>
  <c r="BG32" i="10"/>
  <c r="BS43" i="13" s="1"/>
  <c r="BH32" i="10"/>
  <c r="BI32" i="10" s="1"/>
  <c r="BP33" i="10"/>
  <c r="BW44" i="13" s="1"/>
  <c r="BG33" i="10"/>
  <c r="BS44" i="13" s="1"/>
  <c r="BH33" i="10"/>
  <c r="BI33" i="10" s="1"/>
  <c r="BK33" i="10" s="1"/>
  <c r="BL33" i="10" s="1"/>
  <c r="BM33" i="10" s="1"/>
  <c r="BN33" i="10" s="1" a="1"/>
  <c r="BN33" i="10" s="1"/>
  <c r="BU44" i="13" s="1"/>
  <c r="BP34" i="10"/>
  <c r="BW45" i="13" s="1"/>
  <c r="BG34" i="10"/>
  <c r="BS45" i="13" s="1"/>
  <c r="BH34" i="10"/>
  <c r="BI34" i="10" s="1"/>
  <c r="BP35" i="10"/>
  <c r="BW46" i="13" s="1"/>
  <c r="BG35" i="10"/>
  <c r="BS46" i="13" s="1"/>
  <c r="BH35" i="10"/>
  <c r="BI35" i="10" s="1"/>
  <c r="BK35" i="10" s="1"/>
  <c r="BL35" i="10" s="1"/>
  <c r="BM35" i="10" s="1"/>
  <c r="BN35" i="10" s="1" a="1"/>
  <c r="BN35" i="10" s="1"/>
  <c r="BU46" i="13" s="1"/>
  <c r="BP36" i="10"/>
  <c r="BW47" i="13" s="1"/>
  <c r="BG36" i="10"/>
  <c r="BS47" i="13" s="1"/>
  <c r="BH36" i="10"/>
  <c r="BI36" i="10" s="1"/>
  <c r="BP37" i="10"/>
  <c r="BW48" i="13" s="1"/>
  <c r="BG37" i="10"/>
  <c r="BS48" i="13" s="1"/>
  <c r="BH37" i="10"/>
  <c r="BI37" i="10" s="1"/>
  <c r="BK37" i="10" s="1"/>
  <c r="BL37" i="10" s="1"/>
  <c r="BM37" i="10" s="1"/>
  <c r="BN37" i="10" s="1" a="1"/>
  <c r="BN37" i="10" s="1"/>
  <c r="BU48" i="13" s="1"/>
  <c r="BP38" i="10"/>
  <c r="BW49" i="13" s="1"/>
  <c r="BG38" i="10"/>
  <c r="BS49" i="13" s="1"/>
  <c r="BH38" i="10"/>
  <c r="BI38" i="10" s="1"/>
  <c r="BP39" i="10"/>
  <c r="BW50" i="13" s="1"/>
  <c r="BG39" i="10"/>
  <c r="BS50" i="13" s="1"/>
  <c r="BH39" i="10"/>
  <c r="BI39" i="10" s="1"/>
  <c r="BK39" i="10" s="1"/>
  <c r="BL39" i="10" s="1"/>
  <c r="BM39" i="10" s="1"/>
  <c r="BN39" i="10" s="1" a="1"/>
  <c r="BN39" i="10" s="1"/>
  <c r="BU50" i="13" s="1"/>
  <c r="BP40" i="10"/>
  <c r="BW51" i="13" s="1"/>
  <c r="BG40" i="10"/>
  <c r="BS51" i="13" s="1"/>
  <c r="BH40" i="10"/>
  <c r="BI40" i="10" s="1"/>
  <c r="BP41" i="10"/>
  <c r="BW52" i="13" s="1"/>
  <c r="BG41" i="10"/>
  <c r="BS52" i="13" s="1"/>
  <c r="BH41" i="10"/>
  <c r="BI41" i="10" s="1"/>
  <c r="BK41" i="10" s="1"/>
  <c r="BL41" i="10" s="1"/>
  <c r="BM41" i="10" s="1"/>
  <c r="BN41" i="10" s="1" a="1"/>
  <c r="BN41" i="10" s="1"/>
  <c r="BU52" i="13" s="1"/>
  <c r="BP42" i="10"/>
  <c r="BW53" i="13" s="1"/>
  <c r="BG42" i="10"/>
  <c r="BS53" i="13" s="1"/>
  <c r="BH42" i="10"/>
  <c r="BI42" i="10" s="1"/>
  <c r="BP43" i="10"/>
  <c r="BW54" i="13" s="1"/>
  <c r="BG43" i="10"/>
  <c r="BS54" i="13" s="1"/>
  <c r="BH43" i="10"/>
  <c r="BI43" i="10" s="1"/>
  <c r="BK43" i="10" s="1"/>
  <c r="BL43" i="10" s="1"/>
  <c r="BM43" i="10" s="1"/>
  <c r="BN43" i="10" s="1" a="1"/>
  <c r="BN43" i="10" s="1"/>
  <c r="BU54" i="13" s="1"/>
  <c r="BP44" i="10"/>
  <c r="BW55" i="13" s="1"/>
  <c r="BG44" i="10"/>
  <c r="BS55" i="13" s="1"/>
  <c r="BH44" i="10"/>
  <c r="BI44" i="10" s="1"/>
  <c r="BP45" i="10"/>
  <c r="BW56" i="13" s="1"/>
  <c r="BG45" i="10"/>
  <c r="BS56" i="13" s="1"/>
  <c r="BH45" i="10"/>
  <c r="BI45" i="10" s="1"/>
  <c r="BK45" i="10" s="1"/>
  <c r="BL45" i="10" s="1"/>
  <c r="BM45" i="10" s="1"/>
  <c r="BN45" i="10" s="1" a="1"/>
  <c r="BN45" i="10" s="1"/>
  <c r="BU56" i="13" s="1"/>
  <c r="BP46" i="10"/>
  <c r="BW57" i="13" s="1"/>
  <c r="BG46" i="10"/>
  <c r="BS57" i="13" s="1"/>
  <c r="BH46" i="10"/>
  <c r="BI46" i="10" s="1"/>
  <c r="BP47" i="10"/>
  <c r="BW58" i="13" s="1"/>
  <c r="BG47" i="10"/>
  <c r="BS58" i="13" s="1"/>
  <c r="BH47" i="10"/>
  <c r="BI47" i="10" s="1"/>
  <c r="BK47" i="10" s="1"/>
  <c r="BL47" i="10" s="1"/>
  <c r="BM47" i="10" s="1"/>
  <c r="BN47" i="10" s="1" a="1"/>
  <c r="BN47" i="10" s="1"/>
  <c r="BU58" i="13" s="1"/>
  <c r="BP48" i="10"/>
  <c r="BW59" i="13" s="1"/>
  <c r="BG48" i="10"/>
  <c r="BS59" i="13" s="1"/>
  <c r="BH48" i="10"/>
  <c r="BI48" i="10" s="1"/>
  <c r="BP49" i="10"/>
  <c r="BW60" i="13" s="1"/>
  <c r="BG49" i="10"/>
  <c r="BS60" i="13" s="1"/>
  <c r="BH49" i="10"/>
  <c r="BI49" i="10" s="1"/>
  <c r="BK49" i="10" s="1"/>
  <c r="BL49" i="10" s="1"/>
  <c r="BM49" i="10" s="1"/>
  <c r="BN49" i="10" s="1" a="1"/>
  <c r="BN49" i="10" s="1"/>
  <c r="BU60" i="13" s="1"/>
  <c r="BP50" i="10"/>
  <c r="BW61" i="13" s="1"/>
  <c r="BG50" i="10"/>
  <c r="BS61" i="13" s="1"/>
  <c r="BH50" i="10"/>
  <c r="BI50" i="10" s="1"/>
  <c r="BP51" i="10"/>
  <c r="BW62" i="13" s="1"/>
  <c r="BG51" i="10"/>
  <c r="BS62" i="13" s="1"/>
  <c r="BH51" i="10"/>
  <c r="BI51" i="10" s="1"/>
  <c r="BK51" i="10" s="1"/>
  <c r="BL51" i="10" s="1"/>
  <c r="BM51" i="10" s="1"/>
  <c r="BN51" i="10" s="1" a="1"/>
  <c r="BN51" i="10" s="1"/>
  <c r="BU62" i="13" s="1"/>
  <c r="BG9" i="10"/>
  <c r="AR9" i="10"/>
  <c r="BA11" i="10"/>
  <c r="BG22" i="13" s="1"/>
  <c r="AR11" i="10"/>
  <c r="BC22" i="13" s="1"/>
  <c r="AS11" i="10"/>
  <c r="AT11" i="10" s="1"/>
  <c r="BA12" i="10"/>
  <c r="BG23" i="13" s="1"/>
  <c r="AR12" i="10"/>
  <c r="BC23" i="13" s="1"/>
  <c r="AS12" i="10"/>
  <c r="AT12" i="10" s="1"/>
  <c r="BA14" i="10"/>
  <c r="BG25" i="13" s="1"/>
  <c r="AR14" i="10"/>
  <c r="BC25" i="13" s="1"/>
  <c r="AS14" i="10"/>
  <c r="AT14" i="10" s="1"/>
  <c r="BA15" i="10"/>
  <c r="BG26" i="13" s="1"/>
  <c r="AR15" i="10"/>
  <c r="BC26" i="13" s="1"/>
  <c r="AS15" i="10"/>
  <c r="AT15" i="10" s="1"/>
  <c r="BA16" i="10"/>
  <c r="BG27" i="13" s="1"/>
  <c r="AR16" i="10"/>
  <c r="BC27" i="13" s="1"/>
  <c r="AS16" i="10"/>
  <c r="AT16" i="10" s="1"/>
  <c r="BA17" i="10"/>
  <c r="BG28" i="13" s="1"/>
  <c r="AR17" i="10"/>
  <c r="BC28" i="13" s="1"/>
  <c r="AS17" i="10"/>
  <c r="AT17" i="10" s="1"/>
  <c r="BA18" i="10"/>
  <c r="BG29" i="13" s="1"/>
  <c r="AR18" i="10"/>
  <c r="BC29" i="13" s="1"/>
  <c r="AS18" i="10"/>
  <c r="AT18" i="10" s="1"/>
  <c r="BA19" i="10"/>
  <c r="BG30" i="13" s="1"/>
  <c r="AR19" i="10"/>
  <c r="BC30" i="13" s="1"/>
  <c r="AS19" i="10"/>
  <c r="AT19" i="10" s="1"/>
  <c r="BA20" i="10"/>
  <c r="BG31" i="13" s="1"/>
  <c r="AR20" i="10"/>
  <c r="BC31" i="13" s="1"/>
  <c r="AS20" i="10"/>
  <c r="AT20" i="10" s="1"/>
  <c r="BA21" i="10"/>
  <c r="BG32" i="13" s="1"/>
  <c r="AR21" i="10"/>
  <c r="BC32" i="13" s="1"/>
  <c r="AS21" i="10"/>
  <c r="AT21" i="10" s="1"/>
  <c r="BA22" i="10"/>
  <c r="BG33" i="13" s="1"/>
  <c r="AR22" i="10"/>
  <c r="BC33" i="13" s="1"/>
  <c r="AS22" i="10"/>
  <c r="AT22" i="10" s="1"/>
  <c r="BA23" i="10"/>
  <c r="BG34" i="13" s="1"/>
  <c r="AR23" i="10"/>
  <c r="BC34" i="13" s="1"/>
  <c r="AS23" i="10"/>
  <c r="AT23" i="10" s="1"/>
  <c r="BA24" i="10"/>
  <c r="BG35" i="13" s="1"/>
  <c r="AR24" i="10"/>
  <c r="BC35" i="13" s="1"/>
  <c r="AS24" i="10"/>
  <c r="AT24" i="10" s="1"/>
  <c r="BA25" i="10"/>
  <c r="BG36" i="13" s="1"/>
  <c r="AR25" i="10"/>
  <c r="BC36" i="13" s="1"/>
  <c r="AS25" i="10"/>
  <c r="AT25" i="10" s="1"/>
  <c r="BA26" i="10"/>
  <c r="BG37" i="13" s="1"/>
  <c r="AR26" i="10"/>
  <c r="BC37" i="13" s="1"/>
  <c r="AS26" i="10"/>
  <c r="AT26" i="10" s="1"/>
  <c r="BA27" i="10"/>
  <c r="BG38" i="13" s="1"/>
  <c r="AR27" i="10"/>
  <c r="BC38" i="13" s="1"/>
  <c r="AS27" i="10"/>
  <c r="AT27" i="10" s="1"/>
  <c r="BA28" i="10"/>
  <c r="BG39" i="13" s="1"/>
  <c r="AR28" i="10"/>
  <c r="BC39" i="13" s="1"/>
  <c r="AS28" i="10"/>
  <c r="AT28" i="10" s="1"/>
  <c r="BA29" i="10"/>
  <c r="BG40" i="13" s="1"/>
  <c r="AR29" i="10"/>
  <c r="BC40" i="13" s="1"/>
  <c r="AS29" i="10"/>
  <c r="AT29" i="10" s="1"/>
  <c r="BA30" i="10"/>
  <c r="BG41" i="13" s="1"/>
  <c r="AR30" i="10"/>
  <c r="BC41" i="13" s="1"/>
  <c r="AS30" i="10"/>
  <c r="AT30" i="10" s="1"/>
  <c r="BA31" i="10"/>
  <c r="BG42" i="13" s="1"/>
  <c r="AR31" i="10"/>
  <c r="BC42" i="13" s="1"/>
  <c r="AS31" i="10"/>
  <c r="AT31" i="10" s="1"/>
  <c r="BA32" i="10"/>
  <c r="BG43" i="13" s="1"/>
  <c r="AR32" i="10"/>
  <c r="BC43" i="13" s="1"/>
  <c r="AS32" i="10"/>
  <c r="AT32" i="10" s="1"/>
  <c r="BA33" i="10"/>
  <c r="BG44" i="13" s="1"/>
  <c r="AR33" i="10"/>
  <c r="BC44" i="13" s="1"/>
  <c r="AS33" i="10"/>
  <c r="AT33" i="10" s="1"/>
  <c r="BA34" i="10"/>
  <c r="BG45" i="13" s="1"/>
  <c r="AR34" i="10"/>
  <c r="BC45" i="13" s="1"/>
  <c r="AS34" i="10"/>
  <c r="AT34" i="10" s="1"/>
  <c r="BA35" i="10"/>
  <c r="BG46" i="13" s="1"/>
  <c r="AR35" i="10"/>
  <c r="BC46" i="13" s="1"/>
  <c r="AS35" i="10"/>
  <c r="AT35" i="10" s="1"/>
  <c r="BA36" i="10"/>
  <c r="BG47" i="13" s="1"/>
  <c r="AR36" i="10"/>
  <c r="BC47" i="13" s="1"/>
  <c r="AS36" i="10"/>
  <c r="AT36" i="10" s="1"/>
  <c r="BA37" i="10"/>
  <c r="BG48" i="13" s="1"/>
  <c r="AR37" i="10"/>
  <c r="BC48" i="13" s="1"/>
  <c r="AS37" i="10"/>
  <c r="AT37" i="10" s="1"/>
  <c r="BA38" i="10"/>
  <c r="BG49" i="13" s="1"/>
  <c r="AR38" i="10"/>
  <c r="BC49" i="13" s="1"/>
  <c r="AS38" i="10"/>
  <c r="AT38" i="10" s="1"/>
  <c r="BA39" i="10"/>
  <c r="BG50" i="13" s="1"/>
  <c r="AR39" i="10"/>
  <c r="BC50" i="13" s="1"/>
  <c r="AS39" i="10"/>
  <c r="AT39" i="10" s="1"/>
  <c r="BA40" i="10"/>
  <c r="BG51" i="13" s="1"/>
  <c r="AR40" i="10"/>
  <c r="BC51" i="13" s="1"/>
  <c r="AS40" i="10"/>
  <c r="AT40" i="10" s="1"/>
  <c r="BA41" i="10"/>
  <c r="BG52" i="13" s="1"/>
  <c r="AR41" i="10"/>
  <c r="BC52" i="13" s="1"/>
  <c r="AS41" i="10"/>
  <c r="AT41" i="10" s="1"/>
  <c r="BA42" i="10"/>
  <c r="BG53" i="13" s="1"/>
  <c r="AR42" i="10"/>
  <c r="BC53" i="13" s="1"/>
  <c r="AS42" i="10"/>
  <c r="AT42" i="10" s="1"/>
  <c r="BA43" i="10"/>
  <c r="BG54" i="13" s="1"/>
  <c r="AR43" i="10"/>
  <c r="BC54" i="13" s="1"/>
  <c r="AS43" i="10"/>
  <c r="AT43" i="10" s="1"/>
  <c r="BA44" i="10"/>
  <c r="BG55" i="13" s="1"/>
  <c r="AR44" i="10"/>
  <c r="BC55" i="13" s="1"/>
  <c r="AS44" i="10"/>
  <c r="AT44" i="10" s="1"/>
  <c r="BA45" i="10"/>
  <c r="BG56" i="13" s="1"/>
  <c r="AR45" i="10"/>
  <c r="BC56" i="13" s="1"/>
  <c r="AS45" i="10"/>
  <c r="AT45" i="10" s="1"/>
  <c r="BA46" i="10"/>
  <c r="BG57" i="13" s="1"/>
  <c r="AR46" i="10"/>
  <c r="BC57" i="13" s="1"/>
  <c r="AS46" i="10"/>
  <c r="AT46" i="10" s="1"/>
  <c r="BA47" i="10"/>
  <c r="BG58" i="13" s="1"/>
  <c r="AR47" i="10"/>
  <c r="BC58" i="13" s="1"/>
  <c r="AS47" i="10"/>
  <c r="AT47" i="10" s="1"/>
  <c r="BA48" i="10"/>
  <c r="BG59" i="13" s="1"/>
  <c r="AR48" i="10"/>
  <c r="BC59" i="13" s="1"/>
  <c r="AS48" i="10"/>
  <c r="AT48" i="10" s="1"/>
  <c r="BA49" i="10"/>
  <c r="BG60" i="13" s="1"/>
  <c r="AR49" i="10"/>
  <c r="BC60" i="13" s="1"/>
  <c r="AS49" i="10"/>
  <c r="AT49" i="10" s="1"/>
  <c r="BA50" i="10"/>
  <c r="BG61" i="13" s="1"/>
  <c r="AR50" i="10"/>
  <c r="BC61" i="13" s="1"/>
  <c r="AS50" i="10"/>
  <c r="AT50" i="10" s="1"/>
  <c r="BA51" i="10"/>
  <c r="BG62" i="13" s="1"/>
  <c r="AR51" i="10"/>
  <c r="BC62" i="13" s="1"/>
  <c r="AS51" i="10"/>
  <c r="AT51" i="10" s="1"/>
  <c r="BA52" i="10"/>
  <c r="BG63" i="13" s="1"/>
  <c r="AR52" i="10"/>
  <c r="BC63" i="13" s="1"/>
  <c r="AS52" i="10"/>
  <c r="AT52" i="10" s="1"/>
  <c r="BA53" i="10"/>
  <c r="BG64" i="13" s="1"/>
  <c r="AR53" i="10"/>
  <c r="BC64" i="13" s="1"/>
  <c r="AS53" i="10"/>
  <c r="AT53" i="10" s="1"/>
  <c r="AS54" i="10"/>
  <c r="AT54" i="10" s="1"/>
  <c r="AS55" i="10"/>
  <c r="AT55" i="10" s="1"/>
  <c r="AS56" i="10"/>
  <c r="AT56" i="10" s="1"/>
  <c r="AS57" i="10"/>
  <c r="AT57" i="10" s="1"/>
  <c r="AS58" i="10"/>
  <c r="AT58" i="10" s="1"/>
  <c r="AS59" i="10"/>
  <c r="AT59" i="10" s="1"/>
  <c r="AS60" i="10"/>
  <c r="AT60" i="10" s="1"/>
  <c r="AS61" i="10"/>
  <c r="AT61" i="10" s="1"/>
  <c r="AS62" i="10"/>
  <c r="AT62" i="10" s="1"/>
  <c r="AE9" i="10"/>
  <c r="AA11" i="10"/>
  <c r="W22" i="13" s="1"/>
  <c r="AN11" i="10"/>
  <c r="AE11" i="10"/>
  <c r="AF11" i="10"/>
  <c r="AG11" i="10" s="1"/>
  <c r="AN12" i="10"/>
  <c r="AE12" i="10"/>
  <c r="AF12" i="10"/>
  <c r="AG12" i="10" s="1"/>
  <c r="AN14" i="10"/>
  <c r="AE14" i="10"/>
  <c r="AF14" i="10"/>
  <c r="AG14" i="10" s="1"/>
  <c r="AN15" i="10"/>
  <c r="AE15" i="10"/>
  <c r="AF15" i="10"/>
  <c r="AG15" i="10" s="1"/>
  <c r="AI15" i="10" s="1"/>
  <c r="AJ15" i="10" s="1"/>
  <c r="AK15" i="10" s="1"/>
  <c r="AL15" i="10" s="1" a="1"/>
  <c r="AL15" i="10" s="1"/>
  <c r="AO26" i="13" s="1"/>
  <c r="AN16" i="10"/>
  <c r="AE16" i="10"/>
  <c r="AF16" i="10"/>
  <c r="AG16" i="10" s="1"/>
  <c r="AN17" i="10"/>
  <c r="AE17" i="10"/>
  <c r="AF17" i="10"/>
  <c r="AG17" i="10" s="1"/>
  <c r="AN18" i="10"/>
  <c r="AE18" i="10"/>
  <c r="AF18" i="10"/>
  <c r="AG18" i="10" s="1"/>
  <c r="AN19" i="10"/>
  <c r="AE19" i="10"/>
  <c r="AF19" i="10"/>
  <c r="AG19" i="10" s="1"/>
  <c r="AN20" i="10"/>
  <c r="AE20" i="10"/>
  <c r="AF20" i="10"/>
  <c r="AG20" i="10" s="1"/>
  <c r="AN21" i="10"/>
  <c r="AE21" i="10"/>
  <c r="AF21" i="10"/>
  <c r="AG21" i="10" s="1"/>
  <c r="AI21" i="10" s="1"/>
  <c r="AJ21" i="10" s="1"/>
  <c r="AK21" i="10" s="1"/>
  <c r="AL21" i="10" s="1" a="1"/>
  <c r="AL21" i="10" s="1"/>
  <c r="AO32" i="13" s="1"/>
  <c r="AN22" i="10"/>
  <c r="AE22" i="10"/>
  <c r="AF22" i="10"/>
  <c r="AG22" i="10" s="1"/>
  <c r="AN23" i="10"/>
  <c r="AE23" i="10"/>
  <c r="AF23" i="10"/>
  <c r="AG23" i="10" s="1"/>
  <c r="AN24" i="10"/>
  <c r="AE24" i="10"/>
  <c r="AF24" i="10"/>
  <c r="AG24" i="10" s="1"/>
  <c r="AN25" i="10"/>
  <c r="AE25" i="10"/>
  <c r="AF25" i="10"/>
  <c r="AG25" i="10" s="1"/>
  <c r="AN26" i="10"/>
  <c r="AE26" i="10"/>
  <c r="AF26" i="10"/>
  <c r="AG26" i="10" s="1"/>
  <c r="AN27" i="10"/>
  <c r="AE27" i="10"/>
  <c r="AF27" i="10"/>
  <c r="AG27" i="10" s="1"/>
  <c r="AI27" i="10" s="1"/>
  <c r="AJ27" i="10" s="1"/>
  <c r="AK27" i="10" s="1"/>
  <c r="AL27" i="10" s="1" a="1"/>
  <c r="AL27" i="10" s="1"/>
  <c r="AO38" i="13" s="1"/>
  <c r="AN28" i="10"/>
  <c r="AE28" i="10"/>
  <c r="AF28" i="10"/>
  <c r="AG28" i="10" s="1"/>
  <c r="AN29" i="10"/>
  <c r="AE29" i="10"/>
  <c r="AF29" i="10"/>
  <c r="AG29" i="10" s="1"/>
  <c r="AN30" i="10"/>
  <c r="AE30" i="10"/>
  <c r="AF30" i="10"/>
  <c r="AG30" i="10" s="1"/>
  <c r="AN31" i="10"/>
  <c r="AE31" i="10"/>
  <c r="AF31" i="10"/>
  <c r="AG31" i="10" s="1"/>
  <c r="AN32" i="10"/>
  <c r="AE32" i="10"/>
  <c r="AF32" i="10"/>
  <c r="AG32" i="10" s="1"/>
  <c r="AN33" i="10"/>
  <c r="AE33" i="10"/>
  <c r="AF33" i="10"/>
  <c r="AG33" i="10" s="1"/>
  <c r="AI33" i="10" s="1"/>
  <c r="AJ33" i="10" s="1"/>
  <c r="AK33" i="10" s="1"/>
  <c r="AL33" i="10" s="1" a="1"/>
  <c r="AL33" i="10" s="1"/>
  <c r="AO44" i="13" s="1"/>
  <c r="AN34" i="10"/>
  <c r="AE34" i="10"/>
  <c r="AF34" i="10"/>
  <c r="AG34" i="10" s="1"/>
  <c r="AN35" i="10"/>
  <c r="AE35" i="10"/>
  <c r="AF35" i="10"/>
  <c r="AG35" i="10" s="1"/>
  <c r="AN36" i="10"/>
  <c r="AE36" i="10"/>
  <c r="AF36" i="10"/>
  <c r="AG36" i="10" s="1"/>
  <c r="AN37" i="10"/>
  <c r="AE37" i="10"/>
  <c r="AF37" i="10"/>
  <c r="AG37" i="10" s="1"/>
  <c r="AN38" i="10"/>
  <c r="AE38" i="10"/>
  <c r="AF38" i="10"/>
  <c r="AG38" i="10" s="1"/>
  <c r="AN39" i="10"/>
  <c r="AE39" i="10"/>
  <c r="AF39" i="10"/>
  <c r="AG39" i="10" s="1"/>
  <c r="AN40" i="10"/>
  <c r="AE40" i="10"/>
  <c r="AF40" i="10"/>
  <c r="AG40" i="10" s="1"/>
  <c r="AI40" i="10" s="1"/>
  <c r="AJ40" i="10" s="1"/>
  <c r="AK40" i="10" s="1"/>
  <c r="AL40" i="10" s="1" a="1"/>
  <c r="AL40" i="10" s="1"/>
  <c r="AO51" i="13" s="1"/>
  <c r="AN41" i="10"/>
  <c r="AE41" i="10"/>
  <c r="AF41" i="10"/>
  <c r="AG41" i="10" s="1"/>
  <c r="AN42" i="10"/>
  <c r="AE42" i="10"/>
  <c r="AF42" i="10"/>
  <c r="AG42" i="10" s="1"/>
  <c r="AN43" i="10"/>
  <c r="AE43" i="10"/>
  <c r="AF43" i="10"/>
  <c r="AG43" i="10" s="1"/>
  <c r="AN44" i="10"/>
  <c r="AE44" i="10"/>
  <c r="AF44" i="10"/>
  <c r="AG44" i="10" s="1"/>
  <c r="AN45" i="10"/>
  <c r="AE45" i="10"/>
  <c r="AF45" i="10"/>
  <c r="AG45" i="10" s="1"/>
  <c r="AN46" i="10"/>
  <c r="AE46" i="10"/>
  <c r="AF46" i="10"/>
  <c r="AG46" i="10" s="1"/>
  <c r="AI46" i="10" s="1"/>
  <c r="AJ46" i="10" s="1"/>
  <c r="AK46" i="10" s="1"/>
  <c r="AL46" i="10" s="1" a="1"/>
  <c r="AL46" i="10" s="1"/>
  <c r="AO57" i="13" s="1"/>
  <c r="AN47" i="10"/>
  <c r="AE47" i="10"/>
  <c r="AF47" i="10"/>
  <c r="AG47" i="10" s="1"/>
  <c r="R11" i="10"/>
  <c r="S22" i="13" s="1"/>
  <c r="W108" i="13" s="1"/>
  <c r="S11" i="10"/>
  <c r="T11" i="10" s="1"/>
  <c r="V11" i="10" s="1"/>
  <c r="W11" i="10" s="1"/>
  <c r="X11" i="10" s="1"/>
  <c r="Y11" i="10" s="1" a="1"/>
  <c r="Y11" i="10" s="1"/>
  <c r="U22" i="13" s="1"/>
  <c r="AA12" i="10"/>
  <c r="W23" i="13" s="1"/>
  <c r="R12" i="10"/>
  <c r="S23" i="13" s="1"/>
  <c r="W109" i="13" s="1"/>
  <c r="S12" i="10"/>
  <c r="T12" i="10" s="1"/>
  <c r="V12" i="10" s="1"/>
  <c r="W12" i="10" s="1"/>
  <c r="X12" i="10" s="1"/>
  <c r="Y12" i="10" s="1" a="1"/>
  <c r="Y12" i="10" s="1"/>
  <c r="U23" i="13" s="1"/>
  <c r="AA14" i="10"/>
  <c r="W25" i="13" s="1"/>
  <c r="R14" i="10"/>
  <c r="S25" i="13" s="1"/>
  <c r="W111" i="13" s="1"/>
  <c r="S14" i="10"/>
  <c r="T14" i="10" s="1"/>
  <c r="V14" i="10" s="1"/>
  <c r="W14" i="10" s="1"/>
  <c r="X14" i="10" s="1"/>
  <c r="Y14" i="10" s="1" a="1"/>
  <c r="Y14" i="10" s="1"/>
  <c r="U25" i="13" s="1"/>
  <c r="AA15" i="10"/>
  <c r="W26" i="13" s="1"/>
  <c r="R15" i="10"/>
  <c r="S26" i="13" s="1"/>
  <c r="W112" i="13" s="1"/>
  <c r="S15" i="10"/>
  <c r="T15" i="10" s="1"/>
  <c r="V15" i="10" s="1"/>
  <c r="W15" i="10" s="1"/>
  <c r="X15" i="10" s="1"/>
  <c r="Y15" i="10" s="1" a="1"/>
  <c r="Y15" i="10" s="1"/>
  <c r="U26" i="13" s="1"/>
  <c r="AA16" i="10"/>
  <c r="W27" i="13" s="1"/>
  <c r="R16" i="10"/>
  <c r="S27" i="13" s="1"/>
  <c r="W113" i="13" s="1"/>
  <c r="S16" i="10"/>
  <c r="T16" i="10" s="1"/>
  <c r="V16" i="10" s="1"/>
  <c r="W16" i="10" s="1"/>
  <c r="X16" i="10" s="1"/>
  <c r="Y16" i="10" s="1" a="1"/>
  <c r="Y16" i="10" s="1"/>
  <c r="U27" i="13" s="1"/>
  <c r="AA17" i="10"/>
  <c r="W28" i="13" s="1"/>
  <c r="R17" i="10"/>
  <c r="S28" i="13" s="1"/>
  <c r="W114" i="13" s="1"/>
  <c r="S17" i="10"/>
  <c r="T17" i="10" s="1"/>
  <c r="V17" i="10" s="1"/>
  <c r="W17" i="10" s="1"/>
  <c r="X17" i="10" s="1"/>
  <c r="Y17" i="10" s="1" a="1"/>
  <c r="Y17" i="10" s="1"/>
  <c r="U28" i="13" s="1"/>
  <c r="AA18" i="10"/>
  <c r="W29" i="13" s="1"/>
  <c r="R18" i="10"/>
  <c r="S29" i="13" s="1"/>
  <c r="W115" i="13" s="1"/>
  <c r="S18" i="10"/>
  <c r="T18" i="10" s="1"/>
  <c r="V18" i="10" s="1"/>
  <c r="W18" i="10" s="1"/>
  <c r="X18" i="10" s="1"/>
  <c r="Y18" i="10" s="1" a="1"/>
  <c r="Y18" i="10" s="1"/>
  <c r="U29" i="13" s="1"/>
  <c r="AA19" i="10"/>
  <c r="W30" i="13" s="1"/>
  <c r="R19" i="10"/>
  <c r="S30" i="13" s="1"/>
  <c r="W116" i="13" s="1"/>
  <c r="S19" i="10"/>
  <c r="T19" i="10" s="1"/>
  <c r="V19" i="10" s="1"/>
  <c r="W19" i="10" s="1"/>
  <c r="X19" i="10" s="1"/>
  <c r="Y19" i="10" s="1" a="1"/>
  <c r="Y19" i="10" s="1"/>
  <c r="U30" i="13" s="1"/>
  <c r="AA20" i="10"/>
  <c r="W31" i="13" s="1"/>
  <c r="R20" i="10"/>
  <c r="S31" i="13" s="1"/>
  <c r="W117" i="13" s="1"/>
  <c r="S20" i="10"/>
  <c r="T20" i="10" s="1"/>
  <c r="V20" i="10" s="1"/>
  <c r="W20" i="10" s="1"/>
  <c r="X20" i="10" s="1"/>
  <c r="Y20" i="10" s="1" a="1"/>
  <c r="Y20" i="10" s="1"/>
  <c r="U31" i="13" s="1"/>
  <c r="AA21" i="10"/>
  <c r="W32" i="13" s="1"/>
  <c r="R21" i="10"/>
  <c r="S32" i="13" s="1"/>
  <c r="W118" i="13" s="1"/>
  <c r="S21" i="10"/>
  <c r="T21" i="10" s="1"/>
  <c r="V21" i="10" s="1"/>
  <c r="W21" i="10" s="1"/>
  <c r="X21" i="10" s="1"/>
  <c r="Y21" i="10" s="1" a="1"/>
  <c r="Y21" i="10" s="1"/>
  <c r="U32" i="13" s="1"/>
  <c r="AA22" i="10"/>
  <c r="W33" i="13" s="1"/>
  <c r="R22" i="10"/>
  <c r="S33" i="13" s="1"/>
  <c r="W119" i="13" s="1"/>
  <c r="S22" i="10"/>
  <c r="T22" i="10" s="1"/>
  <c r="V22" i="10" s="1"/>
  <c r="W22" i="10" s="1"/>
  <c r="X22" i="10" s="1"/>
  <c r="Y22" i="10" s="1" a="1"/>
  <c r="Y22" i="10" s="1"/>
  <c r="U33" i="13" s="1"/>
  <c r="AA23" i="10"/>
  <c r="W34" i="13" s="1"/>
  <c r="R23" i="10"/>
  <c r="S34" i="13" s="1"/>
  <c r="W120" i="13" s="1"/>
  <c r="S23" i="10"/>
  <c r="T23" i="10" s="1"/>
  <c r="V23" i="10" s="1"/>
  <c r="W23" i="10" s="1"/>
  <c r="X23" i="10" s="1"/>
  <c r="Y23" i="10" s="1" a="1"/>
  <c r="Y23" i="10" s="1"/>
  <c r="U34" i="13" s="1"/>
  <c r="AA24" i="10"/>
  <c r="W35" i="13" s="1"/>
  <c r="R24" i="10"/>
  <c r="S35" i="13" s="1"/>
  <c r="W121" i="13" s="1"/>
  <c r="S24" i="10"/>
  <c r="T24" i="10" s="1"/>
  <c r="V24" i="10" s="1"/>
  <c r="W24" i="10" s="1"/>
  <c r="X24" i="10" s="1"/>
  <c r="Y24" i="10" s="1" a="1"/>
  <c r="Y24" i="10" s="1"/>
  <c r="U35" i="13" s="1"/>
  <c r="AA25" i="10"/>
  <c r="W36" i="13" s="1"/>
  <c r="R25" i="10"/>
  <c r="S36" i="13" s="1"/>
  <c r="W122" i="13" s="1"/>
  <c r="S25" i="10"/>
  <c r="T25" i="10" s="1"/>
  <c r="V25" i="10" s="1"/>
  <c r="W25" i="10" s="1"/>
  <c r="X25" i="10" s="1"/>
  <c r="Y25" i="10" s="1" a="1"/>
  <c r="Y25" i="10" s="1"/>
  <c r="U36" i="13" s="1"/>
  <c r="AA26" i="10"/>
  <c r="W37" i="13" s="1"/>
  <c r="R26" i="10"/>
  <c r="S37" i="13" s="1"/>
  <c r="W123" i="13" s="1"/>
  <c r="S26" i="10"/>
  <c r="T26" i="10" s="1"/>
  <c r="V26" i="10" s="1"/>
  <c r="W26" i="10" s="1"/>
  <c r="X26" i="10" s="1"/>
  <c r="Y26" i="10" s="1" a="1"/>
  <c r="Y26" i="10" s="1"/>
  <c r="U37" i="13" s="1"/>
  <c r="AA27" i="10"/>
  <c r="W38" i="13" s="1"/>
  <c r="R27" i="10"/>
  <c r="S38" i="13" s="1"/>
  <c r="W124" i="13" s="1"/>
  <c r="S27" i="10"/>
  <c r="T27" i="10" s="1"/>
  <c r="V27" i="10" s="1"/>
  <c r="W27" i="10" s="1"/>
  <c r="X27" i="10" s="1"/>
  <c r="Y27" i="10" s="1" a="1"/>
  <c r="Y27" i="10" s="1"/>
  <c r="U38" i="13" s="1"/>
  <c r="AA28" i="10"/>
  <c r="W39" i="13" s="1"/>
  <c r="R28" i="10"/>
  <c r="S39" i="13" s="1"/>
  <c r="W125" i="13" s="1"/>
  <c r="S28" i="10"/>
  <c r="T28" i="10" s="1"/>
  <c r="V28" i="10" s="1"/>
  <c r="W28" i="10" s="1"/>
  <c r="X28" i="10" s="1"/>
  <c r="Y28" i="10" s="1" a="1"/>
  <c r="Y28" i="10" s="1"/>
  <c r="U39" i="13" s="1"/>
  <c r="AA29" i="10"/>
  <c r="W40" i="13" s="1"/>
  <c r="R29" i="10"/>
  <c r="S40" i="13" s="1"/>
  <c r="W126" i="13" s="1"/>
  <c r="S29" i="10"/>
  <c r="T29" i="10" s="1"/>
  <c r="V29" i="10" s="1"/>
  <c r="W29" i="10" s="1"/>
  <c r="X29" i="10" s="1"/>
  <c r="Y29" i="10" s="1" a="1"/>
  <c r="Y29" i="10" s="1"/>
  <c r="U40" i="13" s="1"/>
  <c r="AA30" i="10"/>
  <c r="W41" i="13" s="1"/>
  <c r="R30" i="10"/>
  <c r="S41" i="13" s="1"/>
  <c r="W127" i="13" s="1"/>
  <c r="S30" i="10"/>
  <c r="T30" i="10" s="1"/>
  <c r="V30" i="10" s="1"/>
  <c r="W30" i="10" s="1"/>
  <c r="X30" i="10" s="1"/>
  <c r="Y30" i="10" s="1" a="1"/>
  <c r="Y30" i="10" s="1"/>
  <c r="U41" i="13" s="1"/>
  <c r="AA31" i="10"/>
  <c r="W42" i="13" s="1"/>
  <c r="R31" i="10"/>
  <c r="S42" i="13" s="1"/>
  <c r="W128" i="13" s="1"/>
  <c r="S31" i="10"/>
  <c r="T31" i="10" s="1"/>
  <c r="V31" i="10" s="1"/>
  <c r="W31" i="10" s="1"/>
  <c r="X31" i="10" s="1"/>
  <c r="Y31" i="10" s="1" a="1"/>
  <c r="Y31" i="10" s="1"/>
  <c r="U42" i="13" s="1"/>
  <c r="AA32" i="10"/>
  <c r="W43" i="13" s="1"/>
  <c r="R32" i="10"/>
  <c r="S43" i="13" s="1"/>
  <c r="W129" i="13" s="1"/>
  <c r="S32" i="10"/>
  <c r="T32" i="10" s="1"/>
  <c r="V32" i="10" s="1"/>
  <c r="W32" i="10" s="1"/>
  <c r="X32" i="10" s="1"/>
  <c r="Y32" i="10" s="1" a="1"/>
  <c r="Y32" i="10" s="1"/>
  <c r="U43" i="13" s="1"/>
  <c r="AA33" i="10"/>
  <c r="W44" i="13" s="1"/>
  <c r="R33" i="10"/>
  <c r="S44" i="13" s="1"/>
  <c r="W130" i="13" s="1"/>
  <c r="S33" i="10"/>
  <c r="T33" i="10" s="1"/>
  <c r="V33" i="10" s="1"/>
  <c r="W33" i="10" s="1"/>
  <c r="X33" i="10" s="1"/>
  <c r="Y33" i="10" s="1" a="1"/>
  <c r="Y33" i="10" s="1"/>
  <c r="U44" i="13" s="1"/>
  <c r="AA34" i="10"/>
  <c r="W45" i="13" s="1"/>
  <c r="R34" i="10"/>
  <c r="S45" i="13" s="1"/>
  <c r="W131" i="13" s="1"/>
  <c r="S34" i="10"/>
  <c r="T34" i="10" s="1"/>
  <c r="V34" i="10" s="1"/>
  <c r="W34" i="10" s="1"/>
  <c r="X34" i="10" s="1"/>
  <c r="Y34" i="10" s="1" a="1"/>
  <c r="Y34" i="10" s="1"/>
  <c r="U45" i="13" s="1"/>
  <c r="AA35" i="10"/>
  <c r="W46" i="13" s="1"/>
  <c r="R35" i="10"/>
  <c r="S46" i="13" s="1"/>
  <c r="W132" i="13" s="1"/>
  <c r="S35" i="10"/>
  <c r="T35" i="10" s="1"/>
  <c r="V35" i="10" s="1"/>
  <c r="W35" i="10" s="1"/>
  <c r="X35" i="10" s="1"/>
  <c r="Y35" i="10" s="1" a="1"/>
  <c r="Y35" i="10" s="1"/>
  <c r="U46" i="13" s="1"/>
  <c r="AA36" i="10"/>
  <c r="W47" i="13" s="1"/>
  <c r="R36" i="10"/>
  <c r="S47" i="13" s="1"/>
  <c r="W133" i="13" s="1"/>
  <c r="S36" i="10"/>
  <c r="T36" i="10" s="1"/>
  <c r="V36" i="10" s="1"/>
  <c r="W36" i="10" s="1"/>
  <c r="X36" i="10" s="1"/>
  <c r="Y36" i="10" s="1" a="1"/>
  <c r="Y36" i="10" s="1"/>
  <c r="U47" i="13" s="1"/>
  <c r="AA37" i="10"/>
  <c r="W48" i="13" s="1"/>
  <c r="R37" i="10"/>
  <c r="S48" i="13" s="1"/>
  <c r="W134" i="13" s="1"/>
  <c r="S37" i="10"/>
  <c r="T37" i="10" s="1"/>
  <c r="V37" i="10" s="1"/>
  <c r="W37" i="10" s="1"/>
  <c r="X37" i="10" s="1"/>
  <c r="Y37" i="10" s="1" a="1"/>
  <c r="Y37" i="10" s="1"/>
  <c r="U48" i="13" s="1"/>
  <c r="AA38" i="10"/>
  <c r="W49" i="13" s="1"/>
  <c r="R38" i="10"/>
  <c r="S49" i="13" s="1"/>
  <c r="W135" i="13" s="1"/>
  <c r="S38" i="10"/>
  <c r="T38" i="10" s="1"/>
  <c r="V38" i="10" s="1"/>
  <c r="W38" i="10" s="1"/>
  <c r="X38" i="10" s="1"/>
  <c r="Y38" i="10" s="1" a="1"/>
  <c r="Y38" i="10" s="1"/>
  <c r="U49" i="13" s="1"/>
  <c r="AA39" i="10"/>
  <c r="W50" i="13" s="1"/>
  <c r="R39" i="10"/>
  <c r="S50" i="13" s="1"/>
  <c r="W136" i="13" s="1"/>
  <c r="S39" i="10"/>
  <c r="T39" i="10" s="1"/>
  <c r="V39" i="10" s="1"/>
  <c r="W39" i="10" s="1"/>
  <c r="X39" i="10" s="1"/>
  <c r="Y39" i="10" s="1" a="1"/>
  <c r="Y39" i="10" s="1"/>
  <c r="U50" i="13" s="1"/>
  <c r="AA40" i="10"/>
  <c r="W51" i="13" s="1"/>
  <c r="R40" i="10"/>
  <c r="S51" i="13" s="1"/>
  <c r="W137" i="13" s="1"/>
  <c r="S40" i="10"/>
  <c r="T40" i="10" s="1"/>
  <c r="V40" i="10" s="1"/>
  <c r="W40" i="10" s="1"/>
  <c r="X40" i="10" s="1"/>
  <c r="Y40" i="10" s="1" a="1"/>
  <c r="Y40" i="10" s="1"/>
  <c r="U51" i="13" s="1"/>
  <c r="AA41" i="10"/>
  <c r="W52" i="13" s="1"/>
  <c r="R41" i="10"/>
  <c r="S52" i="13" s="1"/>
  <c r="W138" i="13" s="1"/>
  <c r="S41" i="10"/>
  <c r="T41" i="10" s="1"/>
  <c r="V41" i="10" s="1"/>
  <c r="W41" i="10" s="1"/>
  <c r="X41" i="10" s="1"/>
  <c r="Y41" i="10" s="1" a="1"/>
  <c r="Y41" i="10" s="1"/>
  <c r="U52" i="13" s="1"/>
  <c r="AA42" i="10"/>
  <c r="W53" i="13" s="1"/>
  <c r="R42" i="10"/>
  <c r="S53" i="13" s="1"/>
  <c r="W139" i="13" s="1"/>
  <c r="S42" i="10"/>
  <c r="T42" i="10" s="1"/>
  <c r="V42" i="10" s="1"/>
  <c r="W42" i="10" s="1"/>
  <c r="X42" i="10" s="1"/>
  <c r="Y42" i="10" s="1" a="1"/>
  <c r="Y42" i="10" s="1"/>
  <c r="U53" i="13" s="1"/>
  <c r="AA43" i="10"/>
  <c r="W54" i="13" s="1"/>
  <c r="R43" i="10"/>
  <c r="S54" i="13" s="1"/>
  <c r="W140" i="13" s="1"/>
  <c r="S43" i="10"/>
  <c r="T43" i="10" s="1"/>
  <c r="V43" i="10" s="1"/>
  <c r="W43" i="10" s="1"/>
  <c r="X43" i="10" s="1"/>
  <c r="Y43" i="10" s="1" a="1"/>
  <c r="Y43" i="10" s="1"/>
  <c r="U54" i="13" s="1"/>
  <c r="AA44" i="10"/>
  <c r="W55" i="13" s="1"/>
  <c r="R44" i="10"/>
  <c r="S55" i="13" s="1"/>
  <c r="W141" i="13" s="1"/>
  <c r="S44" i="10"/>
  <c r="T44" i="10" s="1"/>
  <c r="V44" i="10" s="1"/>
  <c r="W44" i="10" s="1"/>
  <c r="X44" i="10" s="1"/>
  <c r="Y44" i="10" s="1" a="1"/>
  <c r="Y44" i="10" s="1"/>
  <c r="U55" i="13" s="1"/>
  <c r="AA45" i="10"/>
  <c r="W56" i="13" s="1"/>
  <c r="R45" i="10"/>
  <c r="S56" i="13" s="1"/>
  <c r="W142" i="13" s="1"/>
  <c r="S45" i="10"/>
  <c r="T45" i="10" s="1"/>
  <c r="V45" i="10" s="1"/>
  <c r="W45" i="10" s="1"/>
  <c r="X45" i="10" s="1"/>
  <c r="Y45" i="10" s="1" a="1"/>
  <c r="Y45" i="10" s="1"/>
  <c r="U56" i="13" s="1"/>
  <c r="AA46" i="10"/>
  <c r="W57" i="13" s="1"/>
  <c r="R46" i="10"/>
  <c r="S57" i="13" s="1"/>
  <c r="W143" i="13" s="1"/>
  <c r="S46" i="10"/>
  <c r="T46" i="10" s="1"/>
  <c r="V46" i="10" s="1"/>
  <c r="W46" i="10" s="1"/>
  <c r="X46" i="10" s="1"/>
  <c r="Y46" i="10" s="1" a="1"/>
  <c r="Y46" i="10" s="1"/>
  <c r="U57" i="13" s="1"/>
  <c r="AA47" i="10"/>
  <c r="W58" i="13" s="1"/>
  <c r="R47" i="10"/>
  <c r="S58" i="13" s="1"/>
  <c r="W144" i="13" s="1"/>
  <c r="S47" i="10"/>
  <c r="T47" i="10" s="1"/>
  <c r="V47" i="10" s="1"/>
  <c r="W47" i="10" s="1"/>
  <c r="X47" i="10" s="1"/>
  <c r="Y47" i="10" s="1" a="1"/>
  <c r="Y47" i="10" s="1"/>
  <c r="U58" i="13" s="1"/>
  <c r="AA48" i="10"/>
  <c r="W59" i="13" s="1"/>
  <c r="R48" i="10"/>
  <c r="S59" i="13" s="1"/>
  <c r="W145" i="13" s="1"/>
  <c r="S48" i="10"/>
  <c r="T48" i="10" s="1"/>
  <c r="V48" i="10" s="1"/>
  <c r="W48" i="10" s="1"/>
  <c r="X48" i="10" s="1"/>
  <c r="Y48" i="10" s="1" a="1"/>
  <c r="Y48" i="10" s="1"/>
  <c r="U59" i="13" s="1"/>
  <c r="AA49" i="10"/>
  <c r="W60" i="13" s="1"/>
  <c r="R49" i="10"/>
  <c r="S60" i="13" s="1"/>
  <c r="W146" i="13" s="1"/>
  <c r="S49" i="10"/>
  <c r="T49" i="10" s="1"/>
  <c r="V49" i="10" s="1"/>
  <c r="W49" i="10" s="1"/>
  <c r="X49" i="10" s="1"/>
  <c r="Y49" i="10" s="1" a="1"/>
  <c r="Y49" i="10" s="1"/>
  <c r="U60" i="13" s="1"/>
  <c r="AA50" i="10"/>
  <c r="W61" i="13" s="1"/>
  <c r="R50" i="10"/>
  <c r="S61" i="13" s="1"/>
  <c r="W147" i="13" s="1"/>
  <c r="S50" i="10"/>
  <c r="T50" i="10" s="1"/>
  <c r="V50" i="10" s="1"/>
  <c r="W50" i="10" s="1"/>
  <c r="X50" i="10" s="1"/>
  <c r="Y50" i="10" s="1" a="1"/>
  <c r="Y50" i="10" s="1"/>
  <c r="U61" i="13" s="1"/>
  <c r="AA51" i="10"/>
  <c r="W62" i="13" s="1"/>
  <c r="R51" i="10"/>
  <c r="S62" i="13" s="1"/>
  <c r="W148" i="13" s="1"/>
  <c r="S51" i="10"/>
  <c r="T51" i="10" s="1"/>
  <c r="V51" i="10" s="1"/>
  <c r="W51" i="10" s="1"/>
  <c r="X51" i="10" s="1"/>
  <c r="Y51" i="10" s="1" a="1"/>
  <c r="Y51" i="10" s="1"/>
  <c r="U62" i="13" s="1"/>
  <c r="AA52" i="10"/>
  <c r="W63" i="13" s="1"/>
  <c r="R52" i="10"/>
  <c r="S63" i="13" s="1"/>
  <c r="W149" i="13" s="1"/>
  <c r="S52" i="10"/>
  <c r="T52" i="10" s="1"/>
  <c r="V52" i="10" s="1"/>
  <c r="W52" i="10" s="1"/>
  <c r="X52" i="10" s="1"/>
  <c r="Y52" i="10" s="1" a="1"/>
  <c r="Y52" i="10" s="1"/>
  <c r="U63" i="13" s="1"/>
  <c r="AA53" i="10"/>
  <c r="W64" i="13" s="1"/>
  <c r="R53" i="10"/>
  <c r="S64" i="13" s="1"/>
  <c r="W150" i="13" s="1"/>
  <c r="S53" i="10"/>
  <c r="T53" i="10" s="1"/>
  <c r="V53" i="10" s="1"/>
  <c r="W53" i="10" s="1"/>
  <c r="X53" i="10" s="1"/>
  <c r="Y53" i="10" s="1" a="1"/>
  <c r="Y53" i="10" s="1"/>
  <c r="U64" i="13" s="1"/>
  <c r="Q9" i="10"/>
  <c r="E9" i="10"/>
  <c r="D30" i="8"/>
  <c r="D31" i="8"/>
  <c r="D29" i="8"/>
  <c r="H22" i="13"/>
  <c r="H108" i="13"/>
  <c r="F11" i="10"/>
  <c r="G11" i="10" s="1"/>
  <c r="H23" i="13"/>
  <c r="D23" i="13"/>
  <c r="F12" i="10"/>
  <c r="G12" i="10" s="1"/>
  <c r="H24" i="13"/>
  <c r="D24" i="13"/>
  <c r="H110" i="13" s="1"/>
  <c r="H25" i="13"/>
  <c r="D25" i="13"/>
  <c r="H111" i="13" s="1"/>
  <c r="F14" i="10"/>
  <c r="G14" i="10" s="1"/>
  <c r="H26" i="13"/>
  <c r="D26" i="13"/>
  <c r="H112" i="13" s="1"/>
  <c r="F15" i="10"/>
  <c r="G15" i="10" s="1"/>
  <c r="H27" i="13"/>
  <c r="D27" i="13"/>
  <c r="H113" i="13" s="1"/>
  <c r="F16" i="10"/>
  <c r="G16" i="10" s="1"/>
  <c r="H28" i="13"/>
  <c r="D28" i="13"/>
  <c r="H114" i="13" s="1"/>
  <c r="F17" i="10"/>
  <c r="G17" i="10" s="1"/>
  <c r="H29" i="13"/>
  <c r="D29" i="13"/>
  <c r="H115" i="13" s="1"/>
  <c r="F18" i="10"/>
  <c r="G18" i="10" s="1"/>
  <c r="H30" i="13"/>
  <c r="D30" i="13"/>
  <c r="H116" i="13" s="1"/>
  <c r="F19" i="10"/>
  <c r="G19" i="10" s="1"/>
  <c r="H31" i="13"/>
  <c r="D31" i="13"/>
  <c r="H117" i="13" s="1"/>
  <c r="F20" i="10"/>
  <c r="G20" i="10" s="1"/>
  <c r="H32" i="13"/>
  <c r="D32" i="13"/>
  <c r="F21" i="10"/>
  <c r="G21" i="10" s="1"/>
  <c r="H33" i="13"/>
  <c r="D33" i="13"/>
  <c r="H119" i="13" s="1"/>
  <c r="F22" i="10"/>
  <c r="G22" i="10" s="1"/>
  <c r="H34" i="13"/>
  <c r="D34" i="13"/>
  <c r="H120" i="13" s="1"/>
  <c r="F23" i="10"/>
  <c r="G23" i="10" s="1"/>
  <c r="H35" i="13"/>
  <c r="D35" i="13"/>
  <c r="H121" i="13" s="1"/>
  <c r="F24" i="10"/>
  <c r="G24" i="10" s="1"/>
  <c r="H36" i="13"/>
  <c r="D36" i="13"/>
  <c r="H122" i="13" s="1"/>
  <c r="F25" i="10"/>
  <c r="G25" i="10" s="1"/>
  <c r="H37" i="13"/>
  <c r="D37" i="13"/>
  <c r="H123" i="13" s="1"/>
  <c r="F26" i="10"/>
  <c r="G26" i="10" s="1"/>
  <c r="H38" i="13"/>
  <c r="D38" i="13"/>
  <c r="H124" i="13" s="1"/>
  <c r="F27" i="10"/>
  <c r="G27" i="10" s="1"/>
  <c r="H39" i="13"/>
  <c r="D39" i="13"/>
  <c r="H125" i="13" s="1"/>
  <c r="F28" i="10"/>
  <c r="G28" i="10" s="1"/>
  <c r="H40" i="13"/>
  <c r="D40" i="13"/>
  <c r="H126" i="13" s="1"/>
  <c r="F29" i="10"/>
  <c r="G29" i="10" s="1"/>
  <c r="H41" i="13"/>
  <c r="D41" i="13"/>
  <c r="H127" i="13" s="1"/>
  <c r="F30" i="10"/>
  <c r="G30" i="10" s="1"/>
  <c r="H42" i="13"/>
  <c r="D42" i="13"/>
  <c r="H128" i="13" s="1"/>
  <c r="F31" i="10"/>
  <c r="G31" i="10" s="1"/>
  <c r="H43" i="13"/>
  <c r="D43" i="13"/>
  <c r="H129" i="13" s="1"/>
  <c r="F32" i="10"/>
  <c r="G32" i="10" s="1"/>
  <c r="H44" i="13"/>
  <c r="D44" i="13"/>
  <c r="H130" i="13" s="1"/>
  <c r="F33" i="10"/>
  <c r="G33" i="10" s="1"/>
  <c r="H45" i="13"/>
  <c r="D45" i="13"/>
  <c r="H131" i="13" s="1"/>
  <c r="F34" i="10"/>
  <c r="G34" i="10" s="1"/>
  <c r="H46" i="13"/>
  <c r="D46" i="13"/>
  <c r="H132" i="13" s="1"/>
  <c r="F35" i="10"/>
  <c r="G35" i="10" s="1"/>
  <c r="H47" i="13"/>
  <c r="D47" i="13"/>
  <c r="H133" i="13" s="1"/>
  <c r="F36" i="10"/>
  <c r="G36" i="10" s="1"/>
  <c r="H48" i="13"/>
  <c r="D48" i="13"/>
  <c r="H134" i="13" s="1"/>
  <c r="F37" i="10"/>
  <c r="G37" i="10" s="1"/>
  <c r="H49" i="13"/>
  <c r="D49" i="13"/>
  <c r="H135" i="13" s="1"/>
  <c r="F38" i="10"/>
  <c r="G38" i="10" s="1"/>
  <c r="H50" i="13"/>
  <c r="D50" i="13"/>
  <c r="H136" i="13" s="1"/>
  <c r="F39" i="10"/>
  <c r="G39" i="10" s="1"/>
  <c r="H51" i="13"/>
  <c r="D51" i="13"/>
  <c r="H137" i="13" s="1"/>
  <c r="F40" i="10"/>
  <c r="G40" i="10" s="1"/>
  <c r="H52" i="13"/>
  <c r="D52" i="13"/>
  <c r="H138" i="13" s="1"/>
  <c r="F41" i="10"/>
  <c r="G41" i="10" s="1"/>
  <c r="H53" i="13"/>
  <c r="D53" i="13"/>
  <c r="H139" i="13" s="1"/>
  <c r="F42" i="10"/>
  <c r="G42" i="10" s="1"/>
  <c r="H54" i="13"/>
  <c r="D54" i="13"/>
  <c r="H140" i="13" s="1"/>
  <c r="F43" i="10"/>
  <c r="G43" i="10" s="1"/>
  <c r="H55" i="13"/>
  <c r="D55" i="13"/>
  <c r="H141" i="13" s="1"/>
  <c r="F44" i="10"/>
  <c r="G44" i="10" s="1"/>
  <c r="H56" i="13"/>
  <c r="D56" i="13"/>
  <c r="H142" i="13" s="1"/>
  <c r="F45" i="10"/>
  <c r="G45" i="10" s="1"/>
  <c r="H57" i="13"/>
  <c r="D57" i="13"/>
  <c r="H143" i="13" s="1"/>
  <c r="F46" i="10"/>
  <c r="G46" i="10" s="1"/>
  <c r="H58" i="13"/>
  <c r="D58" i="13"/>
  <c r="H144" i="13" s="1"/>
  <c r="F47" i="10"/>
  <c r="G47" i="10" s="1"/>
  <c r="H59" i="13"/>
  <c r="D59" i="13"/>
  <c r="H145" i="13" s="1"/>
  <c r="F48" i="10"/>
  <c r="G48" i="10" s="1"/>
  <c r="H60" i="13"/>
  <c r="D60" i="13"/>
  <c r="H146" i="13" s="1"/>
  <c r="F49" i="10"/>
  <c r="G49" i="10" s="1"/>
  <c r="H61" i="13"/>
  <c r="D61" i="13"/>
  <c r="H147" i="13" s="1"/>
  <c r="F50" i="10"/>
  <c r="G50" i="10" s="1"/>
  <c r="H62" i="13"/>
  <c r="D62" i="13"/>
  <c r="H148" i="13" s="1"/>
  <c r="F51" i="10"/>
  <c r="G51" i="10" s="1"/>
  <c r="H63" i="13"/>
  <c r="D63" i="13"/>
  <c r="H149" i="13" s="1"/>
  <c r="F52" i="10"/>
  <c r="G52" i="10" s="1"/>
  <c r="H64" i="13"/>
  <c r="D64" i="13"/>
  <c r="H150" i="13" s="1"/>
  <c r="F53" i="10"/>
  <c r="G53" i="10" s="1"/>
  <c r="H65" i="13"/>
  <c r="D65" i="13"/>
  <c r="H151" i="13" s="1"/>
  <c r="F54" i="10"/>
  <c r="G54" i="10" s="1"/>
  <c r="H66" i="13"/>
  <c r="D66" i="13"/>
  <c r="H152" i="13" s="1"/>
  <c r="F55" i="10"/>
  <c r="G55" i="10" s="1"/>
  <c r="H67" i="13"/>
  <c r="D67" i="13"/>
  <c r="H153" i="13" s="1"/>
  <c r="F56" i="10"/>
  <c r="G56" i="10" s="1"/>
  <c r="H68" i="13"/>
  <c r="D68" i="13"/>
  <c r="H154" i="13" s="1"/>
  <c r="F57" i="10"/>
  <c r="G57" i="10" s="1"/>
  <c r="H69" i="13"/>
  <c r="D69" i="13"/>
  <c r="H155" i="13" s="1"/>
  <c r="F58" i="10"/>
  <c r="G58" i="10" s="1"/>
  <c r="H70" i="13"/>
  <c r="D70" i="13"/>
  <c r="H156" i="13" s="1"/>
  <c r="F59" i="10"/>
  <c r="G59" i="10" s="1"/>
  <c r="H71" i="13"/>
  <c r="D71" i="13"/>
  <c r="H157" i="13" s="1"/>
  <c r="F60" i="10"/>
  <c r="G60" i="10" s="1"/>
  <c r="H72" i="13"/>
  <c r="D72" i="13"/>
  <c r="H158" i="13" s="1"/>
  <c r="F61" i="10"/>
  <c r="G61" i="10" s="1"/>
  <c r="H73" i="13"/>
  <c r="D73" i="13"/>
  <c r="H159" i="13" s="1"/>
  <c r="F62" i="10"/>
  <c r="G62" i="10" s="1"/>
  <c r="H74" i="13"/>
  <c r="D74" i="13"/>
  <c r="H160" i="13" s="1"/>
  <c r="F63" i="10"/>
  <c r="G63" i="10" s="1"/>
  <c r="H75" i="13"/>
  <c r="D75" i="13"/>
  <c r="H161" i="13" s="1"/>
  <c r="F64" i="10"/>
  <c r="G64" i="10" s="1"/>
  <c r="H76" i="13"/>
  <c r="D76" i="13"/>
  <c r="H162" i="13" s="1"/>
  <c r="F65" i="10"/>
  <c r="G65" i="10" s="1"/>
  <c r="H77" i="13"/>
  <c r="D77" i="13"/>
  <c r="H163" i="13" s="1"/>
  <c r="F66" i="10"/>
  <c r="G66" i="10" s="1"/>
  <c r="H78" i="13"/>
  <c r="D78" i="13"/>
  <c r="H164" i="13" s="1"/>
  <c r="F67" i="10"/>
  <c r="G67" i="10" s="1"/>
  <c r="H79" i="13"/>
  <c r="D79" i="13"/>
  <c r="H165" i="13" s="1"/>
  <c r="F68" i="10"/>
  <c r="G68" i="10" s="1"/>
  <c r="H80" i="13"/>
  <c r="D80" i="13"/>
  <c r="H166" i="13" s="1"/>
  <c r="F69" i="10"/>
  <c r="G69" i="10" s="1"/>
  <c r="H81" i="13"/>
  <c r="D81" i="13"/>
  <c r="H167" i="13" s="1"/>
  <c r="F70" i="10"/>
  <c r="G70" i="10" s="1"/>
  <c r="H82" i="13"/>
  <c r="D82" i="13"/>
  <c r="H168" i="13" s="1"/>
  <c r="F71" i="10"/>
  <c r="G71" i="10" s="1"/>
  <c r="H83" i="13"/>
  <c r="D83" i="13"/>
  <c r="H169" i="13" s="1"/>
  <c r="F72" i="10"/>
  <c r="G72" i="10" s="1"/>
  <c r="H84" i="13"/>
  <c r="D84" i="13"/>
  <c r="H170" i="13" s="1"/>
  <c r="F73" i="10"/>
  <c r="G73" i="10" s="1"/>
  <c r="H85" i="13"/>
  <c r="D85" i="13"/>
  <c r="H171" i="13" s="1"/>
  <c r="F74" i="10"/>
  <c r="G74" i="10" s="1"/>
  <c r="H86" i="13"/>
  <c r="D86" i="13"/>
  <c r="H172" i="13" s="1"/>
  <c r="F75" i="10"/>
  <c r="G75" i="10" s="1"/>
  <c r="H87" i="13"/>
  <c r="D87" i="13"/>
  <c r="H173" i="13" s="1"/>
  <c r="F76" i="10"/>
  <c r="G76" i="10" s="1"/>
  <c r="H88" i="13"/>
  <c r="D88" i="13"/>
  <c r="H174" i="13" s="1"/>
  <c r="F77" i="10"/>
  <c r="G77" i="10" s="1"/>
  <c r="H89" i="13"/>
  <c r="D89" i="13"/>
  <c r="H175" i="13" s="1"/>
  <c r="F78" i="10"/>
  <c r="G78" i="10" s="1"/>
  <c r="H90" i="13"/>
  <c r="D90" i="13"/>
  <c r="H176" i="13" s="1"/>
  <c r="F79" i="10"/>
  <c r="G79" i="10" s="1"/>
  <c r="H91" i="13"/>
  <c r="D91" i="13"/>
  <c r="H177" i="13" s="1"/>
  <c r="F80" i="10"/>
  <c r="G80" i="10" s="1"/>
  <c r="V55" i="10" l="1"/>
  <c r="W55" i="10" s="1"/>
  <c r="X55" i="10" s="1"/>
  <c r="Y55" i="10" s="1" a="1"/>
  <c r="Y55" i="10" s="1"/>
  <c r="U66" i="13" s="1"/>
  <c r="V79" i="10"/>
  <c r="W79" i="10" s="1"/>
  <c r="X79" i="10" s="1"/>
  <c r="Y79" i="10" s="1" a="1"/>
  <c r="Y79" i="10" s="1"/>
  <c r="U90" i="13" s="1"/>
  <c r="V73" i="10"/>
  <c r="W73" i="10" s="1"/>
  <c r="X73" i="10" s="1"/>
  <c r="Y73" i="10" s="1" a="1"/>
  <c r="Y73" i="10" s="1"/>
  <c r="U84" i="13" s="1"/>
  <c r="V69" i="10"/>
  <c r="W69" i="10" s="1"/>
  <c r="X69" i="10" s="1"/>
  <c r="Y69" i="10" s="1" a="1"/>
  <c r="Y69" i="10" s="1"/>
  <c r="U80" i="13" s="1"/>
  <c r="V67" i="10"/>
  <c r="W67" i="10" s="1"/>
  <c r="X67" i="10" s="1"/>
  <c r="Y67" i="10" s="1" a="1"/>
  <c r="Y67" i="10" s="1"/>
  <c r="U78" i="13" s="1"/>
  <c r="V61" i="10"/>
  <c r="W61" i="10" s="1"/>
  <c r="X61" i="10" s="1"/>
  <c r="Y61" i="10" s="1" a="1"/>
  <c r="Y61" i="10" s="1"/>
  <c r="U72" i="13" s="1"/>
  <c r="V77" i="10"/>
  <c r="W77" i="10" s="1"/>
  <c r="X77" i="10" s="1"/>
  <c r="Y77" i="10" s="1" a="1"/>
  <c r="Y77" i="10" s="1"/>
  <c r="U88" i="13" s="1"/>
  <c r="V75" i="10"/>
  <c r="W75" i="10" s="1"/>
  <c r="X75" i="10" s="1"/>
  <c r="Y75" i="10" s="1" a="1"/>
  <c r="Y75" i="10" s="1"/>
  <c r="U86" i="13" s="1"/>
  <c r="V71" i="10"/>
  <c r="W71" i="10" s="1"/>
  <c r="X71" i="10" s="1"/>
  <c r="Y71" i="10" s="1" a="1"/>
  <c r="Y71" i="10" s="1"/>
  <c r="U82" i="13" s="1"/>
  <c r="V65" i="10"/>
  <c r="W65" i="10" s="1"/>
  <c r="X65" i="10" s="1"/>
  <c r="Y65" i="10" s="1" a="1"/>
  <c r="Y65" i="10" s="1"/>
  <c r="U76" i="13" s="1"/>
  <c r="V63" i="10"/>
  <c r="W63" i="10" s="1"/>
  <c r="X63" i="10" s="1"/>
  <c r="Y63" i="10" s="1" a="1"/>
  <c r="Y63" i="10" s="1"/>
  <c r="U74" i="13" s="1"/>
  <c r="V59" i="10"/>
  <c r="W59" i="10" s="1"/>
  <c r="X59" i="10" s="1"/>
  <c r="Y59" i="10" s="1" a="1"/>
  <c r="Y59" i="10" s="1"/>
  <c r="U70" i="13" s="1"/>
  <c r="X70" i="13" s="1"/>
  <c r="V57" i="10"/>
  <c r="W57" i="10" s="1"/>
  <c r="X57" i="10" s="1"/>
  <c r="Y57" i="10" s="1" a="1"/>
  <c r="Y57" i="10" s="1"/>
  <c r="U68" i="13" s="1"/>
  <c r="X68" i="13" s="1"/>
  <c r="H25" i="21"/>
  <c r="I25" i="21" s="1"/>
  <c r="H26" i="21"/>
  <c r="I26" i="21" s="1"/>
  <c r="J28" i="5"/>
  <c r="AJ20" i="21" s="1"/>
  <c r="AJ19" i="21"/>
  <c r="V18" i="21"/>
  <c r="I27" i="5"/>
  <c r="X56" i="13"/>
  <c r="X32" i="13"/>
  <c r="X64" i="13"/>
  <c r="X150" i="13" s="1"/>
  <c r="X40" i="13"/>
  <c r="X126" i="13" s="1"/>
  <c r="X24" i="13"/>
  <c r="X110" i="13" s="1"/>
  <c r="CJ31" i="14" a="1"/>
  <c r="CJ31" i="14" s="1"/>
  <c r="DF32" i="14" a="1"/>
  <c r="DF32" i="14" s="1"/>
  <c r="ED29" i="14" a="1"/>
  <c r="ED29" i="14" s="1"/>
  <c r="CJ37" i="14" a="1"/>
  <c r="CJ37" i="14" s="1"/>
  <c r="DF38" i="14" a="1"/>
  <c r="DF38" i="14" s="1"/>
  <c r="ED35" i="14" a="1"/>
  <c r="ED35" i="14" s="1"/>
  <c r="CJ30" i="14" a="1"/>
  <c r="CJ30" i="14" s="1"/>
  <c r="DF31" i="14" a="1"/>
  <c r="DF31" i="14" s="1"/>
  <c r="ED28" i="14" a="1"/>
  <c r="ED28" i="14" s="1"/>
  <c r="CJ34" i="14" a="1"/>
  <c r="CJ34" i="14" s="1"/>
  <c r="ED32" i="14" a="1"/>
  <c r="ED32" i="14" s="1"/>
  <c r="DF35" i="14" a="1"/>
  <c r="DF35" i="14" s="1"/>
  <c r="ED37" i="14" a="1"/>
  <c r="ED37" i="14" s="1"/>
  <c r="DF40" i="14" a="1"/>
  <c r="DF40" i="14" s="1"/>
  <c r="CJ35" i="14" a="1"/>
  <c r="CJ35" i="14" s="1"/>
  <c r="DF36" i="14" a="1"/>
  <c r="DF36" i="14" s="1"/>
  <c r="ED33" i="14" a="1"/>
  <c r="ED33" i="14" s="1"/>
  <c r="DF41" i="14" a="1"/>
  <c r="DF41" i="14" s="1"/>
  <c r="ED38" i="14" a="1"/>
  <c r="ED38" i="14" s="1"/>
  <c r="CJ9" i="14" a="1"/>
  <c r="CJ9" i="14" s="1"/>
  <c r="DF21" i="14" a="1"/>
  <c r="DF21" i="14" s="1"/>
  <c r="CJ32" i="14" a="1"/>
  <c r="CJ32" i="14" s="1"/>
  <c r="ED30" i="14" a="1"/>
  <c r="ED30" i="14" s="1"/>
  <c r="DF33" i="14" a="1"/>
  <c r="DF33" i="14" s="1"/>
  <c r="CJ33" i="14" a="1"/>
  <c r="CJ33" i="14" s="1"/>
  <c r="ED31" i="14" a="1"/>
  <c r="ED31" i="14" s="1"/>
  <c r="DF34" i="14" a="1"/>
  <c r="DF34" i="14" s="1"/>
  <c r="CJ36" i="14" a="1"/>
  <c r="CJ36" i="14" s="1"/>
  <c r="DF37" i="14" a="1"/>
  <c r="DF37" i="14" s="1"/>
  <c r="ED34" i="14" a="1"/>
  <c r="ED34" i="14" s="1"/>
  <c r="CJ38" i="14" a="1"/>
  <c r="CJ38" i="14" s="1"/>
  <c r="ED36" i="14" a="1"/>
  <c r="ED36" i="14" s="1"/>
  <c r="DF39" i="14" a="1"/>
  <c r="DF39" i="14" s="1"/>
  <c r="AV60" i="10"/>
  <c r="AW60" i="10" s="1"/>
  <c r="AX60" i="10" s="1"/>
  <c r="AY60" i="10" s="1" a="1"/>
  <c r="AY60" i="10" s="1"/>
  <c r="BE71" i="13" s="1"/>
  <c r="BH71" i="13" s="1"/>
  <c r="BD71" i="13"/>
  <c r="AV54" i="10"/>
  <c r="AW54" i="10" s="1"/>
  <c r="AX54" i="10" s="1"/>
  <c r="AY54" i="10" s="1" a="1"/>
  <c r="AY54" i="10" s="1"/>
  <c r="BE65" i="13" s="1"/>
  <c r="BH65" i="13" s="1"/>
  <c r="BD65" i="13"/>
  <c r="BK50" i="10"/>
  <c r="BL50" i="10" s="1"/>
  <c r="BM50" i="10" s="1"/>
  <c r="BN50" i="10" s="1" a="1"/>
  <c r="BN50" i="10" s="1"/>
  <c r="BU61" i="13" s="1"/>
  <c r="BX61" i="13" s="1"/>
  <c r="BT61" i="13"/>
  <c r="BK48" i="10"/>
  <c r="BL48" i="10" s="1"/>
  <c r="BM48" i="10" s="1"/>
  <c r="BN48" i="10" s="1" a="1"/>
  <c r="BN48" i="10" s="1"/>
  <c r="BU59" i="13" s="1"/>
  <c r="BX59" i="13" s="1"/>
  <c r="BT59" i="13"/>
  <c r="BK46" i="10"/>
  <c r="BL46" i="10" s="1"/>
  <c r="BM46" i="10" s="1"/>
  <c r="BN46" i="10" s="1" a="1"/>
  <c r="BN46" i="10" s="1"/>
  <c r="BU57" i="13" s="1"/>
  <c r="BX57" i="13" s="1"/>
  <c r="BT57" i="13"/>
  <c r="BK44" i="10"/>
  <c r="BL44" i="10" s="1"/>
  <c r="BM44" i="10" s="1"/>
  <c r="BN44" i="10" s="1" a="1"/>
  <c r="BN44" i="10" s="1"/>
  <c r="BU55" i="13" s="1"/>
  <c r="BT55" i="13"/>
  <c r="BK42" i="10"/>
  <c r="BL42" i="10" s="1"/>
  <c r="BM42" i="10" s="1"/>
  <c r="BN42" i="10" s="1" a="1"/>
  <c r="BN42" i="10" s="1"/>
  <c r="BU53" i="13" s="1"/>
  <c r="BX53" i="13" s="1"/>
  <c r="BT53" i="13"/>
  <c r="BK40" i="10"/>
  <c r="BL40" i="10" s="1"/>
  <c r="BM40" i="10" s="1"/>
  <c r="BN40" i="10" s="1" a="1"/>
  <c r="BN40" i="10" s="1"/>
  <c r="BU51" i="13" s="1"/>
  <c r="BX51" i="13" s="1"/>
  <c r="BT51" i="13"/>
  <c r="BK38" i="10"/>
  <c r="BL38" i="10" s="1"/>
  <c r="BM38" i="10" s="1"/>
  <c r="BN38" i="10" s="1" a="1"/>
  <c r="BN38" i="10" s="1"/>
  <c r="BU49" i="13" s="1"/>
  <c r="BX49" i="13" s="1"/>
  <c r="BT49" i="13"/>
  <c r="BK36" i="10"/>
  <c r="BL36" i="10" s="1"/>
  <c r="BM36" i="10" s="1"/>
  <c r="BN36" i="10" s="1" a="1"/>
  <c r="BN36" i="10" s="1"/>
  <c r="BU47" i="13" s="1"/>
  <c r="BT47" i="13"/>
  <c r="BK34" i="10"/>
  <c r="BL34" i="10" s="1"/>
  <c r="BM34" i="10" s="1"/>
  <c r="BN34" i="10" s="1" a="1"/>
  <c r="BN34" i="10" s="1"/>
  <c r="BU45" i="13" s="1"/>
  <c r="BX45" i="13" s="1"/>
  <c r="BT45" i="13"/>
  <c r="BK32" i="10"/>
  <c r="BL32" i="10" s="1"/>
  <c r="BM32" i="10" s="1"/>
  <c r="BN32" i="10" s="1" a="1"/>
  <c r="BN32" i="10" s="1"/>
  <c r="BU43" i="13" s="1"/>
  <c r="BX43" i="13" s="1"/>
  <c r="BT43" i="13"/>
  <c r="BK30" i="10"/>
  <c r="BL30" i="10" s="1"/>
  <c r="BM30" i="10" s="1"/>
  <c r="BN30" i="10" s="1" a="1"/>
  <c r="BN30" i="10" s="1"/>
  <c r="BU41" i="13" s="1"/>
  <c r="BX41" i="13" s="1"/>
  <c r="BT41" i="13"/>
  <c r="BK28" i="10"/>
  <c r="BL28" i="10" s="1"/>
  <c r="BM28" i="10" s="1"/>
  <c r="BN28" i="10" s="1" a="1"/>
  <c r="BN28" i="10" s="1"/>
  <c r="BU39" i="13" s="1"/>
  <c r="BX39" i="13" s="1"/>
  <c r="BT39" i="13"/>
  <c r="BK26" i="10"/>
  <c r="BL26" i="10" s="1"/>
  <c r="BM26" i="10" s="1"/>
  <c r="BN26" i="10" s="1" a="1"/>
  <c r="BN26" i="10" s="1"/>
  <c r="BU37" i="13" s="1"/>
  <c r="BX37" i="13" s="1"/>
  <c r="BT37" i="13"/>
  <c r="BK24" i="10"/>
  <c r="BL24" i="10" s="1"/>
  <c r="BM24" i="10" s="1"/>
  <c r="BN24" i="10" s="1" a="1"/>
  <c r="BN24" i="10" s="1"/>
  <c r="BU35" i="13" s="1"/>
  <c r="BX35" i="13" s="1"/>
  <c r="BT35" i="13"/>
  <c r="BK22" i="10"/>
  <c r="BL22" i="10" s="1"/>
  <c r="BM22" i="10" s="1"/>
  <c r="BN22" i="10" s="1" a="1"/>
  <c r="BN22" i="10" s="1"/>
  <c r="BU33" i="13" s="1"/>
  <c r="BT33" i="13"/>
  <c r="BK20" i="10"/>
  <c r="BL20" i="10" s="1"/>
  <c r="BM20" i="10" s="1"/>
  <c r="BN20" i="10" s="1" a="1"/>
  <c r="BN20" i="10" s="1"/>
  <c r="BU31" i="13" s="1"/>
  <c r="BT31" i="13"/>
  <c r="BK18" i="10"/>
  <c r="BL18" i="10" s="1"/>
  <c r="BM18" i="10" s="1"/>
  <c r="BN18" i="10" s="1" a="1"/>
  <c r="BN18" i="10" s="1"/>
  <c r="BU29" i="13" s="1"/>
  <c r="BX29" i="13" s="1"/>
  <c r="BT29" i="13"/>
  <c r="BK16" i="10"/>
  <c r="BL16" i="10" s="1"/>
  <c r="BM16" i="10" s="1"/>
  <c r="BN16" i="10" s="1" a="1"/>
  <c r="BN16" i="10" s="1"/>
  <c r="BU27" i="13" s="1"/>
  <c r="BX27" i="13" s="1"/>
  <c r="BT27" i="13"/>
  <c r="BK14" i="10"/>
  <c r="BL14" i="10" s="1"/>
  <c r="BM14" i="10" s="1"/>
  <c r="BN14" i="10" s="1" a="1"/>
  <c r="BN14" i="10" s="1"/>
  <c r="BU25" i="13" s="1"/>
  <c r="BX25" i="13" s="1"/>
  <c r="BT25" i="13"/>
  <c r="CK43" i="10"/>
  <c r="CL43" i="10" s="1"/>
  <c r="CM43" i="10" s="1"/>
  <c r="CN43" i="10" s="1" a="1"/>
  <c r="CN43" i="10" s="1"/>
  <c r="DA54" i="13" s="1"/>
  <c r="CZ54" i="13"/>
  <c r="CK37" i="10"/>
  <c r="CL37" i="10" s="1"/>
  <c r="CM37" i="10" s="1"/>
  <c r="CN37" i="10" s="1" a="1"/>
  <c r="CN37" i="10" s="1"/>
  <c r="DA48" i="13" s="1"/>
  <c r="CZ48" i="13"/>
  <c r="CK31" i="10"/>
  <c r="CL31" i="10" s="1"/>
  <c r="CM31" i="10" s="1"/>
  <c r="CN31" i="10" s="1" a="1"/>
  <c r="CN31" i="10" s="1"/>
  <c r="DA42" i="13" s="1"/>
  <c r="DD42" i="13" s="1"/>
  <c r="CZ42" i="13"/>
  <c r="CK25" i="10"/>
  <c r="CL25" i="10" s="1"/>
  <c r="CM25" i="10" s="1"/>
  <c r="CN25" i="10" s="1" a="1"/>
  <c r="CN25" i="10" s="1"/>
  <c r="DA36" i="13" s="1"/>
  <c r="DD36" i="13" s="1"/>
  <c r="CZ36" i="13"/>
  <c r="CK19" i="10"/>
  <c r="CL19" i="10" s="1"/>
  <c r="CM19" i="10" s="1"/>
  <c r="CN19" i="10" s="1" a="1"/>
  <c r="CN19" i="10" s="1"/>
  <c r="DA30" i="13" s="1"/>
  <c r="DD30" i="13" s="1"/>
  <c r="CZ30" i="13"/>
  <c r="CK13" i="10"/>
  <c r="CL13" i="10" s="1"/>
  <c r="CM13" i="10" s="1"/>
  <c r="CN13" i="10" s="1" a="1"/>
  <c r="CN13" i="10" s="1"/>
  <c r="DA24" i="13" s="1"/>
  <c r="DD24" i="13" s="1"/>
  <c r="CZ24" i="13"/>
  <c r="V80" i="10"/>
  <c r="W80" i="10" s="1"/>
  <c r="X80" i="10" s="1"/>
  <c r="Y80" i="10" s="1" a="1"/>
  <c r="Y80" i="10" s="1"/>
  <c r="U91" i="13" s="1"/>
  <c r="X91" i="13" s="1"/>
  <c r="V74" i="10"/>
  <c r="W74" i="10" s="1"/>
  <c r="X74" i="10" s="1"/>
  <c r="Y74" i="10" s="1" a="1"/>
  <c r="Y74" i="10" s="1"/>
  <c r="U85" i="13" s="1"/>
  <c r="X85" i="13" s="1"/>
  <c r="V68" i="10"/>
  <c r="W68" i="10" s="1"/>
  <c r="X68" i="10" s="1"/>
  <c r="Y68" i="10" s="1" a="1"/>
  <c r="Y68" i="10" s="1"/>
  <c r="U79" i="13" s="1"/>
  <c r="X79" i="13" s="1"/>
  <c r="V62" i="10"/>
  <c r="W62" i="10" s="1"/>
  <c r="X62" i="10" s="1"/>
  <c r="Y62" i="10" s="1" a="1"/>
  <c r="Y62" i="10" s="1"/>
  <c r="U73" i="13" s="1"/>
  <c r="X73" i="13" s="1"/>
  <c r="V56" i="10"/>
  <c r="W56" i="10" s="1"/>
  <c r="X56" i="10" s="1"/>
  <c r="Y56" i="10" s="1" a="1"/>
  <c r="Y56" i="10" s="1"/>
  <c r="U67" i="13" s="1"/>
  <c r="T24" i="13"/>
  <c r="T27" i="13"/>
  <c r="T30" i="13"/>
  <c r="T37" i="13"/>
  <c r="T46" i="13"/>
  <c r="T55" i="13"/>
  <c r="T64" i="13"/>
  <c r="AN38" i="13"/>
  <c r="BT54" i="13"/>
  <c r="BT42" i="13"/>
  <c r="BT30" i="13"/>
  <c r="CJ52" i="13"/>
  <c r="AV59" i="10"/>
  <c r="AW59" i="10" s="1"/>
  <c r="AX59" i="10" s="1"/>
  <c r="AY59" i="10" s="1" a="1"/>
  <c r="AY59" i="10" s="1"/>
  <c r="BE70" i="13" s="1"/>
  <c r="BH70" i="13" s="1"/>
  <c r="BD70" i="13"/>
  <c r="AV53" i="10"/>
  <c r="AW53" i="10" s="1"/>
  <c r="AX53" i="10" s="1"/>
  <c r="AY53" i="10" s="1" a="1"/>
  <c r="AY53" i="10" s="1"/>
  <c r="BE64" i="13" s="1"/>
  <c r="BH64" i="13" s="1"/>
  <c r="BD64" i="13"/>
  <c r="AV51" i="10"/>
  <c r="AW51" i="10" s="1"/>
  <c r="AX51" i="10" s="1"/>
  <c r="AY51" i="10" s="1" a="1"/>
  <c r="AY51" i="10" s="1"/>
  <c r="BE62" i="13" s="1"/>
  <c r="BH62" i="13" s="1"/>
  <c r="BD62" i="13"/>
  <c r="AV49" i="10"/>
  <c r="AW49" i="10" s="1"/>
  <c r="AX49" i="10" s="1"/>
  <c r="AY49" i="10" s="1" a="1"/>
  <c r="AY49" i="10" s="1"/>
  <c r="BE60" i="13" s="1"/>
  <c r="BH60" i="13" s="1"/>
  <c r="BD60" i="13"/>
  <c r="AV47" i="10"/>
  <c r="AW47" i="10" s="1"/>
  <c r="AX47" i="10" s="1"/>
  <c r="AY47" i="10" s="1" a="1"/>
  <c r="AY47" i="10" s="1"/>
  <c r="BE58" i="13" s="1"/>
  <c r="BH58" i="13" s="1"/>
  <c r="BD58" i="13"/>
  <c r="AV45" i="10"/>
  <c r="AW45" i="10" s="1"/>
  <c r="AX45" i="10" s="1"/>
  <c r="AY45" i="10" s="1" a="1"/>
  <c r="AY45" i="10" s="1"/>
  <c r="BE56" i="13" s="1"/>
  <c r="BH56" i="13" s="1"/>
  <c r="BD56" i="13"/>
  <c r="AV43" i="10"/>
  <c r="AW43" i="10" s="1"/>
  <c r="AX43" i="10" s="1"/>
  <c r="AY43" i="10" s="1" a="1"/>
  <c r="AY43" i="10" s="1"/>
  <c r="BE54" i="13" s="1"/>
  <c r="BH54" i="13" s="1"/>
  <c r="BD54" i="13"/>
  <c r="AV41" i="10"/>
  <c r="AW41" i="10" s="1"/>
  <c r="AX41" i="10" s="1"/>
  <c r="AY41" i="10" s="1" a="1"/>
  <c r="AY41" i="10" s="1"/>
  <c r="BE52" i="13" s="1"/>
  <c r="BH52" i="13" s="1"/>
  <c r="BD52" i="13"/>
  <c r="AV39" i="10"/>
  <c r="AW39" i="10" s="1"/>
  <c r="AX39" i="10" s="1"/>
  <c r="AY39" i="10" s="1" a="1"/>
  <c r="AY39" i="10" s="1"/>
  <c r="BE50" i="13" s="1"/>
  <c r="BH50" i="13" s="1"/>
  <c r="BD50" i="13"/>
  <c r="AV37" i="10"/>
  <c r="AW37" i="10" s="1"/>
  <c r="AX37" i="10" s="1"/>
  <c r="AY37" i="10" s="1" a="1"/>
  <c r="AY37" i="10" s="1"/>
  <c r="BE48" i="13" s="1"/>
  <c r="BH48" i="13" s="1"/>
  <c r="BD48" i="13"/>
  <c r="AV35" i="10"/>
  <c r="AW35" i="10" s="1"/>
  <c r="AX35" i="10" s="1"/>
  <c r="AY35" i="10" s="1" a="1"/>
  <c r="AY35" i="10" s="1"/>
  <c r="BE46" i="13" s="1"/>
  <c r="BD46" i="13"/>
  <c r="AV33" i="10"/>
  <c r="AW33" i="10" s="1"/>
  <c r="AX33" i="10" s="1"/>
  <c r="AY33" i="10" s="1" a="1"/>
  <c r="AY33" i="10" s="1"/>
  <c r="BE44" i="13" s="1"/>
  <c r="BH44" i="13" s="1"/>
  <c r="BD44" i="13"/>
  <c r="AV31" i="10"/>
  <c r="AW31" i="10" s="1"/>
  <c r="AX31" i="10" s="1"/>
  <c r="AY31" i="10" s="1" a="1"/>
  <c r="AY31" i="10" s="1"/>
  <c r="BE42" i="13" s="1"/>
  <c r="BH42" i="13" s="1"/>
  <c r="BD42" i="13"/>
  <c r="AV29" i="10"/>
  <c r="AW29" i="10" s="1"/>
  <c r="AX29" i="10" s="1"/>
  <c r="AY29" i="10" s="1" a="1"/>
  <c r="AY29" i="10" s="1"/>
  <c r="BE40" i="13" s="1"/>
  <c r="BH40" i="13" s="1"/>
  <c r="BD40" i="13"/>
  <c r="AV27" i="10"/>
  <c r="AW27" i="10" s="1"/>
  <c r="AX27" i="10" s="1"/>
  <c r="AY27" i="10" s="1" a="1"/>
  <c r="AY27" i="10" s="1"/>
  <c r="BE38" i="13" s="1"/>
  <c r="BH38" i="13" s="1"/>
  <c r="BD38" i="13"/>
  <c r="AV25" i="10"/>
  <c r="AW25" i="10" s="1"/>
  <c r="AX25" i="10" s="1"/>
  <c r="AY25" i="10" s="1" a="1"/>
  <c r="AY25" i="10" s="1"/>
  <c r="BE36" i="13" s="1"/>
  <c r="BH36" i="13" s="1"/>
  <c r="BD36" i="13"/>
  <c r="AV23" i="10"/>
  <c r="AW23" i="10" s="1"/>
  <c r="AX23" i="10" s="1"/>
  <c r="AY23" i="10" s="1" a="1"/>
  <c r="AY23" i="10" s="1"/>
  <c r="BE34" i="13" s="1"/>
  <c r="BH34" i="13" s="1"/>
  <c r="BD34" i="13"/>
  <c r="AV21" i="10"/>
  <c r="AW21" i="10" s="1"/>
  <c r="AX21" i="10" s="1"/>
  <c r="AY21" i="10" s="1" a="1"/>
  <c r="AY21" i="10" s="1"/>
  <c r="BE32" i="13" s="1"/>
  <c r="BH32" i="13" s="1"/>
  <c r="BD32" i="13"/>
  <c r="AV19" i="10"/>
  <c r="AW19" i="10" s="1"/>
  <c r="AX19" i="10" s="1"/>
  <c r="AY19" i="10" s="1" a="1"/>
  <c r="AY19" i="10" s="1"/>
  <c r="BE30" i="13" s="1"/>
  <c r="BD30" i="13"/>
  <c r="AV17" i="10"/>
  <c r="AW17" i="10" s="1"/>
  <c r="AX17" i="10" s="1"/>
  <c r="AY17" i="10" s="1" a="1"/>
  <c r="AY17" i="10" s="1"/>
  <c r="BE28" i="13" s="1"/>
  <c r="BH28" i="13" s="1"/>
  <c r="BD28" i="13"/>
  <c r="AV15" i="10"/>
  <c r="AW15" i="10" s="1"/>
  <c r="AX15" i="10" s="1"/>
  <c r="AY15" i="10" s="1" a="1"/>
  <c r="AY15" i="10" s="1"/>
  <c r="BE26" i="13" s="1"/>
  <c r="BH26" i="13" s="1"/>
  <c r="BD26" i="13"/>
  <c r="AV12" i="10"/>
  <c r="AW12" i="10" s="1"/>
  <c r="AX12" i="10" s="1"/>
  <c r="AY12" i="10" s="1" a="1"/>
  <c r="AY12" i="10" s="1"/>
  <c r="BE23" i="13" s="1"/>
  <c r="BH23" i="13" s="1"/>
  <c r="BD23" i="13"/>
  <c r="BX57" i="10"/>
  <c r="BY57" i="10" s="1"/>
  <c r="BZ57" i="10" s="1"/>
  <c r="CA57" i="10" s="1" a="1"/>
  <c r="CA57" i="10" s="1"/>
  <c r="CK68" i="13" s="1"/>
  <c r="CJ68" i="13"/>
  <c r="BX55" i="10"/>
  <c r="BY55" i="10" s="1"/>
  <c r="BZ55" i="10" s="1"/>
  <c r="CA55" i="10" s="1" a="1"/>
  <c r="CA55" i="10" s="1"/>
  <c r="CK66" i="13" s="1"/>
  <c r="CN66" i="13" s="1"/>
  <c r="CJ66" i="13"/>
  <c r="CO66" i="13" s="1"/>
  <c r="BX53" i="10"/>
  <c r="BY53" i="10" s="1"/>
  <c r="BZ53" i="10" s="1"/>
  <c r="CA53" i="10" s="1" a="1"/>
  <c r="CA53" i="10" s="1"/>
  <c r="CK64" i="13" s="1"/>
  <c r="CN64" i="13" s="1"/>
  <c r="CJ64" i="13"/>
  <c r="BX51" i="10"/>
  <c r="BY51" i="10" s="1"/>
  <c r="BZ51" i="10" s="1"/>
  <c r="CA51" i="10" s="1" a="1"/>
  <c r="CA51" i="10" s="1"/>
  <c r="CK62" i="13" s="1"/>
  <c r="CN62" i="13" s="1"/>
  <c r="CJ62" i="13"/>
  <c r="BX49" i="10"/>
  <c r="BY49" i="10" s="1"/>
  <c r="BZ49" i="10" s="1"/>
  <c r="CA49" i="10" s="1" a="1"/>
  <c r="CA49" i="10" s="1"/>
  <c r="CK60" i="13" s="1"/>
  <c r="CN60" i="13" s="1"/>
  <c r="CJ60" i="13"/>
  <c r="BX47" i="10"/>
  <c r="BY47" i="10" s="1"/>
  <c r="BZ47" i="10" s="1"/>
  <c r="CA47" i="10" s="1" a="1"/>
  <c r="CA47" i="10" s="1"/>
  <c r="CK58" i="13" s="1"/>
  <c r="CN58" i="13" s="1"/>
  <c r="CJ58" i="13"/>
  <c r="BX45" i="10"/>
  <c r="BY45" i="10" s="1"/>
  <c r="BZ45" i="10" s="1"/>
  <c r="CA45" i="10" s="1" a="1"/>
  <c r="CA45" i="10" s="1"/>
  <c r="CK56" i="13" s="1"/>
  <c r="CN56" i="13" s="1"/>
  <c r="CJ56" i="13"/>
  <c r="BX43" i="10"/>
  <c r="BY43" i="10" s="1"/>
  <c r="BZ43" i="10" s="1"/>
  <c r="CA43" i="10" s="1" a="1"/>
  <c r="CA43" i="10" s="1"/>
  <c r="CK54" i="13" s="1"/>
  <c r="CN54" i="13" s="1"/>
  <c r="CJ54" i="13"/>
  <c r="CO54" i="13" s="1"/>
  <c r="BX39" i="10"/>
  <c r="BY39" i="10" s="1"/>
  <c r="BZ39" i="10" s="1"/>
  <c r="CA39" i="10" s="1" a="1"/>
  <c r="CA39" i="10" s="1"/>
  <c r="CK50" i="13" s="1"/>
  <c r="CN50" i="13" s="1"/>
  <c r="CJ50" i="13"/>
  <c r="BX37" i="10"/>
  <c r="BY37" i="10" s="1"/>
  <c r="BZ37" i="10" s="1"/>
  <c r="CA37" i="10" s="1" a="1"/>
  <c r="CA37" i="10" s="1"/>
  <c r="CK48" i="13" s="1"/>
  <c r="CN48" i="13" s="1"/>
  <c r="CJ48" i="13"/>
  <c r="BX35" i="10"/>
  <c r="BY35" i="10" s="1"/>
  <c r="BZ35" i="10" s="1"/>
  <c r="CA35" i="10" s="1" a="1"/>
  <c r="CA35" i="10" s="1"/>
  <c r="CK46" i="13" s="1"/>
  <c r="CN46" i="13" s="1"/>
  <c r="CJ46" i="13"/>
  <c r="BX33" i="10"/>
  <c r="BY33" i="10" s="1"/>
  <c r="BZ33" i="10" s="1"/>
  <c r="CA33" i="10" s="1" a="1"/>
  <c r="CA33" i="10" s="1"/>
  <c r="CK44" i="13" s="1"/>
  <c r="CN44" i="13" s="1"/>
  <c r="CJ44" i="13"/>
  <c r="BX31" i="10"/>
  <c r="BY31" i="10" s="1"/>
  <c r="BZ31" i="10" s="1"/>
  <c r="CA31" i="10" s="1" a="1"/>
  <c r="CA31" i="10" s="1"/>
  <c r="CK42" i="13" s="1"/>
  <c r="CN42" i="13" s="1"/>
  <c r="CJ42" i="13"/>
  <c r="BX29" i="10"/>
  <c r="BY29" i="10" s="1"/>
  <c r="BZ29" i="10" s="1"/>
  <c r="CA29" i="10" s="1" a="1"/>
  <c r="CA29" i="10" s="1"/>
  <c r="CK40" i="13" s="1"/>
  <c r="CN40" i="13" s="1"/>
  <c r="CJ40" i="13"/>
  <c r="CO40" i="13" s="1"/>
  <c r="BX27" i="10"/>
  <c r="BY27" i="10" s="1"/>
  <c r="BZ27" i="10" s="1"/>
  <c r="CA27" i="10" s="1" a="1"/>
  <c r="CA27" i="10" s="1"/>
  <c r="CK38" i="13" s="1"/>
  <c r="CN38" i="13" s="1"/>
  <c r="CJ38" i="13"/>
  <c r="BX25" i="10"/>
  <c r="BY25" i="10" s="1"/>
  <c r="BZ25" i="10" s="1"/>
  <c r="CA25" i="10" s="1" a="1"/>
  <c r="CA25" i="10" s="1"/>
  <c r="CK36" i="13" s="1"/>
  <c r="CN36" i="13" s="1"/>
  <c r="CJ36" i="13"/>
  <c r="BX21" i="10"/>
  <c r="BY21" i="10" s="1"/>
  <c r="BZ21" i="10" s="1"/>
  <c r="CA21" i="10" s="1" a="1"/>
  <c r="CA21" i="10" s="1"/>
  <c r="CK32" i="13" s="1"/>
  <c r="CN32" i="13" s="1"/>
  <c r="CJ32" i="13"/>
  <c r="BX17" i="10"/>
  <c r="BY17" i="10" s="1"/>
  <c r="BZ17" i="10" s="1"/>
  <c r="CA17" i="10" s="1" a="1"/>
  <c r="CA17" i="10" s="1"/>
  <c r="CK28" i="13" s="1"/>
  <c r="CN28" i="13" s="1"/>
  <c r="CJ28" i="13"/>
  <c r="BX15" i="10"/>
  <c r="BY15" i="10" s="1"/>
  <c r="BZ15" i="10" s="1"/>
  <c r="CA15" i="10" s="1" a="1"/>
  <c r="CA15" i="10" s="1"/>
  <c r="CK26" i="13" s="1"/>
  <c r="CN26" i="13" s="1"/>
  <c r="CJ26" i="13"/>
  <c r="BX12" i="10"/>
  <c r="BY12" i="10" s="1"/>
  <c r="BZ12" i="10" s="1"/>
  <c r="CA12" i="10" s="1" a="1"/>
  <c r="CA12" i="10" s="1"/>
  <c r="CK23" i="13" s="1"/>
  <c r="CN23" i="13" s="1"/>
  <c r="CJ23" i="13"/>
  <c r="CO23" i="13" s="1"/>
  <c r="CK42" i="10"/>
  <c r="CL42" i="10" s="1"/>
  <c r="CM42" i="10" s="1"/>
  <c r="CN42" i="10" s="1" a="1"/>
  <c r="CN42" i="10" s="1"/>
  <c r="DA53" i="13" s="1"/>
  <c r="CZ53" i="13"/>
  <c r="CK36" i="10"/>
  <c r="CL36" i="10" s="1"/>
  <c r="CM36" i="10" s="1"/>
  <c r="CN36" i="10" s="1" a="1"/>
  <c r="CN36" i="10" s="1"/>
  <c r="DA47" i="13" s="1"/>
  <c r="DD47" i="13" s="1"/>
  <c r="CZ47" i="13"/>
  <c r="CK30" i="10"/>
  <c r="CL30" i="10" s="1"/>
  <c r="CM30" i="10" s="1"/>
  <c r="CN30" i="10" s="1" a="1"/>
  <c r="CN30" i="10" s="1"/>
  <c r="DA41" i="13" s="1"/>
  <c r="DD41" i="13" s="1"/>
  <c r="CZ41" i="13"/>
  <c r="CK24" i="10"/>
  <c r="CL24" i="10" s="1"/>
  <c r="CM24" i="10" s="1"/>
  <c r="CN24" i="10" s="1" a="1"/>
  <c r="CN24" i="10" s="1"/>
  <c r="DA35" i="13" s="1"/>
  <c r="DD35" i="13" s="1"/>
  <c r="CZ35" i="13"/>
  <c r="CK18" i="10"/>
  <c r="CL18" i="10" s="1"/>
  <c r="CM18" i="10" s="1"/>
  <c r="CN18" i="10" s="1" a="1"/>
  <c r="CN18" i="10" s="1"/>
  <c r="DA29" i="13" s="1"/>
  <c r="CZ29" i="13"/>
  <c r="CK12" i="10"/>
  <c r="CL12" i="10" s="1"/>
  <c r="CM12" i="10" s="1"/>
  <c r="CN12" i="10" s="1" a="1"/>
  <c r="CN12" i="10" s="1"/>
  <c r="DA23" i="13" s="1"/>
  <c r="DD23" i="13" s="1"/>
  <c r="CZ23" i="13"/>
  <c r="T32" i="13"/>
  <c r="T39" i="13"/>
  <c r="T41" i="13"/>
  <c r="T48" i="13"/>
  <c r="T50" i="13"/>
  <c r="T57" i="13"/>
  <c r="T59" i="13"/>
  <c r="X88" i="13"/>
  <c r="X174" i="13" s="1"/>
  <c r="AN32" i="13"/>
  <c r="AS32" i="13" s="1"/>
  <c r="BT56" i="13"/>
  <c r="BT44" i="13"/>
  <c r="BT32" i="13"/>
  <c r="AI47" i="10"/>
  <c r="AJ47" i="10" s="1"/>
  <c r="AK47" i="10" s="1"/>
  <c r="AL47" i="10" s="1" a="1"/>
  <c r="AL47" i="10" s="1"/>
  <c r="AO58" i="13" s="1"/>
  <c r="AR58" i="13" s="1"/>
  <c r="AN58" i="13"/>
  <c r="AI45" i="10"/>
  <c r="AJ45" i="10" s="1"/>
  <c r="AK45" i="10" s="1"/>
  <c r="AL45" i="10" s="1" a="1"/>
  <c r="AL45" i="10" s="1"/>
  <c r="AO56" i="13" s="1"/>
  <c r="AR56" i="13" s="1"/>
  <c r="AN56" i="13"/>
  <c r="AI43" i="10"/>
  <c r="AJ43" i="10" s="1"/>
  <c r="AK43" i="10" s="1"/>
  <c r="AL43" i="10" s="1" a="1"/>
  <c r="AL43" i="10" s="1"/>
  <c r="AO54" i="13" s="1"/>
  <c r="AR54" i="13" s="1"/>
  <c r="AN54" i="13"/>
  <c r="AI41" i="10"/>
  <c r="AJ41" i="10" s="1"/>
  <c r="AK41" i="10" s="1"/>
  <c r="AL41" i="10" s="1" a="1"/>
  <c r="AL41" i="10" s="1"/>
  <c r="AO52" i="13" s="1"/>
  <c r="AR52" i="13" s="1"/>
  <c r="AN52" i="13"/>
  <c r="AI39" i="10"/>
  <c r="AJ39" i="10" s="1"/>
  <c r="AK39" i="10" s="1"/>
  <c r="AL39" i="10" s="1" a="1"/>
  <c r="AL39" i="10" s="1"/>
  <c r="AO50" i="13" s="1"/>
  <c r="AR50" i="13" s="1"/>
  <c r="AN50" i="13"/>
  <c r="AI37" i="10"/>
  <c r="AJ37" i="10" s="1"/>
  <c r="AK37" i="10" s="1"/>
  <c r="AL37" i="10" s="1" a="1"/>
  <c r="AL37" i="10" s="1"/>
  <c r="AO48" i="13" s="1"/>
  <c r="AR48" i="13" s="1"/>
  <c r="AN48" i="13"/>
  <c r="AS48" i="13" s="1"/>
  <c r="AI35" i="10"/>
  <c r="AJ35" i="10" s="1"/>
  <c r="AK35" i="10" s="1"/>
  <c r="AL35" i="10" s="1" a="1"/>
  <c r="AL35" i="10" s="1"/>
  <c r="AO46" i="13" s="1"/>
  <c r="AR46" i="13" s="1"/>
  <c r="AN46" i="13"/>
  <c r="AI31" i="10"/>
  <c r="AJ31" i="10" s="1"/>
  <c r="AK31" i="10" s="1"/>
  <c r="AL31" i="10" s="1" a="1"/>
  <c r="AL31" i="10" s="1"/>
  <c r="AO42" i="13" s="1"/>
  <c r="AR42" i="13" s="1"/>
  <c r="AN42" i="13"/>
  <c r="AS42" i="13" s="1"/>
  <c r="AI29" i="10"/>
  <c r="AJ29" i="10" s="1"/>
  <c r="AK29" i="10" s="1"/>
  <c r="AL29" i="10" s="1" a="1"/>
  <c r="AL29" i="10" s="1"/>
  <c r="AO40" i="13" s="1"/>
  <c r="AR40" i="13" s="1"/>
  <c r="AN40" i="13"/>
  <c r="AS40" i="13" s="1"/>
  <c r="AI25" i="10"/>
  <c r="AJ25" i="10" s="1"/>
  <c r="AK25" i="10" s="1"/>
  <c r="AL25" i="10" s="1" a="1"/>
  <c r="AL25" i="10" s="1"/>
  <c r="AO36" i="13" s="1"/>
  <c r="AN36" i="13"/>
  <c r="AS36" i="13" s="1"/>
  <c r="AI23" i="10"/>
  <c r="AJ23" i="10" s="1"/>
  <c r="AK23" i="10" s="1"/>
  <c r="AL23" i="10" s="1" a="1"/>
  <c r="AL23" i="10" s="1"/>
  <c r="AO34" i="13" s="1"/>
  <c r="AR34" i="13" s="1"/>
  <c r="AN34" i="13"/>
  <c r="AI19" i="10"/>
  <c r="AJ19" i="10" s="1"/>
  <c r="AK19" i="10" s="1"/>
  <c r="AL19" i="10" s="1" a="1"/>
  <c r="AL19" i="10" s="1"/>
  <c r="AO30" i="13" s="1"/>
  <c r="AN30" i="13"/>
  <c r="AI17" i="10"/>
  <c r="AJ17" i="10" s="1"/>
  <c r="AK17" i="10" s="1"/>
  <c r="AL17" i="10" s="1" a="1"/>
  <c r="AL17" i="10" s="1"/>
  <c r="AO28" i="13" s="1"/>
  <c r="AR28" i="13" s="1"/>
  <c r="AN28" i="13"/>
  <c r="AS28" i="13" s="1"/>
  <c r="AI12" i="10"/>
  <c r="AJ12" i="10" s="1"/>
  <c r="AK12" i="10" s="1"/>
  <c r="AL12" i="10" s="1" a="1"/>
  <c r="AL12" i="10" s="1"/>
  <c r="AO23" i="13" s="1"/>
  <c r="AR23" i="13" s="1"/>
  <c r="AN23" i="13"/>
  <c r="AS23" i="13" s="1"/>
  <c r="AV58" i="10"/>
  <c r="AW58" i="10" s="1"/>
  <c r="AX58" i="10" s="1"/>
  <c r="AY58" i="10" s="1" a="1"/>
  <c r="AY58" i="10" s="1"/>
  <c r="BE69" i="13" s="1"/>
  <c r="BH69" i="13" s="1"/>
  <c r="BD69" i="13"/>
  <c r="BX13" i="10"/>
  <c r="BY13" i="10" s="1"/>
  <c r="BZ13" i="10" s="1"/>
  <c r="CA13" i="10" s="1" a="1"/>
  <c r="CA13" i="10" s="1"/>
  <c r="CK24" i="13" s="1"/>
  <c r="CJ24" i="13"/>
  <c r="CO24" i="13" s="1"/>
  <c r="AV13" i="10"/>
  <c r="AW13" i="10" s="1"/>
  <c r="AX13" i="10" s="1"/>
  <c r="AY13" i="10" s="1" a="1"/>
  <c r="AY13" i="10" s="1"/>
  <c r="BE24" i="13" s="1"/>
  <c r="BH24" i="13" s="1"/>
  <c r="BD24" i="13"/>
  <c r="CK41" i="10"/>
  <c r="CL41" i="10" s="1"/>
  <c r="CM41" i="10" s="1"/>
  <c r="CN41" i="10" s="1" a="1"/>
  <c r="CN41" i="10" s="1"/>
  <c r="DA52" i="13" s="1"/>
  <c r="DD52" i="13" s="1"/>
  <c r="CZ52" i="13"/>
  <c r="CK35" i="10"/>
  <c r="CL35" i="10" s="1"/>
  <c r="CM35" i="10" s="1"/>
  <c r="CN35" i="10" s="1" a="1"/>
  <c r="CN35" i="10" s="1"/>
  <c r="DA46" i="13" s="1"/>
  <c r="DD46" i="13" s="1"/>
  <c r="CZ46" i="13"/>
  <c r="CK29" i="10"/>
  <c r="CL29" i="10" s="1"/>
  <c r="CM29" i="10" s="1"/>
  <c r="CN29" i="10" s="1" a="1"/>
  <c r="CN29" i="10" s="1"/>
  <c r="DA40" i="13" s="1"/>
  <c r="DD40" i="13" s="1"/>
  <c r="CZ40" i="13"/>
  <c r="CK23" i="10"/>
  <c r="CL23" i="10" s="1"/>
  <c r="CM23" i="10" s="1"/>
  <c r="CN23" i="10" s="1" a="1"/>
  <c r="CN23" i="10" s="1"/>
  <c r="DA34" i="13" s="1"/>
  <c r="DD34" i="13" s="1"/>
  <c r="CZ34" i="13"/>
  <c r="CK17" i="10"/>
  <c r="CL17" i="10" s="1"/>
  <c r="CM17" i="10" s="1"/>
  <c r="CN17" i="10" s="1" a="1"/>
  <c r="CN17" i="10" s="1"/>
  <c r="DA28" i="13" s="1"/>
  <c r="DD28" i="13" s="1"/>
  <c r="CZ28" i="13"/>
  <c r="CK28" i="10"/>
  <c r="CL28" i="10" s="1"/>
  <c r="CM28" i="10" s="1"/>
  <c r="CN28" i="10" s="1" a="1"/>
  <c r="CN28" i="10" s="1"/>
  <c r="DA39" i="13" s="1"/>
  <c r="DD39" i="13" s="1"/>
  <c r="V78" i="10"/>
  <c r="W78" i="10" s="1"/>
  <c r="X78" i="10" s="1"/>
  <c r="Y78" i="10" s="1" a="1"/>
  <c r="Y78" i="10" s="1"/>
  <c r="U89" i="13" s="1"/>
  <c r="X89" i="13" s="1"/>
  <c r="V72" i="10"/>
  <c r="W72" i="10" s="1"/>
  <c r="X72" i="10" s="1"/>
  <c r="Y72" i="10" s="1" a="1"/>
  <c r="Y72" i="10" s="1"/>
  <c r="U83" i="13" s="1"/>
  <c r="X83" i="13" s="1"/>
  <c r="V66" i="10"/>
  <c r="W66" i="10" s="1"/>
  <c r="X66" i="10" s="1"/>
  <c r="Y66" i="10" s="1" a="1"/>
  <c r="Y66" i="10" s="1"/>
  <c r="U77" i="13" s="1"/>
  <c r="V60" i="10"/>
  <c r="W60" i="10" s="1"/>
  <c r="X60" i="10" s="1"/>
  <c r="Y60" i="10" s="1" a="1"/>
  <c r="Y60" i="10" s="1"/>
  <c r="U71" i="13" s="1"/>
  <c r="X71" i="13" s="1"/>
  <c r="V54" i="10"/>
  <c r="W54" i="10" s="1"/>
  <c r="X54" i="10" s="1"/>
  <c r="Y54" i="10" s="1" a="1"/>
  <c r="Y54" i="10" s="1"/>
  <c r="U65" i="13" s="1"/>
  <c r="X65" i="13" s="1"/>
  <c r="T23" i="13"/>
  <c r="T26" i="13"/>
  <c r="Y26" i="13" s="1"/>
  <c r="T29" i="13"/>
  <c r="T34" i="13"/>
  <c r="T43" i="13"/>
  <c r="T52" i="13"/>
  <c r="T61" i="13"/>
  <c r="T69" i="13"/>
  <c r="T75" i="13"/>
  <c r="T81" i="13"/>
  <c r="T87" i="13"/>
  <c r="AN26" i="13"/>
  <c r="BT58" i="13"/>
  <c r="BT46" i="13"/>
  <c r="BT34" i="13"/>
  <c r="BT22" i="13"/>
  <c r="AV57" i="10"/>
  <c r="AW57" i="10" s="1"/>
  <c r="AX57" i="10" s="1"/>
  <c r="AY57" i="10" s="1" a="1"/>
  <c r="AY57" i="10" s="1"/>
  <c r="BE68" i="13" s="1"/>
  <c r="BH68" i="13" s="1"/>
  <c r="BD68" i="13"/>
  <c r="BK12" i="10"/>
  <c r="BL12" i="10" s="1"/>
  <c r="BM12" i="10" s="1"/>
  <c r="BN12" i="10" s="1" a="1"/>
  <c r="BN12" i="10" s="1"/>
  <c r="BU23" i="13" s="1"/>
  <c r="BX23" i="13" s="1"/>
  <c r="BT23" i="13"/>
  <c r="CK40" i="10"/>
  <c r="CL40" i="10" s="1"/>
  <c r="CM40" i="10" s="1"/>
  <c r="CN40" i="10" s="1" a="1"/>
  <c r="CN40" i="10" s="1"/>
  <c r="DA51" i="13" s="1"/>
  <c r="DD51" i="13" s="1"/>
  <c r="CZ51" i="13"/>
  <c r="CK34" i="10"/>
  <c r="CL34" i="10" s="1"/>
  <c r="CM34" i="10" s="1"/>
  <c r="CN34" i="10" s="1" a="1"/>
  <c r="CN34" i="10" s="1"/>
  <c r="DA45" i="13" s="1"/>
  <c r="DD45" i="13" s="1"/>
  <c r="CZ45" i="13"/>
  <c r="CK22" i="10"/>
  <c r="CL22" i="10" s="1"/>
  <c r="CM22" i="10" s="1"/>
  <c r="CN22" i="10" s="1" a="1"/>
  <c r="CN22" i="10" s="1"/>
  <c r="DA33" i="13" s="1"/>
  <c r="DD33" i="13" s="1"/>
  <c r="CZ33" i="13"/>
  <c r="CK16" i="10"/>
  <c r="CL16" i="10" s="1"/>
  <c r="CM16" i="10" s="1"/>
  <c r="CN16" i="10" s="1" a="1"/>
  <c r="CN16" i="10" s="1"/>
  <c r="DA27" i="13" s="1"/>
  <c r="DD27" i="13" s="1"/>
  <c r="CZ27" i="13"/>
  <c r="T36" i="13"/>
  <c r="T38" i="13"/>
  <c r="T45" i="13"/>
  <c r="T47" i="13"/>
  <c r="T54" i="13"/>
  <c r="T56" i="13"/>
  <c r="T63" i="13"/>
  <c r="AS38" i="13"/>
  <c r="AN57" i="13"/>
  <c r="BT60" i="13"/>
  <c r="BT48" i="13"/>
  <c r="BT36" i="13"/>
  <c r="BT24" i="13"/>
  <c r="CJ30" i="13"/>
  <c r="AV62" i="10"/>
  <c r="AW62" i="10" s="1"/>
  <c r="AX62" i="10" s="1"/>
  <c r="AY62" i="10" s="1" a="1"/>
  <c r="AY62" i="10" s="1"/>
  <c r="BE73" i="13" s="1"/>
  <c r="BH73" i="13" s="1"/>
  <c r="BD73" i="13"/>
  <c r="AV56" i="10"/>
  <c r="AW56" i="10" s="1"/>
  <c r="AX56" i="10" s="1"/>
  <c r="AY56" i="10" s="1" a="1"/>
  <c r="AY56" i="10" s="1"/>
  <c r="BE67" i="13" s="1"/>
  <c r="BH67" i="13" s="1"/>
  <c r="BD67" i="13"/>
  <c r="AV52" i="10"/>
  <c r="AW52" i="10" s="1"/>
  <c r="AX52" i="10" s="1"/>
  <c r="AY52" i="10" s="1" a="1"/>
  <c r="AY52" i="10" s="1"/>
  <c r="BE63" i="13" s="1"/>
  <c r="BH63" i="13" s="1"/>
  <c r="BD63" i="13"/>
  <c r="AV50" i="10"/>
  <c r="AW50" i="10" s="1"/>
  <c r="AX50" i="10" s="1"/>
  <c r="AY50" i="10" s="1" a="1"/>
  <c r="AY50" i="10" s="1"/>
  <c r="BE61" i="13" s="1"/>
  <c r="BH61" i="13" s="1"/>
  <c r="BD61" i="13"/>
  <c r="BI61" i="13" s="1"/>
  <c r="AV48" i="10"/>
  <c r="AW48" i="10" s="1"/>
  <c r="AX48" i="10" s="1"/>
  <c r="AY48" i="10" s="1" a="1"/>
  <c r="AY48" i="10" s="1"/>
  <c r="BE59" i="13" s="1"/>
  <c r="BH59" i="13" s="1"/>
  <c r="BD59" i="13"/>
  <c r="AV46" i="10"/>
  <c r="AW46" i="10" s="1"/>
  <c r="AX46" i="10" s="1"/>
  <c r="AY46" i="10" s="1" a="1"/>
  <c r="AY46" i="10" s="1"/>
  <c r="BE57" i="13" s="1"/>
  <c r="BH57" i="13" s="1"/>
  <c r="BD57" i="13"/>
  <c r="AV44" i="10"/>
  <c r="AW44" i="10" s="1"/>
  <c r="AX44" i="10" s="1"/>
  <c r="AY44" i="10" s="1" a="1"/>
  <c r="AY44" i="10" s="1"/>
  <c r="BE55" i="13" s="1"/>
  <c r="BH55" i="13" s="1"/>
  <c r="BD55" i="13"/>
  <c r="AV42" i="10"/>
  <c r="AW42" i="10" s="1"/>
  <c r="AX42" i="10" s="1"/>
  <c r="AY42" i="10" s="1" a="1"/>
  <c r="AY42" i="10" s="1"/>
  <c r="BE53" i="13" s="1"/>
  <c r="BH53" i="13" s="1"/>
  <c r="BD53" i="13"/>
  <c r="BI53" i="13" s="1"/>
  <c r="AV40" i="10"/>
  <c r="AW40" i="10" s="1"/>
  <c r="AX40" i="10" s="1"/>
  <c r="AY40" i="10" s="1" a="1"/>
  <c r="AY40" i="10" s="1"/>
  <c r="BE51" i="13" s="1"/>
  <c r="BH51" i="13" s="1"/>
  <c r="BD51" i="13"/>
  <c r="AV38" i="10"/>
  <c r="AW38" i="10" s="1"/>
  <c r="AX38" i="10" s="1"/>
  <c r="AY38" i="10" s="1" a="1"/>
  <c r="AY38" i="10" s="1"/>
  <c r="BE49" i="13" s="1"/>
  <c r="BH49" i="13" s="1"/>
  <c r="BD49" i="13"/>
  <c r="AV36" i="10"/>
  <c r="AW36" i="10" s="1"/>
  <c r="AX36" i="10" s="1"/>
  <c r="AY36" i="10" s="1" a="1"/>
  <c r="AY36" i="10" s="1"/>
  <c r="BE47" i="13" s="1"/>
  <c r="BH47" i="13" s="1"/>
  <c r="BD47" i="13"/>
  <c r="AV34" i="10"/>
  <c r="AW34" i="10" s="1"/>
  <c r="AX34" i="10" s="1"/>
  <c r="AY34" i="10" s="1" a="1"/>
  <c r="AY34" i="10" s="1"/>
  <c r="BE45" i="13" s="1"/>
  <c r="BH45" i="13" s="1"/>
  <c r="BD45" i="13"/>
  <c r="AV32" i="10"/>
  <c r="AW32" i="10" s="1"/>
  <c r="AX32" i="10" s="1"/>
  <c r="AY32" i="10" s="1" a="1"/>
  <c r="AY32" i="10" s="1"/>
  <c r="BE43" i="13" s="1"/>
  <c r="BH43" i="13" s="1"/>
  <c r="BD43" i="13"/>
  <c r="AV30" i="10"/>
  <c r="AW30" i="10" s="1"/>
  <c r="AX30" i="10" s="1"/>
  <c r="AY30" i="10" s="1" a="1"/>
  <c r="AY30" i="10" s="1"/>
  <c r="BE41" i="13" s="1"/>
  <c r="BH41" i="13" s="1"/>
  <c r="BD41" i="13"/>
  <c r="AV28" i="10"/>
  <c r="AW28" i="10" s="1"/>
  <c r="AX28" i="10" s="1"/>
  <c r="AY28" i="10" s="1" a="1"/>
  <c r="AY28" i="10" s="1"/>
  <c r="BE39" i="13" s="1"/>
  <c r="BH39" i="13" s="1"/>
  <c r="BD39" i="13"/>
  <c r="BI39" i="13" s="1"/>
  <c r="AV26" i="10"/>
  <c r="AW26" i="10" s="1"/>
  <c r="AX26" i="10" s="1"/>
  <c r="AY26" i="10" s="1" a="1"/>
  <c r="AY26" i="10" s="1"/>
  <c r="BE37" i="13" s="1"/>
  <c r="BH37" i="13" s="1"/>
  <c r="BD37" i="13"/>
  <c r="BI37" i="13" s="1"/>
  <c r="AV24" i="10"/>
  <c r="AW24" i="10" s="1"/>
  <c r="AX24" i="10" s="1"/>
  <c r="AY24" i="10" s="1" a="1"/>
  <c r="AY24" i="10" s="1"/>
  <c r="BE35" i="13" s="1"/>
  <c r="BH35" i="13" s="1"/>
  <c r="BD35" i="13"/>
  <c r="AV22" i="10"/>
  <c r="AW22" i="10" s="1"/>
  <c r="AX22" i="10" s="1"/>
  <c r="AY22" i="10" s="1" a="1"/>
  <c r="AY22" i="10" s="1"/>
  <c r="BE33" i="13" s="1"/>
  <c r="BH33" i="13" s="1"/>
  <c r="BD33" i="13"/>
  <c r="AV20" i="10"/>
  <c r="AW20" i="10" s="1"/>
  <c r="AX20" i="10" s="1"/>
  <c r="AY20" i="10" s="1" a="1"/>
  <c r="AY20" i="10" s="1"/>
  <c r="BE31" i="13" s="1"/>
  <c r="BH31" i="13" s="1"/>
  <c r="BD31" i="13"/>
  <c r="AV18" i="10"/>
  <c r="AW18" i="10" s="1"/>
  <c r="AX18" i="10" s="1"/>
  <c r="AY18" i="10" s="1" a="1"/>
  <c r="AY18" i="10" s="1"/>
  <c r="BE29" i="13" s="1"/>
  <c r="BH29" i="13" s="1"/>
  <c r="BD29" i="13"/>
  <c r="AV16" i="10"/>
  <c r="AW16" i="10" s="1"/>
  <c r="AX16" i="10" s="1"/>
  <c r="AY16" i="10" s="1" a="1"/>
  <c r="AY16" i="10" s="1"/>
  <c r="BE27" i="13" s="1"/>
  <c r="BH27" i="13" s="1"/>
  <c r="BD27" i="13"/>
  <c r="AV14" i="10"/>
  <c r="AW14" i="10" s="1"/>
  <c r="AX14" i="10" s="1"/>
  <c r="AY14" i="10" s="1" a="1"/>
  <c r="AY14" i="10" s="1"/>
  <c r="BE25" i="13" s="1"/>
  <c r="BH25" i="13" s="1"/>
  <c r="BD25" i="13"/>
  <c r="AV11" i="10"/>
  <c r="AW11" i="10" s="1"/>
  <c r="AX11" i="10" s="1"/>
  <c r="AY11" i="10" s="1" a="1"/>
  <c r="AY11" i="10" s="1"/>
  <c r="BE22" i="13" s="1"/>
  <c r="BH22" i="13" s="1"/>
  <c r="BD22" i="13"/>
  <c r="BI22" i="13" s="1"/>
  <c r="BX58" i="10"/>
  <c r="BY58" i="10" s="1"/>
  <c r="BZ58" i="10" s="1"/>
  <c r="CA58" i="10" s="1" a="1"/>
  <c r="CA58" i="10" s="1"/>
  <c r="CK69" i="13" s="1"/>
  <c r="CN69" i="13" s="1"/>
  <c r="CJ69" i="13"/>
  <c r="BX56" i="10"/>
  <c r="BY56" i="10" s="1"/>
  <c r="BZ56" i="10" s="1"/>
  <c r="CA56" i="10" s="1" a="1"/>
  <c r="CA56" i="10" s="1"/>
  <c r="CK67" i="13" s="1"/>
  <c r="CN67" i="13" s="1"/>
  <c r="CJ67" i="13"/>
  <c r="BX54" i="10"/>
  <c r="BY54" i="10" s="1"/>
  <c r="BZ54" i="10" s="1"/>
  <c r="CA54" i="10" s="1" a="1"/>
  <c r="CA54" i="10" s="1"/>
  <c r="CK65" i="13" s="1"/>
  <c r="CN65" i="13" s="1"/>
  <c r="CJ65" i="13"/>
  <c r="CO65" i="13" s="1"/>
  <c r="BX52" i="10"/>
  <c r="BY52" i="10" s="1"/>
  <c r="BZ52" i="10" s="1"/>
  <c r="CA52" i="10" s="1" a="1"/>
  <c r="CA52" i="10" s="1"/>
  <c r="CK63" i="13" s="1"/>
  <c r="CN63" i="13" s="1"/>
  <c r="CJ63" i="13"/>
  <c r="BX50" i="10"/>
  <c r="BY50" i="10" s="1"/>
  <c r="BZ50" i="10" s="1"/>
  <c r="CA50" i="10" s="1" a="1"/>
  <c r="CA50" i="10" s="1"/>
  <c r="CK61" i="13" s="1"/>
  <c r="CN61" i="13" s="1"/>
  <c r="CJ61" i="13"/>
  <c r="BX48" i="10"/>
  <c r="BY48" i="10" s="1"/>
  <c r="BZ48" i="10" s="1"/>
  <c r="CA48" i="10" s="1" a="1"/>
  <c r="CA48" i="10" s="1"/>
  <c r="CK59" i="13" s="1"/>
  <c r="CN59" i="13" s="1"/>
  <c r="CJ59" i="13"/>
  <c r="BX46" i="10"/>
  <c r="BY46" i="10" s="1"/>
  <c r="BZ46" i="10" s="1"/>
  <c r="CA46" i="10" s="1" a="1"/>
  <c r="CA46" i="10" s="1"/>
  <c r="CK57" i="13" s="1"/>
  <c r="CN57" i="13" s="1"/>
  <c r="CJ57" i="13"/>
  <c r="BX44" i="10"/>
  <c r="BY44" i="10" s="1"/>
  <c r="BZ44" i="10" s="1"/>
  <c r="CA44" i="10" s="1" a="1"/>
  <c r="CA44" i="10" s="1"/>
  <c r="CK55" i="13" s="1"/>
  <c r="CN55" i="13" s="1"/>
  <c r="CJ55" i="13"/>
  <c r="CO55" i="13" s="1"/>
  <c r="BX42" i="10"/>
  <c r="BY42" i="10" s="1"/>
  <c r="BZ42" i="10" s="1"/>
  <c r="CA42" i="10" s="1" a="1"/>
  <c r="CA42" i="10" s="1"/>
  <c r="CK53" i="13" s="1"/>
  <c r="CN53" i="13" s="1"/>
  <c r="CJ53" i="13"/>
  <c r="BX40" i="10"/>
  <c r="BY40" i="10" s="1"/>
  <c r="BZ40" i="10" s="1"/>
  <c r="CA40" i="10" s="1" a="1"/>
  <c r="CA40" i="10" s="1"/>
  <c r="CK51" i="13" s="1"/>
  <c r="CN51" i="13" s="1"/>
  <c r="CJ51" i="13"/>
  <c r="BX38" i="10"/>
  <c r="BY38" i="10" s="1"/>
  <c r="BZ38" i="10" s="1"/>
  <c r="CA38" i="10" s="1" a="1"/>
  <c r="CA38" i="10" s="1"/>
  <c r="CK49" i="13" s="1"/>
  <c r="CN49" i="13" s="1"/>
  <c r="CJ49" i="13"/>
  <c r="BX36" i="10"/>
  <c r="BY36" i="10" s="1"/>
  <c r="BZ36" i="10" s="1"/>
  <c r="CA36" i="10" s="1" a="1"/>
  <c r="CA36" i="10" s="1"/>
  <c r="CK47" i="13" s="1"/>
  <c r="CN47" i="13" s="1"/>
  <c r="CJ47" i="13"/>
  <c r="BX34" i="10"/>
  <c r="BY34" i="10" s="1"/>
  <c r="BZ34" i="10" s="1"/>
  <c r="CA34" i="10" s="1" a="1"/>
  <c r="CA34" i="10" s="1"/>
  <c r="CK45" i="13" s="1"/>
  <c r="CN45" i="13" s="1"/>
  <c r="CJ45" i="13"/>
  <c r="BX32" i="10"/>
  <c r="BY32" i="10" s="1"/>
  <c r="BZ32" i="10" s="1"/>
  <c r="CA32" i="10" s="1" a="1"/>
  <c r="CA32" i="10" s="1"/>
  <c r="CK43" i="13" s="1"/>
  <c r="CN43" i="13" s="1"/>
  <c r="CJ43" i="13"/>
  <c r="BX30" i="10"/>
  <c r="BY30" i="10" s="1"/>
  <c r="BZ30" i="10" s="1"/>
  <c r="CA30" i="10" s="1" a="1"/>
  <c r="CA30" i="10" s="1"/>
  <c r="CK41" i="13" s="1"/>
  <c r="CN41" i="13" s="1"/>
  <c r="CJ41" i="13"/>
  <c r="BX28" i="10"/>
  <c r="BY28" i="10" s="1"/>
  <c r="BZ28" i="10" s="1"/>
  <c r="CA28" i="10" s="1" a="1"/>
  <c r="CA28" i="10" s="1"/>
  <c r="CK39" i="13" s="1"/>
  <c r="CN39" i="13" s="1"/>
  <c r="CJ39" i="13"/>
  <c r="BX26" i="10"/>
  <c r="BY26" i="10" s="1"/>
  <c r="BZ26" i="10" s="1"/>
  <c r="CA26" i="10" s="1" a="1"/>
  <c r="CA26" i="10" s="1"/>
  <c r="CK37" i="13" s="1"/>
  <c r="CN37" i="13" s="1"/>
  <c r="CJ37" i="13"/>
  <c r="BX24" i="10"/>
  <c r="BY24" i="10" s="1"/>
  <c r="BZ24" i="10" s="1"/>
  <c r="CA24" i="10" s="1" a="1"/>
  <c r="CA24" i="10" s="1"/>
  <c r="CK35" i="13" s="1"/>
  <c r="CN35" i="13" s="1"/>
  <c r="CJ35" i="13"/>
  <c r="CO35" i="13" s="1"/>
  <c r="BX22" i="10"/>
  <c r="BY22" i="10" s="1"/>
  <c r="BZ22" i="10" s="1"/>
  <c r="CA22" i="10" s="1" a="1"/>
  <c r="CA22" i="10" s="1"/>
  <c r="CK33" i="13" s="1"/>
  <c r="CN33" i="13" s="1"/>
  <c r="CJ33" i="13"/>
  <c r="BX20" i="10"/>
  <c r="BY20" i="10" s="1"/>
  <c r="BZ20" i="10" s="1"/>
  <c r="CA20" i="10" s="1" a="1"/>
  <c r="CA20" i="10" s="1"/>
  <c r="CK31" i="13" s="1"/>
  <c r="CN31" i="13" s="1"/>
  <c r="CJ31" i="13"/>
  <c r="CO31" i="13" s="1"/>
  <c r="BX18" i="10"/>
  <c r="BY18" i="10" s="1"/>
  <c r="BZ18" i="10" s="1"/>
  <c r="CA18" i="10" s="1" a="1"/>
  <c r="CA18" i="10" s="1"/>
  <c r="CK29" i="13" s="1"/>
  <c r="CN29" i="13" s="1"/>
  <c r="CJ29" i="13"/>
  <c r="CO29" i="13" s="1"/>
  <c r="BX16" i="10"/>
  <c r="BY16" i="10" s="1"/>
  <c r="BZ16" i="10" s="1"/>
  <c r="CA16" i="10" s="1" a="1"/>
  <c r="CA16" i="10" s="1"/>
  <c r="CK27" i="13" s="1"/>
  <c r="CN27" i="13" s="1"/>
  <c r="CJ27" i="13"/>
  <c r="CO27" i="13" s="1"/>
  <c r="BX14" i="10"/>
  <c r="BY14" i="10" s="1"/>
  <c r="BZ14" i="10" s="1"/>
  <c r="CA14" i="10" s="1" a="1"/>
  <c r="CA14" i="10" s="1"/>
  <c r="CK25" i="13" s="1"/>
  <c r="CN25" i="13" s="1"/>
  <c r="CJ25" i="13"/>
  <c r="CO25" i="13" s="1"/>
  <c r="BX11" i="10"/>
  <c r="BY11" i="10" s="1"/>
  <c r="BZ11" i="10" s="1"/>
  <c r="CA11" i="10" s="1" a="1"/>
  <c r="CA11" i="10" s="1"/>
  <c r="CK22" i="13" s="1"/>
  <c r="CN22" i="13" s="1"/>
  <c r="CJ22" i="13"/>
  <c r="CK39" i="10"/>
  <c r="CL39" i="10" s="1"/>
  <c r="CM39" i="10" s="1"/>
  <c r="CN39" i="10" s="1" a="1"/>
  <c r="CN39" i="10" s="1"/>
  <c r="DA50" i="13" s="1"/>
  <c r="DD50" i="13" s="1"/>
  <c r="CZ50" i="13"/>
  <c r="CK33" i="10"/>
  <c r="CL33" i="10" s="1"/>
  <c r="CM33" i="10" s="1"/>
  <c r="CN33" i="10" s="1" a="1"/>
  <c r="CN33" i="10" s="1"/>
  <c r="DA44" i="13" s="1"/>
  <c r="DD44" i="13" s="1"/>
  <c r="CZ44" i="13"/>
  <c r="CK27" i="10"/>
  <c r="CL27" i="10" s="1"/>
  <c r="CM27" i="10" s="1"/>
  <c r="CN27" i="10" s="1" a="1"/>
  <c r="CN27" i="10" s="1"/>
  <c r="DA38" i="13" s="1"/>
  <c r="DD38" i="13" s="1"/>
  <c r="CZ38" i="13"/>
  <c r="DE38" i="13" s="1"/>
  <c r="DH38" i="13" s="1"/>
  <c r="CK21" i="10"/>
  <c r="CL21" i="10" s="1"/>
  <c r="CM21" i="10" s="1"/>
  <c r="CN21" i="10" s="1" a="1"/>
  <c r="CN21" i="10" s="1"/>
  <c r="DA32" i="13" s="1"/>
  <c r="DD32" i="13" s="1"/>
  <c r="CZ32" i="13"/>
  <c r="CK15" i="10"/>
  <c r="CL15" i="10" s="1"/>
  <c r="CM15" i="10" s="1"/>
  <c r="CN15" i="10" s="1" a="1"/>
  <c r="CN15" i="10" s="1"/>
  <c r="DA26" i="13" s="1"/>
  <c r="DD26" i="13" s="1"/>
  <c r="CZ26" i="13"/>
  <c r="T22" i="13"/>
  <c r="T25" i="13"/>
  <c r="T28" i="13"/>
  <c r="T31" i="13"/>
  <c r="T40" i="13"/>
  <c r="T49" i="13"/>
  <c r="T58" i="13"/>
  <c r="AN51" i="13"/>
  <c r="BT62" i="13"/>
  <c r="BY62" i="13" s="1"/>
  <c r="BT50" i="13"/>
  <c r="BT38" i="13"/>
  <c r="BT26" i="13"/>
  <c r="CJ34" i="13"/>
  <c r="X48" i="13"/>
  <c r="X134" i="13" s="1"/>
  <c r="AI44" i="10"/>
  <c r="AJ44" i="10" s="1"/>
  <c r="AK44" i="10" s="1"/>
  <c r="AL44" i="10" s="1" a="1"/>
  <c r="AL44" i="10" s="1"/>
  <c r="AO55" i="13" s="1"/>
  <c r="AR55" i="13" s="1"/>
  <c r="AN55" i="13"/>
  <c r="AI42" i="10"/>
  <c r="AJ42" i="10" s="1"/>
  <c r="AK42" i="10" s="1"/>
  <c r="AL42" i="10" s="1" a="1"/>
  <c r="AL42" i="10" s="1"/>
  <c r="AO53" i="13" s="1"/>
  <c r="AR53" i="13" s="1"/>
  <c r="AN53" i="13"/>
  <c r="AI38" i="10"/>
  <c r="AJ38" i="10" s="1"/>
  <c r="AK38" i="10" s="1"/>
  <c r="AL38" i="10" s="1" a="1"/>
  <c r="AL38" i="10" s="1"/>
  <c r="AO49" i="13" s="1"/>
  <c r="AR49" i="13" s="1"/>
  <c r="AN49" i="13"/>
  <c r="AI36" i="10"/>
  <c r="AJ36" i="10" s="1"/>
  <c r="AK36" i="10" s="1"/>
  <c r="AL36" i="10" s="1" a="1"/>
  <c r="AL36" i="10" s="1"/>
  <c r="AO47" i="13" s="1"/>
  <c r="AR47" i="13" s="1"/>
  <c r="AN47" i="13"/>
  <c r="AI34" i="10"/>
  <c r="AJ34" i="10" s="1"/>
  <c r="AK34" i="10" s="1"/>
  <c r="AL34" i="10" s="1" a="1"/>
  <c r="AL34" i="10" s="1"/>
  <c r="AO45" i="13" s="1"/>
  <c r="AR45" i="13" s="1"/>
  <c r="AN45" i="13"/>
  <c r="AS45" i="13" s="1"/>
  <c r="AI32" i="10"/>
  <c r="AJ32" i="10" s="1"/>
  <c r="AK32" i="10" s="1"/>
  <c r="AL32" i="10" s="1" a="1"/>
  <c r="AL32" i="10" s="1"/>
  <c r="AO43" i="13" s="1"/>
  <c r="AR43" i="13" s="1"/>
  <c r="AN43" i="13"/>
  <c r="AI30" i="10"/>
  <c r="AJ30" i="10" s="1"/>
  <c r="AK30" i="10" s="1"/>
  <c r="AL30" i="10" s="1" a="1"/>
  <c r="AL30" i="10" s="1"/>
  <c r="AO41" i="13" s="1"/>
  <c r="AR41" i="13" s="1"/>
  <c r="AN41" i="13"/>
  <c r="AI28" i="10"/>
  <c r="AJ28" i="10" s="1"/>
  <c r="AK28" i="10" s="1"/>
  <c r="AL28" i="10" s="1" a="1"/>
  <c r="AL28" i="10" s="1"/>
  <c r="AO39" i="13" s="1"/>
  <c r="AR39" i="13" s="1"/>
  <c r="AN39" i="13"/>
  <c r="AI26" i="10"/>
  <c r="AJ26" i="10" s="1"/>
  <c r="AK26" i="10" s="1"/>
  <c r="AL26" i="10" s="1" a="1"/>
  <c r="AL26" i="10" s="1"/>
  <c r="AO37" i="13" s="1"/>
  <c r="AR37" i="13" s="1"/>
  <c r="AN37" i="13"/>
  <c r="AI24" i="10"/>
  <c r="AJ24" i="10" s="1"/>
  <c r="AK24" i="10" s="1"/>
  <c r="AL24" i="10" s="1" a="1"/>
  <c r="AL24" i="10" s="1"/>
  <c r="AO35" i="13" s="1"/>
  <c r="AR35" i="13" s="1"/>
  <c r="AN35" i="13"/>
  <c r="AI22" i="10"/>
  <c r="AJ22" i="10" s="1"/>
  <c r="AK22" i="10" s="1"/>
  <c r="AL22" i="10" s="1" a="1"/>
  <c r="AL22" i="10" s="1"/>
  <c r="AO33" i="13" s="1"/>
  <c r="AR33" i="13" s="1"/>
  <c r="AN33" i="13"/>
  <c r="AI20" i="10"/>
  <c r="AJ20" i="10" s="1"/>
  <c r="AK20" i="10" s="1"/>
  <c r="AL20" i="10" s="1" a="1"/>
  <c r="AL20" i="10" s="1"/>
  <c r="AO31" i="13" s="1"/>
  <c r="AR31" i="13" s="1"/>
  <c r="AN31" i="13"/>
  <c r="AI18" i="10"/>
  <c r="AJ18" i="10" s="1"/>
  <c r="AK18" i="10" s="1"/>
  <c r="AL18" i="10" s="1" a="1"/>
  <c r="AL18" i="10" s="1"/>
  <c r="AO29" i="13" s="1"/>
  <c r="AR29" i="13" s="1"/>
  <c r="AN29" i="13"/>
  <c r="AI16" i="10"/>
  <c r="AJ16" i="10" s="1"/>
  <c r="AK16" i="10" s="1"/>
  <c r="AL16" i="10" s="1" a="1"/>
  <c r="AL16" i="10" s="1"/>
  <c r="AO27" i="13" s="1"/>
  <c r="AR27" i="13" s="1"/>
  <c r="AN27" i="13"/>
  <c r="AI14" i="10"/>
  <c r="AJ14" i="10" s="1"/>
  <c r="AK14" i="10" s="1"/>
  <c r="AL14" i="10" s="1" a="1"/>
  <c r="AL14" i="10" s="1"/>
  <c r="AO25" i="13" s="1"/>
  <c r="AR25" i="13" s="1"/>
  <c r="AN25" i="13"/>
  <c r="AI11" i="10"/>
  <c r="AJ11" i="10" s="1"/>
  <c r="AK11" i="10" s="1"/>
  <c r="AL11" i="10" s="1" a="1"/>
  <c r="AL11" i="10" s="1"/>
  <c r="AO22" i="13" s="1"/>
  <c r="AR22" i="13" s="1"/>
  <c r="AN22" i="13"/>
  <c r="AV61" i="10"/>
  <c r="AW61" i="10" s="1"/>
  <c r="AX61" i="10" s="1"/>
  <c r="AY61" i="10" s="1" a="1"/>
  <c r="AY61" i="10" s="1"/>
  <c r="BE72" i="13" s="1"/>
  <c r="BH72" i="13" s="1"/>
  <c r="BD72" i="13"/>
  <c r="AV55" i="10"/>
  <c r="AW55" i="10" s="1"/>
  <c r="AX55" i="10" s="1"/>
  <c r="AY55" i="10" s="1" a="1"/>
  <c r="AY55" i="10" s="1"/>
  <c r="BE66" i="13" s="1"/>
  <c r="BH66" i="13" s="1"/>
  <c r="BD66" i="13"/>
  <c r="AI13" i="10"/>
  <c r="AJ13" i="10" s="1"/>
  <c r="AK13" i="10" s="1"/>
  <c r="AL13" i="10" s="1" a="1"/>
  <c r="AL13" i="10" s="1"/>
  <c r="AO24" i="13" s="1"/>
  <c r="AR24" i="13" s="1"/>
  <c r="AN24" i="13"/>
  <c r="AS24" i="13" s="1"/>
  <c r="CK11" i="10"/>
  <c r="CL11" i="10" s="1"/>
  <c r="CM11" i="10" s="1"/>
  <c r="CN11" i="10" s="1" a="1"/>
  <c r="CN11" i="10" s="1"/>
  <c r="DA22" i="13" s="1"/>
  <c r="DD22" i="13" s="1"/>
  <c r="CZ22" i="13"/>
  <c r="CK38" i="10"/>
  <c r="CL38" i="10" s="1"/>
  <c r="CM38" i="10" s="1"/>
  <c r="CN38" i="10" s="1" a="1"/>
  <c r="CN38" i="10" s="1"/>
  <c r="DA49" i="13" s="1"/>
  <c r="DD49" i="13" s="1"/>
  <c r="CZ49" i="13"/>
  <c r="CK32" i="10"/>
  <c r="CL32" i="10" s="1"/>
  <c r="CM32" i="10" s="1"/>
  <c r="CN32" i="10" s="1" a="1"/>
  <c r="CN32" i="10" s="1"/>
  <c r="DA43" i="13" s="1"/>
  <c r="DD43" i="13" s="1"/>
  <c r="CZ43" i="13"/>
  <c r="CK26" i="10"/>
  <c r="CL26" i="10" s="1"/>
  <c r="CM26" i="10" s="1"/>
  <c r="CN26" i="10" s="1" a="1"/>
  <c r="CN26" i="10" s="1"/>
  <c r="DA37" i="13" s="1"/>
  <c r="DD37" i="13" s="1"/>
  <c r="CZ37" i="13"/>
  <c r="DE37" i="13" s="1"/>
  <c r="DH37" i="13" s="1"/>
  <c r="CK20" i="10"/>
  <c r="CL20" i="10" s="1"/>
  <c r="CM20" i="10" s="1"/>
  <c r="CN20" i="10" s="1" a="1"/>
  <c r="CN20" i="10" s="1"/>
  <c r="DA31" i="13" s="1"/>
  <c r="DD31" i="13" s="1"/>
  <c r="CZ31" i="13"/>
  <c r="CK14" i="10"/>
  <c r="CL14" i="10" s="1"/>
  <c r="CM14" i="10" s="1"/>
  <c r="CN14" i="10" s="1" a="1"/>
  <c r="CN14" i="10" s="1"/>
  <c r="DA25" i="13" s="1"/>
  <c r="DD25" i="13" s="1"/>
  <c r="CZ25" i="13"/>
  <c r="T33" i="13"/>
  <c r="T35" i="13"/>
  <c r="T42" i="13"/>
  <c r="T44" i="13"/>
  <c r="T51" i="13"/>
  <c r="T53" i="13"/>
  <c r="T60" i="13"/>
  <c r="T62" i="13"/>
  <c r="AS30" i="13"/>
  <c r="AN44" i="13"/>
  <c r="AS44" i="13" s="1"/>
  <c r="BT52" i="13"/>
  <c r="BT40" i="13"/>
  <c r="BY40" i="13" s="1"/>
  <c r="BT28" i="13"/>
  <c r="X72" i="13"/>
  <c r="X158" i="13" s="1"/>
  <c r="BY32" i="13"/>
  <c r="BY25" i="13"/>
  <c r="BY39" i="13"/>
  <c r="BY31" i="13"/>
  <c r="BI69" i="13"/>
  <c r="CO67" i="13"/>
  <c r="CO59" i="13"/>
  <c r="BX33" i="13"/>
  <c r="BI38" i="13"/>
  <c r="CO39" i="13"/>
  <c r="X80" i="13"/>
  <c r="BI36" i="13"/>
  <c r="CO64" i="13"/>
  <c r="CO56" i="13"/>
  <c r="CO32" i="13"/>
  <c r="BI30" i="13"/>
  <c r="BI29" i="13"/>
  <c r="DE22" i="13"/>
  <c r="CO36" i="13"/>
  <c r="CN34" i="13"/>
  <c r="CO28" i="13"/>
  <c r="DE30" i="13"/>
  <c r="DH30" i="13" s="1"/>
  <c r="BY41" i="13"/>
  <c r="CO57" i="13"/>
  <c r="CO41" i="13"/>
  <c r="CO33" i="13"/>
  <c r="DD54" i="13"/>
  <c r="CO30" i="13"/>
  <c r="DE39" i="13"/>
  <c r="DH39" i="13" s="1"/>
  <c r="AJ46" i="13"/>
  <c r="CF63" i="13"/>
  <c r="CF31" i="13"/>
  <c r="CN24" i="13"/>
  <c r="BY37" i="13"/>
  <c r="CO62" i="13"/>
  <c r="DD16" i="13"/>
  <c r="DG16" i="13" s="1"/>
  <c r="DE23" i="13"/>
  <c r="DH23" i="13" s="1"/>
  <c r="AR26" i="13"/>
  <c r="CO63" i="13"/>
  <c r="CO38" i="13"/>
  <c r="DE35" i="13"/>
  <c r="DH35" i="13" s="1"/>
  <c r="P26" i="13"/>
  <c r="U112" i="13" s="1"/>
  <c r="BY23" i="13"/>
  <c r="CO22" i="13"/>
  <c r="DE31" i="13"/>
  <c r="DH31" i="13" s="1"/>
  <c r="DD48" i="13"/>
  <c r="CF52" i="13"/>
  <c r="AJ30" i="13"/>
  <c r="CF42" i="13"/>
  <c r="CV54" i="13"/>
  <c r="CV50" i="13"/>
  <c r="CV42" i="13"/>
  <c r="CV30" i="13"/>
  <c r="CV26" i="13"/>
  <c r="CV22" i="13"/>
  <c r="CO60" i="13"/>
  <c r="DE33" i="13"/>
  <c r="DH33" i="13" s="1"/>
  <c r="BY24" i="13"/>
  <c r="CF16" i="13"/>
  <c r="CF69" i="13"/>
  <c r="CO58" i="13"/>
  <c r="CF53" i="13"/>
  <c r="CF37" i="13"/>
  <c r="CO34" i="13"/>
  <c r="CO26" i="13"/>
  <c r="DE34" i="13"/>
  <c r="DH34" i="13" s="1"/>
  <c r="BI71" i="13"/>
  <c r="BI67" i="13"/>
  <c r="BI63" i="13"/>
  <c r="BI59" i="13"/>
  <c r="BI55" i="13"/>
  <c r="BI43" i="13"/>
  <c r="BI35" i="13"/>
  <c r="BI31" i="13"/>
  <c r="BI27" i="13"/>
  <c r="BX62" i="13"/>
  <c r="BX54" i="13"/>
  <c r="BX47" i="13"/>
  <c r="BX38" i="13"/>
  <c r="CF55" i="13"/>
  <c r="BX22" i="13"/>
  <c r="CO69" i="13"/>
  <c r="CO61" i="13"/>
  <c r="CO53" i="13"/>
  <c r="CO37" i="13"/>
  <c r="CF68" i="13"/>
  <c r="CF60" i="13"/>
  <c r="BH46" i="13"/>
  <c r="BH30" i="13"/>
  <c r="BY33" i="13"/>
  <c r="BY29" i="13"/>
  <c r="DE24" i="13"/>
  <c r="DH24" i="13" s="1"/>
  <c r="CO68" i="13"/>
  <c r="CV48" i="13"/>
  <c r="CF58" i="13"/>
  <c r="CF34" i="13"/>
  <c r="CF26" i="13"/>
  <c r="CF23" i="13"/>
  <c r="BI62" i="13"/>
  <c r="AJ38" i="13"/>
  <c r="CN30" i="13"/>
  <c r="CV39" i="13"/>
  <c r="X142" i="13"/>
  <c r="AJ58" i="13"/>
  <c r="AJ42" i="13"/>
  <c r="AJ34" i="13"/>
  <c r="AJ26" i="13"/>
  <c r="AZ51" i="13"/>
  <c r="AZ47" i="13"/>
  <c r="BP48" i="13"/>
  <c r="BY42" i="13"/>
  <c r="BY38" i="13"/>
  <c r="BY34" i="13"/>
  <c r="BY30" i="13"/>
  <c r="BY26" i="13"/>
  <c r="BY22" i="13"/>
  <c r="CF64" i="13"/>
  <c r="CF56" i="13"/>
  <c r="CF48" i="13"/>
  <c r="CF40" i="13"/>
  <c r="CF32" i="13"/>
  <c r="CF24" i="13"/>
  <c r="CF47" i="13"/>
  <c r="CF61" i="13"/>
  <c r="CF29" i="13"/>
  <c r="P48" i="13"/>
  <c r="U134" i="13" s="1"/>
  <c r="H109" i="13"/>
  <c r="AJ54" i="13"/>
  <c r="CF50" i="13"/>
  <c r="AJ50" i="13"/>
  <c r="CF27" i="13"/>
  <c r="CN68" i="13"/>
  <c r="CN52" i="13"/>
  <c r="CF45" i="13"/>
  <c r="CV40" i="13"/>
  <c r="CF66" i="13"/>
  <c r="X118" i="13"/>
  <c r="P39" i="13"/>
  <c r="U125" i="13" s="1"/>
  <c r="P47" i="13"/>
  <c r="U133" i="13" s="1"/>
  <c r="CF62" i="13"/>
  <c r="CF54" i="13"/>
  <c r="CF46" i="13"/>
  <c r="CF38" i="13"/>
  <c r="CF30" i="13"/>
  <c r="CF22" i="13"/>
  <c r="CV34" i="13"/>
  <c r="CV46" i="13"/>
  <c r="CV37" i="13"/>
  <c r="CV47" i="13"/>
  <c r="CF39" i="13"/>
  <c r="DE36" i="13"/>
  <c r="DH36" i="13" s="1"/>
  <c r="CV38" i="13"/>
  <c r="P46" i="13"/>
  <c r="U132" i="13" s="1"/>
  <c r="H118" i="13"/>
  <c r="BX16" i="13"/>
  <c r="CA16" i="13" s="1"/>
  <c r="AJ36" i="13"/>
  <c r="P71" i="13"/>
  <c r="U157" i="13" s="1"/>
  <c r="BX46" i="13"/>
  <c r="BX30" i="13"/>
  <c r="CF65" i="13"/>
  <c r="CF57" i="13"/>
  <c r="CF49" i="13"/>
  <c r="CF41" i="13"/>
  <c r="CF33" i="13"/>
  <c r="CF25" i="13"/>
  <c r="CV16" i="13"/>
  <c r="CV53" i="13"/>
  <c r="CV49" i="13"/>
  <c r="CV45" i="13"/>
  <c r="CV41" i="13"/>
  <c r="CV33" i="13"/>
  <c r="CV29" i="13"/>
  <c r="CV25" i="13"/>
  <c r="AR38" i="13"/>
  <c r="AR30" i="13"/>
  <c r="CN16" i="13"/>
  <c r="CQ16" i="13" s="1"/>
  <c r="CF44" i="13"/>
  <c r="CF36" i="13"/>
  <c r="CF28" i="13"/>
  <c r="CV52" i="13"/>
  <c r="CV44" i="13"/>
  <c r="CV36" i="13"/>
  <c r="CV32" i="13"/>
  <c r="CV28" i="13"/>
  <c r="CV24" i="13"/>
  <c r="P87" i="13"/>
  <c r="U173" i="13" s="1"/>
  <c r="AJ56" i="13"/>
  <c r="AJ48" i="13"/>
  <c r="AJ40" i="13"/>
  <c r="AJ32" i="13"/>
  <c r="AJ24" i="13"/>
  <c r="AZ72" i="13"/>
  <c r="AZ68" i="13"/>
  <c r="AZ64" i="13"/>
  <c r="AZ60" i="13"/>
  <c r="AZ56" i="13"/>
  <c r="AZ52" i="13"/>
  <c r="AZ40" i="13"/>
  <c r="AZ36" i="13"/>
  <c r="AZ32" i="13"/>
  <c r="AZ28" i="13"/>
  <c r="BP31" i="13"/>
  <c r="CF67" i="13"/>
  <c r="CF59" i="13"/>
  <c r="CF51" i="13"/>
  <c r="CF43" i="13"/>
  <c r="CF35" i="13"/>
  <c r="DE40" i="13"/>
  <c r="DH40" i="13" s="1"/>
  <c r="DE32" i="13"/>
  <c r="DH32" i="13" s="1"/>
  <c r="P79" i="13"/>
  <c r="U165" i="13" s="1"/>
  <c r="AJ55" i="13"/>
  <c r="AJ47" i="13"/>
  <c r="AJ39" i="13"/>
  <c r="AJ31" i="13"/>
  <c r="AZ34" i="13"/>
  <c r="AR44" i="13"/>
  <c r="AR36" i="13"/>
  <c r="AR16" i="13"/>
  <c r="AT16" i="13" s="1"/>
  <c r="BI72" i="13"/>
  <c r="BI64" i="13"/>
  <c r="BI56" i="13"/>
  <c r="BI28" i="13"/>
  <c r="BX58" i="13"/>
  <c r="BX50" i="13"/>
  <c r="BX42" i="13"/>
  <c r="BX34" i="13"/>
  <c r="BX26" i="13"/>
  <c r="AJ22" i="13"/>
  <c r="BY44" i="13"/>
  <c r="BY36" i="13"/>
  <c r="BY28" i="13"/>
  <c r="AJ51" i="13"/>
  <c r="AJ43" i="13"/>
  <c r="AJ35" i="13"/>
  <c r="AJ27" i="13"/>
  <c r="BI70" i="13"/>
  <c r="BI54" i="13"/>
  <c r="BX55" i="13"/>
  <c r="BX31" i="13"/>
  <c r="DD53" i="13"/>
  <c r="CV51" i="13"/>
  <c r="CV43" i="13"/>
  <c r="CV35" i="13"/>
  <c r="CV31" i="13"/>
  <c r="DD29" i="13"/>
  <c r="CV27" i="13"/>
  <c r="CV23" i="13"/>
  <c r="AZ44" i="13"/>
  <c r="AZ43" i="13"/>
  <c r="AZ46" i="13"/>
  <c r="P28" i="13"/>
  <c r="U114" i="13" s="1"/>
  <c r="AZ66" i="13"/>
  <c r="AZ45" i="13"/>
  <c r="P54" i="13"/>
  <c r="U140" i="13" s="1"/>
  <c r="BP39" i="13"/>
  <c r="BP23" i="13"/>
  <c r="AJ53" i="13"/>
  <c r="AJ37" i="13"/>
  <c r="AZ73" i="13"/>
  <c r="AZ65" i="13"/>
  <c r="AZ57" i="13"/>
  <c r="AZ53" i="13"/>
  <c r="AZ49" i="13"/>
  <c r="AZ41" i="13"/>
  <c r="AZ37" i="13"/>
  <c r="AZ33" i="13"/>
  <c r="AZ29" i="13"/>
  <c r="AZ25" i="13"/>
  <c r="AZ24" i="13"/>
  <c r="AJ44" i="13"/>
  <c r="AJ28" i="13"/>
  <c r="P88" i="13"/>
  <c r="U174" i="13" s="1"/>
  <c r="BP49" i="13"/>
  <c r="AZ48" i="13"/>
  <c r="AZ67" i="13"/>
  <c r="AZ27" i="13"/>
  <c r="P76" i="13"/>
  <c r="U162" i="13" s="1"/>
  <c r="P55" i="13"/>
  <c r="U141" i="13" s="1"/>
  <c r="AZ42" i="13"/>
  <c r="AZ26" i="13"/>
  <c r="P72" i="13"/>
  <c r="U158" i="13" s="1"/>
  <c r="P27" i="13"/>
  <c r="U113" i="13" s="1"/>
  <c r="BP55" i="13"/>
  <c r="P44" i="13"/>
  <c r="U130" i="13" s="1"/>
  <c r="P84" i="13"/>
  <c r="U170" i="13" s="1"/>
  <c r="P36" i="13"/>
  <c r="U122" i="13" s="1"/>
  <c r="P52" i="13"/>
  <c r="U138" i="13" s="1"/>
  <c r="P60" i="13"/>
  <c r="U146" i="13" s="1"/>
  <c r="P68" i="13"/>
  <c r="U154" i="13" s="1"/>
  <c r="P22" i="13"/>
  <c r="U108" i="13" s="1"/>
  <c r="AJ45" i="13"/>
  <c r="AJ29" i="13"/>
  <c r="AZ69" i="13"/>
  <c r="AZ61" i="13"/>
  <c r="P34" i="13"/>
  <c r="U120" i="13" s="1"/>
  <c r="P42" i="13"/>
  <c r="U128" i="13" s="1"/>
  <c r="P50" i="13"/>
  <c r="U136" i="13" s="1"/>
  <c r="P58" i="13"/>
  <c r="U144" i="13" s="1"/>
  <c r="P66" i="13"/>
  <c r="U152" i="13" s="1"/>
  <c r="P74" i="13"/>
  <c r="U160" i="13" s="1"/>
  <c r="P82" i="13"/>
  <c r="U168" i="13" s="1"/>
  <c r="P90" i="13"/>
  <c r="U176" i="13" s="1"/>
  <c r="P70" i="13"/>
  <c r="U156" i="13" s="1"/>
  <c r="AZ38" i="13"/>
  <c r="AZ30" i="13"/>
  <c r="AZ59" i="13"/>
  <c r="AZ35" i="13"/>
  <c r="AJ23" i="13"/>
  <c r="P86" i="13"/>
  <c r="U172" i="13" s="1"/>
  <c r="P64" i="13"/>
  <c r="U150" i="13" s="1"/>
  <c r="BP47" i="13"/>
  <c r="AZ22" i="13"/>
  <c r="AZ58" i="13"/>
  <c r="P80" i="13"/>
  <c r="U166" i="13" s="1"/>
  <c r="P63" i="13"/>
  <c r="U149" i="13" s="1"/>
  <c r="P40" i="13"/>
  <c r="U126" i="13" s="1"/>
  <c r="BP61" i="13"/>
  <c r="BP53" i="13"/>
  <c r="BP45" i="13"/>
  <c r="BP37" i="13"/>
  <c r="BP29" i="13"/>
  <c r="AJ57" i="13"/>
  <c r="AJ49" i="13"/>
  <c r="AJ41" i="13"/>
  <c r="AJ33" i="13"/>
  <c r="AJ25" i="13"/>
  <c r="AZ71" i="13"/>
  <c r="AZ63" i="13"/>
  <c r="AZ55" i="13"/>
  <c r="AZ39" i="13"/>
  <c r="AZ31" i="13"/>
  <c r="BP40" i="13"/>
  <c r="AZ23" i="13"/>
  <c r="BP22" i="13"/>
  <c r="AJ52" i="13"/>
  <c r="P62" i="13"/>
  <c r="U148" i="13" s="1"/>
  <c r="BP25" i="13"/>
  <c r="AZ70" i="13"/>
  <c r="AZ62" i="13"/>
  <c r="AZ54" i="13"/>
  <c r="BP32" i="13"/>
  <c r="P23" i="13"/>
  <c r="U109" i="13" s="1"/>
  <c r="P25" i="13"/>
  <c r="U111" i="13" s="1"/>
  <c r="P29" i="13"/>
  <c r="U115" i="13" s="1"/>
  <c r="P31" i="13"/>
  <c r="U117" i="13" s="1"/>
  <c r="P33" i="13"/>
  <c r="U119" i="13" s="1"/>
  <c r="P35" i="13"/>
  <c r="U121" i="13" s="1"/>
  <c r="P37" i="13"/>
  <c r="U123" i="13" s="1"/>
  <c r="P41" i="13"/>
  <c r="U127" i="13" s="1"/>
  <c r="P43" i="13"/>
  <c r="U129" i="13" s="1"/>
  <c r="P45" i="13"/>
  <c r="U131" i="13" s="1"/>
  <c r="P49" i="13"/>
  <c r="U135" i="13" s="1"/>
  <c r="P51" i="13"/>
  <c r="U137" i="13" s="1"/>
  <c r="P53" i="13"/>
  <c r="U139" i="13" s="1"/>
  <c r="P57" i="13"/>
  <c r="U143" i="13" s="1"/>
  <c r="P59" i="13"/>
  <c r="U145" i="13" s="1"/>
  <c r="P61" i="13"/>
  <c r="U147" i="13" s="1"/>
  <c r="P65" i="13"/>
  <c r="U151" i="13" s="1"/>
  <c r="P67" i="13"/>
  <c r="U153" i="13" s="1"/>
  <c r="P69" i="13"/>
  <c r="U155" i="13" s="1"/>
  <c r="P73" i="13"/>
  <c r="U159" i="13" s="1"/>
  <c r="P75" i="13"/>
  <c r="U161" i="13" s="1"/>
  <c r="P77" i="13"/>
  <c r="U163" i="13" s="1"/>
  <c r="P81" i="13"/>
  <c r="U167" i="13" s="1"/>
  <c r="P83" i="13"/>
  <c r="U169" i="13" s="1"/>
  <c r="P85" i="13"/>
  <c r="U171" i="13" s="1"/>
  <c r="P89" i="13"/>
  <c r="U175" i="13" s="1"/>
  <c r="P91" i="13"/>
  <c r="U177" i="13" s="1"/>
  <c r="P78" i="13"/>
  <c r="U164" i="13" s="1"/>
  <c r="P56" i="13"/>
  <c r="U142" i="13" s="1"/>
  <c r="P38" i="13"/>
  <c r="U124" i="13" s="1"/>
  <c r="BP24" i="13"/>
  <c r="BI68" i="13"/>
  <c r="BI60" i="13"/>
  <c r="BI40" i="13"/>
  <c r="BI32" i="13"/>
  <c r="BI24" i="13"/>
  <c r="BP62" i="13"/>
  <c r="BX60" i="13"/>
  <c r="BP58" i="13"/>
  <c r="BX56" i="13"/>
  <c r="BP54" i="13"/>
  <c r="BX52" i="13"/>
  <c r="BP50" i="13"/>
  <c r="BX48" i="13"/>
  <c r="BP46" i="13"/>
  <c r="BX44" i="13"/>
  <c r="BP42" i="13"/>
  <c r="BX40" i="13"/>
  <c r="BP38" i="13"/>
  <c r="BX36" i="13"/>
  <c r="BP34" i="13"/>
  <c r="BX32" i="13"/>
  <c r="CA32" i="13" s="1"/>
  <c r="BP30" i="13"/>
  <c r="BX28" i="13"/>
  <c r="BP26" i="13"/>
  <c r="BX24" i="13"/>
  <c r="BP41" i="13"/>
  <c r="P24" i="13"/>
  <c r="U110" i="13" s="1"/>
  <c r="P30" i="13"/>
  <c r="U116" i="13" s="1"/>
  <c r="P32" i="13"/>
  <c r="U118" i="13" s="1"/>
  <c r="BI73" i="13"/>
  <c r="BI65" i="13"/>
  <c r="BI57" i="13"/>
  <c r="BI41" i="13"/>
  <c r="BI33" i="13"/>
  <c r="BI25" i="13"/>
  <c r="AZ50" i="13"/>
  <c r="BP59" i="13"/>
  <c r="BP51" i="13"/>
  <c r="BP43" i="13"/>
  <c r="BP35" i="13"/>
  <c r="BP27" i="13"/>
  <c r="BP57" i="13"/>
  <c r="AR32" i="13"/>
  <c r="BY43" i="13"/>
  <c r="BY27" i="13"/>
  <c r="BP56" i="13"/>
  <c r="BP33" i="13"/>
  <c r="X22" i="13"/>
  <c r="X30" i="13"/>
  <c r="X38" i="13"/>
  <c r="X46" i="13"/>
  <c r="X54" i="13"/>
  <c r="X62" i="13"/>
  <c r="BI66" i="13"/>
  <c r="BI58" i="13"/>
  <c r="BI42" i="13"/>
  <c r="BI34" i="13"/>
  <c r="BI26" i="13"/>
  <c r="BP60" i="13"/>
  <c r="BP52" i="13"/>
  <c r="BP44" i="13"/>
  <c r="BP36" i="13"/>
  <c r="BP28" i="13"/>
  <c r="BP16" i="13"/>
  <c r="AS50" i="13"/>
  <c r="AS34" i="13"/>
  <c r="AS26" i="13"/>
  <c r="AS39" i="13"/>
  <c r="AS31" i="13"/>
  <c r="AS49" i="13"/>
  <c r="AS41" i="13"/>
  <c r="AS25" i="13"/>
  <c r="BH16" i="13"/>
  <c r="BK16" i="13" s="1"/>
  <c r="X23" i="13"/>
  <c r="X31" i="13"/>
  <c r="X39" i="13"/>
  <c r="X47" i="13"/>
  <c r="X55" i="13"/>
  <c r="X63" i="13"/>
  <c r="X87" i="13"/>
  <c r="AR51" i="13"/>
  <c r="AR57" i="13"/>
  <c r="AS47" i="13"/>
  <c r="AS46" i="13"/>
  <c r="AS22" i="13"/>
  <c r="AJ16" i="13"/>
  <c r="AS37" i="13"/>
  <c r="AS29" i="13"/>
  <c r="AS43" i="13"/>
  <c r="AS35" i="13"/>
  <c r="AS27" i="13"/>
  <c r="AZ16" i="13"/>
  <c r="X26" i="13"/>
  <c r="X28" i="13"/>
  <c r="X34" i="13"/>
  <c r="X36" i="13"/>
  <c r="X42" i="13"/>
  <c r="X44" i="13"/>
  <c r="X50" i="13"/>
  <c r="X52" i="13"/>
  <c r="X58" i="13"/>
  <c r="X60" i="13"/>
  <c r="X66" i="13"/>
  <c r="X74" i="13"/>
  <c r="X76" i="13"/>
  <c r="X82" i="13"/>
  <c r="X84" i="13"/>
  <c r="X78" i="13"/>
  <c r="X86" i="13"/>
  <c r="X90" i="13"/>
  <c r="X27" i="13"/>
  <c r="X29" i="13"/>
  <c r="X35" i="13"/>
  <c r="X37" i="13"/>
  <c r="X43" i="13"/>
  <c r="X45" i="13"/>
  <c r="X51" i="13"/>
  <c r="X53" i="13"/>
  <c r="X59" i="13"/>
  <c r="X61" i="13"/>
  <c r="X67" i="13"/>
  <c r="X69" i="13"/>
  <c r="X75" i="13"/>
  <c r="X77" i="13"/>
  <c r="Y30" i="13"/>
  <c r="Y32" i="13"/>
  <c r="Y38" i="13"/>
  <c r="Y40" i="13"/>
  <c r="Y46" i="13"/>
  <c r="Y23" i="13"/>
  <c r="Y25" i="13"/>
  <c r="Y27" i="13"/>
  <c r="Y29" i="13"/>
  <c r="Y31" i="13"/>
  <c r="Y33" i="13"/>
  <c r="Y35" i="13"/>
  <c r="Y37" i="13"/>
  <c r="Y39" i="13"/>
  <c r="Y41" i="13"/>
  <c r="Y43" i="13"/>
  <c r="Y45" i="13"/>
  <c r="Y47" i="13"/>
  <c r="X25" i="13"/>
  <c r="X33" i="13"/>
  <c r="X41" i="13"/>
  <c r="X49" i="13"/>
  <c r="X57" i="13"/>
  <c r="X81" i="13"/>
  <c r="Y22" i="13"/>
  <c r="Y24" i="13"/>
  <c r="Y28" i="13"/>
  <c r="Y34" i="13"/>
  <c r="Y36" i="13"/>
  <c r="Y42" i="13"/>
  <c r="Y44" i="13"/>
  <c r="I79" i="10"/>
  <c r="J79" i="10" s="1"/>
  <c r="K79" i="10" s="1"/>
  <c r="L79" i="10" s="1" a="1"/>
  <c r="L79" i="10" s="1"/>
  <c r="F90" i="13" s="1"/>
  <c r="E90" i="13"/>
  <c r="J90" i="13" s="1"/>
  <c r="I31" i="10"/>
  <c r="J31" i="10" s="1"/>
  <c r="K31" i="10" s="1"/>
  <c r="L31" i="10" s="1" a="1"/>
  <c r="L31" i="10" s="1"/>
  <c r="F42" i="13" s="1"/>
  <c r="E42" i="13"/>
  <c r="J42" i="13" s="1"/>
  <c r="I23" i="10"/>
  <c r="J23" i="10" s="1"/>
  <c r="K23" i="10" s="1"/>
  <c r="L23" i="10" s="1" a="1"/>
  <c r="L23" i="10" s="1"/>
  <c r="F34" i="13" s="1"/>
  <c r="E34" i="13"/>
  <c r="J34" i="13" s="1"/>
  <c r="I20" i="10"/>
  <c r="J20" i="10" s="1"/>
  <c r="K20" i="10" s="1"/>
  <c r="L20" i="10" s="1" a="1"/>
  <c r="L20" i="10" s="1"/>
  <c r="F31" i="13" s="1"/>
  <c r="E31" i="13"/>
  <c r="J31" i="13" s="1"/>
  <c r="I73" i="10"/>
  <c r="J73" i="10" s="1"/>
  <c r="K73" i="10" s="1"/>
  <c r="L73" i="10" s="1" a="1"/>
  <c r="L73" i="10" s="1"/>
  <c r="F84" i="13" s="1"/>
  <c r="E84" i="13"/>
  <c r="J84" i="13" s="1"/>
  <c r="I65" i="10"/>
  <c r="J65" i="10" s="1"/>
  <c r="K65" i="10" s="1"/>
  <c r="L65" i="10" s="1" a="1"/>
  <c r="L65" i="10" s="1"/>
  <c r="F76" i="13" s="1"/>
  <c r="E76" i="13"/>
  <c r="J76" i="13" s="1"/>
  <c r="I57" i="10"/>
  <c r="J57" i="10" s="1"/>
  <c r="K57" i="10" s="1"/>
  <c r="L57" i="10" s="1" a="1"/>
  <c r="L57" i="10" s="1"/>
  <c r="F68" i="13" s="1"/>
  <c r="E68" i="13"/>
  <c r="J68" i="13" s="1"/>
  <c r="I49" i="10"/>
  <c r="J49" i="10" s="1"/>
  <c r="K49" i="10" s="1"/>
  <c r="L49" i="10" s="1" a="1"/>
  <c r="L49" i="10" s="1"/>
  <c r="F60" i="13" s="1"/>
  <c r="E60" i="13"/>
  <c r="J60" i="13" s="1"/>
  <c r="I41" i="10"/>
  <c r="J41" i="10" s="1"/>
  <c r="K41" i="10" s="1"/>
  <c r="L41" i="10" s="1" a="1"/>
  <c r="L41" i="10" s="1"/>
  <c r="F52" i="13" s="1"/>
  <c r="E52" i="13"/>
  <c r="J52" i="13" s="1"/>
  <c r="I33" i="10"/>
  <c r="J33" i="10" s="1"/>
  <c r="K33" i="10" s="1"/>
  <c r="L33" i="10" s="1" a="1"/>
  <c r="L33" i="10" s="1"/>
  <c r="F44" i="13" s="1"/>
  <c r="E44" i="13"/>
  <c r="J44" i="13" s="1"/>
  <c r="I25" i="10"/>
  <c r="J25" i="10" s="1"/>
  <c r="K25" i="10" s="1"/>
  <c r="L25" i="10" s="1" a="1"/>
  <c r="L25" i="10" s="1"/>
  <c r="F36" i="13" s="1"/>
  <c r="E36" i="13"/>
  <c r="J36" i="13" s="1"/>
  <c r="I17" i="10"/>
  <c r="J17" i="10" s="1"/>
  <c r="K17" i="10" s="1"/>
  <c r="L17" i="10" s="1" a="1"/>
  <c r="L17" i="10" s="1"/>
  <c r="F28" i="13" s="1"/>
  <c r="E28" i="13"/>
  <c r="J28" i="13" s="1"/>
  <c r="I76" i="10"/>
  <c r="J76" i="10" s="1"/>
  <c r="K76" i="10" s="1"/>
  <c r="L76" i="10" s="1" a="1"/>
  <c r="L76" i="10" s="1"/>
  <c r="F87" i="13" s="1"/>
  <c r="E87" i="13"/>
  <c r="J87" i="13" s="1"/>
  <c r="I68" i="10"/>
  <c r="J68" i="10" s="1"/>
  <c r="K68" i="10" s="1"/>
  <c r="L68" i="10" s="1" a="1"/>
  <c r="L68" i="10" s="1"/>
  <c r="F79" i="13" s="1"/>
  <c r="E79" i="13"/>
  <c r="J79" i="13" s="1"/>
  <c r="I44" i="10"/>
  <c r="J44" i="10" s="1"/>
  <c r="K44" i="10" s="1"/>
  <c r="L44" i="10" s="1" a="1"/>
  <c r="L44" i="10" s="1"/>
  <c r="F55" i="13" s="1"/>
  <c r="E55" i="13"/>
  <c r="J55" i="13" s="1"/>
  <c r="I78" i="10"/>
  <c r="J78" i="10" s="1"/>
  <c r="K78" i="10" s="1"/>
  <c r="L78" i="10" s="1" a="1"/>
  <c r="L78" i="10" s="1"/>
  <c r="F89" i="13" s="1"/>
  <c r="E89" i="13"/>
  <c r="J89" i="13" s="1"/>
  <c r="I62" i="10"/>
  <c r="J62" i="10" s="1"/>
  <c r="K62" i="10" s="1"/>
  <c r="L62" i="10" s="1" a="1"/>
  <c r="L62" i="10" s="1"/>
  <c r="F73" i="13" s="1"/>
  <c r="E73" i="13"/>
  <c r="J73" i="13" s="1"/>
  <c r="I75" i="10"/>
  <c r="J75" i="10" s="1"/>
  <c r="K75" i="10" s="1"/>
  <c r="L75" i="10" s="1" a="1"/>
  <c r="L75" i="10" s="1"/>
  <c r="F86" i="13" s="1"/>
  <c r="E86" i="13"/>
  <c r="J86" i="13" s="1"/>
  <c r="I67" i="10"/>
  <c r="J67" i="10" s="1"/>
  <c r="K67" i="10" s="1"/>
  <c r="L67" i="10" s="1" a="1"/>
  <c r="L67" i="10" s="1"/>
  <c r="F78" i="13" s="1"/>
  <c r="E78" i="13"/>
  <c r="J78" i="13" s="1"/>
  <c r="I59" i="10"/>
  <c r="J59" i="10" s="1"/>
  <c r="K59" i="10" s="1"/>
  <c r="L59" i="10" s="1" a="1"/>
  <c r="L59" i="10" s="1"/>
  <c r="F70" i="13" s="1"/>
  <c r="E70" i="13"/>
  <c r="J70" i="13" s="1"/>
  <c r="I51" i="10"/>
  <c r="J51" i="10" s="1"/>
  <c r="K51" i="10" s="1"/>
  <c r="L51" i="10" s="1" a="1"/>
  <c r="L51" i="10" s="1"/>
  <c r="F62" i="13" s="1"/>
  <c r="E62" i="13"/>
  <c r="J62" i="13" s="1"/>
  <c r="I43" i="10"/>
  <c r="J43" i="10" s="1"/>
  <c r="K43" i="10" s="1"/>
  <c r="L43" i="10" s="1" a="1"/>
  <c r="L43" i="10" s="1"/>
  <c r="F54" i="13" s="1"/>
  <c r="E54" i="13"/>
  <c r="J54" i="13" s="1"/>
  <c r="I35" i="10"/>
  <c r="J35" i="10" s="1"/>
  <c r="K35" i="10" s="1"/>
  <c r="L35" i="10" s="1" a="1"/>
  <c r="L35" i="10" s="1"/>
  <c r="F46" i="13" s="1"/>
  <c r="E46" i="13"/>
  <c r="J46" i="13" s="1"/>
  <c r="I27" i="10"/>
  <c r="J27" i="10" s="1"/>
  <c r="K27" i="10" s="1"/>
  <c r="L27" i="10" s="1" a="1"/>
  <c r="L27" i="10" s="1"/>
  <c r="F38" i="13" s="1"/>
  <c r="E38" i="13"/>
  <c r="J38" i="13" s="1"/>
  <c r="I19" i="10"/>
  <c r="J19" i="10" s="1"/>
  <c r="K19" i="10" s="1"/>
  <c r="L19" i="10" s="1" a="1"/>
  <c r="L19" i="10" s="1"/>
  <c r="F30" i="13" s="1"/>
  <c r="E30" i="13"/>
  <c r="J30" i="13" s="1"/>
  <c r="I11" i="10"/>
  <c r="J11" i="10" s="1"/>
  <c r="K11" i="10" s="1"/>
  <c r="L11" i="10" s="1" a="1"/>
  <c r="L11" i="10" s="1"/>
  <c r="F22" i="13" s="1"/>
  <c r="E22" i="13"/>
  <c r="J22" i="13" s="1"/>
  <c r="I71" i="10"/>
  <c r="J71" i="10" s="1"/>
  <c r="K71" i="10" s="1"/>
  <c r="L71" i="10" s="1" a="1"/>
  <c r="L71" i="10" s="1"/>
  <c r="F82" i="13" s="1"/>
  <c r="E82" i="13"/>
  <c r="J82" i="13" s="1"/>
  <c r="I47" i="10"/>
  <c r="J47" i="10" s="1"/>
  <c r="K47" i="10" s="1"/>
  <c r="L47" i="10" s="1" a="1"/>
  <c r="L47" i="10" s="1"/>
  <c r="F58" i="13" s="1"/>
  <c r="E58" i="13"/>
  <c r="J58" i="13" s="1"/>
  <c r="I60" i="10"/>
  <c r="J60" i="10" s="1"/>
  <c r="K60" i="10" s="1"/>
  <c r="L60" i="10" s="1" a="1"/>
  <c r="L60" i="10" s="1"/>
  <c r="F71" i="13" s="1"/>
  <c r="E71" i="13"/>
  <c r="J71" i="13" s="1"/>
  <c r="I52" i="10"/>
  <c r="J52" i="10" s="1"/>
  <c r="K52" i="10" s="1"/>
  <c r="L52" i="10" s="1" a="1"/>
  <c r="L52" i="10" s="1"/>
  <c r="F63" i="13" s="1"/>
  <c r="E63" i="13"/>
  <c r="J63" i="13" s="1"/>
  <c r="I54" i="10"/>
  <c r="J54" i="10" s="1"/>
  <c r="K54" i="10" s="1"/>
  <c r="L54" i="10" s="1" a="1"/>
  <c r="L54" i="10" s="1"/>
  <c r="F65" i="13" s="1"/>
  <c r="E65" i="13"/>
  <c r="J65" i="13" s="1"/>
  <c r="I30" i="10"/>
  <c r="J30" i="10" s="1"/>
  <c r="K30" i="10" s="1"/>
  <c r="L30" i="10" s="1" a="1"/>
  <c r="L30" i="10" s="1"/>
  <c r="F41" i="13" s="1"/>
  <c r="E41" i="13"/>
  <c r="J41" i="13" s="1"/>
  <c r="I22" i="10"/>
  <c r="J22" i="10" s="1"/>
  <c r="K22" i="10" s="1"/>
  <c r="L22" i="10" s="1" a="1"/>
  <c r="L22" i="10" s="1"/>
  <c r="F33" i="13" s="1"/>
  <c r="E33" i="13"/>
  <c r="J33" i="13" s="1"/>
  <c r="I80" i="10"/>
  <c r="J80" i="10" s="1"/>
  <c r="K80" i="10" s="1"/>
  <c r="L80" i="10" s="1" a="1"/>
  <c r="L80" i="10" s="1"/>
  <c r="F91" i="13" s="1"/>
  <c r="E91" i="13"/>
  <c r="J91" i="13" s="1"/>
  <c r="I72" i="10"/>
  <c r="J72" i="10" s="1"/>
  <c r="K72" i="10" s="1"/>
  <c r="L72" i="10" s="1" a="1"/>
  <c r="L72" i="10" s="1"/>
  <c r="F83" i="13" s="1"/>
  <c r="E83" i="13"/>
  <c r="J83" i="13" s="1"/>
  <c r="I64" i="10"/>
  <c r="J64" i="10" s="1"/>
  <c r="K64" i="10" s="1"/>
  <c r="L64" i="10" s="1" a="1"/>
  <c r="L64" i="10" s="1"/>
  <c r="F75" i="13" s="1"/>
  <c r="E75" i="13"/>
  <c r="J75" i="13" s="1"/>
  <c r="I56" i="10"/>
  <c r="J56" i="10" s="1"/>
  <c r="K56" i="10" s="1"/>
  <c r="L56" i="10" s="1" a="1"/>
  <c r="L56" i="10" s="1"/>
  <c r="F67" i="13" s="1"/>
  <c r="E67" i="13"/>
  <c r="J67" i="13" s="1"/>
  <c r="I48" i="10"/>
  <c r="J48" i="10" s="1"/>
  <c r="K48" i="10" s="1"/>
  <c r="L48" i="10" s="1" a="1"/>
  <c r="L48" i="10" s="1"/>
  <c r="F59" i="13" s="1"/>
  <c r="E59" i="13"/>
  <c r="J59" i="13" s="1"/>
  <c r="I40" i="10"/>
  <c r="J40" i="10" s="1"/>
  <c r="K40" i="10" s="1"/>
  <c r="L40" i="10" s="1" a="1"/>
  <c r="L40" i="10" s="1"/>
  <c r="F51" i="13" s="1"/>
  <c r="E51" i="13"/>
  <c r="J51" i="13" s="1"/>
  <c r="I32" i="10"/>
  <c r="J32" i="10" s="1"/>
  <c r="K32" i="10" s="1"/>
  <c r="L32" i="10" s="1" a="1"/>
  <c r="L32" i="10" s="1"/>
  <c r="F43" i="13" s="1"/>
  <c r="E43" i="13"/>
  <c r="J43" i="13" s="1"/>
  <c r="I24" i="10"/>
  <c r="J24" i="10" s="1"/>
  <c r="K24" i="10" s="1"/>
  <c r="L24" i="10" s="1" a="1"/>
  <c r="L24" i="10" s="1"/>
  <c r="F35" i="13" s="1"/>
  <c r="E35" i="13"/>
  <c r="J35" i="13" s="1"/>
  <c r="I16" i="10"/>
  <c r="J16" i="10" s="1"/>
  <c r="K16" i="10" s="1"/>
  <c r="L16" i="10" s="1" a="1"/>
  <c r="L16" i="10" s="1"/>
  <c r="F27" i="13" s="1"/>
  <c r="E27" i="13"/>
  <c r="J27" i="13" s="1"/>
  <c r="I63" i="10"/>
  <c r="J63" i="10" s="1"/>
  <c r="K63" i="10" s="1"/>
  <c r="L63" i="10" s="1" a="1"/>
  <c r="L63" i="10" s="1"/>
  <c r="F74" i="13" s="1"/>
  <c r="E74" i="13"/>
  <c r="J74" i="13" s="1"/>
  <c r="I39" i="10"/>
  <c r="J39" i="10" s="1"/>
  <c r="K39" i="10" s="1"/>
  <c r="L39" i="10" s="1" a="1"/>
  <c r="L39" i="10" s="1"/>
  <c r="F50" i="13" s="1"/>
  <c r="E50" i="13"/>
  <c r="J50" i="13" s="1"/>
  <c r="I12" i="10"/>
  <c r="J12" i="10" s="1"/>
  <c r="K12" i="10" s="1"/>
  <c r="L12" i="10" s="1" a="1"/>
  <c r="L12" i="10" s="1"/>
  <c r="F23" i="13" s="1"/>
  <c r="E23" i="13"/>
  <c r="J23" i="13" s="1"/>
  <c r="I70" i="10"/>
  <c r="J70" i="10" s="1"/>
  <c r="K70" i="10" s="1"/>
  <c r="L70" i="10" s="1" a="1"/>
  <c r="L70" i="10" s="1"/>
  <c r="F81" i="13" s="1"/>
  <c r="E81" i="13"/>
  <c r="J81" i="13" s="1"/>
  <c r="I77" i="10"/>
  <c r="J77" i="10" s="1"/>
  <c r="K77" i="10" s="1"/>
  <c r="L77" i="10" s="1" a="1"/>
  <c r="L77" i="10" s="1"/>
  <c r="F88" i="13" s="1"/>
  <c r="E88" i="13"/>
  <c r="J88" i="13" s="1"/>
  <c r="I53" i="10"/>
  <c r="J53" i="10" s="1"/>
  <c r="K53" i="10" s="1"/>
  <c r="L53" i="10" s="1" a="1"/>
  <c r="L53" i="10" s="1"/>
  <c r="F64" i="13" s="1"/>
  <c r="E64" i="13"/>
  <c r="J64" i="13" s="1"/>
  <c r="I45" i="10"/>
  <c r="J45" i="10" s="1"/>
  <c r="K45" i="10" s="1"/>
  <c r="L45" i="10" s="1" a="1"/>
  <c r="L45" i="10" s="1"/>
  <c r="F56" i="13" s="1"/>
  <c r="E56" i="13"/>
  <c r="J56" i="13" s="1"/>
  <c r="I37" i="10"/>
  <c r="J37" i="10" s="1"/>
  <c r="K37" i="10" s="1"/>
  <c r="L37" i="10" s="1" a="1"/>
  <c r="L37" i="10" s="1"/>
  <c r="F48" i="13" s="1"/>
  <c r="E48" i="13"/>
  <c r="J48" i="13" s="1"/>
  <c r="I21" i="10"/>
  <c r="J21" i="10" s="1"/>
  <c r="K21" i="10" s="1"/>
  <c r="L21" i="10" s="1" a="1"/>
  <c r="L21" i="10" s="1"/>
  <c r="F32" i="13" s="1"/>
  <c r="E32" i="13"/>
  <c r="J32" i="13" s="1"/>
  <c r="F24" i="13"/>
  <c r="E24" i="13"/>
  <c r="J24" i="13" s="1"/>
  <c r="I55" i="10"/>
  <c r="J55" i="10" s="1"/>
  <c r="K55" i="10" s="1"/>
  <c r="L55" i="10" s="1" a="1"/>
  <c r="L55" i="10" s="1"/>
  <c r="F66" i="13" s="1"/>
  <c r="E66" i="13"/>
  <c r="J66" i="13" s="1"/>
  <c r="I15" i="10"/>
  <c r="J15" i="10" s="1"/>
  <c r="K15" i="10" s="1"/>
  <c r="L15" i="10" s="1" a="1"/>
  <c r="L15" i="10" s="1"/>
  <c r="F26" i="13" s="1"/>
  <c r="E26" i="13"/>
  <c r="J26" i="13" s="1"/>
  <c r="I36" i="10"/>
  <c r="J36" i="10" s="1"/>
  <c r="K36" i="10" s="1"/>
  <c r="L36" i="10" s="1" a="1"/>
  <c r="L36" i="10" s="1"/>
  <c r="F47" i="13" s="1"/>
  <c r="E47" i="13"/>
  <c r="J47" i="13" s="1"/>
  <c r="I28" i="10"/>
  <c r="J28" i="10" s="1"/>
  <c r="K28" i="10" s="1"/>
  <c r="L28" i="10" s="1" a="1"/>
  <c r="L28" i="10" s="1"/>
  <c r="F39" i="13" s="1"/>
  <c r="E39" i="13"/>
  <c r="J39" i="13" s="1"/>
  <c r="I46" i="10"/>
  <c r="J46" i="10" s="1"/>
  <c r="K46" i="10" s="1"/>
  <c r="L46" i="10" s="1" a="1"/>
  <c r="L46" i="10" s="1"/>
  <c r="F57" i="13" s="1"/>
  <c r="E57" i="13"/>
  <c r="J57" i="13" s="1"/>
  <c r="I38" i="10"/>
  <c r="J38" i="10" s="1"/>
  <c r="K38" i="10" s="1"/>
  <c r="L38" i="10" s="1" a="1"/>
  <c r="L38" i="10" s="1"/>
  <c r="F49" i="13" s="1"/>
  <c r="E49" i="13"/>
  <c r="J49" i="13" s="1"/>
  <c r="I14" i="10"/>
  <c r="J14" i="10" s="1"/>
  <c r="K14" i="10" s="1"/>
  <c r="L14" i="10" s="1" a="1"/>
  <c r="L14" i="10" s="1"/>
  <c r="F25" i="13" s="1"/>
  <c r="E25" i="13"/>
  <c r="J25" i="13" s="1"/>
  <c r="I69" i="10"/>
  <c r="J69" i="10" s="1"/>
  <c r="K69" i="10" s="1"/>
  <c r="L69" i="10" s="1" a="1"/>
  <c r="L69" i="10" s="1"/>
  <c r="F80" i="13" s="1"/>
  <c r="E80" i="13"/>
  <c r="J80" i="13" s="1"/>
  <c r="I61" i="10"/>
  <c r="J61" i="10" s="1"/>
  <c r="K61" i="10" s="1"/>
  <c r="L61" i="10" s="1" a="1"/>
  <c r="L61" i="10" s="1"/>
  <c r="F72" i="13" s="1"/>
  <c r="E72" i="13"/>
  <c r="J72" i="13" s="1"/>
  <c r="I29" i="10"/>
  <c r="J29" i="10" s="1"/>
  <c r="K29" i="10" s="1"/>
  <c r="L29" i="10" s="1" a="1"/>
  <c r="L29" i="10" s="1"/>
  <c r="F40" i="13" s="1"/>
  <c r="E40" i="13"/>
  <c r="J40" i="13" s="1"/>
  <c r="I74" i="10"/>
  <c r="J74" i="10" s="1"/>
  <c r="K74" i="10" s="1"/>
  <c r="L74" i="10" s="1" a="1"/>
  <c r="L74" i="10" s="1"/>
  <c r="F85" i="13" s="1"/>
  <c r="E85" i="13"/>
  <c r="J85" i="13" s="1"/>
  <c r="I66" i="10"/>
  <c r="J66" i="10" s="1"/>
  <c r="K66" i="10" s="1"/>
  <c r="L66" i="10" s="1" a="1"/>
  <c r="L66" i="10" s="1"/>
  <c r="F77" i="13" s="1"/>
  <c r="E77" i="13"/>
  <c r="J77" i="13" s="1"/>
  <c r="I58" i="10"/>
  <c r="J58" i="10" s="1"/>
  <c r="K58" i="10" s="1"/>
  <c r="L58" i="10" s="1" a="1"/>
  <c r="L58" i="10" s="1"/>
  <c r="F69" i="13" s="1"/>
  <c r="E69" i="13"/>
  <c r="J69" i="13" s="1"/>
  <c r="I50" i="10"/>
  <c r="J50" i="10" s="1"/>
  <c r="K50" i="10" s="1"/>
  <c r="L50" i="10" s="1" a="1"/>
  <c r="L50" i="10" s="1"/>
  <c r="F61" i="13" s="1"/>
  <c r="E61" i="13"/>
  <c r="J61" i="13" s="1"/>
  <c r="I42" i="10"/>
  <c r="J42" i="10" s="1"/>
  <c r="K42" i="10" s="1"/>
  <c r="L42" i="10" s="1" a="1"/>
  <c r="L42" i="10" s="1"/>
  <c r="F53" i="13" s="1"/>
  <c r="E53" i="13"/>
  <c r="J53" i="13" s="1"/>
  <c r="I34" i="10"/>
  <c r="J34" i="10" s="1"/>
  <c r="K34" i="10" s="1"/>
  <c r="L34" i="10" s="1" a="1"/>
  <c r="L34" i="10" s="1"/>
  <c r="F45" i="13" s="1"/>
  <c r="E45" i="13"/>
  <c r="J45" i="13" s="1"/>
  <c r="I26" i="10"/>
  <c r="J26" i="10" s="1"/>
  <c r="K26" i="10" s="1"/>
  <c r="L26" i="10" s="1" a="1"/>
  <c r="L26" i="10" s="1"/>
  <c r="F37" i="13" s="1"/>
  <c r="E37" i="13"/>
  <c r="J37" i="13" s="1"/>
  <c r="I18" i="10"/>
  <c r="J18" i="10" s="1"/>
  <c r="K18" i="10" s="1"/>
  <c r="L18" i="10" s="1" a="1"/>
  <c r="L18" i="10" s="1"/>
  <c r="F29" i="13" s="1"/>
  <c r="E29" i="13"/>
  <c r="J29" i="13" s="1"/>
  <c r="I16" i="13"/>
  <c r="K16" i="13" s="1"/>
  <c r="CA31" i="13" l="1"/>
  <c r="AU38" i="13"/>
  <c r="BK38" i="13"/>
  <c r="AU32" i="13"/>
  <c r="AU30" i="13"/>
  <c r="AU44" i="13"/>
  <c r="AU24" i="13"/>
  <c r="CQ35" i="13"/>
  <c r="AU40" i="13"/>
  <c r="CA25" i="13"/>
  <c r="AU36" i="13"/>
  <c r="AU28" i="13"/>
  <c r="AU48" i="13"/>
  <c r="V19" i="21"/>
  <c r="V20" i="21" s="1"/>
  <c r="I28" i="5"/>
  <c r="AJ25" i="21"/>
  <c r="AK25" i="21" s="1"/>
  <c r="AJ26" i="21"/>
  <c r="AK26" i="21" s="1"/>
  <c r="CA22" i="13"/>
  <c r="BK64" i="13"/>
  <c r="BK56" i="13"/>
  <c r="CP35" i="13"/>
  <c r="CA33" i="13"/>
  <c r="CQ54" i="13"/>
  <c r="Z88" i="13" a="1"/>
  <c r="Z88" i="13" s="1"/>
  <c r="Z174" i="13" s="1"/>
  <c r="AA88" i="13"/>
  <c r="AA174" i="13" s="1"/>
  <c r="AA32" i="13"/>
  <c r="AA118" i="13" s="1"/>
  <c r="Z32" i="13" a="1"/>
  <c r="Z32" i="13" s="1"/>
  <c r="Z118" i="13" s="1"/>
  <c r="AA60" i="13"/>
  <c r="AA146" i="13" s="1"/>
  <c r="Z60" i="13" a="1"/>
  <c r="Z60" i="13" s="1"/>
  <c r="Z146" i="13" s="1"/>
  <c r="Z71" i="13" a="1"/>
  <c r="Z71" i="13" s="1"/>
  <c r="Z157" i="13" s="1"/>
  <c r="AA71" i="13"/>
  <c r="AA157" i="13" s="1"/>
  <c r="AA30" i="13"/>
  <c r="AA116" i="13" s="1"/>
  <c r="Z30" i="13" a="1"/>
  <c r="Z30" i="13" s="1"/>
  <c r="Z116" i="13" s="1"/>
  <c r="Z49" i="13" a="1"/>
  <c r="Z49" i="13" s="1"/>
  <c r="Z135" i="13" s="1"/>
  <c r="AA49" i="13"/>
  <c r="AA135" i="13" s="1"/>
  <c r="AA62" i="13"/>
  <c r="AA148" i="13" s="1"/>
  <c r="Z62" i="13" a="1"/>
  <c r="Z62" i="13" s="1"/>
  <c r="Z148" i="13" s="1"/>
  <c r="Z24" i="13" a="1"/>
  <c r="Z24" i="13" s="1"/>
  <c r="Z110" i="13" s="1"/>
  <c r="AA24" i="13"/>
  <c r="AA110" i="13" s="1"/>
  <c r="Z89" i="13" a="1"/>
  <c r="Z89" i="13" s="1"/>
  <c r="Z175" i="13" s="1"/>
  <c r="AA89" i="13"/>
  <c r="AA175" i="13" s="1"/>
  <c r="Z67" i="13" a="1"/>
  <c r="Z67" i="13" s="1"/>
  <c r="Z153" i="13" s="1"/>
  <c r="AA67" i="13"/>
  <c r="AA153" i="13" s="1"/>
  <c r="AA45" i="13"/>
  <c r="AA131" i="13" s="1"/>
  <c r="Z45" i="13" a="1"/>
  <c r="Z45" i="13" s="1"/>
  <c r="Z131" i="13" s="1"/>
  <c r="Z25" i="13" a="1"/>
  <c r="Z25" i="13" s="1"/>
  <c r="Z111" i="13" s="1"/>
  <c r="AA25" i="13"/>
  <c r="AA111" i="13" s="1"/>
  <c r="AA64" i="13"/>
  <c r="AA150" i="13" s="1"/>
  <c r="Z64" i="13" a="1"/>
  <c r="Z64" i="13" s="1"/>
  <c r="Z150" i="13" s="1"/>
  <c r="AA90" i="13"/>
  <c r="AA176" i="13" s="1"/>
  <c r="Z90" i="13" a="1"/>
  <c r="Z90" i="13" s="1"/>
  <c r="Z176" i="13" s="1"/>
  <c r="AA36" i="13"/>
  <c r="AA122" i="13" s="1"/>
  <c r="Z36" i="13" a="1"/>
  <c r="Z36" i="13" s="1"/>
  <c r="Z122" i="13" s="1"/>
  <c r="Z55" i="13" a="1"/>
  <c r="Z55" i="13" s="1"/>
  <c r="Z141" i="13" s="1"/>
  <c r="AA55" i="13"/>
  <c r="AA141" i="13" s="1"/>
  <c r="AA54" i="13"/>
  <c r="AA140" i="13" s="1"/>
  <c r="Z54" i="13" a="1"/>
  <c r="Z54" i="13" s="1"/>
  <c r="Z140" i="13" s="1"/>
  <c r="AA79" i="13"/>
  <c r="AA165" i="13" s="1"/>
  <c r="Z79" i="13" a="1"/>
  <c r="Z79" i="13" s="1"/>
  <c r="Z165" i="13" s="1"/>
  <c r="AA85" i="13"/>
  <c r="AA171" i="13" s="1"/>
  <c r="Z85" i="13" a="1"/>
  <c r="Z85" i="13" s="1"/>
  <c r="Z171" i="13" s="1"/>
  <c r="Z65" i="13" a="1"/>
  <c r="Z65" i="13" s="1"/>
  <c r="Z151" i="13" s="1"/>
  <c r="AA65" i="13"/>
  <c r="AA151" i="13" s="1"/>
  <c r="AA43" i="13"/>
  <c r="AA129" i="13" s="1"/>
  <c r="Z43" i="13" a="1"/>
  <c r="Z43" i="13" s="1"/>
  <c r="Z129" i="13" s="1"/>
  <c r="Z23" i="13" a="1"/>
  <c r="Z23" i="13" s="1"/>
  <c r="Z109" i="13" s="1"/>
  <c r="AA23" i="13"/>
  <c r="AA109" i="13" s="1"/>
  <c r="AA86" i="13"/>
  <c r="AA172" i="13" s="1"/>
  <c r="Z86" i="13" a="1"/>
  <c r="Z86" i="13" s="1"/>
  <c r="Z172" i="13" s="1"/>
  <c r="Z82" i="13" a="1"/>
  <c r="Z82" i="13" s="1"/>
  <c r="Z168" i="13" s="1"/>
  <c r="AA82" i="13"/>
  <c r="AA168" i="13" s="1"/>
  <c r="AA84" i="13"/>
  <c r="AA170" i="13" s="1"/>
  <c r="Z84" i="13" a="1"/>
  <c r="Z84" i="13" s="1"/>
  <c r="Z170" i="13" s="1"/>
  <c r="AA76" i="13"/>
  <c r="AA162" i="13" s="1"/>
  <c r="Z76" i="13" a="1"/>
  <c r="Z76" i="13" s="1"/>
  <c r="Z162" i="13" s="1"/>
  <c r="Z73" i="13" a="1"/>
  <c r="Z73" i="13" s="1"/>
  <c r="Z159" i="13" s="1"/>
  <c r="AA73" i="13"/>
  <c r="AA159" i="13" s="1"/>
  <c r="Z42" i="13" a="1"/>
  <c r="Z42" i="13" s="1"/>
  <c r="Z128" i="13" s="1"/>
  <c r="AA42" i="13"/>
  <c r="AA128" i="13" s="1"/>
  <c r="Z91" i="13" a="1"/>
  <c r="Z91" i="13" s="1"/>
  <c r="Z177" i="13" s="1"/>
  <c r="AA91" i="13"/>
  <c r="AA177" i="13" s="1"/>
  <c r="AA52" i="13"/>
  <c r="AA138" i="13" s="1"/>
  <c r="Z52" i="13" a="1"/>
  <c r="Z52" i="13" s="1"/>
  <c r="Z138" i="13" s="1"/>
  <c r="AA26" i="13"/>
  <c r="AA112" i="13" s="1"/>
  <c r="Z26" i="13" a="1"/>
  <c r="Z26" i="13" s="1"/>
  <c r="Z112" i="13" s="1"/>
  <c r="Z83" i="13" a="1"/>
  <c r="Z83" i="13" s="1"/>
  <c r="Z169" i="13" s="1"/>
  <c r="AA83" i="13"/>
  <c r="AA169" i="13" s="1"/>
  <c r="AA61" i="13"/>
  <c r="AA147" i="13" s="1"/>
  <c r="Z61" i="13" a="1"/>
  <c r="Z61" i="13" s="1"/>
  <c r="Z147" i="13" s="1"/>
  <c r="Z41" i="13" a="1"/>
  <c r="Z41" i="13" s="1"/>
  <c r="Z127" i="13" s="1"/>
  <c r="AA41" i="13"/>
  <c r="AA127" i="13" s="1"/>
  <c r="Z40" i="13" a="1"/>
  <c r="Z40" i="13" s="1"/>
  <c r="Z126" i="13" s="1"/>
  <c r="AA40" i="13"/>
  <c r="AA126" i="13" s="1"/>
  <c r="AA74" i="13"/>
  <c r="AA160" i="13" s="1"/>
  <c r="Z74" i="13" a="1"/>
  <c r="Z74" i="13" s="1"/>
  <c r="Z160" i="13" s="1"/>
  <c r="AA44" i="13"/>
  <c r="AA130" i="13" s="1"/>
  <c r="Z44" i="13" a="1"/>
  <c r="Z44" i="13" s="1"/>
  <c r="Z130" i="13" s="1"/>
  <c r="Z47" i="13" a="1"/>
  <c r="Z47" i="13" s="1"/>
  <c r="Z133" i="13" s="1"/>
  <c r="AA47" i="13"/>
  <c r="AA133" i="13" s="1"/>
  <c r="Z37" i="13" a="1"/>
  <c r="Z37" i="13" s="1"/>
  <c r="Z123" i="13" s="1"/>
  <c r="AA37" i="13"/>
  <c r="AA123" i="13" s="1"/>
  <c r="Z63" i="13" a="1"/>
  <c r="Z63" i="13" s="1"/>
  <c r="Z149" i="13" s="1"/>
  <c r="AA63" i="13"/>
  <c r="AA149" i="13" s="1"/>
  <c r="Z66" i="13" a="1"/>
  <c r="Z66" i="13" s="1"/>
  <c r="Z152" i="13" s="1"/>
  <c r="AA66" i="13"/>
  <c r="AA152" i="13" s="1"/>
  <c r="AA28" i="13"/>
  <c r="AA114" i="13" s="1"/>
  <c r="Z28" i="13" a="1"/>
  <c r="Z28" i="13" s="1"/>
  <c r="Z114" i="13" s="1"/>
  <c r="Z39" i="13" a="1"/>
  <c r="Z39" i="13" s="1"/>
  <c r="Z125" i="13" s="1"/>
  <c r="AA39" i="13"/>
  <c r="AA125" i="13" s="1"/>
  <c r="AA31" i="13"/>
  <c r="AA117" i="13" s="1"/>
  <c r="Z31" i="13" a="1"/>
  <c r="Z31" i="13" s="1"/>
  <c r="Z117" i="13" s="1"/>
  <c r="Z87" i="13" a="1"/>
  <c r="Z87" i="13" s="1"/>
  <c r="Z173" i="13" s="1"/>
  <c r="AA87" i="13"/>
  <c r="AA173" i="13" s="1"/>
  <c r="AA29" i="13"/>
  <c r="AA115" i="13" s="1"/>
  <c r="Z29" i="13" a="1"/>
  <c r="Z29" i="13" s="1"/>
  <c r="Z115" i="13" s="1"/>
  <c r="AA70" i="13"/>
  <c r="AA156" i="13" s="1"/>
  <c r="Z70" i="13" a="1"/>
  <c r="Z70" i="13" s="1"/>
  <c r="Z156" i="13" s="1"/>
  <c r="AA59" i="13"/>
  <c r="AA145" i="13" s="1"/>
  <c r="Z59" i="13" a="1"/>
  <c r="Z59" i="13" s="1"/>
  <c r="Z145" i="13" s="1"/>
  <c r="AA38" i="13"/>
  <c r="AA124" i="13" s="1"/>
  <c r="Z38" i="13" a="1"/>
  <c r="Z38" i="13" s="1"/>
  <c r="Z124" i="13" s="1"/>
  <c r="AA77" i="13"/>
  <c r="AA163" i="13" s="1"/>
  <c r="Z77" i="13" a="1"/>
  <c r="Z77" i="13" s="1"/>
  <c r="Z163" i="13" s="1"/>
  <c r="Z57" i="13" a="1"/>
  <c r="Z57" i="13" s="1"/>
  <c r="Z143" i="13" s="1"/>
  <c r="AA57" i="13"/>
  <c r="AA143" i="13" s="1"/>
  <c r="Z35" i="13" a="1"/>
  <c r="Z35" i="13" s="1"/>
  <c r="Z121" i="13" s="1"/>
  <c r="AA35" i="13"/>
  <c r="AA121" i="13" s="1"/>
  <c r="AA80" i="13"/>
  <c r="AA166" i="13" s="1"/>
  <c r="Z80" i="13" a="1"/>
  <c r="Z80" i="13" s="1"/>
  <c r="Z166" i="13" s="1"/>
  <c r="Z58" i="13" a="1"/>
  <c r="Z58" i="13" s="1"/>
  <c r="Z144" i="13" s="1"/>
  <c r="AA58" i="13"/>
  <c r="AA144" i="13" s="1"/>
  <c r="AA22" i="13"/>
  <c r="AA108" i="13" s="1"/>
  <c r="Z22" i="13" a="1"/>
  <c r="Z22" i="13" s="1"/>
  <c r="Z108" i="13" s="1"/>
  <c r="Z27" i="13" a="1"/>
  <c r="Z27" i="13" s="1"/>
  <c r="Z113" i="13" s="1"/>
  <c r="AA27" i="13"/>
  <c r="AA113" i="13" s="1"/>
  <c r="AA46" i="13"/>
  <c r="AA132" i="13" s="1"/>
  <c r="Z46" i="13" a="1"/>
  <c r="Z46" i="13" s="1"/>
  <c r="Z132" i="13" s="1"/>
  <c r="AA78" i="13"/>
  <c r="AA164" i="13" s="1"/>
  <c r="Z78" i="13" a="1"/>
  <c r="Z78" i="13" s="1"/>
  <c r="Z164" i="13" s="1"/>
  <c r="Z51" i="13" a="1"/>
  <c r="Z51" i="13" s="1"/>
  <c r="Z137" i="13" s="1"/>
  <c r="AA51" i="13"/>
  <c r="AA137" i="13" s="1"/>
  <c r="AA69" i="13"/>
  <c r="AA155" i="13" s="1"/>
  <c r="Z69" i="13" a="1"/>
  <c r="Z69" i="13" s="1"/>
  <c r="Z155" i="13" s="1"/>
  <c r="Z34" i="13" a="1"/>
  <c r="Z34" i="13" s="1"/>
  <c r="Z120" i="13" s="1"/>
  <c r="AA34" i="13"/>
  <c r="AA120" i="13" s="1"/>
  <c r="Z81" i="13" a="1"/>
  <c r="Z81" i="13" s="1"/>
  <c r="Z167" i="13" s="1"/>
  <c r="AA81" i="13"/>
  <c r="AA167" i="13" s="1"/>
  <c r="Z56" i="13" a="1"/>
  <c r="Z56" i="13" s="1"/>
  <c r="Z142" i="13" s="1"/>
  <c r="AA56" i="13"/>
  <c r="AA142" i="13" s="1"/>
  <c r="AA75" i="13"/>
  <c r="AA161" i="13" s="1"/>
  <c r="Z75" i="13" a="1"/>
  <c r="Z75" i="13" s="1"/>
  <c r="Z161" i="13" s="1"/>
  <c r="AA53" i="13"/>
  <c r="AA139" i="13" s="1"/>
  <c r="Z53" i="13" a="1"/>
  <c r="Z53" i="13" s="1"/>
  <c r="Z139" i="13" s="1"/>
  <c r="Z33" i="13" a="1"/>
  <c r="Z33" i="13" s="1"/>
  <c r="Z119" i="13" s="1"/>
  <c r="AA33" i="13"/>
  <c r="AA119" i="13" s="1"/>
  <c r="AA50" i="13"/>
  <c r="AA136" i="13" s="1"/>
  <c r="Z50" i="13" a="1"/>
  <c r="Z50" i="13" s="1"/>
  <c r="Z136" i="13" s="1"/>
  <c r="AA68" i="13"/>
  <c r="AA154" i="13" s="1"/>
  <c r="Z68" i="13" a="1"/>
  <c r="Z68" i="13" s="1"/>
  <c r="Z154" i="13" s="1"/>
  <c r="Z72" i="13" a="1"/>
  <c r="Z72" i="13" s="1"/>
  <c r="Z158" i="13" s="1"/>
  <c r="AA72" i="13"/>
  <c r="AA158" i="13" s="1"/>
  <c r="AA48" i="13"/>
  <c r="AA134" i="13" s="1"/>
  <c r="Z48" i="13" a="1"/>
  <c r="Z48" i="13" s="1"/>
  <c r="Z134" i="13" s="1"/>
  <c r="AB35" i="13"/>
  <c r="AC35" i="13"/>
  <c r="AB44" i="13"/>
  <c r="AC44" i="13"/>
  <c r="AB39" i="13"/>
  <c r="AC39" i="13"/>
  <c r="AB22" i="13"/>
  <c r="AC22" i="13"/>
  <c r="AB29" i="13"/>
  <c r="AC29" i="13"/>
  <c r="AB42" i="13"/>
  <c r="AC42" i="13"/>
  <c r="AB31" i="13"/>
  <c r="AC31" i="13"/>
  <c r="AB30" i="13"/>
  <c r="AC30" i="13"/>
  <c r="AB32" i="13"/>
  <c r="AC32" i="13"/>
  <c r="AB27" i="13"/>
  <c r="AC27" i="13"/>
  <c r="AC36" i="13"/>
  <c r="AB36" i="13"/>
  <c r="AB23" i="13"/>
  <c r="AC23" i="13"/>
  <c r="X166" i="13"/>
  <c r="AB34" i="13"/>
  <c r="AC34" i="13"/>
  <c r="AB47" i="13"/>
  <c r="AC47" i="13"/>
  <c r="AB25" i="13"/>
  <c r="AC25" i="13"/>
  <c r="AB37" i="13"/>
  <c r="AC37" i="13"/>
  <c r="AB28" i="13"/>
  <c r="AC28" i="13"/>
  <c r="AB24" i="13"/>
  <c r="AC24" i="13"/>
  <c r="AB41" i="13"/>
  <c r="AC41" i="13"/>
  <c r="AB45" i="13"/>
  <c r="AC45" i="13"/>
  <c r="AB46" i="13"/>
  <c r="AC46" i="13"/>
  <c r="AB33" i="13"/>
  <c r="AC33" i="13"/>
  <c r="AC40" i="13"/>
  <c r="AB40" i="13"/>
  <c r="AB43" i="13"/>
  <c r="AC43" i="13"/>
  <c r="AB38" i="13"/>
  <c r="AC38" i="13"/>
  <c r="BK69" i="13"/>
  <c r="AU31" i="13"/>
  <c r="CA39" i="13"/>
  <c r="AU39" i="13"/>
  <c r="CQ32" i="13"/>
  <c r="CA26" i="13"/>
  <c r="CA40" i="13"/>
  <c r="BK54" i="13"/>
  <c r="AT46" i="13"/>
  <c r="BJ69" i="13"/>
  <c r="CQ40" i="13"/>
  <c r="CQ37" i="13"/>
  <c r="CQ67" i="13"/>
  <c r="CA37" i="13"/>
  <c r="CQ24" i="13"/>
  <c r="BZ25" i="13"/>
  <c r="CQ61" i="13"/>
  <c r="DG37" i="13"/>
  <c r="BK61" i="13"/>
  <c r="CQ36" i="13"/>
  <c r="DG38" i="13"/>
  <c r="CQ55" i="13"/>
  <c r="BK67" i="13"/>
  <c r="CQ59" i="13"/>
  <c r="DG22" i="13"/>
  <c r="CQ65" i="13"/>
  <c r="CQ27" i="13"/>
  <c r="CQ64" i="13"/>
  <c r="BK40" i="13"/>
  <c r="CA27" i="13"/>
  <c r="BZ38" i="13"/>
  <c r="CQ29" i="13"/>
  <c r="CQ28" i="13"/>
  <c r="BK31" i="13"/>
  <c r="BK53" i="13"/>
  <c r="CP27" i="13"/>
  <c r="CP56" i="13"/>
  <c r="CQ39" i="13"/>
  <c r="CQ56" i="13"/>
  <c r="BK71" i="13"/>
  <c r="BK70" i="13"/>
  <c r="CQ38" i="13"/>
  <c r="CQ53" i="13"/>
  <c r="CQ34" i="13"/>
  <c r="BK32" i="13"/>
  <c r="BZ39" i="13"/>
  <c r="CQ62" i="13"/>
  <c r="CQ58" i="13"/>
  <c r="AT50" i="13"/>
  <c r="BK28" i="13"/>
  <c r="DF33" i="13"/>
  <c r="CP41" i="13"/>
  <c r="CQ41" i="13"/>
  <c r="CA23" i="13"/>
  <c r="CP34" i="13"/>
  <c r="CA29" i="13"/>
  <c r="BK36" i="13"/>
  <c r="AU25" i="13"/>
  <c r="BJ31" i="13"/>
  <c r="BZ29" i="13"/>
  <c r="BK37" i="13"/>
  <c r="CP32" i="13"/>
  <c r="CQ69" i="13"/>
  <c r="CA41" i="13"/>
  <c r="CP53" i="13"/>
  <c r="BK60" i="13"/>
  <c r="AT44" i="13"/>
  <c r="CQ33" i="13"/>
  <c r="CQ22" i="13"/>
  <c r="DG35" i="13"/>
  <c r="BJ36" i="13"/>
  <c r="DG34" i="13"/>
  <c r="BJ71" i="13"/>
  <c r="CP57" i="13"/>
  <c r="CP61" i="13"/>
  <c r="DG30" i="13"/>
  <c r="CQ26" i="13"/>
  <c r="BK22" i="13"/>
  <c r="CP59" i="13"/>
  <c r="CP65" i="13"/>
  <c r="CQ66" i="13"/>
  <c r="DG39" i="13"/>
  <c r="CA43" i="13"/>
  <c r="DF23" i="13"/>
  <c r="CP67" i="13"/>
  <c r="DF16" i="13"/>
  <c r="CQ30" i="13"/>
  <c r="CP26" i="13"/>
  <c r="CA62" i="13"/>
  <c r="CP40" i="13"/>
  <c r="CQ63" i="13"/>
  <c r="BK58" i="13"/>
  <c r="DF31" i="13"/>
  <c r="BK35" i="13"/>
  <c r="CQ57" i="13"/>
  <c r="BZ41" i="13"/>
  <c r="BJ38" i="13"/>
  <c r="BK55" i="13"/>
  <c r="CP28" i="13"/>
  <c r="CP29" i="13"/>
  <c r="CP68" i="13"/>
  <c r="AT26" i="13"/>
  <c r="BZ37" i="13"/>
  <c r="CA34" i="13"/>
  <c r="BK59" i="13"/>
  <c r="CP36" i="13"/>
  <c r="CP64" i="13"/>
  <c r="AT22" i="13"/>
  <c r="CA28" i="13"/>
  <c r="CA30" i="13"/>
  <c r="CQ23" i="13"/>
  <c r="DG36" i="13"/>
  <c r="CP22" i="13"/>
  <c r="CP23" i="13"/>
  <c r="CQ31" i="13"/>
  <c r="BK30" i="13"/>
  <c r="BJ22" i="13"/>
  <c r="CP37" i="13"/>
  <c r="BJ59" i="13"/>
  <c r="DF35" i="13"/>
  <c r="BK29" i="13"/>
  <c r="CQ60" i="13"/>
  <c r="DG33" i="13"/>
  <c r="AT24" i="13"/>
  <c r="BZ16" i="13"/>
  <c r="CP16" i="13"/>
  <c r="DF36" i="13"/>
  <c r="BK72" i="13"/>
  <c r="CP24" i="13"/>
  <c r="DF30" i="13"/>
  <c r="AT30" i="13"/>
  <c r="DF39" i="13"/>
  <c r="BZ30" i="13"/>
  <c r="BZ62" i="13"/>
  <c r="BJ54" i="13"/>
  <c r="BJ53" i="13"/>
  <c r="BK62" i="13"/>
  <c r="CQ25" i="13"/>
  <c r="AU23" i="13"/>
  <c r="CP66" i="13"/>
  <c r="CQ68" i="13"/>
  <c r="DG23" i="13"/>
  <c r="AT34" i="13"/>
  <c r="BJ35" i="13"/>
  <c r="BK27" i="13"/>
  <c r="DG31" i="13"/>
  <c r="DF40" i="13"/>
  <c r="BZ33" i="13"/>
  <c r="AU42" i="13"/>
  <c r="BJ63" i="13"/>
  <c r="BJ67" i="13"/>
  <c r="BJ29" i="13"/>
  <c r="BK63" i="13"/>
  <c r="CP62" i="13"/>
  <c r="CA38" i="13"/>
  <c r="CP58" i="13"/>
  <c r="CP25" i="13"/>
  <c r="CP33" i="13"/>
  <c r="DF34" i="13"/>
  <c r="CP60" i="13"/>
  <c r="CP55" i="13"/>
  <c r="BZ44" i="13"/>
  <c r="CA44" i="13"/>
  <c r="BJ30" i="13"/>
  <c r="AU34" i="13"/>
  <c r="BZ31" i="13"/>
  <c r="CP31" i="13"/>
  <c r="AU45" i="13"/>
  <c r="BZ22" i="13"/>
  <c r="BJ39" i="13"/>
  <c r="BK73" i="13"/>
  <c r="AT42" i="13"/>
  <c r="BJ37" i="13"/>
  <c r="AT37" i="13"/>
  <c r="BJ28" i="13"/>
  <c r="DF38" i="13"/>
  <c r="CP30" i="13"/>
  <c r="DF22" i="13"/>
  <c r="CP63" i="13"/>
  <c r="BK66" i="13"/>
  <c r="AT27" i="13"/>
  <c r="AU35" i="13"/>
  <c r="BJ43" i="13"/>
  <c r="BK39" i="13"/>
  <c r="DG24" i="13"/>
  <c r="CA24" i="13"/>
  <c r="BJ60" i="13"/>
  <c r="AT47" i="13"/>
  <c r="AU43" i="13"/>
  <c r="BZ34" i="13"/>
  <c r="AT28" i="13"/>
  <c r="BZ23" i="13"/>
  <c r="BK43" i="13"/>
  <c r="DF24" i="13"/>
  <c r="CP39" i="13"/>
  <c r="CP69" i="13"/>
  <c r="BK34" i="13"/>
  <c r="BJ62" i="13"/>
  <c r="X153" i="13"/>
  <c r="X136" i="13"/>
  <c r="I80" i="13"/>
  <c r="I50" i="13"/>
  <c r="I136" i="13" s="1"/>
  <c r="I38" i="13"/>
  <c r="I28" i="13"/>
  <c r="I31" i="13"/>
  <c r="X147" i="13"/>
  <c r="X115" i="13"/>
  <c r="X162" i="13"/>
  <c r="X130" i="13"/>
  <c r="AT35" i="13"/>
  <c r="X125" i="13"/>
  <c r="X140" i="13"/>
  <c r="AU22" i="13"/>
  <c r="BJ33" i="13"/>
  <c r="BJ56" i="13"/>
  <c r="BJ72" i="13"/>
  <c r="CP54" i="13"/>
  <c r="X121" i="13"/>
  <c r="X133" i="13"/>
  <c r="X148" i="13"/>
  <c r="I45" i="13"/>
  <c r="I43" i="13"/>
  <c r="I47" i="13"/>
  <c r="I51" i="13"/>
  <c r="I137" i="13" s="1"/>
  <c r="I46" i="13"/>
  <c r="I68" i="13"/>
  <c r="X143" i="13"/>
  <c r="X171" i="13"/>
  <c r="X154" i="13"/>
  <c r="X173" i="13"/>
  <c r="BZ27" i="13"/>
  <c r="CA36" i="13"/>
  <c r="X137" i="13"/>
  <c r="X120" i="13"/>
  <c r="X165" i="13"/>
  <c r="AT39" i="13"/>
  <c r="BJ70" i="13"/>
  <c r="BJ61" i="13"/>
  <c r="CA42" i="13"/>
  <c r="DG32" i="13"/>
  <c r="AT38" i="13"/>
  <c r="X167" i="13"/>
  <c r="X168" i="13"/>
  <c r="I77" i="13"/>
  <c r="I64" i="13"/>
  <c r="I41" i="13"/>
  <c r="I70" i="13"/>
  <c r="I60" i="13"/>
  <c r="K60" i="13" s="1"/>
  <c r="X151" i="13"/>
  <c r="X177" i="13"/>
  <c r="AT43" i="13"/>
  <c r="I53" i="13"/>
  <c r="I25" i="13"/>
  <c r="I32" i="13"/>
  <c r="I74" i="13"/>
  <c r="I160" i="13" s="1"/>
  <c r="I65" i="13"/>
  <c r="I78" i="13"/>
  <c r="I55" i="13"/>
  <c r="I34" i="13"/>
  <c r="I120" i="13" s="1"/>
  <c r="X176" i="13"/>
  <c r="X122" i="13"/>
  <c r="X109" i="13"/>
  <c r="AT31" i="13"/>
  <c r="BJ55" i="13"/>
  <c r="BJ41" i="13"/>
  <c r="X135" i="13"/>
  <c r="X169" i="13"/>
  <c r="X172" i="13"/>
  <c r="X152" i="13"/>
  <c r="AU16" i="13"/>
  <c r="X116" i="13"/>
  <c r="I29" i="13"/>
  <c r="I61" i="13"/>
  <c r="I40" i="13"/>
  <c r="I49" i="13"/>
  <c r="K49" i="13" s="1"/>
  <c r="I26" i="13"/>
  <c r="I48" i="13"/>
  <c r="I81" i="13"/>
  <c r="I27" i="13"/>
  <c r="K27" i="13" s="1"/>
  <c r="I59" i="13"/>
  <c r="I91" i="13"/>
  <c r="I63" i="13"/>
  <c r="I22" i="13"/>
  <c r="K22" i="13" s="1"/>
  <c r="I54" i="13"/>
  <c r="I86" i="13"/>
  <c r="I79" i="13"/>
  <c r="I44" i="13"/>
  <c r="K44" i="13" s="1"/>
  <c r="I76" i="13"/>
  <c r="I42" i="13"/>
  <c r="X127" i="13"/>
  <c r="X163" i="13"/>
  <c r="X131" i="13"/>
  <c r="X164" i="13"/>
  <c r="X146" i="13"/>
  <c r="X114" i="13"/>
  <c r="X157" i="13"/>
  <c r="X108" i="13"/>
  <c r="BJ64" i="13"/>
  <c r="I24" i="13"/>
  <c r="K24" i="13" s="1"/>
  <c r="I58" i="13"/>
  <c r="X159" i="13"/>
  <c r="X113" i="13"/>
  <c r="X128" i="13"/>
  <c r="X132" i="13"/>
  <c r="DF37" i="13"/>
  <c r="I85" i="13"/>
  <c r="I88" i="13"/>
  <c r="I83" i="13"/>
  <c r="I82" i="13"/>
  <c r="I168" i="13" s="1"/>
  <c r="I36" i="13"/>
  <c r="X139" i="13"/>
  <c r="X124" i="13"/>
  <c r="BK25" i="13"/>
  <c r="X119" i="13"/>
  <c r="X161" i="13"/>
  <c r="X129" i="13"/>
  <c r="X144" i="13"/>
  <c r="X112" i="13"/>
  <c r="X149" i="13"/>
  <c r="BZ36" i="13"/>
  <c r="BZ26" i="13"/>
  <c r="BZ42" i="13"/>
  <c r="AJ59" i="13"/>
  <c r="DG40" i="13"/>
  <c r="I39" i="13"/>
  <c r="I75" i="13"/>
  <c r="I89" i="13"/>
  <c r="X145" i="13"/>
  <c r="X160" i="13"/>
  <c r="X117" i="13"/>
  <c r="I37" i="13"/>
  <c r="I69" i="13"/>
  <c r="I72" i="13"/>
  <c r="I57" i="13"/>
  <c r="K57" i="13" s="1"/>
  <c r="I66" i="13"/>
  <c r="I56" i="13"/>
  <c r="I23" i="13"/>
  <c r="I35" i="13"/>
  <c r="I67" i="13"/>
  <c r="I33" i="13"/>
  <c r="I71" i="13"/>
  <c r="I30" i="13"/>
  <c r="K30" i="13" s="1"/>
  <c r="I62" i="13"/>
  <c r="I73" i="13"/>
  <c r="I87" i="13"/>
  <c r="I52" i="13"/>
  <c r="I84" i="13"/>
  <c r="I90" i="13"/>
  <c r="X175" i="13"/>
  <c r="X111" i="13"/>
  <c r="X155" i="13"/>
  <c r="X123" i="13"/>
  <c r="X170" i="13"/>
  <c r="X138" i="13"/>
  <c r="X141" i="13"/>
  <c r="X156" i="13"/>
  <c r="BZ32" i="13"/>
  <c r="AT45" i="13"/>
  <c r="BJ27" i="13"/>
  <c r="DF32" i="13"/>
  <c r="AT36" i="13"/>
  <c r="CP38" i="13"/>
  <c r="P92" i="13"/>
  <c r="BZ24" i="13"/>
  <c r="BK33" i="13"/>
  <c r="BK57" i="13"/>
  <c r="AU46" i="13"/>
  <c r="BJ66" i="13"/>
  <c r="AT32" i="13"/>
  <c r="AU50" i="13"/>
  <c r="AU41" i="13"/>
  <c r="AT25" i="13"/>
  <c r="AU26" i="13"/>
  <c r="BK26" i="13"/>
  <c r="BJ68" i="13"/>
  <c r="AT40" i="13"/>
  <c r="AU49" i="13"/>
  <c r="AU29" i="13"/>
  <c r="AU47" i="13"/>
  <c r="BZ43" i="13"/>
  <c r="BJ58" i="13"/>
  <c r="BK24" i="13"/>
  <c r="BJ24" i="13"/>
  <c r="BJ57" i="13"/>
  <c r="BJ32" i="13"/>
  <c r="BJ34" i="13"/>
  <c r="AT48" i="13"/>
  <c r="AZ74" i="13"/>
  <c r="AT23" i="13"/>
  <c r="AU37" i="13"/>
  <c r="BK41" i="13"/>
  <c r="BK65" i="13"/>
  <c r="AT41" i="13"/>
  <c r="BJ26" i="13"/>
  <c r="BJ25" i="13"/>
  <c r="BJ65" i="13"/>
  <c r="BJ40" i="13"/>
  <c r="BJ16" i="13"/>
  <c r="AU27" i="13"/>
  <c r="BZ28" i="13"/>
  <c r="BZ40" i="13"/>
  <c r="BK68" i="13"/>
  <c r="AT49" i="13"/>
  <c r="AT29" i="13"/>
  <c r="BJ42" i="13"/>
  <c r="BJ73" i="13"/>
  <c r="BK42" i="13"/>
  <c r="L16" i="13"/>
  <c r="M16" i="13"/>
  <c r="V25" i="21" l="1"/>
  <c r="W25" i="21" s="1"/>
  <c r="V26" i="21"/>
  <c r="W26" i="21" s="1"/>
  <c r="K34" i="13"/>
  <c r="K51" i="13"/>
  <c r="L50" i="13"/>
  <c r="K74" i="13"/>
  <c r="L51" i="13"/>
  <c r="K82" i="13"/>
  <c r="L34" i="13"/>
  <c r="L82" i="13"/>
  <c r="L74" i="13"/>
  <c r="K50" i="13"/>
  <c r="L69" i="13"/>
  <c r="I155" i="13"/>
  <c r="K58" i="13"/>
  <c r="I144" i="13"/>
  <c r="L84" i="13"/>
  <c r="I170" i="13"/>
  <c r="L61" i="13"/>
  <c r="I147" i="13"/>
  <c r="K64" i="13"/>
  <c r="I150" i="13"/>
  <c r="L36" i="13"/>
  <c r="I122" i="13"/>
  <c r="L59" i="13"/>
  <c r="I145" i="13"/>
  <c r="L77" i="13"/>
  <c r="I163" i="13"/>
  <c r="L31" i="13"/>
  <c r="I117" i="13"/>
  <c r="K77" i="13"/>
  <c r="L87" i="13"/>
  <c r="I173" i="13"/>
  <c r="L23" i="13"/>
  <c r="I109" i="13"/>
  <c r="L44" i="13"/>
  <c r="I130" i="13"/>
  <c r="L27" i="13"/>
  <c r="I113" i="13"/>
  <c r="K28" i="13"/>
  <c r="I114" i="13"/>
  <c r="K39" i="13"/>
  <c r="I125" i="13"/>
  <c r="L29" i="13"/>
  <c r="I115" i="13"/>
  <c r="L53" i="13"/>
  <c r="I139" i="13"/>
  <c r="L45" i="13"/>
  <c r="I131" i="13"/>
  <c r="L58" i="13"/>
  <c r="L73" i="13"/>
  <c r="I159" i="13"/>
  <c r="L56" i="13"/>
  <c r="I142" i="13"/>
  <c r="L83" i="13"/>
  <c r="I169" i="13"/>
  <c r="L79" i="13"/>
  <c r="I165" i="13"/>
  <c r="L81" i="13"/>
  <c r="I167" i="13"/>
  <c r="L55" i="13"/>
  <c r="I141" i="13"/>
  <c r="L38" i="13"/>
  <c r="I124" i="13"/>
  <c r="L37" i="13"/>
  <c r="I123" i="13"/>
  <c r="L91" i="13"/>
  <c r="I177" i="13"/>
  <c r="K25" i="13"/>
  <c r="I111" i="13"/>
  <c r="L35" i="13"/>
  <c r="I121" i="13"/>
  <c r="L76" i="13"/>
  <c r="I162" i="13"/>
  <c r="L62" i="13"/>
  <c r="I148" i="13"/>
  <c r="L66" i="13"/>
  <c r="I152" i="13"/>
  <c r="L88" i="13"/>
  <c r="I174" i="13"/>
  <c r="L86" i="13"/>
  <c r="I172" i="13"/>
  <c r="L48" i="13"/>
  <c r="I134" i="13"/>
  <c r="L78" i="13"/>
  <c r="I164" i="13"/>
  <c r="K68" i="13"/>
  <c r="I154" i="13"/>
  <c r="L90" i="13"/>
  <c r="I176" i="13"/>
  <c r="L40" i="13"/>
  <c r="I126" i="13"/>
  <c r="L41" i="13"/>
  <c r="I127" i="13"/>
  <c r="L24" i="13"/>
  <c r="I110" i="13"/>
  <c r="L30" i="13"/>
  <c r="I116" i="13"/>
  <c r="L57" i="13"/>
  <c r="I143" i="13"/>
  <c r="L89" i="13"/>
  <c r="I175" i="13"/>
  <c r="K85" i="13"/>
  <c r="I171" i="13"/>
  <c r="L54" i="13"/>
  <c r="I140" i="13"/>
  <c r="L26" i="13"/>
  <c r="I112" i="13"/>
  <c r="K65" i="13"/>
  <c r="I151" i="13"/>
  <c r="L60" i="13"/>
  <c r="I146" i="13"/>
  <c r="K46" i="13"/>
  <c r="I132" i="13"/>
  <c r="L80" i="13"/>
  <c r="I166" i="13"/>
  <c r="L33" i="13"/>
  <c r="I119" i="13"/>
  <c r="L63" i="13"/>
  <c r="I149" i="13"/>
  <c r="L32" i="13"/>
  <c r="I118" i="13"/>
  <c r="L47" i="13"/>
  <c r="I133" i="13"/>
  <c r="L67" i="13"/>
  <c r="I153" i="13"/>
  <c r="L42" i="13"/>
  <c r="I128" i="13"/>
  <c r="L43" i="13"/>
  <c r="I129" i="13"/>
  <c r="L52" i="13"/>
  <c r="I138" i="13"/>
  <c r="L71" i="13"/>
  <c r="I157" i="13"/>
  <c r="L72" i="13"/>
  <c r="I158" i="13"/>
  <c r="L75" i="13"/>
  <c r="I161" i="13"/>
  <c r="L22" i="13"/>
  <c r="I108" i="13"/>
  <c r="L49" i="13"/>
  <c r="I135" i="13"/>
  <c r="L70" i="13"/>
  <c r="I156" i="13"/>
  <c r="L85" i="13"/>
  <c r="K48" i="13"/>
  <c r="L25" i="13"/>
  <c r="K86" i="13"/>
  <c r="K88" i="13"/>
  <c r="K53" i="13"/>
  <c r="K89" i="13"/>
  <c r="K70" i="13"/>
  <c r="K23" i="13"/>
  <c r="K47" i="13"/>
  <c r="K69" i="13"/>
  <c r="K43" i="13"/>
  <c r="K59" i="13"/>
  <c r="K90" i="13"/>
  <c r="K73" i="13"/>
  <c r="K41" i="13"/>
  <c r="K36" i="13"/>
  <c r="L68" i="13"/>
  <c r="K38" i="13"/>
  <c r="K76" i="13"/>
  <c r="K26" i="13"/>
  <c r="K33" i="13"/>
  <c r="L65" i="13"/>
  <c r="K29" i="13"/>
  <c r="K56" i="13"/>
  <c r="K54" i="13"/>
  <c r="K79" i="13"/>
  <c r="L28" i="13"/>
  <c r="K78" i="13"/>
  <c r="K83" i="13"/>
  <c r="K81" i="13"/>
  <c r="K32" i="13"/>
  <c r="K71" i="13"/>
  <c r="K72" i="13"/>
  <c r="K31" i="13"/>
  <c r="L64" i="13"/>
  <c r="K62" i="13"/>
  <c r="K75" i="13"/>
  <c r="K84" i="13"/>
  <c r="K67" i="13"/>
  <c r="K37" i="13"/>
  <c r="K80" i="13"/>
  <c r="K63" i="13"/>
  <c r="L39" i="13"/>
  <c r="L46" i="13"/>
  <c r="K40" i="13"/>
  <c r="K52" i="13"/>
  <c r="K35" i="13"/>
  <c r="K55" i="13"/>
  <c r="K45" i="13"/>
  <c r="K66" i="13"/>
  <c r="K87" i="13"/>
  <c r="K91" i="13"/>
  <c r="K42" i="13"/>
  <c r="K61" i="13"/>
  <c r="M12" i="2"/>
  <c r="I23" i="12" s="1"/>
  <c r="I27" i="12" s="1"/>
  <c r="I28" i="12" s="1"/>
  <c r="G12" i="2"/>
  <c r="I12" i="2" s="1"/>
  <c r="J12" i="2" s="1"/>
  <c r="K12" i="2" s="1"/>
  <c r="L12" i="2" s="1"/>
  <c r="L92" i="13" l="1"/>
  <c r="K92" i="13"/>
  <c r="R18" i="9"/>
  <c r="S18" i="9"/>
  <c r="T18" i="9"/>
  <c r="U18" i="9"/>
  <c r="V18" i="9"/>
  <c r="R19" i="9"/>
  <c r="U19" i="9"/>
  <c r="V19" i="9"/>
  <c r="R20" i="9"/>
  <c r="U20" i="9"/>
  <c r="V20" i="9"/>
  <c r="R21" i="9"/>
  <c r="U21" i="9"/>
  <c r="V21" i="9"/>
  <c r="R22" i="9"/>
  <c r="U22" i="9"/>
  <c r="V22" i="9"/>
  <c r="R23" i="9"/>
  <c r="U23" i="9"/>
  <c r="V23" i="9"/>
  <c r="R24" i="9"/>
  <c r="U24" i="9"/>
  <c r="V24" i="9"/>
  <c r="R25" i="9"/>
  <c r="U25" i="9"/>
  <c r="V25" i="9"/>
  <c r="R26" i="9"/>
  <c r="U26" i="9"/>
  <c r="V26" i="9"/>
  <c r="R27" i="9"/>
  <c r="U27" i="9"/>
  <c r="V27" i="9"/>
  <c r="R28" i="9"/>
  <c r="U28" i="9"/>
  <c r="V28" i="9"/>
  <c r="R29" i="9"/>
  <c r="U29" i="9"/>
  <c r="V29" i="9"/>
  <c r="R30" i="9"/>
  <c r="U30" i="9"/>
  <c r="V30" i="9"/>
  <c r="R31" i="9"/>
  <c r="U31" i="9"/>
  <c r="V31" i="9"/>
  <c r="R32" i="9"/>
  <c r="U32" i="9"/>
  <c r="V32" i="9"/>
  <c r="R33" i="9"/>
  <c r="U33" i="9"/>
  <c r="V33" i="9"/>
  <c r="R34" i="9"/>
  <c r="U34" i="9"/>
  <c r="V34" i="9"/>
  <c r="R35" i="9"/>
  <c r="U35" i="9"/>
  <c r="V35" i="9"/>
  <c r="R36" i="9"/>
  <c r="U36" i="9"/>
  <c r="V36" i="9"/>
  <c r="R37" i="9"/>
  <c r="U37" i="9"/>
  <c r="V37" i="9"/>
  <c r="R38" i="9"/>
  <c r="U38" i="9"/>
  <c r="V38" i="9"/>
  <c r="R39" i="9"/>
  <c r="U39" i="9"/>
  <c r="V39" i="9"/>
  <c r="R40" i="9"/>
  <c r="U40" i="9"/>
  <c r="V40" i="9"/>
  <c r="R41" i="9"/>
  <c r="U41" i="9"/>
  <c r="V41" i="9"/>
  <c r="R42" i="9"/>
  <c r="U42" i="9"/>
  <c r="V42" i="9"/>
  <c r="R43" i="9"/>
  <c r="U43" i="9"/>
  <c r="V43" i="9"/>
  <c r="R44" i="9"/>
  <c r="U44" i="9"/>
  <c r="V44" i="9"/>
  <c r="R45" i="9"/>
  <c r="U45" i="9"/>
  <c r="V45" i="9"/>
  <c r="R46" i="9"/>
  <c r="U46" i="9"/>
  <c r="V46" i="9"/>
  <c r="R47" i="9"/>
  <c r="U47" i="9"/>
  <c r="V47" i="9"/>
  <c r="R48" i="9"/>
  <c r="U48" i="9"/>
  <c r="V48" i="9"/>
  <c r="R49" i="9"/>
  <c r="U49" i="9"/>
  <c r="V49" i="9"/>
  <c r="R50" i="9"/>
  <c r="U50" i="9"/>
  <c r="V50" i="9"/>
  <c r="R51" i="9"/>
  <c r="U51" i="9"/>
  <c r="V51" i="9"/>
  <c r="R52" i="9"/>
  <c r="U52" i="9"/>
  <c r="V52" i="9"/>
  <c r="R53" i="9"/>
  <c r="U53" i="9"/>
  <c r="V53" i="9"/>
  <c r="R54" i="9"/>
  <c r="U54" i="9"/>
  <c r="V54" i="9"/>
  <c r="R55" i="9"/>
  <c r="U55" i="9"/>
  <c r="V55" i="9"/>
  <c r="R56" i="9"/>
  <c r="U56" i="9"/>
  <c r="V56" i="9"/>
  <c r="R57" i="9"/>
  <c r="U57" i="9"/>
  <c r="V57" i="9"/>
  <c r="R58" i="9"/>
  <c r="U58" i="9"/>
  <c r="V58" i="9"/>
  <c r="R59" i="9"/>
  <c r="U59" i="9"/>
  <c r="V59" i="9"/>
  <c r="R60" i="9"/>
  <c r="U60" i="9"/>
  <c r="V60" i="9"/>
  <c r="R61" i="9"/>
  <c r="U61" i="9"/>
  <c r="V61" i="9"/>
  <c r="F18" i="9"/>
  <c r="E18" i="9"/>
  <c r="G18" i="9"/>
  <c r="H18" i="9"/>
  <c r="I18" i="9"/>
  <c r="E19" i="9"/>
  <c r="H19" i="9"/>
  <c r="I19" i="9"/>
  <c r="E20" i="9"/>
  <c r="H20" i="9"/>
  <c r="I20" i="9"/>
  <c r="E21" i="9"/>
  <c r="H21" i="9"/>
  <c r="I21" i="9"/>
  <c r="E22" i="9"/>
  <c r="H22" i="9"/>
  <c r="I22" i="9"/>
  <c r="E23" i="9"/>
  <c r="H23" i="9"/>
  <c r="I23" i="9"/>
  <c r="E24" i="9"/>
  <c r="H24" i="9"/>
  <c r="I24" i="9"/>
  <c r="E25" i="9"/>
  <c r="H25" i="9"/>
  <c r="I25" i="9"/>
  <c r="E26" i="9"/>
  <c r="H26" i="9"/>
  <c r="I26" i="9"/>
  <c r="E27" i="9"/>
  <c r="H27" i="9"/>
  <c r="I27" i="9"/>
  <c r="E28" i="9"/>
  <c r="H28" i="9"/>
  <c r="I28" i="9"/>
  <c r="E29" i="9"/>
  <c r="H29" i="9"/>
  <c r="I29" i="9"/>
  <c r="E30" i="9"/>
  <c r="H30" i="9"/>
  <c r="I30" i="9"/>
  <c r="E31" i="9"/>
  <c r="H31" i="9"/>
  <c r="I31" i="9"/>
  <c r="E32" i="9"/>
  <c r="H32" i="9"/>
  <c r="I32" i="9"/>
  <c r="E33" i="9"/>
  <c r="H33" i="9"/>
  <c r="I33" i="9"/>
  <c r="E34" i="9"/>
  <c r="H34" i="9"/>
  <c r="I34" i="9"/>
  <c r="E35" i="9"/>
  <c r="H35" i="9"/>
  <c r="I35" i="9"/>
  <c r="E36" i="9"/>
  <c r="H36" i="9"/>
  <c r="I36" i="9"/>
  <c r="E37" i="9"/>
  <c r="H37" i="9"/>
  <c r="I37" i="9"/>
  <c r="E38" i="9"/>
  <c r="H38" i="9"/>
  <c r="I38" i="9"/>
  <c r="E39" i="9"/>
  <c r="H39" i="9"/>
  <c r="I39" i="9"/>
  <c r="E40" i="9"/>
  <c r="H40" i="9"/>
  <c r="I40" i="9"/>
  <c r="E41" i="9"/>
  <c r="H41" i="9"/>
  <c r="I41" i="9"/>
  <c r="E42" i="9"/>
  <c r="H42" i="9"/>
  <c r="I42" i="9"/>
  <c r="E43" i="9"/>
  <c r="H43" i="9"/>
  <c r="I43" i="9"/>
  <c r="E44" i="9"/>
  <c r="H44" i="9"/>
  <c r="I44" i="9"/>
  <c r="E45" i="9"/>
  <c r="H45" i="9"/>
  <c r="I45" i="9"/>
  <c r="E46" i="9"/>
  <c r="H46" i="9"/>
  <c r="I46" i="9"/>
  <c r="E47" i="9"/>
  <c r="H47" i="9"/>
  <c r="I47" i="9"/>
  <c r="E48" i="9"/>
  <c r="H48" i="9"/>
  <c r="I48" i="9"/>
  <c r="E49" i="9"/>
  <c r="H49" i="9"/>
  <c r="I49" i="9"/>
  <c r="E50" i="9"/>
  <c r="H50" i="9"/>
  <c r="I50" i="9"/>
  <c r="E51" i="9"/>
  <c r="H51" i="9"/>
  <c r="I51" i="9"/>
  <c r="E52" i="9"/>
  <c r="H52" i="9"/>
  <c r="I52" i="9"/>
  <c r="E53" i="9"/>
  <c r="H53" i="9"/>
  <c r="I53" i="9"/>
  <c r="E54" i="9"/>
  <c r="H54" i="9"/>
  <c r="I54" i="9"/>
  <c r="E55" i="9"/>
  <c r="H55" i="9"/>
  <c r="I55" i="9"/>
  <c r="E56" i="9"/>
  <c r="H56" i="9"/>
  <c r="I56" i="9"/>
  <c r="E57" i="9"/>
  <c r="H57" i="9"/>
  <c r="I57" i="9"/>
  <c r="E58" i="9"/>
  <c r="H58" i="9"/>
  <c r="I58" i="9"/>
  <c r="E59" i="9"/>
  <c r="H59" i="9"/>
  <c r="I59" i="9"/>
  <c r="E60" i="9"/>
  <c r="H60" i="9"/>
  <c r="I60" i="9"/>
  <c r="E61" i="9"/>
  <c r="H61" i="9"/>
  <c r="I61" i="9"/>
  <c r="E62" i="9"/>
  <c r="H62" i="9"/>
  <c r="I62" i="9"/>
  <c r="E63" i="9"/>
  <c r="H63" i="9"/>
  <c r="I63" i="9"/>
  <c r="E64" i="9"/>
  <c r="H64" i="9"/>
  <c r="I64" i="9"/>
  <c r="E65" i="9"/>
  <c r="H65" i="9"/>
  <c r="I65" i="9"/>
  <c r="E66" i="9"/>
  <c r="H66" i="9"/>
  <c r="I66" i="9"/>
  <c r="E67" i="9"/>
  <c r="H67" i="9"/>
  <c r="I67" i="9"/>
  <c r="E68" i="9"/>
  <c r="H68" i="9"/>
  <c r="I68" i="9"/>
  <c r="E69" i="9"/>
  <c r="H69" i="9"/>
  <c r="I69" i="9"/>
  <c r="E70" i="9"/>
  <c r="H70" i="9"/>
  <c r="I70" i="9"/>
  <c r="E71" i="9"/>
  <c r="H71" i="9"/>
  <c r="I71" i="9"/>
  <c r="E72" i="9"/>
  <c r="H72" i="9"/>
  <c r="I72" i="9"/>
  <c r="E73" i="9"/>
  <c r="H73" i="9"/>
  <c r="I73" i="9"/>
  <c r="E74" i="9"/>
  <c r="H74" i="9"/>
  <c r="I74" i="9"/>
  <c r="E75" i="9"/>
  <c r="H75" i="9"/>
  <c r="I75" i="9"/>
  <c r="E76" i="9"/>
  <c r="H76" i="9"/>
  <c r="I76" i="9"/>
  <c r="E77" i="9"/>
  <c r="H77" i="9"/>
  <c r="I77" i="9"/>
  <c r="E78" i="9"/>
  <c r="H78" i="9"/>
  <c r="I78" i="9"/>
  <c r="E79" i="9"/>
  <c r="H79" i="9"/>
  <c r="I79" i="9"/>
  <c r="E80" i="9"/>
  <c r="H80" i="9"/>
  <c r="I80" i="9"/>
  <c r="E81" i="9"/>
  <c r="H81" i="9"/>
  <c r="I81" i="9"/>
  <c r="CE4" i="6"/>
  <c r="BR4" i="6"/>
  <c r="BE4" i="6"/>
  <c r="AR4" i="6"/>
  <c r="AE4" i="6"/>
  <c r="R4" i="6"/>
  <c r="R17" i="9" s="1"/>
  <c r="E4" i="6"/>
  <c r="E17" i="9" s="1"/>
  <c r="D93" i="13" l="1"/>
  <c r="M39" i="13" s="1"/>
  <c r="J125" i="13" s="1"/>
  <c r="M46" i="13" l="1"/>
  <c r="J132" i="13" s="1"/>
  <c r="M38" i="13"/>
  <c r="J124" i="13" s="1"/>
  <c r="M42" i="13"/>
  <c r="J128" i="13" s="1"/>
  <c r="M64" i="13"/>
  <c r="J150" i="13" s="1"/>
  <c r="M27" i="13"/>
  <c r="J113" i="13" s="1"/>
  <c r="M77" i="13"/>
  <c r="J163" i="13" s="1"/>
  <c r="M65" i="13"/>
  <c r="J151" i="13" s="1"/>
  <c r="M86" i="13"/>
  <c r="J172" i="13" s="1"/>
  <c r="M30" i="13"/>
  <c r="J116" i="13" s="1"/>
  <c r="M31" i="13"/>
  <c r="J117" i="13" s="1"/>
  <c r="M79" i="13"/>
  <c r="J165" i="13" s="1"/>
  <c r="M91" i="13"/>
  <c r="J177" i="13" s="1"/>
  <c r="M51" i="13"/>
  <c r="J137" i="13" s="1"/>
  <c r="M49" i="13"/>
  <c r="J135" i="13" s="1"/>
  <c r="M41" i="13"/>
  <c r="J127" i="13" s="1"/>
  <c r="M24" i="13"/>
  <c r="J110" i="13" s="1"/>
  <c r="M37" i="13"/>
  <c r="J123" i="13" s="1"/>
  <c r="M22" i="13"/>
  <c r="J108" i="13" s="1"/>
  <c r="M52" i="13"/>
  <c r="J138" i="13" s="1"/>
  <c r="M48" i="13"/>
  <c r="J134" i="13" s="1"/>
  <c r="M72" i="13"/>
  <c r="J158" i="13" s="1"/>
  <c r="M87" i="13"/>
  <c r="J173" i="13" s="1"/>
  <c r="M44" i="13"/>
  <c r="J130" i="13" s="1"/>
  <c r="M76" i="13"/>
  <c r="J162" i="13" s="1"/>
  <c r="M62" i="13"/>
  <c r="J148" i="13" s="1"/>
  <c r="M71" i="13"/>
  <c r="J157" i="13" s="1"/>
  <c r="M89" i="13"/>
  <c r="J175" i="13" s="1"/>
  <c r="M33" i="13"/>
  <c r="J119" i="13" s="1"/>
  <c r="M53" i="13"/>
  <c r="J139" i="13" s="1"/>
  <c r="M32" i="13"/>
  <c r="J118" i="13" s="1"/>
  <c r="M54" i="13"/>
  <c r="J140" i="13" s="1"/>
  <c r="M66" i="13"/>
  <c r="J152" i="13" s="1"/>
  <c r="M73" i="13"/>
  <c r="J159" i="13" s="1"/>
  <c r="M82" i="13"/>
  <c r="J168" i="13" s="1"/>
  <c r="M74" i="13"/>
  <c r="J160" i="13" s="1"/>
  <c r="M40" i="13"/>
  <c r="J126" i="13" s="1"/>
  <c r="M28" i="13"/>
  <c r="J114" i="13" s="1"/>
  <c r="M47" i="13"/>
  <c r="J133" i="13" s="1"/>
  <c r="M59" i="13"/>
  <c r="J145" i="13" s="1"/>
  <c r="M29" i="13"/>
  <c r="J115" i="13" s="1"/>
  <c r="M23" i="13"/>
  <c r="J109" i="13" s="1"/>
  <c r="M81" i="13"/>
  <c r="J167" i="13" s="1"/>
  <c r="M55" i="13"/>
  <c r="J141" i="13" s="1"/>
  <c r="M61" i="13"/>
  <c r="J147" i="13" s="1"/>
  <c r="M84" i="13"/>
  <c r="J170" i="13" s="1"/>
  <c r="M26" i="13"/>
  <c r="J112" i="13" s="1"/>
  <c r="M56" i="13"/>
  <c r="J142" i="13" s="1"/>
  <c r="M25" i="13"/>
  <c r="J111" i="13" s="1"/>
  <c r="M36" i="13"/>
  <c r="J122" i="13" s="1"/>
  <c r="M69" i="13"/>
  <c r="J155" i="13" s="1"/>
  <c r="M63" i="13"/>
  <c r="J149" i="13" s="1"/>
  <c r="M58" i="13"/>
  <c r="J144" i="13" s="1"/>
  <c r="M43" i="13"/>
  <c r="J129" i="13" s="1"/>
  <c r="M60" i="13"/>
  <c r="J146" i="13" s="1"/>
  <c r="M88" i="13"/>
  <c r="J174" i="13" s="1"/>
  <c r="M34" i="13"/>
  <c r="J120" i="13" s="1"/>
  <c r="M68" i="13"/>
  <c r="J154" i="13" s="1"/>
  <c r="M45" i="13"/>
  <c r="J131" i="13" s="1"/>
  <c r="M83" i="13"/>
  <c r="J169" i="13" s="1"/>
  <c r="M67" i="13"/>
  <c r="J153" i="13" s="1"/>
  <c r="M35" i="13"/>
  <c r="J121" i="13" s="1"/>
  <c r="M78" i="13"/>
  <c r="J164" i="13" s="1"/>
  <c r="M70" i="13"/>
  <c r="J156" i="13" s="1"/>
  <c r="M85" i="13"/>
  <c r="J171" i="13" s="1"/>
  <c r="M57" i="13"/>
  <c r="J143" i="13" s="1"/>
  <c r="M50" i="13"/>
  <c r="J136" i="13" s="1"/>
  <c r="M90" i="13"/>
  <c r="J176" i="13" s="1"/>
  <c r="M75" i="13"/>
  <c r="J161" i="13" s="1"/>
  <c r="M80" i="13"/>
  <c r="J166" i="13" s="1"/>
  <c r="Y72" i="13" l="1" a="1"/>
  <c r="Y72" i="13" s="1"/>
  <c r="AC72" i="13" s="1"/>
  <c r="Y76" i="13" a="1"/>
  <c r="Y76" i="13" s="1"/>
  <c r="AB76" i="13" s="1"/>
  <c r="Y48" i="13" a="1"/>
  <c r="Y48" i="13" s="1"/>
  <c r="AB48" i="13" s="1"/>
  <c r="Y73" i="13" a="1"/>
  <c r="Y73" i="13" s="1"/>
  <c r="AC73" i="13" s="1"/>
  <c r="Y52" i="13" a="1"/>
  <c r="Y52" i="13" s="1"/>
  <c r="Y50" i="13" a="1"/>
  <c r="Y50" i="13" s="1"/>
  <c r="Y87" i="13" a="1"/>
  <c r="Y87" i="13" s="1"/>
  <c r="Y58" i="13" a="1"/>
  <c r="Y58" i="13" s="1"/>
  <c r="Y70" i="13" a="1"/>
  <c r="Y70" i="13" s="1"/>
  <c r="Y65" i="13" a="1"/>
  <c r="Y65" i="13" s="1"/>
  <c r="Y60" i="13" a="1"/>
  <c r="Y60" i="13" s="1"/>
  <c r="Y57" i="13" a="1"/>
  <c r="Y57" i="13" s="1"/>
  <c r="Y55" i="13" a="1"/>
  <c r="Y55" i="13" s="1"/>
  <c r="Y88" i="13" a="1"/>
  <c r="Y88" i="13" s="1"/>
  <c r="Y77" i="13" a="1"/>
  <c r="Y77" i="13" s="1"/>
  <c r="Y63" i="13" a="1"/>
  <c r="Y63" i="13" s="1"/>
  <c r="Y85" i="13" a="1"/>
  <c r="Y85" i="13" s="1"/>
  <c r="Y74" i="13" a="1"/>
  <c r="Y74" i="13" s="1"/>
  <c r="Y91" i="13" a="1"/>
  <c r="Y91" i="13" s="1"/>
  <c r="Y53" i="13" a="1"/>
  <c r="Y53" i="13" s="1"/>
  <c r="Y89" i="13" a="1"/>
  <c r="Y89" i="13" s="1"/>
  <c r="Y79" i="13" a="1"/>
  <c r="Y79" i="13" s="1"/>
  <c r="Y49" i="13" a="1"/>
  <c r="Y49" i="13" s="1"/>
  <c r="Y68" i="13" a="1"/>
  <c r="Y68" i="13" s="1"/>
  <c r="Y71" i="13" a="1"/>
  <c r="Y71" i="13" s="1"/>
  <c r="Y75" i="13" a="1"/>
  <c r="Y75" i="13" s="1"/>
  <c r="Y67" i="13" a="1"/>
  <c r="Y67" i="13" s="1"/>
  <c r="Y59" i="13" a="1"/>
  <c r="Y59" i="13" s="1"/>
  <c r="Y62" i="13" a="1"/>
  <c r="Y62" i="13" s="1"/>
  <c r="Y90" i="13" a="1"/>
  <c r="Y90" i="13" s="1"/>
  <c r="Y56" i="13" a="1"/>
  <c r="Y56" i="13" s="1"/>
  <c r="Y51" i="13" a="1"/>
  <c r="Y51" i="13" s="1"/>
  <c r="Y81" i="13" a="1"/>
  <c r="Y81" i="13" s="1"/>
  <c r="Y82" i="13" a="1"/>
  <c r="Y82" i="13" s="1"/>
  <c r="Y66" i="13" a="1"/>
  <c r="Y66" i="13" s="1"/>
  <c r="Y54" i="13" a="1"/>
  <c r="Y54" i="13" s="1"/>
  <c r="Y86" i="13" a="1"/>
  <c r="Y86" i="13" s="1"/>
  <c r="Y78" i="13" a="1"/>
  <c r="Y78" i="13" s="1"/>
  <c r="Y61" i="13" a="1"/>
  <c r="Y61" i="13" s="1"/>
  <c r="Y69" i="13" a="1"/>
  <c r="Y69" i="13" s="1"/>
  <c r="Y80" i="13" a="1"/>
  <c r="Y80" i="13" s="1"/>
  <c r="K121" i="13"/>
  <c r="L129" i="13"/>
  <c r="Y84" i="13" a="1"/>
  <c r="Y84" i="13" s="1"/>
  <c r="K122" i="13"/>
  <c r="L122" i="13"/>
  <c r="K109" i="13"/>
  <c r="L109" i="13"/>
  <c r="K113" i="13"/>
  <c r="L113" i="13"/>
  <c r="K128" i="13"/>
  <c r="L128" i="13"/>
  <c r="K120" i="13"/>
  <c r="L120" i="13"/>
  <c r="K131" i="13"/>
  <c r="L131" i="13"/>
  <c r="K119" i="13"/>
  <c r="L119" i="13"/>
  <c r="K133" i="13"/>
  <c r="L133" i="13"/>
  <c r="K110" i="13"/>
  <c r="L110" i="13"/>
  <c r="K150" i="13"/>
  <c r="L150" i="13"/>
  <c r="K114" i="13"/>
  <c r="L114" i="13"/>
  <c r="K130" i="13"/>
  <c r="L130" i="13"/>
  <c r="K124" i="13"/>
  <c r="L124" i="13"/>
  <c r="K123" i="13"/>
  <c r="L123" i="13"/>
  <c r="K112" i="13"/>
  <c r="L112" i="13"/>
  <c r="K111" i="13"/>
  <c r="L111" i="13"/>
  <c r="K125" i="13"/>
  <c r="L125" i="13"/>
  <c r="K118" i="13"/>
  <c r="L118" i="13"/>
  <c r="K126" i="13"/>
  <c r="L126" i="13"/>
  <c r="K127" i="13"/>
  <c r="L127" i="13"/>
  <c r="K115" i="13"/>
  <c r="L115" i="13"/>
  <c r="K116" i="13"/>
  <c r="L116" i="13"/>
  <c r="K117" i="13"/>
  <c r="L117" i="13"/>
  <c r="Y64" i="13" a="1"/>
  <c r="Y64" i="13" s="1"/>
  <c r="Y83" i="13" a="1"/>
  <c r="Y83" i="13" s="1"/>
  <c r="AB72" i="13" l="1"/>
  <c r="AC76" i="13"/>
  <c r="AC48" i="13"/>
  <c r="AB73" i="13"/>
  <c r="AB83" i="13"/>
  <c r="AC83" i="13"/>
  <c r="AB64" i="13"/>
  <c r="AC64" i="13"/>
  <c r="AB66" i="13"/>
  <c r="AC66" i="13"/>
  <c r="AB59" i="13"/>
  <c r="AC59" i="13"/>
  <c r="AC53" i="13"/>
  <c r="AB53" i="13"/>
  <c r="AB57" i="13"/>
  <c r="AC57" i="13"/>
  <c r="AB74" i="13"/>
  <c r="AC74" i="13"/>
  <c r="AC82" i="13"/>
  <c r="AB82" i="13"/>
  <c r="AB67" i="13"/>
  <c r="AC67" i="13"/>
  <c r="AC91" i="13"/>
  <c r="AB91" i="13"/>
  <c r="AB60" i="13"/>
  <c r="AC60" i="13"/>
  <c r="AC75" i="13"/>
  <c r="AB75" i="13"/>
  <c r="AB69" i="13"/>
  <c r="AC69" i="13"/>
  <c r="AC26" i="13"/>
  <c r="AB26" i="13"/>
  <c r="AB71" i="13"/>
  <c r="AC71" i="13"/>
  <c r="AB85" i="13"/>
  <c r="AC85" i="13"/>
  <c r="AB70" i="13"/>
  <c r="AC70" i="13"/>
  <c r="AC80" i="13"/>
  <c r="AB80" i="13"/>
  <c r="AC61" i="13"/>
  <c r="AB61" i="13"/>
  <c r="AB51" i="13"/>
  <c r="AC51" i="13"/>
  <c r="AB68" i="13"/>
  <c r="AC68" i="13"/>
  <c r="AB63" i="13"/>
  <c r="AC63" i="13"/>
  <c r="AB58" i="13"/>
  <c r="AC58" i="13"/>
  <c r="AB78" i="13"/>
  <c r="AC78" i="13"/>
  <c r="AB56" i="13"/>
  <c r="AC56" i="13"/>
  <c r="AB49" i="13"/>
  <c r="AC49" i="13"/>
  <c r="AC77" i="13"/>
  <c r="AB77" i="13"/>
  <c r="AB87" i="13"/>
  <c r="AC87" i="13"/>
  <c r="AB65" i="13"/>
  <c r="AC65" i="13"/>
  <c r="AB86" i="13"/>
  <c r="AC86" i="13"/>
  <c r="AC90" i="13"/>
  <c r="AB90" i="13"/>
  <c r="AC79" i="13"/>
  <c r="AB79" i="13"/>
  <c r="AB88" i="13"/>
  <c r="AC88" i="13"/>
  <c r="AB50" i="13"/>
  <c r="AC50" i="13"/>
  <c r="AB81" i="13"/>
  <c r="AC81" i="13"/>
  <c r="AB84" i="13"/>
  <c r="AC84" i="13"/>
  <c r="AB54" i="13"/>
  <c r="AC54" i="13"/>
  <c r="AB62" i="13"/>
  <c r="AC62" i="13"/>
  <c r="AB89" i="13"/>
  <c r="AC89" i="13"/>
  <c r="AC55" i="13"/>
  <c r="AB55" i="13"/>
  <c r="AB52" i="13"/>
  <c r="AC52" i="13"/>
  <c r="K129" i="13"/>
  <c r="L121" i="13"/>
  <c r="K177" i="13"/>
  <c r="L177" i="13"/>
  <c r="K154" i="13"/>
  <c r="L154" i="13"/>
  <c r="K144" i="13"/>
  <c r="L144" i="13"/>
  <c r="K153" i="13"/>
  <c r="L153" i="13"/>
  <c r="K134" i="13"/>
  <c r="L134" i="13"/>
  <c r="K174" i="13"/>
  <c r="L174" i="13"/>
  <c r="K145" i="13"/>
  <c r="L145" i="13"/>
  <c r="K161" i="13"/>
  <c r="L161" i="13"/>
  <c r="K164" i="13"/>
  <c r="L164" i="13"/>
  <c r="K157" i="13"/>
  <c r="L157" i="13"/>
  <c r="K163" i="13"/>
  <c r="L163" i="13"/>
  <c r="K143" i="13"/>
  <c r="L143" i="13"/>
  <c r="K169" i="13"/>
  <c r="L169" i="13"/>
  <c r="K137" i="13"/>
  <c r="L137" i="13"/>
  <c r="K173" i="13"/>
  <c r="L173" i="13"/>
  <c r="K158" i="13"/>
  <c r="L158" i="13"/>
  <c r="K171" i="13"/>
  <c r="L171" i="13"/>
  <c r="K142" i="13"/>
  <c r="L142" i="13"/>
  <c r="K148" i="13"/>
  <c r="L148" i="13"/>
  <c r="K175" i="13"/>
  <c r="L175" i="13"/>
  <c r="K167" i="13"/>
  <c r="L167" i="13"/>
  <c r="K165" i="13"/>
  <c r="L165" i="13"/>
  <c r="K170" i="13"/>
  <c r="L170" i="13"/>
  <c r="K152" i="13"/>
  <c r="L152" i="13"/>
  <c r="K172" i="13"/>
  <c r="L172" i="13"/>
  <c r="K135" i="13"/>
  <c r="L135" i="13"/>
  <c r="K176" i="13"/>
  <c r="L176" i="13"/>
  <c r="K168" i="13"/>
  <c r="L168" i="13"/>
  <c r="K139" i="13"/>
  <c r="L139" i="13"/>
  <c r="K160" i="13"/>
  <c r="L160" i="13"/>
  <c r="K132" i="13"/>
  <c r="L132" i="13"/>
  <c r="K162" i="13"/>
  <c r="L162" i="13"/>
  <c r="K159" i="13"/>
  <c r="L159" i="13"/>
  <c r="K146" i="13"/>
  <c r="L146" i="13"/>
  <c r="K156" i="13"/>
  <c r="L156" i="13"/>
  <c r="K155" i="13"/>
  <c r="L155" i="13"/>
  <c r="K141" i="13"/>
  <c r="L141" i="13"/>
  <c r="K136" i="13"/>
  <c r="L136" i="13"/>
  <c r="K149" i="13"/>
  <c r="L149" i="13"/>
  <c r="K108" i="13"/>
  <c r="L108" i="13"/>
  <c r="K140" i="13"/>
  <c r="L140" i="13"/>
  <c r="K138" i="13"/>
  <c r="L138" i="13"/>
  <c r="K147" i="13"/>
  <c r="L147" i="13"/>
  <c r="K151" i="13"/>
  <c r="L151" i="13"/>
  <c r="AB92" i="13" l="1"/>
  <c r="AC92" i="13"/>
  <c r="K166" i="13"/>
  <c r="K178" i="13" s="1"/>
  <c r="L166" i="13"/>
  <c r="L178" i="13" s="1"/>
  <c r="S93" i="13" l="1"/>
  <c r="I179" i="13"/>
  <c r="M129" i="13" s="1"/>
  <c r="J232" i="13" s="1"/>
  <c r="CG7" i="6"/>
  <c r="CI7" i="6" s="1"/>
  <c r="CJ7" i="6" s="1"/>
  <c r="CK7" i="6" s="1"/>
  <c r="CL7" i="6" s="1" a="1"/>
  <c r="CL7" i="6" s="1"/>
  <c r="CG8" i="6"/>
  <c r="CI8" i="6" s="1"/>
  <c r="CJ8" i="6" s="1"/>
  <c r="CK8" i="6" s="1"/>
  <c r="CL8" i="6" s="1" a="1"/>
  <c r="CL8" i="6" s="1"/>
  <c r="CG9" i="6"/>
  <c r="CI9" i="6" s="1"/>
  <c r="CJ9" i="6" s="1"/>
  <c r="CK9" i="6" s="1"/>
  <c r="CL9" i="6" s="1" a="1"/>
  <c r="CL9" i="6" s="1"/>
  <c r="CG10" i="6"/>
  <c r="CI10" i="6" s="1"/>
  <c r="CJ10" i="6" s="1"/>
  <c r="CK10" i="6" s="1"/>
  <c r="CL10" i="6" s="1" a="1"/>
  <c r="CL10" i="6" s="1"/>
  <c r="CG11" i="6"/>
  <c r="CI11" i="6" s="1"/>
  <c r="CJ11" i="6" s="1"/>
  <c r="CK11" i="6" s="1"/>
  <c r="CL11" i="6" s="1" a="1"/>
  <c r="CL11" i="6" s="1"/>
  <c r="CG12" i="6"/>
  <c r="CI12" i="6" s="1"/>
  <c r="CJ12" i="6" s="1"/>
  <c r="CK12" i="6" s="1"/>
  <c r="CL12" i="6" s="1" a="1"/>
  <c r="CL12" i="6" s="1"/>
  <c r="CG13" i="6"/>
  <c r="CI13" i="6" s="1"/>
  <c r="CJ13" i="6" s="1"/>
  <c r="CK13" i="6" s="1"/>
  <c r="CL13" i="6" s="1" a="1"/>
  <c r="CL13" i="6" s="1"/>
  <c r="CG14" i="6"/>
  <c r="CI14" i="6" s="1"/>
  <c r="CJ14" i="6" s="1"/>
  <c r="CK14" i="6" s="1"/>
  <c r="CL14" i="6" s="1" a="1"/>
  <c r="CL14" i="6" s="1"/>
  <c r="CG15" i="6"/>
  <c r="CI15" i="6" s="1"/>
  <c r="CJ15" i="6" s="1"/>
  <c r="CK15" i="6" s="1"/>
  <c r="CL15" i="6" s="1" a="1"/>
  <c r="CL15" i="6" s="1"/>
  <c r="CG16" i="6"/>
  <c r="CI16" i="6" s="1"/>
  <c r="CJ16" i="6" s="1"/>
  <c r="CK16" i="6" s="1"/>
  <c r="CL16" i="6" s="1" a="1"/>
  <c r="CL16" i="6" s="1"/>
  <c r="CG17" i="6"/>
  <c r="CI17" i="6" s="1"/>
  <c r="CJ17" i="6" s="1"/>
  <c r="CK17" i="6" s="1"/>
  <c r="CL17" i="6" s="1" a="1"/>
  <c r="CL17" i="6" s="1"/>
  <c r="CG18" i="6"/>
  <c r="CI18" i="6" s="1"/>
  <c r="CJ18" i="6" s="1"/>
  <c r="CK18" i="6" s="1"/>
  <c r="CL18" i="6" s="1" a="1"/>
  <c r="CL18" i="6" s="1"/>
  <c r="CG19" i="6"/>
  <c r="CI19" i="6" s="1"/>
  <c r="CJ19" i="6" s="1"/>
  <c r="CK19" i="6" s="1"/>
  <c r="CL19" i="6" s="1" a="1"/>
  <c r="CL19" i="6" s="1"/>
  <c r="CG20" i="6"/>
  <c r="CI20" i="6" s="1"/>
  <c r="CJ20" i="6" s="1"/>
  <c r="CK20" i="6" s="1"/>
  <c r="CL20" i="6" s="1" a="1"/>
  <c r="CL20" i="6" s="1"/>
  <c r="CG21" i="6"/>
  <c r="CI21" i="6" s="1"/>
  <c r="CJ21" i="6" s="1"/>
  <c r="CK21" i="6" s="1"/>
  <c r="CL21" i="6" s="1" a="1"/>
  <c r="CL21" i="6" s="1"/>
  <c r="CG22" i="6"/>
  <c r="CI22" i="6" s="1"/>
  <c r="CJ22" i="6" s="1"/>
  <c r="CK22" i="6" s="1"/>
  <c r="CL22" i="6" s="1" a="1"/>
  <c r="CL22" i="6" s="1"/>
  <c r="CG23" i="6"/>
  <c r="CI23" i="6" s="1"/>
  <c r="CJ23" i="6" s="1"/>
  <c r="CK23" i="6" s="1"/>
  <c r="CL23" i="6" s="1" a="1"/>
  <c r="CL23" i="6" s="1"/>
  <c r="CG24" i="6"/>
  <c r="CI24" i="6" s="1"/>
  <c r="CJ24" i="6" s="1"/>
  <c r="CK24" i="6" s="1"/>
  <c r="CL24" i="6" s="1" a="1"/>
  <c r="CL24" i="6" s="1"/>
  <c r="CG25" i="6"/>
  <c r="CI25" i="6" s="1"/>
  <c r="CJ25" i="6" s="1"/>
  <c r="CK25" i="6" s="1"/>
  <c r="CL25" i="6" s="1" a="1"/>
  <c r="CL25" i="6" s="1"/>
  <c r="CG26" i="6"/>
  <c r="CI26" i="6" s="1"/>
  <c r="CJ26" i="6" s="1"/>
  <c r="CK26" i="6" s="1"/>
  <c r="CL26" i="6" s="1" a="1"/>
  <c r="CL26" i="6" s="1"/>
  <c r="CG27" i="6"/>
  <c r="CI27" i="6" s="1"/>
  <c r="CJ27" i="6" s="1"/>
  <c r="CK27" i="6" s="1"/>
  <c r="CL27" i="6" s="1" a="1"/>
  <c r="CL27" i="6" s="1"/>
  <c r="CG28" i="6"/>
  <c r="CI28" i="6" s="1"/>
  <c r="CJ28" i="6" s="1"/>
  <c r="CK28" i="6" s="1"/>
  <c r="CL28" i="6" s="1" a="1"/>
  <c r="CL28" i="6" s="1"/>
  <c r="CG29" i="6"/>
  <c r="CI29" i="6" s="1"/>
  <c r="CJ29" i="6" s="1"/>
  <c r="CK29" i="6" s="1"/>
  <c r="CL29" i="6" s="1" a="1"/>
  <c r="CL29" i="6" s="1"/>
  <c r="CG30" i="6"/>
  <c r="CI30" i="6" s="1"/>
  <c r="CJ30" i="6" s="1"/>
  <c r="CK30" i="6" s="1"/>
  <c r="CL30" i="6" s="1" a="1"/>
  <c r="CL30" i="6" s="1"/>
  <c r="CG31" i="6"/>
  <c r="CI31" i="6" s="1"/>
  <c r="CJ31" i="6" s="1"/>
  <c r="CK31" i="6" s="1"/>
  <c r="CL31" i="6" s="1" a="1"/>
  <c r="CL31" i="6" s="1"/>
  <c r="CG32" i="6"/>
  <c r="CI32" i="6" s="1"/>
  <c r="CJ32" i="6" s="1"/>
  <c r="CK32" i="6" s="1"/>
  <c r="CL32" i="6" s="1" a="1"/>
  <c r="CL32" i="6" s="1"/>
  <c r="CG33" i="6"/>
  <c r="CI33" i="6" s="1"/>
  <c r="CJ33" i="6" s="1"/>
  <c r="CK33" i="6" s="1"/>
  <c r="CL33" i="6" s="1" a="1"/>
  <c r="CL33" i="6" s="1"/>
  <c r="CG34" i="6"/>
  <c r="CI34" i="6" s="1"/>
  <c r="CJ34" i="6" s="1"/>
  <c r="CK34" i="6" s="1"/>
  <c r="CL34" i="6" s="1" a="1"/>
  <c r="CL34" i="6" s="1"/>
  <c r="CG35" i="6"/>
  <c r="CI35" i="6" s="1"/>
  <c r="CJ35" i="6" s="1"/>
  <c r="CK35" i="6" s="1"/>
  <c r="CL35" i="6" s="1" a="1"/>
  <c r="CL35" i="6" s="1"/>
  <c r="CG6" i="6"/>
  <c r="CI6" i="6" s="1"/>
  <c r="CJ6" i="6" s="1"/>
  <c r="CK6" i="6" s="1"/>
  <c r="CL6" i="6" s="1" a="1"/>
  <c r="CL6" i="6" s="1"/>
  <c r="BT7" i="6"/>
  <c r="BV7" i="6" s="1"/>
  <c r="BW7" i="6" s="1"/>
  <c r="BX7" i="6" s="1"/>
  <c r="BY7" i="6" s="1" a="1"/>
  <c r="BY7" i="6" s="1"/>
  <c r="BT8" i="6"/>
  <c r="BV8" i="6" s="1"/>
  <c r="BW8" i="6" s="1"/>
  <c r="BX8" i="6" s="1"/>
  <c r="BY8" i="6" s="1" a="1"/>
  <c r="BY8" i="6" s="1"/>
  <c r="BT9" i="6"/>
  <c r="BV9" i="6" s="1"/>
  <c r="BW9" i="6" s="1"/>
  <c r="BX9" i="6" s="1"/>
  <c r="BY9" i="6" s="1" a="1"/>
  <c r="BY9" i="6" s="1"/>
  <c r="BT10" i="6"/>
  <c r="BV10" i="6" s="1"/>
  <c r="BW10" i="6" s="1"/>
  <c r="BX10" i="6" s="1"/>
  <c r="BY10" i="6" s="1" a="1"/>
  <c r="BY10" i="6" s="1"/>
  <c r="BT11" i="6"/>
  <c r="BV11" i="6" s="1"/>
  <c r="BW11" i="6" s="1"/>
  <c r="BX11" i="6" s="1"/>
  <c r="BY11" i="6" s="1" a="1"/>
  <c r="BY11" i="6" s="1"/>
  <c r="BT12" i="6"/>
  <c r="BV12" i="6" s="1"/>
  <c r="BW12" i="6" s="1"/>
  <c r="BX12" i="6" s="1"/>
  <c r="BY12" i="6" s="1" a="1"/>
  <c r="BY12" i="6" s="1"/>
  <c r="BT13" i="6"/>
  <c r="BV13" i="6" s="1"/>
  <c r="BW13" i="6" s="1"/>
  <c r="BX13" i="6" s="1"/>
  <c r="BY13" i="6" s="1" a="1"/>
  <c r="BY13" i="6" s="1"/>
  <c r="BT14" i="6"/>
  <c r="BV14" i="6" s="1"/>
  <c r="BW14" i="6" s="1"/>
  <c r="BX14" i="6" s="1"/>
  <c r="BY14" i="6" s="1" a="1"/>
  <c r="BY14" i="6" s="1"/>
  <c r="BT15" i="6"/>
  <c r="BV15" i="6" s="1"/>
  <c r="BW15" i="6" s="1"/>
  <c r="BX15" i="6" s="1"/>
  <c r="BY15" i="6" s="1" a="1"/>
  <c r="BY15" i="6" s="1"/>
  <c r="BT16" i="6"/>
  <c r="BV16" i="6" s="1"/>
  <c r="BW16" i="6" s="1"/>
  <c r="BX16" i="6" s="1"/>
  <c r="BY16" i="6" s="1" a="1"/>
  <c r="BY16" i="6" s="1"/>
  <c r="BT17" i="6"/>
  <c r="BV17" i="6" s="1"/>
  <c r="BW17" i="6" s="1"/>
  <c r="BX17" i="6" s="1"/>
  <c r="BY17" i="6" s="1" a="1"/>
  <c r="BY17" i="6" s="1"/>
  <c r="BT18" i="6"/>
  <c r="BV18" i="6" s="1"/>
  <c r="BW18" i="6" s="1"/>
  <c r="BX18" i="6" s="1"/>
  <c r="BY18" i="6" s="1" a="1"/>
  <c r="BY18" i="6" s="1"/>
  <c r="BT19" i="6"/>
  <c r="BV19" i="6" s="1"/>
  <c r="BW19" i="6" s="1"/>
  <c r="BX19" i="6" s="1"/>
  <c r="BY19" i="6" s="1" a="1"/>
  <c r="BY19" i="6" s="1"/>
  <c r="BT20" i="6"/>
  <c r="BV20" i="6" s="1"/>
  <c r="BW20" i="6" s="1"/>
  <c r="BX20" i="6" s="1"/>
  <c r="BY20" i="6" s="1" a="1"/>
  <c r="BY20" i="6" s="1"/>
  <c r="BT21" i="6"/>
  <c r="BV21" i="6" s="1"/>
  <c r="BW21" i="6" s="1"/>
  <c r="BX21" i="6" s="1"/>
  <c r="BY21" i="6" s="1" a="1"/>
  <c r="BY21" i="6" s="1"/>
  <c r="BT22" i="6"/>
  <c r="BV22" i="6" s="1"/>
  <c r="BW22" i="6" s="1"/>
  <c r="BX22" i="6" s="1"/>
  <c r="BY22" i="6" s="1" a="1"/>
  <c r="BY22" i="6" s="1"/>
  <c r="BT23" i="6"/>
  <c r="BV23" i="6" s="1"/>
  <c r="BW23" i="6" s="1"/>
  <c r="BX23" i="6" s="1"/>
  <c r="BY23" i="6" s="1" a="1"/>
  <c r="BY23" i="6" s="1"/>
  <c r="BT24" i="6"/>
  <c r="BV24" i="6" s="1"/>
  <c r="BW24" i="6" s="1"/>
  <c r="BX24" i="6" s="1"/>
  <c r="BY24" i="6" s="1" a="1"/>
  <c r="BY24" i="6" s="1"/>
  <c r="BT25" i="6"/>
  <c r="BV25" i="6" s="1"/>
  <c r="BW25" i="6" s="1"/>
  <c r="BX25" i="6" s="1"/>
  <c r="BY25" i="6" s="1" a="1"/>
  <c r="BY25" i="6" s="1"/>
  <c r="BT26" i="6"/>
  <c r="BV26" i="6" s="1"/>
  <c r="BW26" i="6" s="1"/>
  <c r="BX26" i="6" s="1"/>
  <c r="BY26" i="6" s="1" a="1"/>
  <c r="BY26" i="6" s="1"/>
  <c r="BT27" i="6"/>
  <c r="BV27" i="6" s="1"/>
  <c r="BW27" i="6" s="1"/>
  <c r="BX27" i="6" s="1"/>
  <c r="BY27" i="6" s="1" a="1"/>
  <c r="BY27" i="6" s="1"/>
  <c r="BT28" i="6"/>
  <c r="BV28" i="6" s="1"/>
  <c r="BW28" i="6" s="1"/>
  <c r="BX28" i="6" s="1"/>
  <c r="BY28" i="6" s="1" a="1"/>
  <c r="BY28" i="6" s="1"/>
  <c r="BT29" i="6"/>
  <c r="BV29" i="6" s="1"/>
  <c r="BW29" i="6" s="1"/>
  <c r="BX29" i="6" s="1"/>
  <c r="BY29" i="6" s="1" a="1"/>
  <c r="BY29" i="6" s="1"/>
  <c r="BT30" i="6"/>
  <c r="BV30" i="6" s="1"/>
  <c r="BW30" i="6" s="1"/>
  <c r="BX30" i="6" s="1"/>
  <c r="BY30" i="6" s="1" a="1"/>
  <c r="BY30" i="6" s="1"/>
  <c r="BT31" i="6"/>
  <c r="BV31" i="6" s="1"/>
  <c r="BW31" i="6" s="1"/>
  <c r="BX31" i="6" s="1"/>
  <c r="BY31" i="6" s="1" a="1"/>
  <c r="BY31" i="6" s="1"/>
  <c r="BT32" i="6"/>
  <c r="BV32" i="6" s="1"/>
  <c r="BW32" i="6" s="1"/>
  <c r="BX32" i="6" s="1"/>
  <c r="BY32" i="6" s="1" a="1"/>
  <c r="BY32" i="6" s="1"/>
  <c r="BT33" i="6"/>
  <c r="BV33" i="6" s="1"/>
  <c r="BW33" i="6" s="1"/>
  <c r="BX33" i="6" s="1"/>
  <c r="BY33" i="6" s="1" a="1"/>
  <c r="BY33" i="6" s="1"/>
  <c r="BT34" i="6"/>
  <c r="BV34" i="6" s="1"/>
  <c r="BW34" i="6" s="1"/>
  <c r="BX34" i="6" s="1"/>
  <c r="BY34" i="6" s="1" a="1"/>
  <c r="BY34" i="6" s="1"/>
  <c r="BT35" i="6"/>
  <c r="BV35" i="6" s="1"/>
  <c r="BW35" i="6" s="1"/>
  <c r="BX35" i="6" s="1"/>
  <c r="BY35" i="6" s="1" a="1"/>
  <c r="BY35" i="6" s="1"/>
  <c r="BT36" i="6"/>
  <c r="BV36" i="6" s="1"/>
  <c r="BW36" i="6" s="1"/>
  <c r="BX36" i="6" s="1"/>
  <c r="BY36" i="6" s="1" a="1"/>
  <c r="BY36" i="6" s="1"/>
  <c r="BT37" i="6"/>
  <c r="BV37" i="6" s="1"/>
  <c r="BW37" i="6" s="1"/>
  <c r="BX37" i="6" s="1"/>
  <c r="BY37" i="6" s="1" a="1"/>
  <c r="BY37" i="6" s="1"/>
  <c r="BT38" i="6"/>
  <c r="BV38" i="6" s="1"/>
  <c r="BW38" i="6" s="1"/>
  <c r="BX38" i="6" s="1"/>
  <c r="BY38" i="6" s="1" a="1"/>
  <c r="BY38" i="6" s="1"/>
  <c r="BT39" i="6"/>
  <c r="BV39" i="6" s="1"/>
  <c r="BW39" i="6" s="1"/>
  <c r="BX39" i="6" s="1"/>
  <c r="BY39" i="6" s="1" a="1"/>
  <c r="BY39" i="6" s="1"/>
  <c r="BT40" i="6"/>
  <c r="BV40" i="6" s="1"/>
  <c r="BW40" i="6" s="1"/>
  <c r="BX40" i="6" s="1"/>
  <c r="BY40" i="6" s="1" a="1"/>
  <c r="BY40" i="6" s="1"/>
  <c r="BT41" i="6"/>
  <c r="BV41" i="6" s="1"/>
  <c r="BW41" i="6" s="1"/>
  <c r="BX41" i="6" s="1"/>
  <c r="BY41" i="6" s="1" a="1"/>
  <c r="BY41" i="6" s="1"/>
  <c r="BT42" i="6"/>
  <c r="BV42" i="6" s="1"/>
  <c r="BW42" i="6" s="1"/>
  <c r="BX42" i="6" s="1"/>
  <c r="BY42" i="6" s="1" a="1"/>
  <c r="BY42" i="6" s="1"/>
  <c r="BT43" i="6"/>
  <c r="BV43" i="6" s="1"/>
  <c r="BW43" i="6" s="1"/>
  <c r="BX43" i="6" s="1"/>
  <c r="BY43" i="6" s="1" a="1"/>
  <c r="BY43" i="6" s="1"/>
  <c r="BT44" i="6"/>
  <c r="BV44" i="6" s="1"/>
  <c r="BW44" i="6" s="1"/>
  <c r="BX44" i="6" s="1"/>
  <c r="BY44" i="6" s="1" a="1"/>
  <c r="BY44" i="6" s="1"/>
  <c r="BT45" i="6"/>
  <c r="BV45" i="6" s="1"/>
  <c r="BW45" i="6" s="1"/>
  <c r="BX45" i="6" s="1"/>
  <c r="BY45" i="6" s="1" a="1"/>
  <c r="BY45" i="6" s="1"/>
  <c r="BT46" i="6"/>
  <c r="BV46" i="6" s="1"/>
  <c r="BW46" i="6" s="1"/>
  <c r="BX46" i="6" s="1"/>
  <c r="BY46" i="6" s="1" a="1"/>
  <c r="BY46" i="6" s="1"/>
  <c r="BT47" i="6"/>
  <c r="BV47" i="6" s="1"/>
  <c r="BW47" i="6" s="1"/>
  <c r="BX47" i="6" s="1"/>
  <c r="BY47" i="6" s="1" a="1"/>
  <c r="BY47" i="6" s="1"/>
  <c r="BT48" i="6"/>
  <c r="BV48" i="6" s="1"/>
  <c r="BW48" i="6" s="1"/>
  <c r="BX48" i="6" s="1"/>
  <c r="BY48" i="6" s="1" a="1"/>
  <c r="BY48" i="6" s="1"/>
  <c r="BT49" i="6"/>
  <c r="BV49" i="6" s="1"/>
  <c r="BW49" i="6" s="1"/>
  <c r="BX49" i="6" s="1"/>
  <c r="BY49" i="6" s="1" a="1"/>
  <c r="BY49" i="6" s="1"/>
  <c r="BT50" i="6"/>
  <c r="BV50" i="6" s="1"/>
  <c r="BW50" i="6" s="1"/>
  <c r="BX50" i="6" s="1"/>
  <c r="BY50" i="6" s="1" a="1"/>
  <c r="BY50" i="6" s="1"/>
  <c r="BT51" i="6"/>
  <c r="BV51" i="6" s="1"/>
  <c r="BW51" i="6" s="1"/>
  <c r="BX51" i="6" s="1"/>
  <c r="BY51" i="6" s="1" a="1"/>
  <c r="BY51" i="6" s="1"/>
  <c r="BT52" i="6"/>
  <c r="BV52" i="6" s="1"/>
  <c r="BW52" i="6" s="1"/>
  <c r="BX52" i="6" s="1"/>
  <c r="BY52" i="6" s="1" a="1"/>
  <c r="BY52" i="6" s="1"/>
  <c r="BT6" i="6"/>
  <c r="BV6" i="6" s="1"/>
  <c r="BW6" i="6" s="1"/>
  <c r="BX6" i="6" s="1"/>
  <c r="BY6" i="6" s="1" a="1"/>
  <c r="BY6" i="6" s="1"/>
  <c r="BG7" i="6"/>
  <c r="BI7" i="6" s="1"/>
  <c r="BJ7" i="6" s="1"/>
  <c r="BK7" i="6" s="1"/>
  <c r="BL7" i="6" s="1" a="1"/>
  <c r="BL7" i="6" s="1"/>
  <c r="BG8" i="6"/>
  <c r="BI8" i="6" s="1"/>
  <c r="BJ8" i="6" s="1"/>
  <c r="BK8" i="6" s="1"/>
  <c r="BL8" i="6" s="1" a="1"/>
  <c r="BL8" i="6" s="1"/>
  <c r="BG9" i="6"/>
  <c r="BI9" i="6" s="1"/>
  <c r="BJ9" i="6" s="1"/>
  <c r="BK9" i="6" s="1"/>
  <c r="BL9" i="6" s="1" a="1"/>
  <c r="BL9" i="6" s="1"/>
  <c r="BG10" i="6"/>
  <c r="BI10" i="6" s="1"/>
  <c r="BJ10" i="6" s="1"/>
  <c r="BK10" i="6" s="1"/>
  <c r="BL10" i="6" s="1" a="1"/>
  <c r="BL10" i="6" s="1"/>
  <c r="BG11" i="6"/>
  <c r="BI11" i="6" s="1"/>
  <c r="BJ11" i="6" s="1"/>
  <c r="BK11" i="6" s="1"/>
  <c r="BL11" i="6" s="1" a="1"/>
  <c r="BL11" i="6" s="1"/>
  <c r="BG12" i="6"/>
  <c r="BI12" i="6" s="1"/>
  <c r="BJ12" i="6" s="1"/>
  <c r="BK12" i="6" s="1"/>
  <c r="BL12" i="6" s="1" a="1"/>
  <c r="BL12" i="6" s="1"/>
  <c r="BG13" i="6"/>
  <c r="BI13" i="6" s="1"/>
  <c r="BJ13" i="6" s="1"/>
  <c r="BK13" i="6" s="1"/>
  <c r="BL13" i="6" s="1" a="1"/>
  <c r="BL13" i="6" s="1"/>
  <c r="BG14" i="6"/>
  <c r="BI14" i="6" s="1"/>
  <c r="BJ14" i="6" s="1"/>
  <c r="BK14" i="6" s="1"/>
  <c r="BL14" i="6" s="1" a="1"/>
  <c r="BL14" i="6" s="1"/>
  <c r="BG15" i="6"/>
  <c r="BI15" i="6" s="1"/>
  <c r="BJ15" i="6" s="1"/>
  <c r="BK15" i="6" s="1"/>
  <c r="BL15" i="6" s="1" a="1"/>
  <c r="BL15" i="6" s="1"/>
  <c r="BG16" i="6"/>
  <c r="BI16" i="6" s="1"/>
  <c r="BJ16" i="6" s="1"/>
  <c r="BK16" i="6" s="1"/>
  <c r="BL16" i="6" s="1" a="1"/>
  <c r="BL16" i="6" s="1"/>
  <c r="BG17" i="6"/>
  <c r="BI17" i="6" s="1"/>
  <c r="BJ17" i="6" s="1"/>
  <c r="BK17" i="6" s="1"/>
  <c r="BL17" i="6" s="1" a="1"/>
  <c r="BL17" i="6" s="1"/>
  <c r="BG18" i="6"/>
  <c r="BI18" i="6" s="1"/>
  <c r="BJ18" i="6" s="1"/>
  <c r="BK18" i="6" s="1"/>
  <c r="BL18" i="6" s="1" a="1"/>
  <c r="BL18" i="6" s="1"/>
  <c r="BG19" i="6"/>
  <c r="BI19" i="6" s="1"/>
  <c r="BJ19" i="6" s="1"/>
  <c r="BK19" i="6" s="1"/>
  <c r="BL19" i="6" s="1" a="1"/>
  <c r="BL19" i="6" s="1"/>
  <c r="BG20" i="6"/>
  <c r="BI20" i="6" s="1"/>
  <c r="BJ20" i="6" s="1"/>
  <c r="BK20" i="6" s="1"/>
  <c r="BL20" i="6" s="1" a="1"/>
  <c r="BL20" i="6" s="1"/>
  <c r="BG21" i="6"/>
  <c r="BI21" i="6" s="1"/>
  <c r="BJ21" i="6" s="1"/>
  <c r="BK21" i="6" s="1"/>
  <c r="BL21" i="6" s="1" a="1"/>
  <c r="BL21" i="6" s="1"/>
  <c r="BG22" i="6"/>
  <c r="BI22" i="6" s="1"/>
  <c r="BJ22" i="6" s="1"/>
  <c r="BK22" i="6" s="1"/>
  <c r="BL22" i="6" s="1" a="1"/>
  <c r="BL22" i="6" s="1"/>
  <c r="BG23" i="6"/>
  <c r="BI23" i="6" s="1"/>
  <c r="BJ23" i="6" s="1"/>
  <c r="BK23" i="6" s="1"/>
  <c r="BL23" i="6" s="1" a="1"/>
  <c r="BL23" i="6" s="1"/>
  <c r="BG24" i="6"/>
  <c r="BI24" i="6" s="1"/>
  <c r="BJ24" i="6" s="1"/>
  <c r="BK24" i="6" s="1"/>
  <c r="BL24" i="6" s="1" a="1"/>
  <c r="BL24" i="6" s="1"/>
  <c r="BG25" i="6"/>
  <c r="BI25" i="6" s="1"/>
  <c r="BJ25" i="6" s="1"/>
  <c r="BK25" i="6" s="1"/>
  <c r="BL25" i="6" s="1" a="1"/>
  <c r="BL25" i="6" s="1"/>
  <c r="BG26" i="6"/>
  <c r="BI26" i="6" s="1"/>
  <c r="BJ26" i="6" s="1"/>
  <c r="BK26" i="6" s="1"/>
  <c r="BL26" i="6" s="1" a="1"/>
  <c r="BL26" i="6" s="1"/>
  <c r="BG27" i="6"/>
  <c r="BI27" i="6" s="1"/>
  <c r="BJ27" i="6" s="1"/>
  <c r="BK27" i="6" s="1"/>
  <c r="BL27" i="6" s="1" a="1"/>
  <c r="BL27" i="6" s="1"/>
  <c r="BG28" i="6"/>
  <c r="BI28" i="6" s="1"/>
  <c r="BJ28" i="6" s="1"/>
  <c r="BK28" i="6" s="1"/>
  <c r="BL28" i="6" s="1" a="1"/>
  <c r="BL28" i="6" s="1"/>
  <c r="BG29" i="6"/>
  <c r="BI29" i="6" s="1"/>
  <c r="BJ29" i="6" s="1"/>
  <c r="BK29" i="6" s="1"/>
  <c r="BL29" i="6" s="1" a="1"/>
  <c r="BL29" i="6" s="1"/>
  <c r="BG30" i="6"/>
  <c r="BI30" i="6" s="1"/>
  <c r="BJ30" i="6" s="1"/>
  <c r="BK30" i="6" s="1"/>
  <c r="BL30" i="6" s="1" a="1"/>
  <c r="BL30" i="6" s="1"/>
  <c r="BG31" i="6"/>
  <c r="BI31" i="6" s="1"/>
  <c r="BJ31" i="6" s="1"/>
  <c r="BK31" i="6" s="1"/>
  <c r="BL31" i="6" s="1" a="1"/>
  <c r="BL31" i="6" s="1"/>
  <c r="BG32" i="6"/>
  <c r="BI32" i="6" s="1"/>
  <c r="BJ32" i="6" s="1"/>
  <c r="BK32" i="6" s="1"/>
  <c r="BL32" i="6" s="1" a="1"/>
  <c r="BL32" i="6" s="1"/>
  <c r="BG33" i="6"/>
  <c r="BI33" i="6" s="1"/>
  <c r="BJ33" i="6" s="1"/>
  <c r="BK33" i="6" s="1"/>
  <c r="BL33" i="6" s="1" a="1"/>
  <c r="BL33" i="6" s="1"/>
  <c r="BG34" i="6"/>
  <c r="BI34" i="6" s="1"/>
  <c r="BJ34" i="6" s="1"/>
  <c r="BK34" i="6" s="1"/>
  <c r="BL34" i="6" s="1" a="1"/>
  <c r="BL34" i="6" s="1"/>
  <c r="BG35" i="6"/>
  <c r="BI35" i="6" s="1"/>
  <c r="BJ35" i="6" s="1"/>
  <c r="BK35" i="6" s="1"/>
  <c r="BL35" i="6" s="1" a="1"/>
  <c r="BL35" i="6" s="1"/>
  <c r="BG36" i="6"/>
  <c r="BI36" i="6" s="1"/>
  <c r="BJ36" i="6" s="1"/>
  <c r="BK36" i="6" s="1"/>
  <c r="BL36" i="6" s="1" a="1"/>
  <c r="BL36" i="6" s="1"/>
  <c r="BG37" i="6"/>
  <c r="BI37" i="6" s="1"/>
  <c r="BJ37" i="6" s="1"/>
  <c r="BK37" i="6" s="1"/>
  <c r="BL37" i="6" s="1" a="1"/>
  <c r="BL37" i="6" s="1"/>
  <c r="BG38" i="6"/>
  <c r="BI38" i="6" s="1"/>
  <c r="BJ38" i="6" s="1"/>
  <c r="BK38" i="6" s="1"/>
  <c r="BL38" i="6" s="1" a="1"/>
  <c r="BL38" i="6" s="1"/>
  <c r="BG39" i="6"/>
  <c r="BI39" i="6" s="1"/>
  <c r="BJ39" i="6" s="1"/>
  <c r="BK39" i="6" s="1"/>
  <c r="BL39" i="6" s="1" a="1"/>
  <c r="BL39" i="6" s="1"/>
  <c r="BG40" i="6"/>
  <c r="BI40" i="6" s="1"/>
  <c r="BJ40" i="6" s="1"/>
  <c r="BK40" i="6" s="1"/>
  <c r="BL40" i="6" s="1" a="1"/>
  <c r="BL40" i="6" s="1"/>
  <c r="BG41" i="6"/>
  <c r="BI41" i="6" s="1"/>
  <c r="BJ41" i="6" s="1"/>
  <c r="BK41" i="6" s="1"/>
  <c r="BL41" i="6" s="1" a="1"/>
  <c r="BL41" i="6" s="1"/>
  <c r="BG42" i="6"/>
  <c r="BI42" i="6" s="1"/>
  <c r="BJ42" i="6" s="1"/>
  <c r="BK42" i="6" s="1"/>
  <c r="BL42" i="6" s="1" a="1"/>
  <c r="BL42" i="6" s="1"/>
  <c r="BG43" i="6"/>
  <c r="BI43" i="6" s="1"/>
  <c r="BJ43" i="6" s="1"/>
  <c r="BK43" i="6" s="1"/>
  <c r="BL43" i="6" s="1" a="1"/>
  <c r="BL43" i="6" s="1"/>
  <c r="BG44" i="6"/>
  <c r="BI44" i="6" s="1"/>
  <c r="BJ44" i="6" s="1"/>
  <c r="BK44" i="6" s="1"/>
  <c r="BL44" i="6" s="1" a="1"/>
  <c r="BL44" i="6" s="1"/>
  <c r="BG6" i="6"/>
  <c r="BI6" i="6" s="1"/>
  <c r="BJ6" i="6" s="1"/>
  <c r="BK6" i="6" s="1"/>
  <c r="BL6" i="6" s="1" a="1"/>
  <c r="BL6" i="6" s="1"/>
  <c r="AT7" i="6"/>
  <c r="AV7" i="6" s="1"/>
  <c r="AW7" i="6" s="1"/>
  <c r="AX7" i="6" s="1"/>
  <c r="AY7" i="6" s="1" a="1"/>
  <c r="AY7" i="6" s="1"/>
  <c r="AT8" i="6"/>
  <c r="AV8" i="6" s="1"/>
  <c r="AW8" i="6" s="1"/>
  <c r="AX8" i="6" s="1"/>
  <c r="AY8" i="6" s="1" a="1"/>
  <c r="AY8" i="6" s="1"/>
  <c r="AT9" i="6"/>
  <c r="AV9" i="6" s="1"/>
  <c r="AW9" i="6" s="1"/>
  <c r="AX9" i="6" s="1"/>
  <c r="AY9" i="6" s="1" a="1"/>
  <c r="AY9" i="6" s="1"/>
  <c r="AT10" i="6"/>
  <c r="AV10" i="6" s="1"/>
  <c r="AW10" i="6" s="1"/>
  <c r="AX10" i="6" s="1"/>
  <c r="AY10" i="6" s="1" a="1"/>
  <c r="AY10" i="6" s="1"/>
  <c r="AT11" i="6"/>
  <c r="AV11" i="6" s="1"/>
  <c r="AW11" i="6" s="1"/>
  <c r="AX11" i="6" s="1"/>
  <c r="AY11" i="6" s="1" a="1"/>
  <c r="AY11" i="6" s="1"/>
  <c r="AT12" i="6"/>
  <c r="AV12" i="6" s="1"/>
  <c r="AW12" i="6" s="1"/>
  <c r="AX12" i="6" s="1"/>
  <c r="AY12" i="6" s="1" a="1"/>
  <c r="AY12" i="6" s="1"/>
  <c r="AT13" i="6"/>
  <c r="AV13" i="6" s="1"/>
  <c r="AW13" i="6" s="1"/>
  <c r="AX13" i="6" s="1"/>
  <c r="AY13" i="6" s="1" a="1"/>
  <c r="AY13" i="6" s="1"/>
  <c r="AT14" i="6"/>
  <c r="AV14" i="6" s="1"/>
  <c r="AW14" i="6" s="1"/>
  <c r="AX14" i="6" s="1"/>
  <c r="AY14" i="6" s="1" a="1"/>
  <c r="AY14" i="6" s="1"/>
  <c r="AT15" i="6"/>
  <c r="AV15" i="6" s="1"/>
  <c r="AW15" i="6" s="1"/>
  <c r="AX15" i="6" s="1"/>
  <c r="AY15" i="6" s="1" a="1"/>
  <c r="AY15" i="6" s="1"/>
  <c r="AT16" i="6"/>
  <c r="AV16" i="6" s="1"/>
  <c r="AW16" i="6" s="1"/>
  <c r="AX16" i="6" s="1"/>
  <c r="AY16" i="6" s="1" a="1"/>
  <c r="AY16" i="6" s="1"/>
  <c r="AT17" i="6"/>
  <c r="AV17" i="6" s="1"/>
  <c r="AW17" i="6" s="1"/>
  <c r="AX17" i="6" s="1"/>
  <c r="AY17" i="6" s="1" a="1"/>
  <c r="AY17" i="6" s="1"/>
  <c r="AT18" i="6"/>
  <c r="AV18" i="6" s="1"/>
  <c r="AW18" i="6" s="1"/>
  <c r="AX18" i="6" s="1"/>
  <c r="AY18" i="6" s="1" a="1"/>
  <c r="AY18" i="6" s="1"/>
  <c r="AT19" i="6"/>
  <c r="AV19" i="6" s="1"/>
  <c r="AW19" i="6" s="1"/>
  <c r="AX19" i="6" s="1"/>
  <c r="AY19" i="6" s="1" a="1"/>
  <c r="AY19" i="6" s="1"/>
  <c r="AT20" i="6"/>
  <c r="AV20" i="6" s="1"/>
  <c r="AW20" i="6" s="1"/>
  <c r="AX20" i="6" s="1"/>
  <c r="AY20" i="6" s="1" a="1"/>
  <c r="AY20" i="6" s="1"/>
  <c r="AT21" i="6"/>
  <c r="AV21" i="6" s="1"/>
  <c r="AW21" i="6" s="1"/>
  <c r="AX21" i="6" s="1"/>
  <c r="AY21" i="6" s="1" a="1"/>
  <c r="AY21" i="6" s="1"/>
  <c r="AT22" i="6"/>
  <c r="AV22" i="6" s="1"/>
  <c r="AW22" i="6" s="1"/>
  <c r="AX22" i="6" s="1"/>
  <c r="AY22" i="6" s="1" a="1"/>
  <c r="AY22" i="6" s="1"/>
  <c r="AT23" i="6"/>
  <c r="AV23" i="6" s="1"/>
  <c r="AW23" i="6" s="1"/>
  <c r="AX23" i="6" s="1"/>
  <c r="AY23" i="6" s="1" a="1"/>
  <c r="AY23" i="6" s="1"/>
  <c r="AT24" i="6"/>
  <c r="AV24" i="6" s="1"/>
  <c r="AW24" i="6" s="1"/>
  <c r="AX24" i="6" s="1"/>
  <c r="AY24" i="6" s="1" a="1"/>
  <c r="AY24" i="6" s="1"/>
  <c r="AT25" i="6"/>
  <c r="AV25" i="6" s="1"/>
  <c r="AW25" i="6" s="1"/>
  <c r="AX25" i="6" s="1"/>
  <c r="AY25" i="6" s="1" a="1"/>
  <c r="AY25" i="6" s="1"/>
  <c r="AT26" i="6"/>
  <c r="AV26" i="6" s="1"/>
  <c r="AW26" i="6" s="1"/>
  <c r="AX26" i="6" s="1"/>
  <c r="AY26" i="6" s="1" a="1"/>
  <c r="AY26" i="6" s="1"/>
  <c r="AT27" i="6"/>
  <c r="AV27" i="6" s="1"/>
  <c r="AW27" i="6" s="1"/>
  <c r="AX27" i="6" s="1"/>
  <c r="AY27" i="6" s="1" a="1"/>
  <c r="AY27" i="6" s="1"/>
  <c r="AT28" i="6"/>
  <c r="AV28" i="6" s="1"/>
  <c r="AW28" i="6" s="1"/>
  <c r="AX28" i="6" s="1"/>
  <c r="AY28" i="6" s="1" a="1"/>
  <c r="AY28" i="6" s="1"/>
  <c r="AT29" i="6"/>
  <c r="AV29" i="6" s="1"/>
  <c r="AW29" i="6" s="1"/>
  <c r="AX29" i="6" s="1"/>
  <c r="AY29" i="6" s="1" a="1"/>
  <c r="AY29" i="6" s="1"/>
  <c r="AT30" i="6"/>
  <c r="AV30" i="6" s="1"/>
  <c r="AW30" i="6" s="1"/>
  <c r="AX30" i="6" s="1"/>
  <c r="AY30" i="6" s="1" a="1"/>
  <c r="AY30" i="6" s="1"/>
  <c r="AT31" i="6"/>
  <c r="AV31" i="6" s="1"/>
  <c r="AW31" i="6" s="1"/>
  <c r="AX31" i="6" s="1"/>
  <c r="AY31" i="6" s="1" a="1"/>
  <c r="AY31" i="6" s="1"/>
  <c r="AT32" i="6"/>
  <c r="AV32" i="6" s="1"/>
  <c r="AW32" i="6" s="1"/>
  <c r="AX32" i="6" s="1"/>
  <c r="AY32" i="6" s="1" a="1"/>
  <c r="AY32" i="6" s="1"/>
  <c r="AT33" i="6"/>
  <c r="AV33" i="6" s="1"/>
  <c r="AW33" i="6" s="1"/>
  <c r="AX33" i="6" s="1"/>
  <c r="AY33" i="6" s="1" a="1"/>
  <c r="AY33" i="6" s="1"/>
  <c r="AT34" i="6"/>
  <c r="AV34" i="6" s="1"/>
  <c r="AW34" i="6" s="1"/>
  <c r="AX34" i="6" s="1"/>
  <c r="AY34" i="6" s="1" a="1"/>
  <c r="AY34" i="6" s="1"/>
  <c r="AT35" i="6"/>
  <c r="AV35" i="6" s="1"/>
  <c r="AW35" i="6" s="1"/>
  <c r="AX35" i="6" s="1"/>
  <c r="AY35" i="6" s="1" a="1"/>
  <c r="AY35" i="6" s="1"/>
  <c r="AT36" i="6"/>
  <c r="AV36" i="6" s="1"/>
  <c r="AW36" i="6" s="1"/>
  <c r="AX36" i="6" s="1"/>
  <c r="AY36" i="6" s="1" a="1"/>
  <c r="AY36" i="6" s="1"/>
  <c r="AT37" i="6"/>
  <c r="AV37" i="6" s="1"/>
  <c r="AW37" i="6" s="1"/>
  <c r="AX37" i="6" s="1"/>
  <c r="AY37" i="6" s="1" a="1"/>
  <c r="AY37" i="6" s="1"/>
  <c r="AT38" i="6"/>
  <c r="AV38" i="6" s="1"/>
  <c r="AW38" i="6" s="1"/>
  <c r="AX38" i="6" s="1"/>
  <c r="AY38" i="6" s="1" a="1"/>
  <c r="AY38" i="6" s="1"/>
  <c r="AT39" i="6"/>
  <c r="AV39" i="6" s="1"/>
  <c r="AW39" i="6" s="1"/>
  <c r="AX39" i="6" s="1"/>
  <c r="AY39" i="6" s="1" a="1"/>
  <c r="AY39" i="6" s="1"/>
  <c r="AT40" i="6"/>
  <c r="AV40" i="6" s="1"/>
  <c r="AW40" i="6" s="1"/>
  <c r="AX40" i="6" s="1"/>
  <c r="AY40" i="6" s="1" a="1"/>
  <c r="AY40" i="6" s="1"/>
  <c r="AT41" i="6"/>
  <c r="AV41" i="6" s="1"/>
  <c r="AW41" i="6" s="1"/>
  <c r="AX41" i="6" s="1"/>
  <c r="AY41" i="6" s="1" a="1"/>
  <c r="AY41" i="6" s="1"/>
  <c r="AT42" i="6"/>
  <c r="AV42" i="6" s="1"/>
  <c r="AW42" i="6" s="1"/>
  <c r="AX42" i="6" s="1"/>
  <c r="AY42" i="6" s="1" a="1"/>
  <c r="AY42" i="6" s="1"/>
  <c r="AT43" i="6"/>
  <c r="AV43" i="6" s="1"/>
  <c r="AW43" i="6" s="1"/>
  <c r="AX43" i="6" s="1"/>
  <c r="AY43" i="6" s="1" a="1"/>
  <c r="AY43" i="6" s="1"/>
  <c r="AT44" i="6"/>
  <c r="AV44" i="6" s="1"/>
  <c r="AW44" i="6" s="1"/>
  <c r="AX44" i="6" s="1"/>
  <c r="AY44" i="6" s="1" a="1"/>
  <c r="AY44" i="6" s="1"/>
  <c r="AT45" i="6"/>
  <c r="AV45" i="6" s="1"/>
  <c r="AW45" i="6" s="1"/>
  <c r="AX45" i="6" s="1"/>
  <c r="AY45" i="6" s="1" a="1"/>
  <c r="AY45" i="6" s="1"/>
  <c r="AT46" i="6"/>
  <c r="AV46" i="6" s="1"/>
  <c r="AW46" i="6" s="1"/>
  <c r="AX46" i="6" s="1"/>
  <c r="AY46" i="6" s="1" a="1"/>
  <c r="AY46" i="6" s="1"/>
  <c r="AT47" i="6"/>
  <c r="AV47" i="6" s="1"/>
  <c r="AW47" i="6" s="1"/>
  <c r="AX47" i="6" s="1"/>
  <c r="AY47" i="6" s="1" a="1"/>
  <c r="AY47" i="6" s="1"/>
  <c r="AT48" i="6"/>
  <c r="AV48" i="6" s="1"/>
  <c r="AW48" i="6" s="1"/>
  <c r="AX48" i="6" s="1"/>
  <c r="AY48" i="6" s="1" a="1"/>
  <c r="AY48" i="6" s="1"/>
  <c r="AT49" i="6"/>
  <c r="AV49" i="6" s="1"/>
  <c r="AW49" i="6" s="1"/>
  <c r="AX49" i="6" s="1"/>
  <c r="AY49" i="6" s="1" a="1"/>
  <c r="AY49" i="6" s="1"/>
  <c r="AT50" i="6"/>
  <c r="AV50" i="6" s="1"/>
  <c r="AW50" i="6" s="1"/>
  <c r="AX50" i="6" s="1"/>
  <c r="AY50" i="6" s="1" a="1"/>
  <c r="AY50" i="6" s="1"/>
  <c r="AT51" i="6"/>
  <c r="AV51" i="6" s="1"/>
  <c r="AW51" i="6" s="1"/>
  <c r="AX51" i="6" s="1"/>
  <c r="AY51" i="6" s="1" a="1"/>
  <c r="AY51" i="6" s="1"/>
  <c r="AT52" i="6"/>
  <c r="AV52" i="6" s="1"/>
  <c r="AW52" i="6" s="1"/>
  <c r="AX52" i="6" s="1"/>
  <c r="AY52" i="6" s="1" a="1"/>
  <c r="AY52" i="6" s="1"/>
  <c r="AT53" i="6"/>
  <c r="AV53" i="6" s="1"/>
  <c r="AW53" i="6" s="1"/>
  <c r="AX53" i="6" s="1"/>
  <c r="AY53" i="6" s="1" a="1"/>
  <c r="AY53" i="6" s="1"/>
  <c r="AT54" i="6"/>
  <c r="AV54" i="6" s="1"/>
  <c r="AW54" i="6" s="1"/>
  <c r="AX54" i="6" s="1"/>
  <c r="AY54" i="6" s="1" a="1"/>
  <c r="AY54" i="6" s="1"/>
  <c r="AT55" i="6"/>
  <c r="AV55" i="6" s="1"/>
  <c r="AW55" i="6" s="1"/>
  <c r="AX55" i="6" s="1"/>
  <c r="AY55" i="6" s="1" a="1"/>
  <c r="AY55" i="6" s="1"/>
  <c r="AT56" i="6"/>
  <c r="AV56" i="6" s="1"/>
  <c r="AW56" i="6" s="1"/>
  <c r="AX56" i="6" s="1"/>
  <c r="AY56" i="6" s="1" a="1"/>
  <c r="AY56" i="6" s="1"/>
  <c r="AT57" i="6"/>
  <c r="AV57" i="6" s="1"/>
  <c r="AW57" i="6" s="1"/>
  <c r="AX57" i="6" s="1"/>
  <c r="AY57" i="6" s="1" a="1"/>
  <c r="AY57" i="6" s="1"/>
  <c r="AT6" i="6"/>
  <c r="AV6" i="6" s="1"/>
  <c r="AW6" i="6" s="1"/>
  <c r="AX6" i="6" s="1"/>
  <c r="AY6" i="6" s="1" a="1"/>
  <c r="AY6" i="6" s="1"/>
  <c r="AG7" i="6"/>
  <c r="AI7" i="6" s="1"/>
  <c r="AJ7" i="6" s="1"/>
  <c r="AK7" i="6" s="1"/>
  <c r="AL7" i="6" s="1" a="1"/>
  <c r="AL7" i="6" s="1"/>
  <c r="AG8" i="6"/>
  <c r="AI8" i="6" s="1"/>
  <c r="AJ8" i="6" s="1"/>
  <c r="AK8" i="6" s="1"/>
  <c r="AL8" i="6" s="1" a="1"/>
  <c r="AL8" i="6" s="1"/>
  <c r="AG9" i="6"/>
  <c r="AI9" i="6" s="1"/>
  <c r="AJ9" i="6" s="1"/>
  <c r="AK9" i="6" s="1"/>
  <c r="AL9" i="6" s="1" a="1"/>
  <c r="AL9" i="6" s="1"/>
  <c r="AG10" i="6"/>
  <c r="AI10" i="6" s="1"/>
  <c r="AJ10" i="6" s="1"/>
  <c r="AK10" i="6" s="1"/>
  <c r="AL10" i="6" s="1" a="1"/>
  <c r="AL10" i="6" s="1"/>
  <c r="AG11" i="6"/>
  <c r="AI11" i="6" s="1"/>
  <c r="AJ11" i="6" s="1"/>
  <c r="AK11" i="6" s="1"/>
  <c r="AL11" i="6" s="1" a="1"/>
  <c r="AL11" i="6" s="1"/>
  <c r="AG12" i="6"/>
  <c r="AI12" i="6" s="1"/>
  <c r="AJ12" i="6" s="1"/>
  <c r="AK12" i="6" s="1"/>
  <c r="AL12" i="6" s="1" a="1"/>
  <c r="AL12" i="6" s="1"/>
  <c r="AG13" i="6"/>
  <c r="AI13" i="6" s="1"/>
  <c r="AJ13" i="6" s="1"/>
  <c r="AK13" i="6" s="1"/>
  <c r="AL13" i="6" s="1" a="1"/>
  <c r="AL13" i="6" s="1"/>
  <c r="AG14" i="6"/>
  <c r="AI14" i="6" s="1"/>
  <c r="AJ14" i="6" s="1"/>
  <c r="AK14" i="6" s="1"/>
  <c r="AL14" i="6" s="1" a="1"/>
  <c r="AL14" i="6" s="1"/>
  <c r="AG15" i="6"/>
  <c r="AI15" i="6" s="1"/>
  <c r="AJ15" i="6" s="1"/>
  <c r="AK15" i="6" s="1"/>
  <c r="AL15" i="6" s="1" a="1"/>
  <c r="AL15" i="6" s="1"/>
  <c r="AG16" i="6"/>
  <c r="AI16" i="6" s="1"/>
  <c r="AJ16" i="6" s="1"/>
  <c r="AK16" i="6" s="1"/>
  <c r="AL16" i="6" s="1" a="1"/>
  <c r="AL16" i="6" s="1"/>
  <c r="AG17" i="6"/>
  <c r="AI17" i="6" s="1"/>
  <c r="AJ17" i="6" s="1"/>
  <c r="AK17" i="6" s="1"/>
  <c r="AL17" i="6" s="1" a="1"/>
  <c r="AL17" i="6" s="1"/>
  <c r="AG18" i="6"/>
  <c r="AI18" i="6" s="1"/>
  <c r="AJ18" i="6" s="1"/>
  <c r="AK18" i="6" s="1"/>
  <c r="AL18" i="6" s="1" a="1"/>
  <c r="AL18" i="6" s="1"/>
  <c r="AG19" i="6"/>
  <c r="AI19" i="6" s="1"/>
  <c r="AJ19" i="6" s="1"/>
  <c r="AK19" i="6" s="1"/>
  <c r="AL19" i="6" s="1" a="1"/>
  <c r="AL19" i="6" s="1"/>
  <c r="AG20" i="6"/>
  <c r="AI20" i="6" s="1"/>
  <c r="AJ20" i="6" s="1"/>
  <c r="AK20" i="6" s="1"/>
  <c r="AL20" i="6" s="1" a="1"/>
  <c r="AL20" i="6" s="1"/>
  <c r="AG21" i="6"/>
  <c r="AI21" i="6" s="1"/>
  <c r="AJ21" i="6" s="1"/>
  <c r="AK21" i="6" s="1"/>
  <c r="AL21" i="6" s="1" a="1"/>
  <c r="AL21" i="6" s="1"/>
  <c r="AG22" i="6"/>
  <c r="AI22" i="6" s="1"/>
  <c r="AJ22" i="6" s="1"/>
  <c r="AK22" i="6" s="1"/>
  <c r="AL22" i="6" s="1" a="1"/>
  <c r="AL22" i="6" s="1"/>
  <c r="AG23" i="6"/>
  <c r="AI23" i="6" s="1"/>
  <c r="AJ23" i="6" s="1"/>
  <c r="AK23" i="6" s="1"/>
  <c r="AL23" i="6" s="1" a="1"/>
  <c r="AL23" i="6" s="1"/>
  <c r="AG24" i="6"/>
  <c r="AI24" i="6" s="1"/>
  <c r="AJ24" i="6" s="1"/>
  <c r="AK24" i="6" s="1"/>
  <c r="AL24" i="6" s="1" a="1"/>
  <c r="AL24" i="6" s="1"/>
  <c r="AG25" i="6"/>
  <c r="AI25" i="6" s="1"/>
  <c r="AJ25" i="6" s="1"/>
  <c r="AK25" i="6" s="1"/>
  <c r="AL25" i="6" s="1" a="1"/>
  <c r="AL25" i="6" s="1"/>
  <c r="AG26" i="6"/>
  <c r="AI26" i="6" s="1"/>
  <c r="AJ26" i="6" s="1"/>
  <c r="AK26" i="6" s="1"/>
  <c r="AL26" i="6" s="1" a="1"/>
  <c r="AL26" i="6" s="1"/>
  <c r="AG27" i="6"/>
  <c r="AI27" i="6" s="1"/>
  <c r="AJ27" i="6" s="1"/>
  <c r="AK27" i="6" s="1"/>
  <c r="AL27" i="6" s="1" a="1"/>
  <c r="AL27" i="6" s="1"/>
  <c r="AG28" i="6"/>
  <c r="AI28" i="6" s="1"/>
  <c r="AJ28" i="6" s="1"/>
  <c r="AK28" i="6" s="1"/>
  <c r="AL28" i="6" s="1" a="1"/>
  <c r="AL28" i="6" s="1"/>
  <c r="AG29" i="6"/>
  <c r="AI29" i="6" s="1"/>
  <c r="AJ29" i="6" s="1"/>
  <c r="AK29" i="6" s="1"/>
  <c r="AL29" i="6" s="1" a="1"/>
  <c r="AL29" i="6" s="1"/>
  <c r="AG30" i="6"/>
  <c r="AI30" i="6" s="1"/>
  <c r="AJ30" i="6" s="1"/>
  <c r="AK30" i="6" s="1"/>
  <c r="AL30" i="6" s="1" a="1"/>
  <c r="AL30" i="6" s="1"/>
  <c r="AG31" i="6"/>
  <c r="AI31" i="6" s="1"/>
  <c r="AJ31" i="6" s="1"/>
  <c r="AK31" i="6" s="1"/>
  <c r="AL31" i="6" s="1" a="1"/>
  <c r="AL31" i="6" s="1"/>
  <c r="AG32" i="6"/>
  <c r="AI32" i="6" s="1"/>
  <c r="AJ32" i="6" s="1"/>
  <c r="AK32" i="6" s="1"/>
  <c r="AL32" i="6" s="1" a="1"/>
  <c r="AL32" i="6" s="1"/>
  <c r="AG33" i="6"/>
  <c r="AI33" i="6" s="1"/>
  <c r="AJ33" i="6" s="1"/>
  <c r="AK33" i="6" s="1"/>
  <c r="AL33" i="6" s="1" a="1"/>
  <c r="AL33" i="6" s="1"/>
  <c r="AG34" i="6"/>
  <c r="AI34" i="6" s="1"/>
  <c r="AJ34" i="6" s="1"/>
  <c r="AK34" i="6" s="1"/>
  <c r="AL34" i="6" s="1" a="1"/>
  <c r="AL34" i="6" s="1"/>
  <c r="AG35" i="6"/>
  <c r="AI35" i="6" s="1"/>
  <c r="AJ35" i="6" s="1"/>
  <c r="AK35" i="6" s="1"/>
  <c r="AL35" i="6" s="1" a="1"/>
  <c r="AL35" i="6" s="1"/>
  <c r="AG36" i="6"/>
  <c r="AI36" i="6" s="1"/>
  <c r="AJ36" i="6" s="1"/>
  <c r="AK36" i="6" s="1"/>
  <c r="AL36" i="6" s="1" a="1"/>
  <c r="AL36" i="6" s="1"/>
  <c r="AG37" i="6"/>
  <c r="AI37" i="6" s="1"/>
  <c r="AJ37" i="6" s="1"/>
  <c r="AK37" i="6" s="1"/>
  <c r="AL37" i="6" s="1" a="1"/>
  <c r="AL37" i="6" s="1"/>
  <c r="AG38" i="6"/>
  <c r="AI38" i="6" s="1"/>
  <c r="AJ38" i="6" s="1"/>
  <c r="AK38" i="6" s="1"/>
  <c r="AL38" i="6" s="1" a="1"/>
  <c r="AL38" i="6" s="1"/>
  <c r="AG39" i="6"/>
  <c r="AI39" i="6" s="1"/>
  <c r="AJ39" i="6" s="1"/>
  <c r="AK39" i="6" s="1"/>
  <c r="AL39" i="6" s="1" a="1"/>
  <c r="AL39" i="6" s="1"/>
  <c r="AG40" i="6"/>
  <c r="AI40" i="6" s="1"/>
  <c r="AJ40" i="6" s="1"/>
  <c r="AK40" i="6" s="1"/>
  <c r="AL40" i="6" s="1" a="1"/>
  <c r="AL40" i="6" s="1"/>
  <c r="AG41" i="6"/>
  <c r="AI41" i="6" s="1"/>
  <c r="AJ41" i="6" s="1"/>
  <c r="AK41" i="6" s="1"/>
  <c r="AL41" i="6" s="1" a="1"/>
  <c r="AL41" i="6" s="1"/>
  <c r="AG42" i="6"/>
  <c r="AI42" i="6" s="1"/>
  <c r="AJ42" i="6" s="1"/>
  <c r="AK42" i="6" s="1"/>
  <c r="AL42" i="6" s="1" a="1"/>
  <c r="AL42" i="6" s="1"/>
  <c r="AG6" i="6"/>
  <c r="AI6" i="6" s="1"/>
  <c r="AJ6" i="6" s="1"/>
  <c r="AK6" i="6" s="1"/>
  <c r="AL6" i="6" s="1" a="1"/>
  <c r="AL6" i="6" s="1"/>
  <c r="T7" i="6"/>
  <c r="V7" i="6" s="1"/>
  <c r="W7" i="6" s="1"/>
  <c r="X7" i="6" s="1"/>
  <c r="Y7" i="6" s="1" a="1"/>
  <c r="Y7" i="6" s="1"/>
  <c r="T20" i="9" s="1"/>
  <c r="W20" i="9" s="1"/>
  <c r="T8" i="6"/>
  <c r="V8" i="6" s="1"/>
  <c r="W8" i="6" s="1"/>
  <c r="X8" i="6" s="1"/>
  <c r="Y8" i="6" s="1" a="1"/>
  <c r="Y8" i="6" s="1"/>
  <c r="T21" i="9" s="1"/>
  <c r="W21" i="9" s="1"/>
  <c r="T9" i="6"/>
  <c r="V9" i="6" s="1"/>
  <c r="W9" i="6" s="1"/>
  <c r="X9" i="6" s="1"/>
  <c r="Y9" i="6" s="1" a="1"/>
  <c r="Y9" i="6" s="1"/>
  <c r="T22" i="9" s="1"/>
  <c r="W22" i="9" s="1"/>
  <c r="T10" i="6"/>
  <c r="V10" i="6" s="1"/>
  <c r="W10" i="6" s="1"/>
  <c r="X10" i="6" s="1"/>
  <c r="Y10" i="6" s="1" a="1"/>
  <c r="Y10" i="6" s="1"/>
  <c r="T23" i="9" s="1"/>
  <c r="W23" i="9" s="1"/>
  <c r="T11" i="6"/>
  <c r="V11" i="6" s="1"/>
  <c r="W11" i="6" s="1"/>
  <c r="X11" i="6" s="1"/>
  <c r="Y11" i="6" s="1" a="1"/>
  <c r="Y11" i="6" s="1"/>
  <c r="T24" i="9" s="1"/>
  <c r="W24" i="9" s="1"/>
  <c r="T12" i="6"/>
  <c r="V12" i="6" s="1"/>
  <c r="W12" i="6" s="1"/>
  <c r="X12" i="6" s="1"/>
  <c r="Y12" i="6" s="1" a="1"/>
  <c r="Y12" i="6" s="1"/>
  <c r="T25" i="9" s="1"/>
  <c r="W25" i="9" s="1"/>
  <c r="T13" i="6"/>
  <c r="V13" i="6" s="1"/>
  <c r="W13" i="6" s="1"/>
  <c r="X13" i="6" s="1"/>
  <c r="Y13" i="6" s="1" a="1"/>
  <c r="Y13" i="6" s="1"/>
  <c r="T26" i="9" s="1"/>
  <c r="W26" i="9" s="1"/>
  <c r="T14" i="6"/>
  <c r="V14" i="6" s="1"/>
  <c r="W14" i="6" s="1"/>
  <c r="X14" i="6" s="1"/>
  <c r="Y14" i="6" s="1" a="1"/>
  <c r="Y14" i="6" s="1"/>
  <c r="T27" i="9" s="1"/>
  <c r="W27" i="9" s="1"/>
  <c r="T15" i="6"/>
  <c r="V15" i="6" s="1"/>
  <c r="W15" i="6" s="1"/>
  <c r="X15" i="6" s="1"/>
  <c r="Y15" i="6" s="1" a="1"/>
  <c r="Y15" i="6" s="1"/>
  <c r="T28" i="9" s="1"/>
  <c r="W28" i="9" s="1"/>
  <c r="T16" i="6"/>
  <c r="V16" i="6" s="1"/>
  <c r="W16" i="6" s="1"/>
  <c r="X16" i="6" s="1"/>
  <c r="Y16" i="6" s="1" a="1"/>
  <c r="Y16" i="6" s="1"/>
  <c r="T29" i="9" s="1"/>
  <c r="W29" i="9" s="1"/>
  <c r="T17" i="6"/>
  <c r="V17" i="6" s="1"/>
  <c r="W17" i="6" s="1"/>
  <c r="X17" i="6" s="1"/>
  <c r="Y17" i="6" s="1" a="1"/>
  <c r="Y17" i="6" s="1"/>
  <c r="T30" i="9" s="1"/>
  <c r="W30" i="9" s="1"/>
  <c r="T18" i="6"/>
  <c r="V18" i="6" s="1"/>
  <c r="W18" i="6" s="1"/>
  <c r="X18" i="6" s="1"/>
  <c r="Y18" i="6" s="1" a="1"/>
  <c r="Y18" i="6" s="1"/>
  <c r="T31" i="9" s="1"/>
  <c r="W31" i="9" s="1"/>
  <c r="T19" i="6"/>
  <c r="V19" i="6" s="1"/>
  <c r="W19" i="6" s="1"/>
  <c r="X19" i="6" s="1"/>
  <c r="Y19" i="6" s="1" a="1"/>
  <c r="Y19" i="6" s="1"/>
  <c r="T32" i="9" s="1"/>
  <c r="W32" i="9" s="1"/>
  <c r="T20" i="6"/>
  <c r="V20" i="6" s="1"/>
  <c r="W20" i="6" s="1"/>
  <c r="X20" i="6" s="1"/>
  <c r="Y20" i="6" s="1" a="1"/>
  <c r="Y20" i="6" s="1"/>
  <c r="T33" i="9" s="1"/>
  <c r="W33" i="9" s="1"/>
  <c r="T21" i="6"/>
  <c r="V21" i="6" s="1"/>
  <c r="W21" i="6" s="1"/>
  <c r="X21" i="6" s="1"/>
  <c r="Y21" i="6" s="1" a="1"/>
  <c r="Y21" i="6" s="1"/>
  <c r="T34" i="9" s="1"/>
  <c r="W34" i="9" s="1"/>
  <c r="T22" i="6"/>
  <c r="V22" i="6" s="1"/>
  <c r="W22" i="6" s="1"/>
  <c r="X22" i="6" s="1"/>
  <c r="Y22" i="6" s="1" a="1"/>
  <c r="Y22" i="6" s="1"/>
  <c r="T35" i="9" s="1"/>
  <c r="W35" i="9" s="1"/>
  <c r="T23" i="6"/>
  <c r="V23" i="6" s="1"/>
  <c r="W23" i="6" s="1"/>
  <c r="X23" i="6" s="1"/>
  <c r="Y23" i="6" s="1" a="1"/>
  <c r="Y23" i="6" s="1"/>
  <c r="T36" i="9" s="1"/>
  <c r="W36" i="9" s="1"/>
  <c r="T24" i="6"/>
  <c r="V24" i="6" s="1"/>
  <c r="W24" i="6" s="1"/>
  <c r="X24" i="6" s="1"/>
  <c r="Y24" i="6" s="1" a="1"/>
  <c r="Y24" i="6" s="1"/>
  <c r="T37" i="9" s="1"/>
  <c r="W37" i="9" s="1"/>
  <c r="T25" i="6"/>
  <c r="V25" i="6" s="1"/>
  <c r="W25" i="6" s="1"/>
  <c r="X25" i="6" s="1"/>
  <c r="Y25" i="6" s="1" a="1"/>
  <c r="Y25" i="6" s="1"/>
  <c r="T38" i="9" s="1"/>
  <c r="W38" i="9" s="1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" i="6"/>
  <c r="I60" i="6" l="1"/>
  <c r="J60" i="6" s="1"/>
  <c r="K60" i="6" s="1"/>
  <c r="L60" i="6" s="1" a="1"/>
  <c r="L60" i="6" s="1"/>
  <c r="G73" i="9" s="1"/>
  <c r="J73" i="9" s="1"/>
  <c r="F73" i="9"/>
  <c r="K73" i="9" s="1"/>
  <c r="I36" i="6"/>
  <c r="J36" i="6" s="1"/>
  <c r="K36" i="6" s="1"/>
  <c r="L36" i="6" s="1" a="1"/>
  <c r="L36" i="6" s="1"/>
  <c r="G49" i="9" s="1"/>
  <c r="J49" i="9" s="1"/>
  <c r="F49" i="9"/>
  <c r="K49" i="9" s="1"/>
  <c r="I18" i="6"/>
  <c r="J18" i="6" s="1"/>
  <c r="K18" i="6" s="1"/>
  <c r="L18" i="6" s="1" a="1"/>
  <c r="L18" i="6" s="1"/>
  <c r="G31" i="9" s="1"/>
  <c r="J31" i="9" s="1"/>
  <c r="F31" i="9"/>
  <c r="K31" i="9" s="1"/>
  <c r="V6" i="6"/>
  <c r="W6" i="6" s="1"/>
  <c r="X6" i="6" s="1"/>
  <c r="Y6" i="6" s="1" a="1"/>
  <c r="Y6" i="6" s="1"/>
  <c r="T19" i="9" s="1"/>
  <c r="W19" i="9" s="1"/>
  <c r="S19" i="9"/>
  <c r="V31" i="6"/>
  <c r="W31" i="6" s="1"/>
  <c r="X31" i="6" s="1"/>
  <c r="Y31" i="6" s="1" a="1"/>
  <c r="Y31" i="6" s="1"/>
  <c r="T44" i="9" s="1"/>
  <c r="W44" i="9" s="1"/>
  <c r="S44" i="9"/>
  <c r="I52" i="6"/>
  <c r="J52" i="6" s="1"/>
  <c r="K52" i="6" s="1"/>
  <c r="L52" i="6" s="1" a="1"/>
  <c r="L52" i="6" s="1"/>
  <c r="G65" i="9" s="1"/>
  <c r="J65" i="9" s="1"/>
  <c r="F65" i="9"/>
  <c r="K65" i="9" s="1"/>
  <c r="I40" i="6"/>
  <c r="J40" i="6" s="1"/>
  <c r="K40" i="6" s="1"/>
  <c r="L40" i="6" s="1" a="1"/>
  <c r="L40" i="6" s="1"/>
  <c r="G53" i="9" s="1"/>
  <c r="J53" i="9" s="1"/>
  <c r="F53" i="9"/>
  <c r="K53" i="9" s="1"/>
  <c r="I28" i="6"/>
  <c r="J28" i="6" s="1"/>
  <c r="K28" i="6" s="1"/>
  <c r="L28" i="6" s="1" a="1"/>
  <c r="L28" i="6" s="1"/>
  <c r="G41" i="9" s="1"/>
  <c r="J41" i="9" s="1"/>
  <c r="F41" i="9"/>
  <c r="K41" i="9" s="1"/>
  <c r="I16" i="6"/>
  <c r="J16" i="6" s="1"/>
  <c r="K16" i="6" s="1"/>
  <c r="L16" i="6" s="1" a="1"/>
  <c r="L16" i="6" s="1"/>
  <c r="G29" i="9" s="1"/>
  <c r="J29" i="9" s="1"/>
  <c r="F29" i="9"/>
  <c r="K29" i="9" s="1"/>
  <c r="V29" i="6"/>
  <c r="W29" i="6" s="1"/>
  <c r="X29" i="6" s="1"/>
  <c r="Y29" i="6" s="1" a="1"/>
  <c r="Y29" i="6" s="1"/>
  <c r="T42" i="9" s="1"/>
  <c r="W42" i="9" s="1"/>
  <c r="S42" i="9"/>
  <c r="I27" i="6"/>
  <c r="J27" i="6" s="1"/>
  <c r="K27" i="6" s="1"/>
  <c r="L27" i="6" s="1" a="1"/>
  <c r="L27" i="6" s="1"/>
  <c r="G40" i="9" s="1"/>
  <c r="J40" i="9" s="1"/>
  <c r="F40" i="9"/>
  <c r="K40" i="9" s="1"/>
  <c r="I68" i="6"/>
  <c r="J68" i="6" s="1"/>
  <c r="K68" i="6" s="1"/>
  <c r="L68" i="6" s="1" a="1"/>
  <c r="L68" i="6" s="1"/>
  <c r="G81" i="9" s="1"/>
  <c r="J81" i="9" s="1"/>
  <c r="F81" i="9"/>
  <c r="K81" i="9" s="1"/>
  <c r="I62" i="6"/>
  <c r="J62" i="6" s="1"/>
  <c r="K62" i="6" s="1"/>
  <c r="L62" i="6" s="1" a="1"/>
  <c r="L62" i="6" s="1"/>
  <c r="G75" i="9" s="1"/>
  <c r="J75" i="9" s="1"/>
  <c r="F75" i="9"/>
  <c r="K75" i="9" s="1"/>
  <c r="I56" i="6"/>
  <c r="J56" i="6" s="1"/>
  <c r="K56" i="6" s="1"/>
  <c r="L56" i="6" s="1" a="1"/>
  <c r="L56" i="6" s="1"/>
  <c r="G69" i="9" s="1"/>
  <c r="J69" i="9" s="1"/>
  <c r="F69" i="9"/>
  <c r="K69" i="9" s="1"/>
  <c r="I50" i="6"/>
  <c r="J50" i="6" s="1"/>
  <c r="K50" i="6" s="1"/>
  <c r="L50" i="6" s="1" a="1"/>
  <c r="L50" i="6" s="1"/>
  <c r="G63" i="9" s="1"/>
  <c r="J63" i="9" s="1"/>
  <c r="F63" i="9"/>
  <c r="K63" i="9" s="1"/>
  <c r="I44" i="6"/>
  <c r="J44" i="6" s="1"/>
  <c r="K44" i="6" s="1"/>
  <c r="L44" i="6" s="1" a="1"/>
  <c r="L44" i="6" s="1"/>
  <c r="G57" i="9" s="1"/>
  <c r="J57" i="9" s="1"/>
  <c r="F57" i="9"/>
  <c r="K57" i="9" s="1"/>
  <c r="I38" i="6"/>
  <c r="J38" i="6" s="1"/>
  <c r="K38" i="6" s="1"/>
  <c r="L38" i="6" s="1" a="1"/>
  <c r="L38" i="6" s="1"/>
  <c r="G51" i="9" s="1"/>
  <c r="J51" i="9" s="1"/>
  <c r="F51" i="9"/>
  <c r="K51" i="9" s="1"/>
  <c r="I32" i="6"/>
  <c r="J32" i="6" s="1"/>
  <c r="K32" i="6" s="1"/>
  <c r="L32" i="6" s="1" a="1"/>
  <c r="L32" i="6" s="1"/>
  <c r="G45" i="9" s="1"/>
  <c r="J45" i="9" s="1"/>
  <c r="F45" i="9"/>
  <c r="K45" i="9" s="1"/>
  <c r="I26" i="6"/>
  <c r="J26" i="6" s="1"/>
  <c r="K26" i="6" s="1"/>
  <c r="L26" i="6" s="1" a="1"/>
  <c r="L26" i="6" s="1"/>
  <c r="G39" i="9" s="1"/>
  <c r="J39" i="9" s="1"/>
  <c r="F39" i="9"/>
  <c r="K39" i="9" s="1"/>
  <c r="I20" i="6"/>
  <c r="J20" i="6" s="1"/>
  <c r="K20" i="6" s="1"/>
  <c r="L20" i="6" s="1" a="1"/>
  <c r="L20" i="6" s="1"/>
  <c r="G33" i="9" s="1"/>
  <c r="J33" i="9" s="1"/>
  <c r="F33" i="9"/>
  <c r="K33" i="9" s="1"/>
  <c r="I14" i="6"/>
  <c r="J14" i="6" s="1"/>
  <c r="K14" i="6" s="1"/>
  <c r="L14" i="6" s="1" a="1"/>
  <c r="L14" i="6" s="1"/>
  <c r="G27" i="9" s="1"/>
  <c r="J27" i="9" s="1"/>
  <c r="F27" i="9"/>
  <c r="K27" i="9" s="1"/>
  <c r="I8" i="6"/>
  <c r="J8" i="6" s="1"/>
  <c r="K8" i="6" s="1"/>
  <c r="L8" i="6" s="1" a="1"/>
  <c r="L8" i="6" s="1"/>
  <c r="G21" i="9" s="1"/>
  <c r="J21" i="9" s="1"/>
  <c r="F21" i="9"/>
  <c r="K21" i="9" s="1"/>
  <c r="V45" i="6"/>
  <c r="W45" i="6" s="1"/>
  <c r="X45" i="6" s="1"/>
  <c r="Y45" i="6" s="1" a="1"/>
  <c r="Y45" i="6" s="1"/>
  <c r="T58" i="9" s="1"/>
  <c r="W58" i="9" s="1"/>
  <c r="S58" i="9"/>
  <c r="V39" i="6"/>
  <c r="W39" i="6" s="1"/>
  <c r="X39" i="6" s="1"/>
  <c r="Y39" i="6" s="1" a="1"/>
  <c r="Y39" i="6" s="1"/>
  <c r="T52" i="9" s="1"/>
  <c r="W52" i="9" s="1"/>
  <c r="S52" i="9"/>
  <c r="V33" i="6"/>
  <c r="W33" i="6" s="1"/>
  <c r="X33" i="6" s="1"/>
  <c r="Y33" i="6" s="1" a="1"/>
  <c r="Y33" i="6" s="1"/>
  <c r="T46" i="9" s="1"/>
  <c r="W46" i="9" s="1"/>
  <c r="S46" i="9"/>
  <c r="V27" i="6"/>
  <c r="W27" i="6" s="1"/>
  <c r="X27" i="6" s="1"/>
  <c r="Y27" i="6" s="1" a="1"/>
  <c r="Y27" i="6" s="1"/>
  <c r="T40" i="9" s="1"/>
  <c r="W40" i="9" s="1"/>
  <c r="S40" i="9"/>
  <c r="I48" i="6"/>
  <c r="J48" i="6" s="1"/>
  <c r="K48" i="6" s="1"/>
  <c r="L48" i="6" s="1" a="1"/>
  <c r="L48" i="6" s="1"/>
  <c r="G61" i="9" s="1"/>
  <c r="J61" i="9" s="1"/>
  <c r="F61" i="9"/>
  <c r="K61" i="9" s="1"/>
  <c r="I24" i="6"/>
  <c r="J24" i="6" s="1"/>
  <c r="K24" i="6" s="1"/>
  <c r="L24" i="6" s="1" a="1"/>
  <c r="L24" i="6" s="1"/>
  <c r="G37" i="9" s="1"/>
  <c r="J37" i="9" s="1"/>
  <c r="F37" i="9"/>
  <c r="K37" i="9" s="1"/>
  <c r="I12" i="6"/>
  <c r="J12" i="6" s="1"/>
  <c r="K12" i="6" s="1"/>
  <c r="L12" i="6" s="1" a="1"/>
  <c r="L12" i="6" s="1"/>
  <c r="G25" i="9" s="1"/>
  <c r="J25" i="9" s="1"/>
  <c r="F25" i="9"/>
  <c r="K25" i="9" s="1"/>
  <c r="V43" i="6"/>
  <c r="W43" i="6" s="1"/>
  <c r="X43" i="6" s="1"/>
  <c r="Y43" i="6" s="1" a="1"/>
  <c r="Y43" i="6" s="1"/>
  <c r="T56" i="9" s="1"/>
  <c r="W56" i="9" s="1"/>
  <c r="S56" i="9"/>
  <c r="V37" i="6"/>
  <c r="W37" i="6" s="1"/>
  <c r="X37" i="6" s="1"/>
  <c r="Y37" i="6" s="1" a="1"/>
  <c r="Y37" i="6" s="1"/>
  <c r="T50" i="9" s="1"/>
  <c r="W50" i="9" s="1"/>
  <c r="S50" i="9"/>
  <c r="I58" i="6"/>
  <c r="J58" i="6" s="1"/>
  <c r="K58" i="6" s="1"/>
  <c r="L58" i="6" s="1" a="1"/>
  <c r="L58" i="6" s="1"/>
  <c r="G71" i="9" s="1"/>
  <c r="J71" i="9" s="1"/>
  <c r="F71" i="9"/>
  <c r="K71" i="9" s="1"/>
  <c r="I46" i="6"/>
  <c r="J46" i="6" s="1"/>
  <c r="K46" i="6" s="1"/>
  <c r="L46" i="6" s="1" a="1"/>
  <c r="L46" i="6" s="1"/>
  <c r="G59" i="9" s="1"/>
  <c r="J59" i="9" s="1"/>
  <c r="F59" i="9"/>
  <c r="K59" i="9" s="1"/>
  <c r="I34" i="6"/>
  <c r="J34" i="6" s="1"/>
  <c r="K34" i="6" s="1"/>
  <c r="L34" i="6" s="1" a="1"/>
  <c r="L34" i="6" s="1"/>
  <c r="G47" i="9" s="1"/>
  <c r="J47" i="9" s="1"/>
  <c r="F47" i="9"/>
  <c r="K47" i="9" s="1"/>
  <c r="I22" i="6"/>
  <c r="J22" i="6" s="1"/>
  <c r="K22" i="6" s="1"/>
  <c r="L22" i="6" s="1" a="1"/>
  <c r="L22" i="6" s="1"/>
  <c r="G35" i="9" s="1"/>
  <c r="J35" i="9" s="1"/>
  <c r="F35" i="9"/>
  <c r="K35" i="9" s="1"/>
  <c r="I10" i="6"/>
  <c r="J10" i="6" s="1"/>
  <c r="K10" i="6" s="1"/>
  <c r="L10" i="6" s="1" a="1"/>
  <c r="L10" i="6" s="1"/>
  <c r="G23" i="9" s="1"/>
  <c r="J23" i="9" s="1"/>
  <c r="F23" i="9"/>
  <c r="K23" i="9" s="1"/>
  <c r="V41" i="6"/>
  <c r="W41" i="6" s="1"/>
  <c r="X41" i="6" s="1"/>
  <c r="Y41" i="6" s="1" a="1"/>
  <c r="Y41" i="6" s="1"/>
  <c r="T54" i="9" s="1"/>
  <c r="W54" i="9" s="1"/>
  <c r="S54" i="9"/>
  <c r="V35" i="6"/>
  <c r="W35" i="6" s="1"/>
  <c r="X35" i="6" s="1"/>
  <c r="Y35" i="6" s="1" a="1"/>
  <c r="Y35" i="6" s="1"/>
  <c r="T48" i="9" s="1"/>
  <c r="W48" i="9" s="1"/>
  <c r="S48" i="9"/>
  <c r="I67" i="6"/>
  <c r="J67" i="6" s="1"/>
  <c r="K67" i="6" s="1"/>
  <c r="L67" i="6" s="1" a="1"/>
  <c r="L67" i="6" s="1"/>
  <c r="G80" i="9" s="1"/>
  <c r="J80" i="9" s="1"/>
  <c r="F80" i="9"/>
  <c r="K80" i="9" s="1"/>
  <c r="I61" i="6"/>
  <c r="J61" i="6" s="1"/>
  <c r="K61" i="6" s="1"/>
  <c r="L61" i="6" s="1" a="1"/>
  <c r="L61" i="6" s="1"/>
  <c r="G74" i="9" s="1"/>
  <c r="J74" i="9" s="1"/>
  <c r="F74" i="9"/>
  <c r="K74" i="9" s="1"/>
  <c r="I55" i="6"/>
  <c r="J55" i="6" s="1"/>
  <c r="K55" i="6" s="1"/>
  <c r="L55" i="6" s="1" a="1"/>
  <c r="L55" i="6" s="1"/>
  <c r="G68" i="9" s="1"/>
  <c r="J68" i="9" s="1"/>
  <c r="F68" i="9"/>
  <c r="K68" i="9" s="1"/>
  <c r="I49" i="6"/>
  <c r="J49" i="6" s="1"/>
  <c r="K49" i="6" s="1"/>
  <c r="L49" i="6" s="1" a="1"/>
  <c r="L49" i="6" s="1"/>
  <c r="G62" i="9" s="1"/>
  <c r="J62" i="9" s="1"/>
  <c r="F62" i="9"/>
  <c r="K62" i="9" s="1"/>
  <c r="I43" i="6"/>
  <c r="J43" i="6" s="1"/>
  <c r="K43" i="6" s="1"/>
  <c r="L43" i="6" s="1" a="1"/>
  <c r="L43" i="6" s="1"/>
  <c r="G56" i="9" s="1"/>
  <c r="J56" i="9" s="1"/>
  <c r="F56" i="9"/>
  <c r="K56" i="9" s="1"/>
  <c r="I37" i="6"/>
  <c r="J37" i="6" s="1"/>
  <c r="K37" i="6" s="1"/>
  <c r="L37" i="6" s="1" a="1"/>
  <c r="L37" i="6" s="1"/>
  <c r="G50" i="9" s="1"/>
  <c r="J50" i="9" s="1"/>
  <c r="F50" i="9"/>
  <c r="K50" i="9" s="1"/>
  <c r="I31" i="6"/>
  <c r="J31" i="6" s="1"/>
  <c r="K31" i="6" s="1"/>
  <c r="L31" i="6" s="1" a="1"/>
  <c r="L31" i="6" s="1"/>
  <c r="G44" i="9" s="1"/>
  <c r="J44" i="9" s="1"/>
  <c r="F44" i="9"/>
  <c r="K44" i="9" s="1"/>
  <c r="I25" i="6"/>
  <c r="J25" i="6" s="1"/>
  <c r="K25" i="6" s="1"/>
  <c r="L25" i="6" s="1" a="1"/>
  <c r="L25" i="6" s="1"/>
  <c r="G38" i="9" s="1"/>
  <c r="J38" i="9" s="1"/>
  <c r="F38" i="9"/>
  <c r="K38" i="9" s="1"/>
  <c r="I19" i="6"/>
  <c r="J19" i="6" s="1"/>
  <c r="K19" i="6" s="1"/>
  <c r="L19" i="6" s="1" a="1"/>
  <c r="L19" i="6" s="1"/>
  <c r="G32" i="9" s="1"/>
  <c r="J32" i="9" s="1"/>
  <c r="F32" i="9"/>
  <c r="K32" i="9" s="1"/>
  <c r="I13" i="6"/>
  <c r="J13" i="6" s="1"/>
  <c r="K13" i="6" s="1"/>
  <c r="L13" i="6" s="1" a="1"/>
  <c r="L13" i="6" s="1"/>
  <c r="G26" i="9" s="1"/>
  <c r="J26" i="9" s="1"/>
  <c r="F26" i="9"/>
  <c r="K26" i="9" s="1"/>
  <c r="I7" i="6"/>
  <c r="J7" i="6" s="1"/>
  <c r="K7" i="6" s="1"/>
  <c r="L7" i="6" s="1" a="1"/>
  <c r="L7" i="6" s="1"/>
  <c r="G20" i="9" s="1"/>
  <c r="J20" i="9" s="1"/>
  <c r="F20" i="9"/>
  <c r="K20" i="9" s="1"/>
  <c r="V44" i="6"/>
  <c r="W44" i="6" s="1"/>
  <c r="X44" i="6" s="1"/>
  <c r="Y44" i="6" s="1" a="1"/>
  <c r="Y44" i="6" s="1"/>
  <c r="T57" i="9" s="1"/>
  <c r="W57" i="9" s="1"/>
  <c r="S57" i="9"/>
  <c r="V38" i="6"/>
  <c r="W38" i="6" s="1"/>
  <c r="X38" i="6" s="1"/>
  <c r="Y38" i="6" s="1" a="1"/>
  <c r="Y38" i="6" s="1"/>
  <c r="T51" i="9" s="1"/>
  <c r="W51" i="9" s="1"/>
  <c r="S51" i="9"/>
  <c r="V32" i="6"/>
  <c r="W32" i="6" s="1"/>
  <c r="X32" i="6" s="1"/>
  <c r="Y32" i="6" s="1" a="1"/>
  <c r="Y32" i="6" s="1"/>
  <c r="T45" i="9" s="1"/>
  <c r="W45" i="9" s="1"/>
  <c r="S45" i="9"/>
  <c r="V26" i="6"/>
  <c r="W26" i="6" s="1"/>
  <c r="X26" i="6" s="1"/>
  <c r="Y26" i="6" s="1" a="1"/>
  <c r="Y26" i="6" s="1"/>
  <c r="T39" i="9" s="1"/>
  <c r="W39" i="9" s="1"/>
  <c r="S39" i="9"/>
  <c r="I65" i="6"/>
  <c r="J65" i="6" s="1"/>
  <c r="K65" i="6" s="1"/>
  <c r="L65" i="6" s="1" a="1"/>
  <c r="L65" i="6" s="1"/>
  <c r="G78" i="9" s="1"/>
  <c r="J78" i="9" s="1"/>
  <c r="F78" i="9"/>
  <c r="K78" i="9" s="1"/>
  <c r="I59" i="6"/>
  <c r="J59" i="6" s="1"/>
  <c r="K59" i="6" s="1"/>
  <c r="L59" i="6" s="1" a="1"/>
  <c r="L59" i="6" s="1"/>
  <c r="G72" i="9" s="1"/>
  <c r="J72" i="9" s="1"/>
  <c r="F72" i="9"/>
  <c r="K72" i="9" s="1"/>
  <c r="I53" i="6"/>
  <c r="J53" i="6" s="1"/>
  <c r="K53" i="6" s="1"/>
  <c r="L53" i="6" s="1" a="1"/>
  <c r="L53" i="6" s="1"/>
  <c r="G66" i="9" s="1"/>
  <c r="J66" i="9" s="1"/>
  <c r="F66" i="9"/>
  <c r="K66" i="9" s="1"/>
  <c r="I47" i="6"/>
  <c r="J47" i="6" s="1"/>
  <c r="K47" i="6" s="1"/>
  <c r="L47" i="6" s="1" a="1"/>
  <c r="L47" i="6" s="1"/>
  <c r="G60" i="9" s="1"/>
  <c r="J60" i="9" s="1"/>
  <c r="F60" i="9"/>
  <c r="K60" i="9" s="1"/>
  <c r="I41" i="6"/>
  <c r="J41" i="6" s="1"/>
  <c r="K41" i="6" s="1"/>
  <c r="L41" i="6" s="1" a="1"/>
  <c r="L41" i="6" s="1"/>
  <c r="G54" i="9" s="1"/>
  <c r="J54" i="9" s="1"/>
  <c r="F54" i="9"/>
  <c r="K54" i="9" s="1"/>
  <c r="I35" i="6"/>
  <c r="J35" i="6" s="1"/>
  <c r="K35" i="6" s="1"/>
  <c r="L35" i="6" s="1" a="1"/>
  <c r="L35" i="6" s="1"/>
  <c r="G48" i="9" s="1"/>
  <c r="J48" i="9" s="1"/>
  <c r="F48" i="9"/>
  <c r="K48" i="9" s="1"/>
  <c r="I29" i="6"/>
  <c r="J29" i="6" s="1"/>
  <c r="K29" i="6" s="1"/>
  <c r="L29" i="6" s="1" a="1"/>
  <c r="L29" i="6" s="1"/>
  <c r="G42" i="9" s="1"/>
  <c r="J42" i="9" s="1"/>
  <c r="F42" i="9"/>
  <c r="K42" i="9" s="1"/>
  <c r="I23" i="6"/>
  <c r="J23" i="6" s="1"/>
  <c r="K23" i="6" s="1"/>
  <c r="L23" i="6" s="1" a="1"/>
  <c r="L23" i="6" s="1"/>
  <c r="G36" i="9" s="1"/>
  <c r="J36" i="9" s="1"/>
  <c r="F36" i="9"/>
  <c r="K36" i="9" s="1"/>
  <c r="I17" i="6"/>
  <c r="J17" i="6" s="1"/>
  <c r="K17" i="6" s="1"/>
  <c r="L17" i="6" s="1" a="1"/>
  <c r="L17" i="6" s="1"/>
  <c r="G30" i="9" s="1"/>
  <c r="J30" i="9" s="1"/>
  <c r="F30" i="9"/>
  <c r="K30" i="9" s="1"/>
  <c r="I11" i="6"/>
  <c r="J11" i="6" s="1"/>
  <c r="K11" i="6" s="1"/>
  <c r="L11" i="6" s="1" a="1"/>
  <c r="L11" i="6" s="1"/>
  <c r="G24" i="9" s="1"/>
  <c r="J24" i="9" s="1"/>
  <c r="F24" i="9"/>
  <c r="K24" i="9" s="1"/>
  <c r="V48" i="6"/>
  <c r="W48" i="6" s="1"/>
  <c r="X48" i="6" s="1"/>
  <c r="Y48" i="6" s="1" a="1"/>
  <c r="Y48" i="6" s="1"/>
  <c r="T61" i="9" s="1"/>
  <c r="W61" i="9" s="1"/>
  <c r="S61" i="9"/>
  <c r="V42" i="6"/>
  <c r="W42" i="6" s="1"/>
  <c r="X42" i="6" s="1"/>
  <c r="Y42" i="6" s="1" a="1"/>
  <c r="Y42" i="6" s="1"/>
  <c r="T55" i="9" s="1"/>
  <c r="W55" i="9" s="1"/>
  <c r="S55" i="9"/>
  <c r="V36" i="6"/>
  <c r="W36" i="6" s="1"/>
  <c r="X36" i="6" s="1"/>
  <c r="Y36" i="6" s="1" a="1"/>
  <c r="Y36" i="6" s="1"/>
  <c r="T49" i="9" s="1"/>
  <c r="W49" i="9" s="1"/>
  <c r="S49" i="9"/>
  <c r="V30" i="6"/>
  <c r="W30" i="6" s="1"/>
  <c r="X30" i="6" s="1"/>
  <c r="Y30" i="6" s="1" a="1"/>
  <c r="Y30" i="6" s="1"/>
  <c r="T43" i="9" s="1"/>
  <c r="W43" i="9" s="1"/>
  <c r="S43" i="9"/>
  <c r="I54" i="6"/>
  <c r="J54" i="6" s="1"/>
  <c r="K54" i="6" s="1"/>
  <c r="L54" i="6" s="1" a="1"/>
  <c r="L54" i="6" s="1"/>
  <c r="G67" i="9" s="1"/>
  <c r="J67" i="9" s="1"/>
  <c r="F67" i="9"/>
  <c r="K67" i="9" s="1"/>
  <c r="I30" i="6"/>
  <c r="J30" i="6" s="1"/>
  <c r="K30" i="6" s="1"/>
  <c r="L30" i="6" s="1" a="1"/>
  <c r="L30" i="6" s="1"/>
  <c r="G43" i="9" s="1"/>
  <c r="J43" i="9" s="1"/>
  <c r="F43" i="9"/>
  <c r="K43" i="9" s="1"/>
  <c r="I64" i="6"/>
  <c r="J64" i="6" s="1"/>
  <c r="K64" i="6" s="1"/>
  <c r="L64" i="6" s="1" a="1"/>
  <c r="L64" i="6" s="1"/>
  <c r="G77" i="9" s="1"/>
  <c r="J77" i="9" s="1"/>
  <c r="F77" i="9"/>
  <c r="K77" i="9" s="1"/>
  <c r="V47" i="6"/>
  <c r="W47" i="6" s="1"/>
  <c r="X47" i="6" s="1"/>
  <c r="Y47" i="6" s="1" a="1"/>
  <c r="Y47" i="6" s="1"/>
  <c r="T60" i="9" s="1"/>
  <c r="W60" i="9" s="1"/>
  <c r="S60" i="9"/>
  <c r="I66" i="6"/>
  <c r="J66" i="6" s="1"/>
  <c r="K66" i="6" s="1"/>
  <c r="L66" i="6" s="1" a="1"/>
  <c r="L66" i="6" s="1"/>
  <c r="G79" i="9" s="1"/>
  <c r="J79" i="9" s="1"/>
  <c r="F79" i="9"/>
  <c r="K79" i="9" s="1"/>
  <c r="I42" i="6"/>
  <c r="J42" i="6" s="1"/>
  <c r="K42" i="6" s="1"/>
  <c r="L42" i="6" s="1" a="1"/>
  <c r="L42" i="6" s="1"/>
  <c r="G55" i="9" s="1"/>
  <c r="J55" i="9" s="1"/>
  <c r="F55" i="9"/>
  <c r="K55" i="9" s="1"/>
  <c r="I6" i="6"/>
  <c r="J6" i="6" s="1"/>
  <c r="K6" i="6" s="1"/>
  <c r="L6" i="6" s="1" a="1"/>
  <c r="L6" i="6" s="1"/>
  <c r="G19" i="9" s="1"/>
  <c r="J19" i="9" s="1"/>
  <c r="F19" i="9"/>
  <c r="K19" i="9" s="1"/>
  <c r="I63" i="6"/>
  <c r="J63" i="6" s="1"/>
  <c r="K63" i="6" s="1"/>
  <c r="L63" i="6" s="1" a="1"/>
  <c r="L63" i="6" s="1"/>
  <c r="G76" i="9" s="1"/>
  <c r="J76" i="9" s="1"/>
  <c r="F76" i="9"/>
  <c r="K76" i="9" s="1"/>
  <c r="I57" i="6"/>
  <c r="J57" i="6" s="1"/>
  <c r="K57" i="6" s="1"/>
  <c r="L57" i="6" s="1" a="1"/>
  <c r="L57" i="6" s="1"/>
  <c r="G70" i="9" s="1"/>
  <c r="J70" i="9" s="1"/>
  <c r="F70" i="9"/>
  <c r="K70" i="9" s="1"/>
  <c r="I51" i="6"/>
  <c r="J51" i="6" s="1"/>
  <c r="K51" i="6" s="1"/>
  <c r="L51" i="6" s="1" a="1"/>
  <c r="L51" i="6" s="1"/>
  <c r="G64" i="9" s="1"/>
  <c r="J64" i="9" s="1"/>
  <c r="F64" i="9"/>
  <c r="K64" i="9" s="1"/>
  <c r="I45" i="6"/>
  <c r="J45" i="6" s="1"/>
  <c r="K45" i="6" s="1"/>
  <c r="L45" i="6" s="1" a="1"/>
  <c r="L45" i="6" s="1"/>
  <c r="G58" i="9" s="1"/>
  <c r="J58" i="9" s="1"/>
  <c r="F58" i="9"/>
  <c r="K58" i="9" s="1"/>
  <c r="I39" i="6"/>
  <c r="J39" i="6" s="1"/>
  <c r="K39" i="6" s="1"/>
  <c r="L39" i="6" s="1" a="1"/>
  <c r="L39" i="6" s="1"/>
  <c r="G52" i="9" s="1"/>
  <c r="J52" i="9" s="1"/>
  <c r="F52" i="9"/>
  <c r="K52" i="9" s="1"/>
  <c r="I33" i="6"/>
  <c r="J33" i="6" s="1"/>
  <c r="K33" i="6" s="1"/>
  <c r="L33" i="6" s="1" a="1"/>
  <c r="L33" i="6" s="1"/>
  <c r="G46" i="9" s="1"/>
  <c r="J46" i="9" s="1"/>
  <c r="F46" i="9"/>
  <c r="K46" i="9" s="1"/>
  <c r="I21" i="6"/>
  <c r="J21" i="6" s="1"/>
  <c r="K21" i="6" s="1"/>
  <c r="L21" i="6" s="1" a="1"/>
  <c r="L21" i="6" s="1"/>
  <c r="G34" i="9" s="1"/>
  <c r="J34" i="9" s="1"/>
  <c r="F34" i="9"/>
  <c r="K34" i="9" s="1"/>
  <c r="I15" i="6"/>
  <c r="J15" i="6" s="1"/>
  <c r="K15" i="6" s="1"/>
  <c r="L15" i="6" s="1" a="1"/>
  <c r="L15" i="6" s="1"/>
  <c r="G28" i="9" s="1"/>
  <c r="J28" i="9" s="1"/>
  <c r="F28" i="9"/>
  <c r="K28" i="9" s="1"/>
  <c r="I9" i="6"/>
  <c r="J9" i="6" s="1"/>
  <c r="K9" i="6" s="1"/>
  <c r="L9" i="6" s="1" a="1"/>
  <c r="L9" i="6" s="1"/>
  <c r="G22" i="9" s="1"/>
  <c r="J22" i="9" s="1"/>
  <c r="F22" i="9"/>
  <c r="K22" i="9" s="1"/>
  <c r="V46" i="6"/>
  <c r="W46" i="6" s="1"/>
  <c r="X46" i="6" s="1"/>
  <c r="Y46" i="6" s="1" a="1"/>
  <c r="Y46" i="6" s="1"/>
  <c r="T59" i="9" s="1"/>
  <c r="W59" i="9" s="1"/>
  <c r="S59" i="9"/>
  <c r="V40" i="6"/>
  <c r="W40" i="6" s="1"/>
  <c r="X40" i="6" s="1"/>
  <c r="Y40" i="6" s="1" a="1"/>
  <c r="Y40" i="6" s="1"/>
  <c r="T53" i="9" s="1"/>
  <c r="W53" i="9" s="1"/>
  <c r="S53" i="9"/>
  <c r="V34" i="6"/>
  <c r="W34" i="6" s="1"/>
  <c r="X34" i="6" s="1"/>
  <c r="Y34" i="6" s="1" a="1"/>
  <c r="Y34" i="6" s="1"/>
  <c r="T47" i="9" s="1"/>
  <c r="W47" i="9" s="1"/>
  <c r="S47" i="9"/>
  <c r="V28" i="6"/>
  <c r="W28" i="6" s="1"/>
  <c r="X28" i="6" s="1"/>
  <c r="Y28" i="6" s="1" a="1"/>
  <c r="Y28" i="6" s="1"/>
  <c r="T41" i="9" s="1"/>
  <c r="W41" i="9" s="1"/>
  <c r="S41" i="9"/>
  <c r="AD23" i="13"/>
  <c r="AF23" i="13" s="1"/>
  <c r="AD37" i="13"/>
  <c r="AF37" i="13" s="1"/>
  <c r="AD31" i="13"/>
  <c r="AF31" i="13" s="1"/>
  <c r="AD46" i="13"/>
  <c r="AF46" i="13" s="1"/>
  <c r="AD45" i="13"/>
  <c r="AF45" i="13" s="1"/>
  <c r="AD41" i="13"/>
  <c r="AF41" i="13" s="1"/>
  <c r="AD25" i="13"/>
  <c r="AF25" i="13" s="1"/>
  <c r="AD35" i="13"/>
  <c r="AF35" i="13" s="1"/>
  <c r="AD24" i="13"/>
  <c r="AF24" i="13" s="1"/>
  <c r="AD43" i="13"/>
  <c r="AF43" i="13" s="1"/>
  <c r="AD28" i="13"/>
  <c r="AF28" i="13" s="1"/>
  <c r="AD40" i="13"/>
  <c r="AF40" i="13" s="1"/>
  <c r="AD39" i="13"/>
  <c r="AF39" i="13" s="1"/>
  <c r="AD38" i="13"/>
  <c r="AF38" i="13" s="1"/>
  <c r="AD34" i="13"/>
  <c r="AF34" i="13" s="1"/>
  <c r="AD44" i="13"/>
  <c r="AF44" i="13" s="1"/>
  <c r="AD22" i="13"/>
  <c r="AF22" i="13" s="1"/>
  <c r="AD42" i="13"/>
  <c r="AF42" i="13" s="1"/>
  <c r="AD47" i="13"/>
  <c r="AF47" i="13" s="1"/>
  <c r="AD32" i="13"/>
  <c r="AF32" i="13" s="1"/>
  <c r="AD30" i="13"/>
  <c r="AF30" i="13" s="1"/>
  <c r="AD36" i="13"/>
  <c r="AF36" i="13" s="1"/>
  <c r="AD29" i="13"/>
  <c r="AF29" i="13" s="1"/>
  <c r="AD27" i="13"/>
  <c r="AF27" i="13" s="1"/>
  <c r="AD33" i="13"/>
  <c r="AF33" i="13" s="1"/>
  <c r="AD48" i="13"/>
  <c r="AF48" i="13" s="1"/>
  <c r="AD72" i="13"/>
  <c r="AF72" i="13" s="1"/>
  <c r="AD76" i="13"/>
  <c r="AF76" i="13" s="1"/>
  <c r="AD73" i="13"/>
  <c r="AF73" i="13" s="1"/>
  <c r="AD61" i="13"/>
  <c r="AF61" i="13" s="1"/>
  <c r="AD51" i="13"/>
  <c r="AF51" i="13" s="1"/>
  <c r="AD84" i="13"/>
  <c r="AF84" i="13" s="1"/>
  <c r="AD54" i="13"/>
  <c r="AF54" i="13" s="1"/>
  <c r="AD80" i="13"/>
  <c r="AF80" i="13" s="1"/>
  <c r="AD70" i="13"/>
  <c r="AF70" i="13" s="1"/>
  <c r="AD68" i="13"/>
  <c r="AF68" i="13" s="1"/>
  <c r="AD63" i="13"/>
  <c r="AF63" i="13" s="1"/>
  <c r="AD52" i="13"/>
  <c r="AF52" i="13" s="1"/>
  <c r="AD55" i="13"/>
  <c r="AF55" i="13" s="1"/>
  <c r="AD81" i="13"/>
  <c r="AF81" i="13" s="1"/>
  <c r="AD91" i="13"/>
  <c r="AF91" i="13" s="1"/>
  <c r="AD65" i="13"/>
  <c r="AF65" i="13" s="1"/>
  <c r="AD88" i="13"/>
  <c r="AF88" i="13" s="1"/>
  <c r="AD58" i="13"/>
  <c r="AF58" i="13" s="1"/>
  <c r="AD86" i="13"/>
  <c r="AF86" i="13" s="1"/>
  <c r="AD62" i="13"/>
  <c r="AF62" i="13" s="1"/>
  <c r="AD82" i="13"/>
  <c r="AF82" i="13" s="1"/>
  <c r="AD75" i="13"/>
  <c r="AF75" i="13" s="1"/>
  <c r="AD79" i="13"/>
  <c r="AF79" i="13" s="1"/>
  <c r="AD59" i="13"/>
  <c r="AF59" i="13" s="1"/>
  <c r="AD60" i="13"/>
  <c r="AF60" i="13" s="1"/>
  <c r="AD78" i="13"/>
  <c r="AF78" i="13" s="1"/>
  <c r="AD90" i="13"/>
  <c r="AF90" i="13" s="1"/>
  <c r="AD64" i="13"/>
  <c r="AF64" i="13" s="1"/>
  <c r="AD67" i="13"/>
  <c r="AF67" i="13" s="1"/>
  <c r="AD74" i="13"/>
  <c r="AF74" i="13" s="1"/>
  <c r="AD66" i="13"/>
  <c r="AF66" i="13" s="1"/>
  <c r="AD49" i="13"/>
  <c r="AF49" i="13" s="1"/>
  <c r="AD26" i="13"/>
  <c r="AF26" i="13" s="1"/>
  <c r="AD56" i="13"/>
  <c r="AF56" i="13" s="1"/>
  <c r="AD77" i="13"/>
  <c r="AF77" i="13" s="1"/>
  <c r="AD50" i="13"/>
  <c r="AF50" i="13" s="1"/>
  <c r="AD53" i="13"/>
  <c r="AF53" i="13" s="1"/>
  <c r="AD69" i="13"/>
  <c r="AF69" i="13" s="1"/>
  <c r="AD71" i="13"/>
  <c r="AF71" i="13" s="1"/>
  <c r="AD87" i="13"/>
  <c r="AF87" i="13" s="1"/>
  <c r="AD83" i="13"/>
  <c r="AF83" i="13" s="1"/>
  <c r="AD57" i="13"/>
  <c r="AF57" i="13" s="1"/>
  <c r="AD89" i="13"/>
  <c r="AF89" i="13" s="1"/>
  <c r="AD85" i="13"/>
  <c r="AF85" i="13" s="1"/>
  <c r="AV16" i="13"/>
  <c r="I180" i="13"/>
  <c r="I181" i="13" s="1"/>
  <c r="M143" i="13"/>
  <c r="J246" i="13" s="1"/>
  <c r="K246" i="13" s="1"/>
  <c r="M124" i="13"/>
  <c r="J227" i="13" s="1"/>
  <c r="L227" i="13" s="1"/>
  <c r="M153" i="13"/>
  <c r="J256" i="13" s="1"/>
  <c r="L256" i="13" s="1"/>
  <c r="M149" i="13"/>
  <c r="J252" i="13" s="1"/>
  <c r="K252" i="13" s="1"/>
  <c r="M134" i="13"/>
  <c r="J237" i="13" s="1"/>
  <c r="K237" i="13" s="1"/>
  <c r="M127" i="13"/>
  <c r="J230" i="13" s="1"/>
  <c r="K230" i="13" s="1"/>
  <c r="M175" i="13"/>
  <c r="J278" i="13" s="1"/>
  <c r="K278" i="13" s="1"/>
  <c r="M108" i="13"/>
  <c r="J211" i="13" s="1"/>
  <c r="K211" i="13" s="1"/>
  <c r="M119" i="13"/>
  <c r="J222" i="13" s="1"/>
  <c r="K222" i="13" s="1"/>
  <c r="M146" i="13"/>
  <c r="J249" i="13" s="1"/>
  <c r="K249" i="13" s="1"/>
  <c r="M133" i="13"/>
  <c r="J236" i="13" s="1"/>
  <c r="L236" i="13" s="1"/>
  <c r="M155" i="13"/>
  <c r="J258" i="13" s="1"/>
  <c r="K258" i="13" s="1"/>
  <c r="M113" i="13"/>
  <c r="J216" i="13" s="1"/>
  <c r="K216" i="13" s="1"/>
  <c r="M152" i="13"/>
  <c r="J255" i="13" s="1"/>
  <c r="K255" i="13" s="1"/>
  <c r="M171" i="13"/>
  <c r="J274" i="13" s="1"/>
  <c r="K274" i="13" s="1"/>
  <c r="BL16" i="13"/>
  <c r="M135" i="13"/>
  <c r="J238" i="13" s="1"/>
  <c r="K238" i="13" s="1"/>
  <c r="M142" i="13"/>
  <c r="J245" i="13" s="1"/>
  <c r="K245" i="13" s="1"/>
  <c r="M115" i="13"/>
  <c r="J218" i="13" s="1"/>
  <c r="K218" i="13" s="1"/>
  <c r="M154" i="13"/>
  <c r="J257" i="13" s="1"/>
  <c r="L257" i="13" s="1"/>
  <c r="M168" i="13"/>
  <c r="J271" i="13" s="1"/>
  <c r="K271" i="13" s="1"/>
  <c r="M109" i="13"/>
  <c r="J212" i="13" s="1"/>
  <c r="L212" i="13" s="1"/>
  <c r="M132" i="13"/>
  <c r="J235" i="13" s="1"/>
  <c r="L235" i="13" s="1"/>
  <c r="M144" i="13"/>
  <c r="J247" i="13" s="1"/>
  <c r="K247" i="13" s="1"/>
  <c r="M116" i="13"/>
  <c r="J219" i="13" s="1"/>
  <c r="K219" i="13" s="1"/>
  <c r="M114" i="13"/>
  <c r="J217" i="13" s="1"/>
  <c r="K217" i="13" s="1"/>
  <c r="M157" i="13"/>
  <c r="J260" i="13" s="1"/>
  <c r="L260" i="13" s="1"/>
  <c r="M163" i="13"/>
  <c r="J266" i="13" s="1"/>
  <c r="K266" i="13" s="1"/>
  <c r="M167" i="13"/>
  <c r="J270" i="13" s="1"/>
  <c r="K270" i="13" s="1"/>
  <c r="M164" i="13"/>
  <c r="J267" i="13" s="1"/>
  <c r="L267" i="13" s="1"/>
  <c r="M159" i="13"/>
  <c r="J262" i="13" s="1"/>
  <c r="K262" i="13" s="1"/>
  <c r="M176" i="13"/>
  <c r="J279" i="13" s="1"/>
  <c r="L279" i="13" s="1"/>
  <c r="M110" i="13"/>
  <c r="J213" i="13" s="1"/>
  <c r="K213" i="13" s="1"/>
  <c r="M117" i="13"/>
  <c r="J220" i="13" s="1"/>
  <c r="L220" i="13" s="1"/>
  <c r="M150" i="13"/>
  <c r="J253" i="13" s="1"/>
  <c r="K253" i="13" s="1"/>
  <c r="M174" i="13"/>
  <c r="J277" i="13" s="1"/>
  <c r="L277" i="13" s="1"/>
  <c r="M172" i="13"/>
  <c r="J275" i="13" s="1"/>
  <c r="L275" i="13" s="1"/>
  <c r="M138" i="13"/>
  <c r="J241" i="13" s="1"/>
  <c r="L241" i="13" s="1"/>
  <c r="M173" i="13"/>
  <c r="J276" i="13" s="1"/>
  <c r="L276" i="13" s="1"/>
  <c r="M147" i="13"/>
  <c r="J250" i="13" s="1"/>
  <c r="L250" i="13" s="1"/>
  <c r="M158" i="13"/>
  <c r="J261" i="13" s="1"/>
  <c r="L261" i="13" s="1"/>
  <c r="M123" i="13"/>
  <c r="J226" i="13" s="1"/>
  <c r="K226" i="13" s="1"/>
  <c r="M118" i="13"/>
  <c r="J221" i="13" s="1"/>
  <c r="L221" i="13" s="1"/>
  <c r="M128" i="13"/>
  <c r="J231" i="13" s="1"/>
  <c r="K231" i="13" s="1"/>
  <c r="M156" i="13"/>
  <c r="J259" i="13" s="1"/>
  <c r="L259" i="13" s="1"/>
  <c r="M145" i="13"/>
  <c r="J248" i="13" s="1"/>
  <c r="K248" i="13" s="1"/>
  <c r="M169" i="13"/>
  <c r="J272" i="13" s="1"/>
  <c r="L272" i="13" s="1"/>
  <c r="M166" i="13"/>
  <c r="J269" i="13" s="1"/>
  <c r="K269" i="13" s="1"/>
  <c r="M161" i="13"/>
  <c r="J264" i="13" s="1"/>
  <c r="K264" i="13" s="1"/>
  <c r="M148" i="13"/>
  <c r="J251" i="13" s="1"/>
  <c r="L251" i="13" s="1"/>
  <c r="M122" i="13"/>
  <c r="J225" i="13" s="1"/>
  <c r="L225" i="13" s="1"/>
  <c r="M126" i="13"/>
  <c r="J229" i="13" s="1"/>
  <c r="L229" i="13" s="1"/>
  <c r="M111" i="13"/>
  <c r="J214" i="13" s="1"/>
  <c r="K214" i="13" s="1"/>
  <c r="M177" i="13"/>
  <c r="J280" i="13" s="1"/>
  <c r="K280" i="13" s="1"/>
  <c r="M137" i="13"/>
  <c r="J240" i="13" s="1"/>
  <c r="L240" i="13" s="1"/>
  <c r="M139" i="13"/>
  <c r="J242" i="13" s="1"/>
  <c r="L242" i="13" s="1"/>
  <c r="M140" i="13"/>
  <c r="J243" i="13" s="1"/>
  <c r="L243" i="13" s="1"/>
  <c r="M165" i="13"/>
  <c r="J268" i="13" s="1"/>
  <c r="L268" i="13" s="1"/>
  <c r="M136" i="13"/>
  <c r="J239" i="13" s="1"/>
  <c r="K239" i="13" s="1"/>
  <c r="M130" i="13"/>
  <c r="J233" i="13" s="1"/>
  <c r="L233" i="13" s="1"/>
  <c r="M112" i="13"/>
  <c r="J215" i="13" s="1"/>
  <c r="K215" i="13" s="1"/>
  <c r="M121" i="13"/>
  <c r="J224" i="13" s="1"/>
  <c r="L224" i="13" s="1"/>
  <c r="M170" i="13"/>
  <c r="J273" i="13" s="1"/>
  <c r="L273" i="13" s="1"/>
  <c r="M151" i="13"/>
  <c r="J254" i="13" s="1"/>
  <c r="L254" i="13" s="1"/>
  <c r="M160" i="13"/>
  <c r="J263" i="13" s="1"/>
  <c r="K263" i="13" s="1"/>
  <c r="M162" i="13"/>
  <c r="J265" i="13" s="1"/>
  <c r="L265" i="13" s="1"/>
  <c r="M141" i="13"/>
  <c r="J244" i="13" s="1"/>
  <c r="K244" i="13" s="1"/>
  <c r="M131" i="13"/>
  <c r="J234" i="13" s="1"/>
  <c r="K234" i="13" s="1"/>
  <c r="M125" i="13"/>
  <c r="J228" i="13" s="1"/>
  <c r="L228" i="13" s="1"/>
  <c r="M120" i="13"/>
  <c r="J223" i="13" s="1"/>
  <c r="K223" i="13" s="1"/>
  <c r="K232" i="13"/>
  <c r="L232" i="13"/>
  <c r="N14" i="5"/>
  <c r="O14" i="5" s="1"/>
  <c r="Q20" i="5"/>
  <c r="Q17" i="5"/>
  <c r="Q16" i="5"/>
  <c r="P16" i="5"/>
  <c r="N16" i="5"/>
  <c r="O16" i="5" s="1"/>
  <c r="Q15" i="5"/>
  <c r="P15" i="5"/>
  <c r="N15" i="5"/>
  <c r="O15" i="5" s="1"/>
  <c r="M15" i="5"/>
  <c r="M18" i="5" s="1"/>
  <c r="I17" i="5"/>
  <c r="J17" i="5"/>
  <c r="H17" i="5"/>
  <c r="Q14" i="5"/>
  <c r="P14" i="5"/>
  <c r="L47" i="3"/>
  <c r="L46" i="3"/>
  <c r="L36" i="3"/>
  <c r="H25" i="3"/>
  <c r="H26" i="3"/>
  <c r="H15" i="3"/>
  <c r="H16" i="3"/>
  <c r="H17" i="3"/>
  <c r="H27" i="3" s="1"/>
  <c r="H14" i="3"/>
  <c r="H24" i="3" s="1"/>
  <c r="P20" i="5" s="1"/>
  <c r="I15" i="3"/>
  <c r="L15" i="3" s="1"/>
  <c r="I16" i="3"/>
  <c r="L16" i="3" s="1"/>
  <c r="I17" i="3"/>
  <c r="I27" i="3" s="1"/>
  <c r="I14" i="3"/>
  <c r="I24" i="3" s="1"/>
  <c r="N20" i="5" s="1"/>
  <c r="O20" i="5" s="1"/>
  <c r="J17" i="3"/>
  <c r="M16" i="5"/>
  <c r="M19" i="5" s="1"/>
  <c r="M21" i="5" s="1"/>
  <c r="M14" i="5"/>
  <c r="I20" i="5"/>
  <c r="J20" i="5"/>
  <c r="H20" i="5"/>
  <c r="D46" i="3"/>
  <c r="E46" i="3" s="1"/>
  <c r="D47" i="3"/>
  <c r="D48" i="3"/>
  <c r="D45" i="3"/>
  <c r="E45" i="3" s="1"/>
  <c r="D36" i="3"/>
  <c r="E36" i="3" s="1"/>
  <c r="D37" i="3"/>
  <c r="D38" i="3"/>
  <c r="E38" i="3" s="1"/>
  <c r="F38" i="3" s="1"/>
  <c r="K38" i="3" s="1"/>
  <c r="D35" i="3"/>
  <c r="E35" i="3" s="1"/>
  <c r="E48" i="3"/>
  <c r="J48" i="3" s="1"/>
  <c r="E47" i="3"/>
  <c r="E37" i="3"/>
  <c r="Q37" i="3" s="1"/>
  <c r="F27" i="3"/>
  <c r="G27" i="3" s="1"/>
  <c r="E27" i="3"/>
  <c r="Q27" i="3" s="1"/>
  <c r="E26" i="3"/>
  <c r="F25" i="3"/>
  <c r="G25" i="3" s="1"/>
  <c r="E25" i="3"/>
  <c r="E24" i="3"/>
  <c r="F24" i="3" s="1"/>
  <c r="E17" i="3"/>
  <c r="F17" i="3" s="1"/>
  <c r="G17" i="3" s="1"/>
  <c r="E16" i="3"/>
  <c r="E15" i="3"/>
  <c r="E14" i="3"/>
  <c r="F14" i="3" s="1"/>
  <c r="J10" i="4"/>
  <c r="J9" i="4"/>
  <c r="J8" i="4"/>
  <c r="J6" i="4"/>
  <c r="J7" i="4"/>
  <c r="E8" i="3"/>
  <c r="F8" i="3" s="1"/>
  <c r="K8" i="3" s="1"/>
  <c r="E7" i="3"/>
  <c r="E6" i="3"/>
  <c r="E5" i="3"/>
  <c r="F5" i="3" s="1"/>
  <c r="Q21" i="1"/>
  <c r="F14" i="1" s="1"/>
  <c r="L218" i="13" l="1"/>
  <c r="Y132" i="13"/>
  <c r="AB132" i="13" s="1"/>
  <c r="AS54" i="13" a="1"/>
  <c r="AS54" i="13" s="1"/>
  <c r="Y133" i="13"/>
  <c r="AB133" i="13" s="1"/>
  <c r="Y127" i="13"/>
  <c r="AD127" i="13" s="1"/>
  <c r="AF127" i="13" s="1"/>
  <c r="Y125" i="13"/>
  <c r="AC125" i="13" s="1"/>
  <c r="Y164" i="13"/>
  <c r="AD164" i="13" s="1"/>
  <c r="AF164" i="13" s="1"/>
  <c r="Y176" i="13"/>
  <c r="AD176" i="13" s="1"/>
  <c r="AF176" i="13" s="1"/>
  <c r="Y138" i="13"/>
  <c r="AD138" i="13" s="1"/>
  <c r="AF138" i="13" s="1"/>
  <c r="Y126" i="13"/>
  <c r="AC126" i="13" s="1"/>
  <c r="Y172" i="13"/>
  <c r="AC172" i="13" s="1"/>
  <c r="AS57" i="13" a="1"/>
  <c r="AS57" i="13" s="1"/>
  <c r="AU57" i="13" s="1"/>
  <c r="Y139" i="13"/>
  <c r="AB139" i="13" s="1"/>
  <c r="Y111" i="13"/>
  <c r="AD111" i="13" s="1"/>
  <c r="AF111" i="13" s="1"/>
  <c r="Y153" i="13"/>
  <c r="AB153" i="13" s="1"/>
  <c r="Y148" i="13"/>
  <c r="AB148" i="13" s="1"/>
  <c r="Y146" i="13"/>
  <c r="AD146" i="13" s="1"/>
  <c r="AF146" i="13" s="1"/>
  <c r="Y135" i="13"/>
  <c r="AD135" i="13" s="1"/>
  <c r="AF135" i="13" s="1"/>
  <c r="AS33" i="13" a="1"/>
  <c r="AS33" i="13" s="1"/>
  <c r="AU33" i="13" s="1"/>
  <c r="Y177" i="13"/>
  <c r="AD177" i="13" s="1"/>
  <c r="Y154" i="13"/>
  <c r="AB154" i="13" s="1"/>
  <c r="Y142" i="13"/>
  <c r="AD142" i="13" s="1"/>
  <c r="Y162" i="13"/>
  <c r="AC162" i="13" s="1"/>
  <c r="Y140" i="13"/>
  <c r="AB140" i="13" s="1"/>
  <c r="Y169" i="13"/>
  <c r="AC169" i="13" s="1"/>
  <c r="Y166" i="13"/>
  <c r="AD166" i="13" s="1"/>
  <c r="AF166" i="13" s="1"/>
  <c r="Y144" i="13"/>
  <c r="AB144" i="13" s="1"/>
  <c r="F16" i="1"/>
  <c r="F18" i="1" s="1"/>
  <c r="I14" i="1"/>
  <c r="G14" i="1"/>
  <c r="G16" i="1" s="1"/>
  <c r="G18" i="1" s="1"/>
  <c r="F24" i="1"/>
  <c r="F26" i="1" s="1"/>
  <c r="H14" i="1"/>
  <c r="H16" i="1" s="1"/>
  <c r="H18" i="1" s="1"/>
  <c r="L27" i="3"/>
  <c r="J27" i="3"/>
  <c r="Q26" i="3"/>
  <c r="I26" i="3"/>
  <c r="L26" i="3" s="1"/>
  <c r="N17" i="5"/>
  <c r="O17" i="5" s="1"/>
  <c r="Y110" i="13"/>
  <c r="AB110" i="13" s="1"/>
  <c r="Y159" i="13"/>
  <c r="AC159" i="13" s="1"/>
  <c r="L28" i="9"/>
  <c r="M28" i="9"/>
  <c r="M70" i="9"/>
  <c r="L70" i="9"/>
  <c r="M20" i="9"/>
  <c r="L20" i="9"/>
  <c r="J25" i="3"/>
  <c r="J26" i="3"/>
  <c r="I25" i="3"/>
  <c r="P17" i="5"/>
  <c r="Y109" i="13"/>
  <c r="AD109" i="13" s="1"/>
  <c r="Y163" i="13"/>
  <c r="AC163" i="13" s="1"/>
  <c r="Y123" i="13"/>
  <c r="AC123" i="13" s="1"/>
  <c r="Y129" i="13"/>
  <c r="AC129" i="13" s="1"/>
  <c r="Y118" i="13"/>
  <c r="AC118" i="13" s="1"/>
  <c r="Y134" i="13"/>
  <c r="AB134" i="13" s="1"/>
  <c r="Y131" i="13"/>
  <c r="AC131" i="13" s="1"/>
  <c r="Y174" i="13"/>
  <c r="L34" i="9"/>
  <c r="M34" i="9"/>
  <c r="M76" i="9"/>
  <c r="L76" i="9"/>
  <c r="M79" i="9"/>
  <c r="L79" i="9"/>
  <c r="M43" i="9"/>
  <c r="L43" i="9"/>
  <c r="M24" i="9"/>
  <c r="L24" i="9"/>
  <c r="L60" i="9"/>
  <c r="M60" i="9"/>
  <c r="L78" i="9"/>
  <c r="M78" i="9"/>
  <c r="L26" i="9"/>
  <c r="M26" i="9"/>
  <c r="M44" i="9"/>
  <c r="L44" i="9"/>
  <c r="L62" i="9"/>
  <c r="M62" i="9"/>
  <c r="M80" i="9"/>
  <c r="L80" i="9"/>
  <c r="L23" i="9"/>
  <c r="M23" i="9"/>
  <c r="M59" i="9"/>
  <c r="L59" i="9"/>
  <c r="L61" i="9"/>
  <c r="M61" i="9"/>
  <c r="M27" i="9"/>
  <c r="L27" i="9"/>
  <c r="M45" i="9"/>
  <c r="L45" i="9"/>
  <c r="L63" i="9"/>
  <c r="M63" i="9"/>
  <c r="L81" i="9"/>
  <c r="M81" i="9"/>
  <c r="L29" i="9"/>
  <c r="M29" i="9"/>
  <c r="M65" i="9"/>
  <c r="L65" i="9"/>
  <c r="M31" i="9"/>
  <c r="L31" i="9"/>
  <c r="M58" i="9"/>
  <c r="L58" i="9"/>
  <c r="L42" i="9"/>
  <c r="M42" i="9"/>
  <c r="K25" i="3"/>
  <c r="Y152" i="13"/>
  <c r="AD152" i="13" s="1"/>
  <c r="AF152" i="13" s="1"/>
  <c r="AB127" i="13"/>
  <c r="Y112" i="13"/>
  <c r="AD112" i="13" s="1"/>
  <c r="AF112" i="13" s="1"/>
  <c r="Y157" i="13"/>
  <c r="AC157" i="13" s="1"/>
  <c r="Y114" i="13"/>
  <c r="AD114" i="13" s="1"/>
  <c r="AF114" i="13" s="1"/>
  <c r="Y158" i="13"/>
  <c r="AB158" i="13" s="1"/>
  <c r="L46" i="9"/>
  <c r="M46" i="9"/>
  <c r="L19" i="9"/>
  <c r="M19" i="9"/>
  <c r="M67" i="9"/>
  <c r="L67" i="9"/>
  <c r="M30" i="9"/>
  <c r="L30" i="9"/>
  <c r="L66" i="9"/>
  <c r="M66" i="9"/>
  <c r="M32" i="9"/>
  <c r="L32" i="9"/>
  <c r="L50" i="9"/>
  <c r="M50" i="9"/>
  <c r="L68" i="9"/>
  <c r="M68" i="9"/>
  <c r="L35" i="9"/>
  <c r="M35" i="9"/>
  <c r="M71" i="9"/>
  <c r="L71" i="9"/>
  <c r="L25" i="9"/>
  <c r="M25" i="9"/>
  <c r="L33" i="9"/>
  <c r="M33" i="9"/>
  <c r="L51" i="9"/>
  <c r="M51" i="9"/>
  <c r="L69" i="9"/>
  <c r="M69" i="9"/>
  <c r="M40" i="9"/>
  <c r="L40" i="9"/>
  <c r="L41" i="9"/>
  <c r="M41" i="9"/>
  <c r="L49" i="9"/>
  <c r="M49" i="9"/>
  <c r="L22" i="9"/>
  <c r="M22" i="9"/>
  <c r="M64" i="9"/>
  <c r="L64" i="9"/>
  <c r="M48" i="9"/>
  <c r="L48" i="9"/>
  <c r="Y141" i="13"/>
  <c r="AD141" i="13" s="1"/>
  <c r="AF141" i="13" s="1"/>
  <c r="Y168" i="13"/>
  <c r="AC168" i="13" s="1"/>
  <c r="Y137" i="13"/>
  <c r="AC137" i="13" s="1"/>
  <c r="Y149" i="13"/>
  <c r="AB149" i="13" s="1"/>
  <c r="Y116" i="13"/>
  <c r="AC116" i="13" s="1"/>
  <c r="Y165" i="13"/>
  <c r="AC165" i="13" s="1"/>
  <c r="Y156" i="13"/>
  <c r="AD156" i="13" s="1"/>
  <c r="AF156" i="13" s="1"/>
  <c r="AD132" i="13"/>
  <c r="Y108" i="13"/>
  <c r="AC108" i="13" s="1"/>
  <c r="L52" i="9"/>
  <c r="M52" i="9"/>
  <c r="M55" i="9"/>
  <c r="L55" i="9"/>
  <c r="M77" i="9"/>
  <c r="L77" i="9"/>
  <c r="M36" i="9"/>
  <c r="L36" i="9"/>
  <c r="M54" i="9"/>
  <c r="L54" i="9"/>
  <c r="M72" i="9"/>
  <c r="L72" i="9"/>
  <c r="M38" i="9"/>
  <c r="L38" i="9"/>
  <c r="M56" i="9"/>
  <c r="L56" i="9"/>
  <c r="L74" i="9"/>
  <c r="M74" i="9"/>
  <c r="M47" i="9"/>
  <c r="L47" i="9"/>
  <c r="L37" i="9"/>
  <c r="M37" i="9"/>
  <c r="L21" i="9"/>
  <c r="M21" i="9"/>
  <c r="M39" i="9"/>
  <c r="L39" i="9"/>
  <c r="M57" i="9"/>
  <c r="L57" i="9"/>
  <c r="M75" i="9"/>
  <c r="L75" i="9"/>
  <c r="L53" i="9"/>
  <c r="M53" i="9"/>
  <c r="L73" i="9"/>
  <c r="M73" i="9"/>
  <c r="Y130" i="13"/>
  <c r="AD130" i="13" s="1"/>
  <c r="AF130" i="13" s="1"/>
  <c r="Y175" i="13"/>
  <c r="AD175" i="13" s="1"/>
  <c r="Y113" i="13"/>
  <c r="AC113" i="13" s="1"/>
  <c r="Y151" i="13"/>
  <c r="AC151" i="13" s="1"/>
  <c r="Y128" i="13"/>
  <c r="AC128" i="13" s="1"/>
  <c r="Y121" i="13"/>
  <c r="Y145" i="13"/>
  <c r="AB145" i="13" s="1"/>
  <c r="Y173" i="13"/>
  <c r="AC173" i="13" s="1"/>
  <c r="L246" i="13"/>
  <c r="Y136" i="13"/>
  <c r="AC136" i="13" s="1"/>
  <c r="Y160" i="13"/>
  <c r="Y150" i="13"/>
  <c r="AC150" i="13" s="1"/>
  <c r="Y155" i="13"/>
  <c r="AC155" i="13" s="1"/>
  <c r="Y171" i="13"/>
  <c r="Y167" i="13"/>
  <c r="AC167" i="13" s="1"/>
  <c r="Y124" i="13"/>
  <c r="AC124" i="13" s="1"/>
  <c r="Y115" i="13"/>
  <c r="AD115" i="13" s="1"/>
  <c r="AF115" i="13" s="1"/>
  <c r="Y120" i="13"/>
  <c r="AD120" i="13" s="1"/>
  <c r="AF120" i="13" s="1"/>
  <c r="Y122" i="13"/>
  <c r="Y170" i="13"/>
  <c r="AB170" i="13" s="1"/>
  <c r="Y147" i="13"/>
  <c r="AC147" i="13" s="1"/>
  <c r="Y143" i="13"/>
  <c r="AD143" i="13" s="1"/>
  <c r="Y161" i="13"/>
  <c r="AD161" i="13" s="1"/>
  <c r="AC127" i="13"/>
  <c r="L239" i="13"/>
  <c r="L253" i="13"/>
  <c r="L255" i="13"/>
  <c r="AS58" i="13" a="1"/>
  <c r="AS58" i="13" s="1"/>
  <c r="AT58" i="13" s="1"/>
  <c r="AS55" i="13" a="1"/>
  <c r="AS55" i="13" s="1"/>
  <c r="AT55" i="13" s="1"/>
  <c r="L278" i="13"/>
  <c r="I283" i="13"/>
  <c r="I284" i="13" s="1"/>
  <c r="L211" i="13"/>
  <c r="L270" i="13"/>
  <c r="AS51" i="13" a="1"/>
  <c r="AS51" i="13" s="1"/>
  <c r="AU51" i="13" s="1"/>
  <c r="K259" i="13"/>
  <c r="K224" i="13"/>
  <c r="K241" i="13"/>
  <c r="L252" i="13"/>
  <c r="AS53" i="13" a="1"/>
  <c r="AS53" i="13" s="1"/>
  <c r="AU53" i="13" s="1"/>
  <c r="AC132" i="13"/>
  <c r="K236" i="13"/>
  <c r="K256" i="13"/>
  <c r="L222" i="13"/>
  <c r="AS52" i="13" a="1"/>
  <c r="AS52" i="13" s="1"/>
  <c r="AT52" i="13" s="1"/>
  <c r="L258" i="13"/>
  <c r="L274" i="13"/>
  <c r="L215" i="13"/>
  <c r="K227" i="13"/>
  <c r="K275" i="13"/>
  <c r="L230" i="13"/>
  <c r="L245" i="13"/>
  <c r="L271" i="13"/>
  <c r="K228" i="13"/>
  <c r="L217" i="13"/>
  <c r="L249" i="13"/>
  <c r="L214" i="13"/>
  <c r="L216" i="13"/>
  <c r="L237" i="13"/>
  <c r="K225" i="13"/>
  <c r="Y117" i="13"/>
  <c r="Y119" i="13"/>
  <c r="AD119" i="13" s="1"/>
  <c r="AS56" i="13" a="1"/>
  <c r="AS56" i="13" s="1"/>
  <c r="L264" i="13"/>
  <c r="L219" i="13"/>
  <c r="K240" i="13"/>
  <c r="K243" i="13"/>
  <c r="L238" i="13"/>
  <c r="K221" i="13"/>
  <c r="L263" i="13"/>
  <c r="K260" i="13"/>
  <c r="K233" i="13"/>
  <c r="L231" i="13"/>
  <c r="K277" i="13"/>
  <c r="L266" i="13"/>
  <c r="K257" i="13"/>
  <c r="L223" i="13"/>
  <c r="K229" i="13"/>
  <c r="K276" i="13"/>
  <c r="K235" i="13"/>
  <c r="K279" i="13"/>
  <c r="L262" i="13"/>
  <c r="K212" i="13"/>
  <c r="K250" i="13"/>
  <c r="K272" i="13"/>
  <c r="K242" i="13"/>
  <c r="K254" i="13"/>
  <c r="L234" i="13"/>
  <c r="L269" i="13"/>
  <c r="K261" i="13"/>
  <c r="K267" i="13"/>
  <c r="L280" i="13"/>
  <c r="L248" i="13"/>
  <c r="L247" i="13"/>
  <c r="L213" i="13"/>
  <c r="L244" i="13"/>
  <c r="K220" i="13"/>
  <c r="L226" i="13"/>
  <c r="K251" i="13"/>
  <c r="K265" i="13"/>
  <c r="K273" i="13"/>
  <c r="K268" i="13"/>
  <c r="AT54" i="13"/>
  <c r="AU54" i="13"/>
  <c r="R16" i="5"/>
  <c r="R20" i="5"/>
  <c r="J25" i="5" s="1"/>
  <c r="R14" i="5"/>
  <c r="R17" i="5"/>
  <c r="I25" i="5" s="1"/>
  <c r="R15" i="5"/>
  <c r="Q48" i="3"/>
  <c r="L48" i="3"/>
  <c r="N48" i="3" s="1"/>
  <c r="Q47" i="3"/>
  <c r="L38" i="3"/>
  <c r="J38" i="3"/>
  <c r="Q38" i="3"/>
  <c r="L37" i="3"/>
  <c r="Q8" i="3"/>
  <c r="L6" i="3"/>
  <c r="L7" i="3"/>
  <c r="J16" i="3"/>
  <c r="Q17" i="3"/>
  <c r="L17" i="3"/>
  <c r="N17" i="3" s="1"/>
  <c r="J15" i="3"/>
  <c r="N15" i="3" s="1"/>
  <c r="J46" i="3"/>
  <c r="Q46" i="3"/>
  <c r="F46" i="3"/>
  <c r="F48" i="3"/>
  <c r="G48" i="3" s="1"/>
  <c r="J47" i="3"/>
  <c r="N47" i="3" s="1"/>
  <c r="J36" i="3"/>
  <c r="Q36" i="3"/>
  <c r="F36" i="3"/>
  <c r="J37" i="3"/>
  <c r="F45" i="3"/>
  <c r="K48" i="3"/>
  <c r="F47" i="3"/>
  <c r="M48" i="3"/>
  <c r="N36" i="3"/>
  <c r="G38" i="3"/>
  <c r="F35" i="3"/>
  <c r="F37" i="3"/>
  <c r="K24" i="3"/>
  <c r="G24" i="3"/>
  <c r="L24" i="3" s="1"/>
  <c r="M25" i="3"/>
  <c r="N27" i="3"/>
  <c r="K27" i="3"/>
  <c r="N26" i="3"/>
  <c r="F26" i="3"/>
  <c r="M27" i="3"/>
  <c r="G14" i="3"/>
  <c r="L14" i="3" s="1"/>
  <c r="K14" i="3"/>
  <c r="N16" i="3"/>
  <c r="Q15" i="3"/>
  <c r="K17" i="3"/>
  <c r="M17" i="3" s="1"/>
  <c r="F15" i="3"/>
  <c r="F16" i="3"/>
  <c r="Q16" i="3"/>
  <c r="J8" i="3"/>
  <c r="M8" i="3" s="1"/>
  <c r="Q6" i="3"/>
  <c r="Q7" i="3"/>
  <c r="L8" i="3"/>
  <c r="G5" i="3"/>
  <c r="K5" i="3"/>
  <c r="F7" i="3"/>
  <c r="G8" i="3"/>
  <c r="F6" i="3"/>
  <c r="J7" i="3"/>
  <c r="J6" i="3"/>
  <c r="J14" i="1"/>
  <c r="G24" i="1"/>
  <c r="G26" i="1" s="1"/>
  <c r="F22" i="1"/>
  <c r="F20" i="1"/>
  <c r="G20" i="1"/>
  <c r="G22" i="1"/>
  <c r="H20" i="1"/>
  <c r="H22" i="1"/>
  <c r="H24" i="1"/>
  <c r="G28" i="1"/>
  <c r="F28" i="1" l="1"/>
  <c r="AC133" i="13"/>
  <c r="AD133" i="13"/>
  <c r="AF133" i="13" s="1"/>
  <c r="AC164" i="13"/>
  <c r="AB164" i="13"/>
  <c r="AC138" i="13"/>
  <c r="AB138" i="13"/>
  <c r="AS140" i="13" s="1" a="1"/>
  <c r="AS140" i="13" s="1"/>
  <c r="AT140" i="13" s="1"/>
  <c r="AD125" i="13"/>
  <c r="AF125" i="13" s="1"/>
  <c r="AB125" i="13"/>
  <c r="AC176" i="13"/>
  <c r="AB176" i="13"/>
  <c r="AD126" i="13"/>
  <c r="AF126" i="13" s="1"/>
  <c r="AB126" i="13"/>
  <c r="AD172" i="13"/>
  <c r="AF172" i="13" s="1"/>
  <c r="AB172" i="13"/>
  <c r="AT57" i="13"/>
  <c r="AC153" i="13"/>
  <c r="AC111" i="13"/>
  <c r="AC110" i="13"/>
  <c r="AB142" i="13"/>
  <c r="AS142" i="13" s="1" a="1"/>
  <c r="AS142" i="13" s="1"/>
  <c r="AT142" i="13" s="1"/>
  <c r="AB111" i="13"/>
  <c r="AD139" i="13"/>
  <c r="AF139" i="13" s="1"/>
  <c r="AC139" i="13"/>
  <c r="AD153" i="13"/>
  <c r="AF153" i="13" s="1"/>
  <c r="AC140" i="13"/>
  <c r="AC152" i="13"/>
  <c r="AB156" i="13"/>
  <c r="AD148" i="13"/>
  <c r="AF148" i="13" s="1"/>
  <c r="AC148" i="13"/>
  <c r="AB152" i="13"/>
  <c r="AC166" i="13"/>
  <c r="AB135" i="13"/>
  <c r="AT33" i="13"/>
  <c r="AD144" i="13"/>
  <c r="AF144" i="13" s="1"/>
  <c r="AC144" i="13"/>
  <c r="AC109" i="13"/>
  <c r="AB146" i="13"/>
  <c r="AS144" i="13" s="1" a="1"/>
  <c r="AS144" i="13" s="1"/>
  <c r="AC146" i="13"/>
  <c r="AD169" i="13"/>
  <c r="AF169" i="13" s="1"/>
  <c r="AB166" i="13"/>
  <c r="AC142" i="13"/>
  <c r="AC141" i="13"/>
  <c r="AB109" i="13"/>
  <c r="AB151" i="13"/>
  <c r="AB177" i="13"/>
  <c r="AC135" i="13"/>
  <c r="AC177" i="13"/>
  <c r="AC115" i="13"/>
  <c r="AB150" i="13"/>
  <c r="AB120" i="13"/>
  <c r="AC154" i="13"/>
  <c r="AD154" i="13"/>
  <c r="AF154" i="13" s="1"/>
  <c r="AD140" i="13"/>
  <c r="AF140" i="13" s="1"/>
  <c r="AC114" i="13"/>
  <c r="AB114" i="13"/>
  <c r="AC156" i="13"/>
  <c r="AC130" i="13"/>
  <c r="AB129" i="13"/>
  <c r="AB143" i="13"/>
  <c r="AC112" i="13"/>
  <c r="AB141" i="13"/>
  <c r="AB112" i="13"/>
  <c r="AB130" i="13"/>
  <c r="AB169" i="13"/>
  <c r="AB162" i="13"/>
  <c r="AC149" i="13"/>
  <c r="AD162" i="13"/>
  <c r="AF162" i="13" s="1"/>
  <c r="AC120" i="13"/>
  <c r="N37" i="3"/>
  <c r="N38" i="3"/>
  <c r="AD150" i="13"/>
  <c r="AF150" i="13" s="1"/>
  <c r="AB173" i="13"/>
  <c r="AD173" i="13"/>
  <c r="AF173" i="13" s="1"/>
  <c r="AD151" i="13"/>
  <c r="AF151" i="13" s="1"/>
  <c r="AD149" i="13"/>
  <c r="AF149" i="13" s="1"/>
  <c r="AB168" i="13"/>
  <c r="AD168" i="13"/>
  <c r="AF168" i="13" s="1"/>
  <c r="AC134" i="13"/>
  <c r="AD134" i="13"/>
  <c r="AF134" i="13" s="1"/>
  <c r="AB163" i="13"/>
  <c r="AD163" i="13"/>
  <c r="AF163" i="13" s="1"/>
  <c r="AB159" i="13"/>
  <c r="AD159" i="13"/>
  <c r="AF159" i="13" s="1"/>
  <c r="AD160" i="13"/>
  <c r="AF160" i="13" s="1"/>
  <c r="AC145" i="13"/>
  <c r="AD145" i="13"/>
  <c r="AF145" i="13" s="1"/>
  <c r="AB113" i="13"/>
  <c r="AD113" i="13"/>
  <c r="AF113" i="13" s="1"/>
  <c r="AC158" i="13"/>
  <c r="AD158" i="13"/>
  <c r="AF158" i="13" s="1"/>
  <c r="AB118" i="13"/>
  <c r="AD118" i="13"/>
  <c r="AF118" i="13" s="1"/>
  <c r="AD110" i="13"/>
  <c r="AF110" i="13" s="1"/>
  <c r="AB147" i="13"/>
  <c r="AD147" i="13"/>
  <c r="AF147" i="13" s="1"/>
  <c r="AD124" i="13"/>
  <c r="AF124" i="13" s="1"/>
  <c r="AB121" i="13"/>
  <c r="AD121" i="13"/>
  <c r="AF121" i="13" s="1"/>
  <c r="AB108" i="13"/>
  <c r="AD108" i="13"/>
  <c r="AF108" i="13" s="1"/>
  <c r="M82" i="9"/>
  <c r="AD129" i="13"/>
  <c r="AF129" i="13" s="1"/>
  <c r="AB115" i="13"/>
  <c r="AB124" i="13"/>
  <c r="AB175" i="13"/>
  <c r="AC170" i="13"/>
  <c r="AD170" i="13"/>
  <c r="AF170" i="13" s="1"/>
  <c r="AB167" i="13"/>
  <c r="AD167" i="13"/>
  <c r="AF167" i="13" s="1"/>
  <c r="AB136" i="13"/>
  <c r="AS139" i="13" s="1" a="1"/>
  <c r="AS139" i="13" s="1"/>
  <c r="AT139" i="13" s="1"/>
  <c r="AD136" i="13"/>
  <c r="AF136" i="13" s="1"/>
  <c r="AB137" i="13"/>
  <c r="AD137" i="13"/>
  <c r="AF137" i="13" s="1"/>
  <c r="L82" i="9"/>
  <c r="AB157" i="13"/>
  <c r="AD157" i="13"/>
  <c r="AF157" i="13" s="1"/>
  <c r="AB123" i="13"/>
  <c r="AD123" i="13"/>
  <c r="AF123" i="13" s="1"/>
  <c r="Q25" i="3"/>
  <c r="L25" i="3"/>
  <c r="N25" i="3" s="1"/>
  <c r="AB171" i="13"/>
  <c r="AD171" i="13"/>
  <c r="AF171" i="13" s="1"/>
  <c r="AB128" i="13"/>
  <c r="AD128" i="13"/>
  <c r="AF128" i="13" s="1"/>
  <c r="AB165" i="13"/>
  <c r="AD165" i="13"/>
  <c r="AF165" i="13" s="1"/>
  <c r="AB174" i="13"/>
  <c r="AD174" i="13"/>
  <c r="AF174" i="13" s="1"/>
  <c r="AC174" i="13"/>
  <c r="I24" i="1"/>
  <c r="I16" i="1"/>
  <c r="I18" i="1" s="1"/>
  <c r="AB117" i="13"/>
  <c r="AD117" i="13"/>
  <c r="AF117" i="13" s="1"/>
  <c r="AB122" i="13"/>
  <c r="AD122" i="13"/>
  <c r="AF122" i="13" s="1"/>
  <c r="AD155" i="13"/>
  <c r="AF155" i="13" s="1"/>
  <c r="AB116" i="13"/>
  <c r="AD116" i="13"/>
  <c r="AF116" i="13" s="1"/>
  <c r="AB131" i="13"/>
  <c r="AD131" i="13"/>
  <c r="AF131" i="13" s="1"/>
  <c r="AC160" i="13"/>
  <c r="AB160" i="13"/>
  <c r="AC121" i="13"/>
  <c r="AF175" i="13"/>
  <c r="AC175" i="13"/>
  <c r="AC122" i="13"/>
  <c r="AB155" i="13"/>
  <c r="AS141" i="13" a="1"/>
  <c r="AS141" i="13" s="1"/>
  <c r="AU141" i="13" s="1"/>
  <c r="AS143" i="13" a="1"/>
  <c r="AS143" i="13" s="1"/>
  <c r="AU143" i="13" s="1"/>
  <c r="AC171" i="13"/>
  <c r="AS138" i="13" a="1"/>
  <c r="AS138" i="13" s="1"/>
  <c r="AT138" i="13" s="1"/>
  <c r="AB161" i="13"/>
  <c r="AC161" i="13"/>
  <c r="AF161" i="13"/>
  <c r="AF142" i="13"/>
  <c r="AC143" i="13"/>
  <c r="AF143" i="13"/>
  <c r="AS119" i="13" a="1"/>
  <c r="AS119" i="13" s="1"/>
  <c r="AT119" i="13" s="1"/>
  <c r="AF109" i="13"/>
  <c r="AS137" i="13" a="1"/>
  <c r="AS137" i="13" s="1"/>
  <c r="AT137" i="13" s="1"/>
  <c r="AF132" i="13"/>
  <c r="AU58" i="13"/>
  <c r="AT51" i="13"/>
  <c r="AU55" i="13"/>
  <c r="AC117" i="13"/>
  <c r="AT53" i="13"/>
  <c r="AU52" i="13"/>
  <c r="AT56" i="13"/>
  <c r="AU56" i="13"/>
  <c r="AB119" i="13"/>
  <c r="AC119" i="13"/>
  <c r="AF119" i="13"/>
  <c r="H25" i="5"/>
  <c r="H28" i="5" s="1"/>
  <c r="M38" i="3"/>
  <c r="N8" i="3"/>
  <c r="N46" i="3"/>
  <c r="G46" i="3"/>
  <c r="K46" i="3"/>
  <c r="M46" i="3" s="1"/>
  <c r="G36" i="3"/>
  <c r="K36" i="3"/>
  <c r="M36" i="3" s="1"/>
  <c r="K45" i="3"/>
  <c r="G45" i="3"/>
  <c r="G47" i="3"/>
  <c r="K47" i="3"/>
  <c r="M47" i="3" s="1"/>
  <c r="G37" i="3"/>
  <c r="K37" i="3"/>
  <c r="M37" i="3" s="1"/>
  <c r="K35" i="3"/>
  <c r="G35" i="3"/>
  <c r="G26" i="3"/>
  <c r="K26" i="3"/>
  <c r="M26" i="3" s="1"/>
  <c r="J24" i="3"/>
  <c r="Q24" i="3"/>
  <c r="J14" i="3"/>
  <c r="G16" i="3"/>
  <c r="K16" i="3"/>
  <c r="M16" i="3" s="1"/>
  <c r="K15" i="3"/>
  <c r="M15" i="3" s="1"/>
  <c r="G15" i="3"/>
  <c r="Q14" i="3"/>
  <c r="N6" i="3"/>
  <c r="K7" i="3"/>
  <c r="M7" i="3" s="1"/>
  <c r="G7" i="3"/>
  <c r="L5" i="3"/>
  <c r="Q5" i="3"/>
  <c r="J5" i="3"/>
  <c r="N7" i="3"/>
  <c r="G6" i="3"/>
  <c r="K6" i="3"/>
  <c r="M6" i="3" s="1"/>
  <c r="G29" i="1"/>
  <c r="G30" i="1" s="1"/>
  <c r="J24" i="1"/>
  <c r="J16" i="1"/>
  <c r="J18" i="1" s="1"/>
  <c r="F29" i="1"/>
  <c r="H28" i="1"/>
  <c r="H29" i="1" s="1"/>
  <c r="H26" i="1"/>
  <c r="G38" i="1" l="1"/>
  <c r="G40" i="1" s="1"/>
  <c r="G42" i="1" s="1"/>
  <c r="G31" i="1"/>
  <c r="AU140" i="13"/>
  <c r="F83" i="9"/>
  <c r="N46" i="9" s="1"/>
  <c r="AT144" i="13"/>
  <c r="AU144" i="13"/>
  <c r="AT141" i="13"/>
  <c r="AA178" i="13"/>
  <c r="AU139" i="13"/>
  <c r="I20" i="1"/>
  <c r="I22" i="1"/>
  <c r="I28" i="1"/>
  <c r="I29" i="1" s="1"/>
  <c r="I30" i="1" s="1"/>
  <c r="I26" i="1"/>
  <c r="AU119" i="13"/>
  <c r="AU142" i="13"/>
  <c r="AT143" i="13"/>
  <c r="AU137" i="13"/>
  <c r="AU138" i="13"/>
  <c r="AT59" i="13"/>
  <c r="AB178" i="13"/>
  <c r="AU59" i="13"/>
  <c r="L45" i="3"/>
  <c r="J45" i="3"/>
  <c r="Q45" i="3"/>
  <c r="L35" i="3"/>
  <c r="J35" i="3"/>
  <c r="Q35" i="3"/>
  <c r="N24" i="3"/>
  <c r="M24" i="3"/>
  <c r="N14" i="3"/>
  <c r="M14" i="3"/>
  <c r="N5" i="3"/>
  <c r="M5" i="3"/>
  <c r="J20" i="1"/>
  <c r="J22" i="1"/>
  <c r="J26" i="1"/>
  <c r="J28" i="1"/>
  <c r="F30" i="1"/>
  <c r="H30" i="1"/>
  <c r="H38" i="1" l="1"/>
  <c r="H40" i="1" s="1"/>
  <c r="H42" i="1" s="1"/>
  <c r="H31" i="1"/>
  <c r="I38" i="1"/>
  <c r="I40" i="1" s="1"/>
  <c r="I42" i="1" s="1"/>
  <c r="I31" i="1"/>
  <c r="F38" i="1"/>
  <c r="F40" i="1" s="1"/>
  <c r="F42" i="1" s="1"/>
  <c r="F31" i="1"/>
  <c r="N30" i="9"/>
  <c r="N54" i="9"/>
  <c r="S24" i="9" s="1"/>
  <c r="N55" i="9"/>
  <c r="S25" i="9" s="1"/>
  <c r="N31" i="9"/>
  <c r="N49" i="9"/>
  <c r="N34" i="9"/>
  <c r="N79" i="9"/>
  <c r="N62" i="9"/>
  <c r="S32" i="9" s="1"/>
  <c r="N21" i="9"/>
  <c r="N78" i="9"/>
  <c r="N59" i="9"/>
  <c r="S29" i="9" s="1"/>
  <c r="N35" i="9"/>
  <c r="N60" i="9"/>
  <c r="S30" i="9" s="1"/>
  <c r="N28" i="9"/>
  <c r="N75" i="9"/>
  <c r="N24" i="9"/>
  <c r="N27" i="9"/>
  <c r="N25" i="9"/>
  <c r="N20" i="9"/>
  <c r="N76" i="9"/>
  <c r="N81" i="9"/>
  <c r="N69" i="9"/>
  <c r="N74" i="9"/>
  <c r="N57" i="9"/>
  <c r="S27" i="9" s="1"/>
  <c r="N44" i="9"/>
  <c r="N66" i="9"/>
  <c r="S36" i="9" s="1"/>
  <c r="N70" i="9"/>
  <c r="N73" i="9"/>
  <c r="N23" i="9"/>
  <c r="N68" i="9"/>
  <c r="S38" i="9" s="1"/>
  <c r="N36" i="9"/>
  <c r="N56" i="9"/>
  <c r="S26" i="9" s="1"/>
  <c r="N43" i="9"/>
  <c r="N67" i="9"/>
  <c r="S37" i="9" s="1"/>
  <c r="N51" i="9"/>
  <c r="S21" i="9" s="1"/>
  <c r="N65" i="9"/>
  <c r="S35" i="9" s="1"/>
  <c r="N71" i="9"/>
  <c r="N72" i="9"/>
  <c r="N58" i="9"/>
  <c r="S28" i="9" s="1"/>
  <c r="N63" i="9"/>
  <c r="S33" i="9" s="1"/>
  <c r="N50" i="9"/>
  <c r="S20" i="9" s="1"/>
  <c r="N33" i="9"/>
  <c r="N22" i="9"/>
  <c r="N41" i="9"/>
  <c r="N37" i="9"/>
  <c r="N19" i="9"/>
  <c r="N77" i="9"/>
  <c r="N39" i="9"/>
  <c r="N61" i="9"/>
  <c r="S31" i="9" s="1"/>
  <c r="N48" i="9"/>
  <c r="N52" i="9"/>
  <c r="S22" i="9" s="1"/>
  <c r="N53" i="9"/>
  <c r="S23" i="9" s="1"/>
  <c r="N80" i="9"/>
  <c r="N64" i="9"/>
  <c r="S34" i="9" s="1"/>
  <c r="N32" i="9"/>
  <c r="N38" i="9"/>
  <c r="N26" i="9"/>
  <c r="N29" i="9"/>
  <c r="N40" i="9"/>
  <c r="N47" i="9"/>
  <c r="N42" i="9"/>
  <c r="N45" i="9"/>
  <c r="X179" i="13"/>
  <c r="X180" i="13" s="1"/>
  <c r="X181" i="13" s="1"/>
  <c r="AN60" i="13"/>
  <c r="AV46" i="13" s="1"/>
  <c r="AN132" i="13" s="1"/>
  <c r="AS132" i="13" s="1"/>
  <c r="AU132" i="13" s="1"/>
  <c r="J29" i="1"/>
  <c r="J30" i="1" s="1"/>
  <c r="N45" i="3"/>
  <c r="M45" i="3"/>
  <c r="N35" i="3"/>
  <c r="M35" i="3"/>
  <c r="J38" i="1" l="1"/>
  <c r="J40" i="1" s="1"/>
  <c r="J42" i="1" s="1"/>
  <c r="E10" i="2" s="1"/>
  <c r="J31" i="1"/>
  <c r="AV30" i="13"/>
  <c r="AN116" i="13" s="1"/>
  <c r="AS116" i="13" s="1"/>
  <c r="AV27" i="13"/>
  <c r="BI47" i="13" s="1" a="1"/>
  <c r="BI47" i="13" s="1"/>
  <c r="BJ47" i="13" s="1"/>
  <c r="AV47" i="13"/>
  <c r="AN133" i="13" s="1"/>
  <c r="AS133" i="13" s="1"/>
  <c r="AT133" i="13" s="1"/>
  <c r="AV33" i="13"/>
  <c r="AN119" i="13" s="1"/>
  <c r="AV23" i="13"/>
  <c r="AN109" i="13" s="1"/>
  <c r="AS109" i="13" s="1"/>
  <c r="AU109" i="13" s="1"/>
  <c r="AV57" i="13"/>
  <c r="AN143" i="13" s="1"/>
  <c r="AV26" i="13"/>
  <c r="BI46" i="13" s="1" a="1"/>
  <c r="BI46" i="13" s="1"/>
  <c r="BK46" i="13" s="1"/>
  <c r="AV48" i="13"/>
  <c r="AN134" i="13" s="1"/>
  <c r="AS134" i="13" s="1"/>
  <c r="AU134" i="13" s="1"/>
  <c r="AV44" i="13"/>
  <c r="AN130" i="13" s="1"/>
  <c r="AS130" i="13" s="1"/>
  <c r="AU130" i="13" s="1"/>
  <c r="AV25" i="13"/>
  <c r="AN111" i="13" s="1"/>
  <c r="AS111" i="13" s="1"/>
  <c r="AV56" i="13"/>
  <c r="AN142" i="13" s="1"/>
  <c r="AV58" i="13"/>
  <c r="AN144" i="13" s="1"/>
  <c r="AV22" i="13"/>
  <c r="AV55" i="13"/>
  <c r="AN141" i="13" s="1"/>
  <c r="AV37" i="13"/>
  <c r="AN123" i="13" s="1"/>
  <c r="AS123" i="13" s="1"/>
  <c r="AU123" i="13" s="1"/>
  <c r="AV50" i="13"/>
  <c r="AN136" i="13" s="1"/>
  <c r="AS136" i="13" s="1"/>
  <c r="AV31" i="13"/>
  <c r="BI51" i="13" s="1" a="1"/>
  <c r="BI51" i="13" s="1"/>
  <c r="BK51" i="13" s="1"/>
  <c r="AV32" i="13"/>
  <c r="BI52" i="13" s="1" a="1"/>
  <c r="BI52" i="13" s="1"/>
  <c r="BK52" i="13" s="1"/>
  <c r="AV41" i="13"/>
  <c r="AN127" i="13" s="1"/>
  <c r="AS127" i="13" s="1"/>
  <c r="AV34" i="13"/>
  <c r="AN120" i="13" s="1"/>
  <c r="AS120" i="13" s="1"/>
  <c r="AU120" i="13" s="1"/>
  <c r="AV38" i="13"/>
  <c r="AN124" i="13" s="1"/>
  <c r="AS124" i="13" s="1"/>
  <c r="AU124" i="13" s="1"/>
  <c r="AV36" i="13"/>
  <c r="AN122" i="13" s="1"/>
  <c r="AS122" i="13" s="1"/>
  <c r="AU122" i="13" s="1"/>
  <c r="AV24" i="13"/>
  <c r="BI44" i="13" s="1" a="1"/>
  <c r="BI44" i="13" s="1"/>
  <c r="AV53" i="13"/>
  <c r="AN139" i="13" s="1"/>
  <c r="AV52" i="13"/>
  <c r="AN138" i="13" s="1"/>
  <c r="AV54" i="13"/>
  <c r="AN140" i="13" s="1"/>
  <c r="AV29" i="13"/>
  <c r="AN115" i="13" s="1"/>
  <c r="AS115" i="13" s="1"/>
  <c r="AV43" i="13"/>
  <c r="AN129" i="13" s="1"/>
  <c r="AS129" i="13" s="1"/>
  <c r="AU129" i="13" s="1"/>
  <c r="AV39" i="13"/>
  <c r="AN125" i="13" s="1"/>
  <c r="AS125" i="13" s="1"/>
  <c r="AU125" i="13" s="1"/>
  <c r="AV28" i="13"/>
  <c r="AV42" i="13"/>
  <c r="AN128" i="13" s="1"/>
  <c r="AS128" i="13" s="1"/>
  <c r="AU128" i="13" s="1"/>
  <c r="AT132" i="13"/>
  <c r="AV40" i="13"/>
  <c r="AN126" i="13" s="1"/>
  <c r="AS126" i="13" s="1"/>
  <c r="AU126" i="13" s="1"/>
  <c r="AV35" i="13"/>
  <c r="AN121" i="13" s="1"/>
  <c r="AS121" i="13" s="1"/>
  <c r="AV51" i="13"/>
  <c r="AN137" i="13" s="1"/>
  <c r="AV45" i="13"/>
  <c r="AN131" i="13" s="1"/>
  <c r="AS131" i="13" s="1"/>
  <c r="AV49" i="13"/>
  <c r="AN135" i="13" s="1"/>
  <c r="AS135" i="13" s="1"/>
  <c r="M10" i="2" l="1"/>
  <c r="M13" i="2" s="1"/>
  <c r="G11" i="2"/>
  <c r="I11" i="2" s="1"/>
  <c r="I13" i="2" s="1"/>
  <c r="E23" i="12"/>
  <c r="E25" i="12" s="1"/>
  <c r="E26" i="12"/>
  <c r="E27" i="12" s="1"/>
  <c r="BI49" i="13" a="1"/>
  <c r="BI49" i="13" s="1"/>
  <c r="BJ49" i="13" s="1"/>
  <c r="AN113" i="13"/>
  <c r="AS113" i="13" s="1"/>
  <c r="AT113" i="13" s="1"/>
  <c r="AN112" i="13"/>
  <c r="AS112" i="13" s="1"/>
  <c r="AT112" i="13" s="1"/>
  <c r="AU133" i="13"/>
  <c r="BK47" i="13"/>
  <c r="AN118" i="13"/>
  <c r="AS118" i="13" s="1"/>
  <c r="AT118" i="13" s="1"/>
  <c r="BI45" i="13" a="1"/>
  <c r="BI45" i="13" s="1"/>
  <c r="BJ45" i="13" s="1"/>
  <c r="AN117" i="13"/>
  <c r="AS117" i="13" s="1"/>
  <c r="AU117" i="13" s="1"/>
  <c r="AT122" i="13"/>
  <c r="BI50" i="13" a="1"/>
  <c r="BI50" i="13" s="1"/>
  <c r="BJ50" i="13" s="1"/>
  <c r="AT130" i="13"/>
  <c r="AT109" i="13"/>
  <c r="BJ52" i="13"/>
  <c r="AT124" i="13"/>
  <c r="AN110" i="13"/>
  <c r="AS110" i="13" s="1"/>
  <c r="AU110" i="13" s="1"/>
  <c r="BJ46" i="13"/>
  <c r="AT126" i="13"/>
  <c r="AT123" i="13"/>
  <c r="AT134" i="13"/>
  <c r="BJ51" i="13"/>
  <c r="AT127" i="13"/>
  <c r="AU127" i="13"/>
  <c r="AT125" i="13"/>
  <c r="AU136" i="13"/>
  <c r="AT136" i="13"/>
  <c r="AT120" i="13"/>
  <c r="AT129" i="13"/>
  <c r="AT128" i="13"/>
  <c r="BI48" i="13" a="1"/>
  <c r="BI48" i="13" s="1"/>
  <c r="AN114" i="13"/>
  <c r="AS114" i="13" s="1"/>
  <c r="AN108" i="13"/>
  <c r="AS108" i="13" s="1"/>
  <c r="BI23" i="13" a="1"/>
  <c r="BI23" i="13" s="1"/>
  <c r="AU121" i="13"/>
  <c r="AT121" i="13"/>
  <c r="AU135" i="13"/>
  <c r="AT135" i="13"/>
  <c r="AT131" i="13"/>
  <c r="AU131" i="13"/>
  <c r="BK44" i="13"/>
  <c r="BJ44" i="13"/>
  <c r="AU115" i="13"/>
  <c r="AT115" i="13"/>
  <c r="AU111" i="13"/>
  <c r="AT111" i="13"/>
  <c r="AU116" i="13"/>
  <c r="AT116" i="13"/>
  <c r="J11" i="2" l="1"/>
  <c r="K11" i="2" s="1"/>
  <c r="L11" i="2" s="1"/>
  <c r="L13" i="2" s="1"/>
  <c r="BK49" i="13"/>
  <c r="AU113" i="13"/>
  <c r="AU112" i="13"/>
  <c r="BK45" i="13"/>
  <c r="AU118" i="13"/>
  <c r="AT117" i="13"/>
  <c r="BK50" i="13"/>
  <c r="AT110" i="13"/>
  <c r="AT114" i="13"/>
  <c r="AU114" i="13"/>
  <c r="BJ23" i="13"/>
  <c r="BK23" i="13"/>
  <c r="AU108" i="13"/>
  <c r="AT108" i="13"/>
  <c r="BJ48" i="13"/>
  <c r="BK48" i="13"/>
  <c r="K13" i="2" l="1"/>
  <c r="AU145" i="13"/>
  <c r="AT145" i="13"/>
  <c r="BJ74" i="13"/>
  <c r="BK74" i="13"/>
  <c r="AN146" i="13" l="1"/>
  <c r="AV112" i="13" s="1"/>
  <c r="BD75" i="13"/>
  <c r="BL66" i="13" s="1"/>
  <c r="BL30" i="13" l="1"/>
  <c r="BY51" i="13" s="1" a="1"/>
  <c r="BY51" i="13" s="1"/>
  <c r="CA51" i="13" s="1"/>
  <c r="BL70" i="13"/>
  <c r="BL22" i="13"/>
  <c r="BY35" i="13" s="1" a="1"/>
  <c r="BY35" i="13" s="1"/>
  <c r="CA35" i="13" s="1"/>
  <c r="AV125" i="13"/>
  <c r="BL58" i="13"/>
  <c r="BL53" i="13"/>
  <c r="AV116" i="13"/>
  <c r="BL47" i="13"/>
  <c r="BL43" i="13"/>
  <c r="BL35" i="13"/>
  <c r="BY56" i="13" s="1" a="1"/>
  <c r="BY56" i="13" s="1"/>
  <c r="CA56" i="13" s="1"/>
  <c r="BL61" i="13"/>
  <c r="BL55" i="13"/>
  <c r="BL60" i="13"/>
  <c r="AV133" i="13"/>
  <c r="AV134" i="13"/>
  <c r="AV137" i="13"/>
  <c r="AV132" i="13"/>
  <c r="AV143" i="13"/>
  <c r="AV142" i="13"/>
  <c r="AV122" i="13"/>
  <c r="BL59" i="13"/>
  <c r="BL23" i="13"/>
  <c r="BL25" i="13"/>
  <c r="BY46" i="13" s="1" a="1"/>
  <c r="BY46" i="13" s="1"/>
  <c r="CA46" i="13" s="1"/>
  <c r="BL49" i="13"/>
  <c r="AV120" i="13"/>
  <c r="AV136" i="13"/>
  <c r="AV141" i="13"/>
  <c r="BL68" i="13"/>
  <c r="BL28" i="13"/>
  <c r="BY49" i="13" s="1" a="1"/>
  <c r="BY49" i="13" s="1"/>
  <c r="BZ49" i="13" s="1"/>
  <c r="BL34" i="13"/>
  <c r="BY55" i="13" s="1" a="1"/>
  <c r="BY55" i="13" s="1"/>
  <c r="CA55" i="13" s="1"/>
  <c r="BL57" i="13"/>
  <c r="AV138" i="13"/>
  <c r="BL31" i="13"/>
  <c r="BY52" i="13" s="1" a="1"/>
  <c r="BY52" i="13" s="1"/>
  <c r="CA52" i="13" s="1"/>
  <c r="AV121" i="13"/>
  <c r="AN147" i="13"/>
  <c r="AN148" i="13" s="1"/>
  <c r="BL44" i="13"/>
  <c r="AV130" i="13"/>
  <c r="BL45" i="13"/>
  <c r="BL69" i="13"/>
  <c r="BL46" i="13"/>
  <c r="BL73" i="13"/>
  <c r="BL32" i="13"/>
  <c r="BY53" i="13" s="1" a="1"/>
  <c r="BY53" i="13" s="1"/>
  <c r="CA53" i="13" s="1"/>
  <c r="AV139" i="13"/>
  <c r="AV128" i="13"/>
  <c r="AV129" i="13"/>
  <c r="BL62" i="13"/>
  <c r="BL42" i="13"/>
  <c r="BL64" i="13"/>
  <c r="AV110" i="13"/>
  <c r="AV108" i="13"/>
  <c r="AV114" i="13"/>
  <c r="AV135" i="13"/>
  <c r="AV111" i="13"/>
  <c r="BL29" i="13"/>
  <c r="BY50" i="13" s="1" a="1"/>
  <c r="BY50" i="13" s="1"/>
  <c r="BZ50" i="13" s="1"/>
  <c r="BL27" i="13"/>
  <c r="BY48" i="13" s="1" a="1"/>
  <c r="BY48" i="13" s="1"/>
  <c r="BZ48" i="13" s="1"/>
  <c r="BL39" i="13"/>
  <c r="BY60" i="13" s="1" a="1"/>
  <c r="BY60" i="13" s="1"/>
  <c r="CA60" i="13" s="1"/>
  <c r="BL72" i="13"/>
  <c r="BL40" i="13"/>
  <c r="BY61" i="13" s="1" a="1"/>
  <c r="BY61" i="13" s="1"/>
  <c r="BZ61" i="13" s="1"/>
  <c r="AV127" i="13"/>
  <c r="AV113" i="13"/>
  <c r="AV144" i="13"/>
  <c r="AV126" i="13"/>
  <c r="AV117" i="13"/>
  <c r="AV118" i="13"/>
  <c r="AV131" i="13"/>
  <c r="AV109" i="13"/>
  <c r="AV115" i="13"/>
  <c r="AV124" i="13"/>
  <c r="AV119" i="13"/>
  <c r="AV140" i="13"/>
  <c r="AV123" i="13"/>
  <c r="BL52" i="13"/>
  <c r="BL24" i="13"/>
  <c r="BY45" i="13" s="1" a="1"/>
  <c r="BY45" i="13" s="1"/>
  <c r="BZ45" i="13" s="1"/>
  <c r="BL37" i="13"/>
  <c r="BY58" i="13" s="1" a="1"/>
  <c r="BY58" i="13" s="1"/>
  <c r="CA58" i="13" s="1"/>
  <c r="BL71" i="13"/>
  <c r="BL54" i="13"/>
  <c r="BL65" i="13"/>
  <c r="BL56" i="13"/>
  <c r="BL63" i="13"/>
  <c r="BL38" i="13"/>
  <c r="BY59" i="13" s="1" a="1"/>
  <c r="BY59" i="13" s="1"/>
  <c r="BL50" i="13"/>
  <c r="BL41" i="13"/>
  <c r="BL36" i="13"/>
  <c r="BY57" i="13" s="1" a="1"/>
  <c r="BY57" i="13" s="1"/>
  <c r="CA57" i="13" s="1"/>
  <c r="BL26" i="13"/>
  <c r="BY47" i="13" s="1" a="1"/>
  <c r="BY47" i="13" s="1"/>
  <c r="BZ47" i="13" s="1"/>
  <c r="BL51" i="13"/>
  <c r="BL67" i="13"/>
  <c r="BL48" i="13"/>
  <c r="BL33" i="13"/>
  <c r="BY54" i="13" s="1" a="1"/>
  <c r="BY54" i="13" s="1"/>
  <c r="BZ35" i="13" l="1"/>
  <c r="BZ51" i="13"/>
  <c r="BZ56" i="13"/>
  <c r="BZ57" i="13"/>
  <c r="CA49" i="13"/>
  <c r="CA48" i="13"/>
  <c r="BZ60" i="13"/>
  <c r="BZ46" i="13"/>
  <c r="BZ53" i="13"/>
  <c r="CA50" i="13"/>
  <c r="CA61" i="13"/>
  <c r="BZ52" i="13"/>
  <c r="BZ55" i="13"/>
  <c r="CA47" i="13"/>
  <c r="CA45" i="13"/>
  <c r="BZ58" i="13"/>
  <c r="CA54" i="13"/>
  <c r="BZ54" i="13"/>
  <c r="BZ59" i="13"/>
  <c r="CA59" i="13"/>
  <c r="BZ63" i="13" l="1"/>
  <c r="CA63" i="13"/>
  <c r="BT64" i="13" l="1"/>
  <c r="CB44" i="13" s="1"/>
  <c r="CB48" i="13" l="1"/>
  <c r="CB60" i="13"/>
  <c r="CB25" i="13"/>
  <c r="CO43" i="13" s="1" a="1"/>
  <c r="CO43" i="13" s="1"/>
  <c r="DH16" i="13"/>
  <c r="CB51" i="13"/>
  <c r="CB29" i="13"/>
  <c r="CO47" i="13" s="1" a="1"/>
  <c r="CO47" i="13" s="1"/>
  <c r="CP47" i="13" s="1"/>
  <c r="CB42" i="13"/>
  <c r="CB41" i="13"/>
  <c r="DE54" i="13" s="1" a="1"/>
  <c r="DE54" i="13" s="1"/>
  <c r="DF54" i="13" s="1"/>
  <c r="CB43" i="13"/>
  <c r="CB39" i="13"/>
  <c r="DE52" i="13" s="1" a="1"/>
  <c r="DE52" i="13" s="1"/>
  <c r="DF52" i="13" s="1"/>
  <c r="CB61" i="13"/>
  <c r="CB35" i="13"/>
  <c r="DE48" i="13" s="1" a="1"/>
  <c r="DE48" i="13" s="1"/>
  <c r="DG48" i="13" s="1"/>
  <c r="CB26" i="13"/>
  <c r="CO44" i="13" s="1" a="1"/>
  <c r="CO44" i="13" s="1"/>
  <c r="CQ44" i="13" s="1"/>
  <c r="CB50" i="13"/>
  <c r="CB54" i="13"/>
  <c r="CB33" i="13"/>
  <c r="CB53" i="13"/>
  <c r="CB30" i="13"/>
  <c r="CO48" i="13" s="1" a="1"/>
  <c r="CO48" i="13" s="1"/>
  <c r="CB16" i="13"/>
  <c r="CB55" i="13"/>
  <c r="CB28" i="13"/>
  <c r="CB62" i="13"/>
  <c r="CB56" i="13"/>
  <c r="CB34" i="13"/>
  <c r="CO52" i="13" s="1" a="1"/>
  <c r="CO52" i="13" s="1"/>
  <c r="CQ52" i="13" s="1"/>
  <c r="CB31" i="13"/>
  <c r="CO49" i="13" s="1" a="1"/>
  <c r="CO49" i="13" s="1"/>
  <c r="CP49" i="13" s="1"/>
  <c r="CB52" i="13"/>
  <c r="CB38" i="13"/>
  <c r="DE51" i="13" s="1" a="1"/>
  <c r="DE51" i="13" s="1"/>
  <c r="DH51" i="13" s="1"/>
  <c r="CR16" i="13"/>
  <c r="CB59" i="13"/>
  <c r="CB47" i="13"/>
  <c r="CB36" i="13"/>
  <c r="DE49" i="13" s="1" a="1"/>
  <c r="DE49" i="13" s="1"/>
  <c r="DF49" i="13" s="1"/>
  <c r="CB49" i="13"/>
  <c r="CB32" i="13"/>
  <c r="CO50" i="13" s="1" a="1"/>
  <c r="CO50" i="13" s="1"/>
  <c r="CB23" i="13"/>
  <c r="DE26" i="13" s="1" a="1"/>
  <c r="DE26" i="13" s="1"/>
  <c r="DF26" i="13" s="1"/>
  <c r="CB46" i="13"/>
  <c r="CB24" i="13"/>
  <c r="CO42" i="13" s="1" a="1"/>
  <c r="CO42" i="13" s="1"/>
  <c r="CP42" i="13" s="1"/>
  <c r="CB40" i="13"/>
  <c r="DE53" i="13" s="1" a="1"/>
  <c r="DE53" i="13" s="1"/>
  <c r="DH53" i="13" s="1"/>
  <c r="CB37" i="13"/>
  <c r="DE50" i="13" s="1" a="1"/>
  <c r="DE50" i="13" s="1"/>
  <c r="DF50" i="13" s="1"/>
  <c r="CB58" i="13"/>
  <c r="CB45" i="13"/>
  <c r="CB57" i="13"/>
  <c r="CB22" i="13"/>
  <c r="DE25" i="13" s="1" a="1"/>
  <c r="DE25" i="13" s="1"/>
  <c r="DF25" i="13" s="1"/>
  <c r="CB27" i="13"/>
  <c r="CO45" i="13" s="1" a="1"/>
  <c r="CO45" i="13" s="1"/>
  <c r="CQ45" i="13" s="1"/>
  <c r="DE28" i="13" l="1" a="1"/>
  <c r="DE28" i="13" s="1"/>
  <c r="DH28" i="13" s="1"/>
  <c r="DE29" i="13" a="1"/>
  <c r="DE29" i="13" s="1"/>
  <c r="DH29" i="13" s="1"/>
  <c r="CP44" i="13"/>
  <c r="DE43" i="13" a="1"/>
  <c r="DE43" i="13" s="1"/>
  <c r="DH43" i="13" s="1"/>
  <c r="DF48" i="13"/>
  <c r="DF53" i="13"/>
  <c r="DF51" i="13"/>
  <c r="DE47" i="13" a="1"/>
  <c r="DE47" i="13" s="1"/>
  <c r="DG47" i="13" s="1"/>
  <c r="DG54" i="13"/>
  <c r="CP45" i="13"/>
  <c r="DG49" i="13"/>
  <c r="DG51" i="13"/>
  <c r="DG52" i="13"/>
  <c r="CQ49" i="13"/>
  <c r="CQ42" i="13"/>
  <c r="DG26" i="13"/>
  <c r="DH54" i="13"/>
  <c r="DH48" i="13"/>
  <c r="CQ47" i="13"/>
  <c r="DE27" i="13" a="1"/>
  <c r="DE27" i="13" s="1"/>
  <c r="DE42" i="13" a="1"/>
  <c r="DE42" i="13" s="1"/>
  <c r="DF42" i="13" s="1"/>
  <c r="CP52" i="13"/>
  <c r="DH52" i="13"/>
  <c r="CO51" i="13" a="1"/>
  <c r="CO51" i="13" s="1"/>
  <c r="DE46" i="13" a="1"/>
  <c r="DE46" i="13" s="1"/>
  <c r="DH25" i="13"/>
  <c r="DE45" i="13" a="1"/>
  <c r="DE45" i="13" s="1"/>
  <c r="DF45" i="13" s="1"/>
  <c r="DH50" i="13"/>
  <c r="DG50" i="13"/>
  <c r="DG25" i="13"/>
  <c r="DE41" i="13" a="1"/>
  <c r="DE41" i="13" s="1"/>
  <c r="CO46" i="13" a="1"/>
  <c r="CO46" i="13" s="1"/>
  <c r="DG53" i="13"/>
  <c r="DE44" i="13" a="1"/>
  <c r="DE44" i="13" s="1"/>
  <c r="DH44" i="13" s="1"/>
  <c r="DH49" i="13"/>
  <c r="DH26" i="13"/>
  <c r="CP50" i="13"/>
  <c r="CQ50" i="13"/>
  <c r="CP48" i="13"/>
  <c r="CQ48" i="13"/>
  <c r="CQ43" i="13"/>
  <c r="CP43" i="13"/>
  <c r="DF28" i="13" l="1"/>
  <c r="DG28" i="13"/>
  <c r="DG29" i="13"/>
  <c r="DF29" i="13"/>
  <c r="DF43" i="13"/>
  <c r="DG43" i="13"/>
  <c r="DG45" i="13"/>
  <c r="DG42" i="13"/>
  <c r="DF47" i="13"/>
  <c r="DH47" i="13"/>
  <c r="DH42" i="13"/>
  <c r="DG44" i="13"/>
  <c r="DG27" i="13"/>
  <c r="DH27" i="13"/>
  <c r="DF27" i="13"/>
  <c r="DH45" i="13"/>
  <c r="DH46" i="13"/>
  <c r="DG46" i="13"/>
  <c r="DF46" i="13"/>
  <c r="CP46" i="13"/>
  <c r="CQ46" i="13"/>
  <c r="CQ51" i="13"/>
  <c r="CP51" i="13"/>
  <c r="DF44" i="13"/>
  <c r="DF41" i="13"/>
  <c r="DG41" i="13"/>
  <c r="DH41" i="13"/>
  <c r="CQ70" i="13" l="1"/>
  <c r="CP70" i="13"/>
  <c r="DG55" i="13"/>
  <c r="DF55" i="13"/>
  <c r="CJ71" i="13" l="1"/>
  <c r="CR38" i="13" s="1"/>
  <c r="CZ56" i="13"/>
  <c r="DH22" i="13" s="1"/>
  <c r="CR32" i="13" l="1"/>
  <c r="CR54" i="13"/>
  <c r="CR46" i="13"/>
  <c r="CR51" i="13"/>
  <c r="CR26" i="13"/>
  <c r="CR58" i="13"/>
  <c r="CR27" i="13"/>
  <c r="CR37" i="13"/>
  <c r="CR56" i="13"/>
  <c r="CR50" i="13"/>
  <c r="CR40" i="13"/>
  <c r="CR31" i="13"/>
  <c r="CR57" i="13"/>
  <c r="CR43" i="13"/>
  <c r="CR34" i="13"/>
  <c r="CR60" i="13"/>
  <c r="CR45" i="13"/>
  <c r="CR23" i="13"/>
  <c r="CR69" i="13"/>
  <c r="CR59" i="13"/>
  <c r="CR30" i="13"/>
  <c r="CR42" i="13"/>
  <c r="CR22" i="13"/>
  <c r="CR47" i="13"/>
  <c r="CR64" i="13"/>
  <c r="CR55" i="13"/>
  <c r="CR49" i="13"/>
  <c r="CR33" i="13"/>
  <c r="CR63" i="13"/>
  <c r="CR44" i="13"/>
  <c r="CR48" i="13"/>
  <c r="CR67" i="13"/>
  <c r="CR25" i="13"/>
  <c r="CR24" i="13"/>
  <c r="CR68" i="13"/>
  <c r="CR36" i="13"/>
  <c r="CR39" i="13"/>
  <c r="CR66" i="13"/>
  <c r="CR53" i="13"/>
  <c r="CR35" i="13"/>
  <c r="CR28" i="13"/>
  <c r="CR65" i="13"/>
  <c r="CR41" i="13"/>
  <c r="CR62" i="13"/>
  <c r="CR61" i="13"/>
  <c r="CR29" i="13"/>
  <c r="CR5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<sst xmlns="http://schemas.openxmlformats.org/spreadsheetml/2006/main" count="15556" uniqueCount="1461">
  <si>
    <t>Horizons</t>
  </si>
  <si>
    <t>Intitulés</t>
  </si>
  <si>
    <t>Unités</t>
  </si>
  <si>
    <t>n</t>
  </si>
  <si>
    <t>Population total</t>
  </si>
  <si>
    <t>hab.</t>
  </si>
  <si>
    <t>Taux de couverture</t>
  </si>
  <si>
    <t>%</t>
  </si>
  <si>
    <t>Population desservie</t>
  </si>
  <si>
    <t>Taux de desserte par BF</t>
  </si>
  <si>
    <t>Population desservie par BF</t>
  </si>
  <si>
    <t>Nombre de personnes desservies en moyenne pour BF</t>
  </si>
  <si>
    <t>Nombre de BF</t>
  </si>
  <si>
    <t>Consommation BF</t>
  </si>
  <si>
    <t>l/jr/hab</t>
  </si>
  <si>
    <t>Besoin en eau aux BF</t>
  </si>
  <si>
    <t>m3/jr</t>
  </si>
  <si>
    <t>Taux de desserte par BP</t>
  </si>
  <si>
    <t>Population desservie par BP</t>
  </si>
  <si>
    <t>Nombre de personnes desservies en moyenne pour BP</t>
  </si>
  <si>
    <t>Nombre de BP</t>
  </si>
  <si>
    <t>Consommation BP</t>
  </si>
  <si>
    <t>Besoin en eau aux BP</t>
  </si>
  <si>
    <t>Consomation totale / Besoin domestique</t>
  </si>
  <si>
    <t>Besoins annexes</t>
  </si>
  <si>
    <t>Besoins journalier moyens</t>
  </si>
  <si>
    <t>unités</t>
  </si>
  <si>
    <t>Coefficient de pointe journalier</t>
  </si>
  <si>
    <t>Besoins de pointe journalière</t>
  </si>
  <si>
    <t>Rendement technique du réseau</t>
  </si>
  <si>
    <t>Besoins bruts de production le jour de pointe</t>
  </si>
  <si>
    <t>QUARTIER</t>
  </si>
  <si>
    <t>Effectif</t>
  </si>
  <si>
    <t>TOGBLECOME</t>
  </si>
  <si>
    <t>KOTOKOLI ZONGO</t>
  </si>
  <si>
    <t>FIDOKPUI</t>
  </si>
  <si>
    <t>DIKAME</t>
  </si>
  <si>
    <t>ATSANVE</t>
  </si>
  <si>
    <t>AVEYIME</t>
  </si>
  <si>
    <t>BOKOR KOPE</t>
  </si>
  <si>
    <t>GUENOU KOPE</t>
  </si>
  <si>
    <t>TOTAL</t>
  </si>
  <si>
    <t>Branchement</t>
  </si>
  <si>
    <t>Consomation spécifique (l/jr/hbt)</t>
  </si>
  <si>
    <t>Besoins en eau (m3/jr)</t>
  </si>
  <si>
    <t>Taux de dessert (%)</t>
  </si>
  <si>
    <t>Besoins spécifique (m3/jr)</t>
  </si>
  <si>
    <t>Temps de fonctionnement journaliére (h)</t>
  </si>
  <si>
    <t>Qmph (m3/h)</t>
  </si>
  <si>
    <t>Cph</t>
  </si>
  <si>
    <t>Qph (m3/h)</t>
  </si>
  <si>
    <t>Besoin de production de pointe journalier en eau (l/s)</t>
  </si>
  <si>
    <t>BF</t>
  </si>
  <si>
    <t>BP</t>
  </si>
  <si>
    <t>Total</t>
  </si>
  <si>
    <t>Approches</t>
  </si>
  <si>
    <t>Qadd (m3/h)</t>
  </si>
  <si>
    <t>Qadd (m3/s)</t>
  </si>
  <si>
    <t>Dth (m)</t>
  </si>
  <si>
    <t>Dth (mm)</t>
  </si>
  <si>
    <t>DN (mm)</t>
  </si>
  <si>
    <t>Dint (mm)</t>
  </si>
  <si>
    <t>U (m/s)</t>
  </si>
  <si>
    <t>condition de Flamant</t>
  </si>
  <si>
    <t>GLS</t>
  </si>
  <si>
    <t>Vérification de flamant</t>
  </si>
  <si>
    <t>Vérification de GLS</t>
  </si>
  <si>
    <t xml:space="preserve">Longueur </t>
  </si>
  <si>
    <t>Ks</t>
  </si>
  <si>
    <t>ΔH (m)</t>
  </si>
  <si>
    <t>Bress</t>
  </si>
  <si>
    <t>Bress modifié</t>
  </si>
  <si>
    <t>Meunier</t>
  </si>
  <si>
    <t>Bdjaoui</t>
  </si>
  <si>
    <t>fid</t>
  </si>
  <si>
    <t>LENGTH</t>
  </si>
  <si>
    <t>SOURCE</t>
  </si>
  <si>
    <t>SA2</t>
  </si>
  <si>
    <t>SA1</t>
  </si>
  <si>
    <t>SA1_SA2</t>
  </si>
  <si>
    <t>SA1_SA2_SA</t>
  </si>
  <si>
    <t>SA3</t>
  </si>
  <si>
    <t>SA1_SA2_SA3</t>
  </si>
  <si>
    <t>y</t>
  </si>
  <si>
    <t>Débit (m3/h)</t>
  </si>
  <si>
    <t>Durée de Pompage (h)</t>
  </si>
  <si>
    <t>L_refoulement (m)</t>
  </si>
  <si>
    <t>X</t>
  </si>
  <si>
    <t>SA 1</t>
  </si>
  <si>
    <t>SA 2</t>
  </si>
  <si>
    <t>SA 3</t>
  </si>
  <si>
    <t>FORAGE REEL</t>
  </si>
  <si>
    <t>ND_max (m)</t>
  </si>
  <si>
    <t>Niveau Statique (m)</t>
  </si>
  <si>
    <t>Profondeur Totale (m)</t>
  </si>
  <si>
    <t>Δ Hasp+ref (m)</t>
  </si>
  <si>
    <t>D_int (mm)</t>
  </si>
  <si>
    <t>D_int (m)</t>
  </si>
  <si>
    <t>Débit (m3/s)</t>
  </si>
  <si>
    <t>Z_TN</t>
  </si>
  <si>
    <t>Z_cuve (m)</t>
  </si>
  <si>
    <t>H_geo</t>
  </si>
  <si>
    <t>TRONCONS</t>
  </si>
  <si>
    <t>SECTION (m^2)</t>
  </si>
  <si>
    <t>D_CALCULE (m)</t>
  </si>
  <si>
    <t>D_REEL (m)</t>
  </si>
  <si>
    <t>CHw</t>
  </si>
  <si>
    <t>LONGUEUR (m)</t>
  </si>
  <si>
    <t>FLOW</t>
  </si>
  <si>
    <t>133.775</t>
  </si>
  <si>
    <t>66.888</t>
  </si>
  <si>
    <t>BOUCLE 1</t>
  </si>
  <si>
    <t>NAME</t>
  </si>
  <si>
    <t>ID_MIN</t>
  </si>
  <si>
    <t>ID_MAX</t>
  </si>
  <si>
    <t>N69_N70</t>
  </si>
  <si>
    <t>N68_N69</t>
  </si>
  <si>
    <t>N67_N68</t>
  </si>
  <si>
    <t>N66_N67</t>
  </si>
  <si>
    <t>N64_N65</t>
  </si>
  <si>
    <t>N65_N66</t>
  </si>
  <si>
    <t>N63_N64</t>
  </si>
  <si>
    <t>N62_N63</t>
  </si>
  <si>
    <t>N61_N62</t>
  </si>
  <si>
    <t>N60_N61</t>
  </si>
  <si>
    <t>N59_N60</t>
  </si>
  <si>
    <t>N58_N59</t>
  </si>
  <si>
    <t>N57_N58</t>
  </si>
  <si>
    <t>N56_N57</t>
  </si>
  <si>
    <t>N55_N56</t>
  </si>
  <si>
    <t>N54_N55</t>
  </si>
  <si>
    <t>N38_N70</t>
  </si>
  <si>
    <t>N37_N38</t>
  </si>
  <si>
    <t>N36_N37</t>
  </si>
  <si>
    <t>N34_N35</t>
  </si>
  <si>
    <t>N35_N36</t>
  </si>
  <si>
    <t>N33_N34</t>
  </si>
  <si>
    <t>N32_N33</t>
  </si>
  <si>
    <t>N31_N32</t>
  </si>
  <si>
    <t>N30_N31</t>
  </si>
  <si>
    <t>N29_N30</t>
  </si>
  <si>
    <t>N28_N29</t>
  </si>
  <si>
    <t>N26_N27</t>
  </si>
  <si>
    <t>N27_N28</t>
  </si>
  <si>
    <t>N25_N26</t>
  </si>
  <si>
    <t>N24_N25</t>
  </si>
  <si>
    <t>N23_N24</t>
  </si>
  <si>
    <t>N22_N23</t>
  </si>
  <si>
    <t>N21_N22</t>
  </si>
  <si>
    <t>N20_N21</t>
  </si>
  <si>
    <t>N19_N20</t>
  </si>
  <si>
    <t>N18_N19</t>
  </si>
  <si>
    <t>N17_N18</t>
  </si>
  <si>
    <t>N16_N17</t>
  </si>
  <si>
    <t>N15_N16</t>
  </si>
  <si>
    <t>N14_N15</t>
  </si>
  <si>
    <t>N13_N14</t>
  </si>
  <si>
    <t>N12_N13</t>
  </si>
  <si>
    <t>N53_N54</t>
  </si>
  <si>
    <t>N52_N53</t>
  </si>
  <si>
    <t>N51_N52</t>
  </si>
  <si>
    <t>N50_N51</t>
  </si>
  <si>
    <t>N49_N50</t>
  </si>
  <si>
    <t>N48_N49</t>
  </si>
  <si>
    <t>N47_N48</t>
  </si>
  <si>
    <t>N46_N47</t>
  </si>
  <si>
    <t>N45_N46</t>
  </si>
  <si>
    <t>N44_N45</t>
  </si>
  <si>
    <t>N43_N44</t>
  </si>
  <si>
    <t>N42_N43</t>
  </si>
  <si>
    <t>N40_N41</t>
  </si>
  <si>
    <t>N41_N42</t>
  </si>
  <si>
    <t>N39_N40</t>
  </si>
  <si>
    <t>N8_N39</t>
  </si>
  <si>
    <t>N8_N9</t>
  </si>
  <si>
    <t>N9_N10</t>
  </si>
  <si>
    <t>N10_N11</t>
  </si>
  <si>
    <t>N11_N12</t>
  </si>
  <si>
    <t>N75_N76</t>
  </si>
  <si>
    <t>N73_N74</t>
  </si>
  <si>
    <t>N74_N75</t>
  </si>
  <si>
    <t>N72_N73</t>
  </si>
  <si>
    <t>N71_N72</t>
  </si>
  <si>
    <t>N92_N93</t>
  </si>
  <si>
    <t>N81_N82</t>
  </si>
  <si>
    <t>N80_N81</t>
  </si>
  <si>
    <t>N78_N79</t>
  </si>
  <si>
    <t>N79_N80</t>
  </si>
  <si>
    <t>N77_N78</t>
  </si>
  <si>
    <t>N76_N77</t>
  </si>
  <si>
    <t>N38_N71</t>
  </si>
  <si>
    <t>N53_N92</t>
  </si>
  <si>
    <t>N93_N94</t>
  </si>
  <si>
    <t>N91_N94</t>
  </si>
  <si>
    <t>N90_N91</t>
  </si>
  <si>
    <t>N89_N90</t>
  </si>
  <si>
    <t>N88_N89</t>
  </si>
  <si>
    <t>N87_N88</t>
  </si>
  <si>
    <t>N86_N87</t>
  </si>
  <si>
    <t>N85_N86</t>
  </si>
  <si>
    <t>N82_N83</t>
  </si>
  <si>
    <t>N84_N85</t>
  </si>
  <si>
    <t>N83_N84</t>
  </si>
  <si>
    <t>BOUCLE 2</t>
  </si>
  <si>
    <t>N145_N146</t>
  </si>
  <si>
    <t>N144_N145</t>
  </si>
  <si>
    <t>N143_N144</t>
  </si>
  <si>
    <t>N142_N143</t>
  </si>
  <si>
    <t>N102_N103</t>
  </si>
  <si>
    <t>N100_N101</t>
  </si>
  <si>
    <t>N101_N102</t>
  </si>
  <si>
    <t>N99_N100</t>
  </si>
  <si>
    <t>N98_N99</t>
  </si>
  <si>
    <t>N97_N98</t>
  </si>
  <si>
    <t>N96_N97</t>
  </si>
  <si>
    <t>N95_N96</t>
  </si>
  <si>
    <t>N147_N148</t>
  </si>
  <si>
    <t>33.444</t>
  </si>
  <si>
    <t>N146_N147</t>
  </si>
  <si>
    <t>N149_N150</t>
  </si>
  <si>
    <t>N148_N149</t>
  </si>
  <si>
    <t>N150_N151</t>
  </si>
  <si>
    <t>N151_N152</t>
  </si>
  <si>
    <t>N152_N153</t>
  </si>
  <si>
    <t>N153_N154</t>
  </si>
  <si>
    <t>N154_N155</t>
  </si>
  <si>
    <t>N155_N156</t>
  </si>
  <si>
    <t>N157_N158</t>
  </si>
  <si>
    <t>N156_N157</t>
  </si>
  <si>
    <t>N103_N104</t>
  </si>
  <si>
    <t>N94_N95</t>
  </si>
  <si>
    <t>N83_N142</t>
  </si>
  <si>
    <t>N158_N104</t>
  </si>
  <si>
    <t>BOUCLE 3</t>
  </si>
  <si>
    <t>N165_N166</t>
  </si>
  <si>
    <t>N168_N169</t>
  </si>
  <si>
    <t>N169_N170</t>
  </si>
  <si>
    <t>N170_N171</t>
  </si>
  <si>
    <t>N171_N172</t>
  </si>
  <si>
    <t>N172_N173</t>
  </si>
  <si>
    <t>N173_N174</t>
  </si>
  <si>
    <t>N174_N175</t>
  </si>
  <si>
    <t>N176_N177</t>
  </si>
  <si>
    <t>N175_N176</t>
  </si>
  <si>
    <t>N177_N178</t>
  </si>
  <si>
    <t>N178_N179</t>
  </si>
  <si>
    <t>N179_N180</t>
  </si>
  <si>
    <t>N180_N181</t>
  </si>
  <si>
    <t>N181_N182</t>
  </si>
  <si>
    <t>N182_N183</t>
  </si>
  <si>
    <t>N183_N184</t>
  </si>
  <si>
    <t>N104_N184</t>
  </si>
  <si>
    <t>N166_N167</t>
  </si>
  <si>
    <t>N167_N168</t>
  </si>
  <si>
    <t>N11_N165</t>
  </si>
  <si>
    <t>BOUCLE 4</t>
  </si>
  <si>
    <t>N105_N106</t>
  </si>
  <si>
    <t>200.663</t>
  </si>
  <si>
    <t>N106_N107</t>
  </si>
  <si>
    <t>N107_N108</t>
  </si>
  <si>
    <t>N109_N110</t>
  </si>
  <si>
    <t>N108_N109</t>
  </si>
  <si>
    <t>N110_N111</t>
  </si>
  <si>
    <t>N111_N112</t>
  </si>
  <si>
    <t>N112_N113</t>
  </si>
  <si>
    <t>N104_N105</t>
  </si>
  <si>
    <t>N113_N114</t>
  </si>
  <si>
    <t>100.332</t>
  </si>
  <si>
    <t>N167_N185</t>
  </si>
  <si>
    <t>N185_N186</t>
  </si>
  <si>
    <t>N186_N187</t>
  </si>
  <si>
    <t>N188_N189</t>
  </si>
  <si>
    <t>N187_N188</t>
  </si>
  <si>
    <t>N189_N190</t>
  </si>
  <si>
    <t>N190_N191</t>
  </si>
  <si>
    <t>N191_N192</t>
  </si>
  <si>
    <t>N114_N115</t>
  </si>
  <si>
    <t>N192_N193</t>
  </si>
  <si>
    <t>N115_N193</t>
  </si>
  <si>
    <t>BOUCLE 5</t>
  </si>
  <si>
    <t>N162_N163</t>
  </si>
  <si>
    <t>N141_N164</t>
  </si>
  <si>
    <t>N163_N164</t>
  </si>
  <si>
    <t>N161_N162</t>
  </si>
  <si>
    <t>N160_N161</t>
  </si>
  <si>
    <t>N159_N160</t>
  </si>
  <si>
    <t>N147_N159</t>
  </si>
  <si>
    <t>N114_N125</t>
  </si>
  <si>
    <t>N125_N126</t>
  </si>
  <si>
    <t>N126_N126</t>
  </si>
  <si>
    <t>N127_N127</t>
  </si>
  <si>
    <t>N128_N129</t>
  </si>
  <si>
    <t>N127_N128</t>
  </si>
  <si>
    <t>N129_N130</t>
  </si>
  <si>
    <t>N130_N131</t>
  </si>
  <si>
    <t>N131_N132</t>
  </si>
  <si>
    <t>N132_N133</t>
  </si>
  <si>
    <t>N133_N134</t>
  </si>
  <si>
    <t>N134_N135</t>
  </si>
  <si>
    <t>N135_N136</t>
  </si>
  <si>
    <t>N136_N137</t>
  </si>
  <si>
    <t>N137_N138</t>
  </si>
  <si>
    <t>N138_N139</t>
  </si>
  <si>
    <t>N139_N140</t>
  </si>
  <si>
    <t>N140_N141</t>
  </si>
  <si>
    <t>BOUCLE 6</t>
  </si>
  <si>
    <t>N116_N117</t>
  </si>
  <si>
    <t>133.776</t>
  </si>
  <si>
    <t>N117_N118</t>
  </si>
  <si>
    <t>N118_N119</t>
  </si>
  <si>
    <t>N119_N120</t>
  </si>
  <si>
    <t>N121_N122</t>
  </si>
  <si>
    <t>N120_N121</t>
  </si>
  <si>
    <t>N122_N123</t>
  </si>
  <si>
    <t>N123_N124</t>
  </si>
  <si>
    <t>N124_N164</t>
  </si>
  <si>
    <t>N115_N116</t>
  </si>
  <si>
    <t>BOUCLE 7</t>
  </si>
  <si>
    <t>VITESSE DE BASE (m/s)</t>
  </si>
  <si>
    <t>UTILISÉE</t>
  </si>
  <si>
    <t>D_théo_min (mm)</t>
  </si>
  <si>
    <t>Diamètre Nominal (DN)</t>
  </si>
  <si>
    <t>Pouce</t>
  </si>
  <si>
    <t>Diamètre Extérieur Moyen (mm)</t>
  </si>
  <si>
    <t>Diamètre Intérieur Approximatif (mm)</t>
  </si>
  <si>
    <t>1/8"</t>
  </si>
  <si>
    <t>1/4"</t>
  </si>
  <si>
    <t>3/8"</t>
  </si>
  <si>
    <t>1/2"</t>
  </si>
  <si>
    <t>3/4"</t>
  </si>
  <si>
    <t>1"</t>
  </si>
  <si>
    <t>1 1/4"</t>
  </si>
  <si>
    <t>1 1/2"</t>
  </si>
  <si>
    <t>2"</t>
  </si>
  <si>
    <t>2 1/2"</t>
  </si>
  <si>
    <t>3"</t>
  </si>
  <si>
    <t>4"</t>
  </si>
  <si>
    <t>5"</t>
  </si>
  <si>
    <t>6"</t>
  </si>
  <si>
    <t>8"</t>
  </si>
  <si>
    <t>10"</t>
  </si>
  <si>
    <t>12"</t>
  </si>
  <si>
    <t>14"</t>
  </si>
  <si>
    <t>16"</t>
  </si>
  <si>
    <t>D_CALCULE (mm)</t>
  </si>
  <si>
    <t>18″</t>
  </si>
  <si>
    <t>20″</t>
  </si>
  <si>
    <t>24″</t>
  </si>
  <si>
    <t>Matériau</t>
  </si>
  <si>
    <t>Coefficient de rugosité Hazen-Williams (C ou Ch)</t>
  </si>
  <si>
    <t>Remarques</t>
  </si>
  <si>
    <t>PVC / Matière plastique</t>
  </si>
  <si>
    <t>Neuf, valeur standard élevée</t>
  </si>
  <si>
    <t>Polyéthylène (PEHD)</t>
  </si>
  <si>
    <t>Neuf</t>
  </si>
  <si>
    <t>Cuivre</t>
  </si>
  <si>
    <t>140 - 150</t>
  </si>
  <si>
    <t>Selon source</t>
  </si>
  <si>
    <t>Verre</t>
  </si>
  <si>
    <t>Acier inoxydable</t>
  </si>
  <si>
    <t>Béton (centrifugé)</t>
  </si>
  <si>
    <t>Béton, brique</t>
  </si>
  <si>
    <t>100 - 110</t>
  </si>
  <si>
    <t>Selon état</t>
  </si>
  <si>
    <t>Fonte non revêtue</t>
  </si>
  <si>
    <t>100 - 130</t>
  </si>
  <si>
    <t>130 neuf, 100 vieux (20 ans+)</t>
  </si>
  <si>
    <t>Fonte asphaltée</t>
  </si>
  <si>
    <t>Acier riveté</t>
  </si>
  <si>
    <t>Acier</t>
  </si>
  <si>
    <t>Bois</t>
  </si>
  <si>
    <t>Plomb</t>
  </si>
  <si>
    <t>Étain</t>
  </si>
  <si>
    <t>Neuf (Ch)</t>
  </si>
  <si>
    <t>Vieux (20 ans ou plus, Ch)</t>
  </si>
  <si>
    <t>PVC ou PEHD</t>
  </si>
  <si>
    <t>Béton centrifugé</t>
  </si>
  <si>
    <t>TABLEAU DE CROSS</t>
  </si>
  <si>
    <t>PREMIERE ITTERATION</t>
  </si>
  <si>
    <t>K_i</t>
  </si>
  <si>
    <t>SOMME</t>
  </si>
  <si>
    <t>ΔQ</t>
  </si>
  <si>
    <t xml:space="preserve"> </t>
  </si>
  <si>
    <t>DEBIT |Q_si| (l/s)</t>
  </si>
  <si>
    <t>DEBIT |Q_si| (m^3/s)</t>
  </si>
  <si>
    <t>Q_si  (m^3/s)</t>
  </si>
  <si>
    <t>Q_ri  (m^3/s)</t>
  </si>
  <si>
    <t>ΔH_i (m)</t>
  </si>
  <si>
    <t>dΔH_i/dQ_si (m)</t>
  </si>
  <si>
    <t>NOUVEAU RESERVOIR (R3)</t>
  </si>
  <si>
    <t>Capacité Utile</t>
  </si>
  <si>
    <t>RESERVOIR FIDOKPUI (R2)</t>
  </si>
  <si>
    <t>RESERVOIR</t>
  </si>
  <si>
    <t>TOUT</t>
  </si>
  <si>
    <t>id_min_2</t>
  </si>
  <si>
    <t>id_max_2</t>
  </si>
  <si>
    <t>N6_N7</t>
  </si>
  <si>
    <t>N2196_N29</t>
  </si>
  <si>
    <t>N28_N196</t>
  </si>
  <si>
    <t>N3_N18</t>
  </si>
  <si>
    <t>N3_N4</t>
  </si>
  <si>
    <t>N4_N5</t>
  </si>
  <si>
    <t>N7_N8</t>
  </si>
  <si>
    <t>N5_N6</t>
  </si>
  <si>
    <t>N31_N17</t>
  </si>
  <si>
    <t>R3_N1</t>
  </si>
  <si>
    <t>N1_N2</t>
  </si>
  <si>
    <t>N2_N3</t>
  </si>
  <si>
    <t>N38_N39</t>
  </si>
  <si>
    <t>N7_N106</t>
  </si>
  <si>
    <t>N110_N121</t>
  </si>
  <si>
    <t>N117_N195</t>
  </si>
  <si>
    <t>N116_N195</t>
  </si>
  <si>
    <t>N42_N111</t>
  </si>
  <si>
    <t>N42_N52</t>
  </si>
  <si>
    <t>N51_N69</t>
  </si>
  <si>
    <t>N17_N43</t>
  </si>
  <si>
    <t>R2_N41</t>
  </si>
  <si>
    <t>R1</t>
  </si>
  <si>
    <t>R3</t>
  </si>
  <si>
    <t>N124_N125</t>
  </si>
  <si>
    <t>N42_N72</t>
  </si>
  <si>
    <t>N81_N135</t>
  </si>
  <si>
    <t>N126_N127</t>
  </si>
  <si>
    <t>N70_N71</t>
  </si>
  <si>
    <t>N91_N92</t>
  </si>
  <si>
    <t>N194_N99</t>
  </si>
  <si>
    <t>N193_N194</t>
  </si>
  <si>
    <t>N71_N192</t>
  </si>
  <si>
    <t>N158_N159</t>
  </si>
  <si>
    <t>N164_N165</t>
  </si>
  <si>
    <t>N148_N166</t>
  </si>
  <si>
    <t>N184_N185</t>
  </si>
  <si>
    <t>N84_N165</t>
  </si>
  <si>
    <t>N105_R1</t>
  </si>
  <si>
    <t>N141_N142</t>
  </si>
  <si>
    <t>N127_N136</t>
  </si>
  <si>
    <t>28″</t>
  </si>
  <si>
    <t>32″</t>
  </si>
  <si>
    <t>36″</t>
  </si>
  <si>
    <t>D_REEL (mm)</t>
  </si>
  <si>
    <t>Nature de la surface / Type de canal</t>
  </si>
  <si>
    <t>État / Rugosité</t>
  </si>
  <si>
    <t>Coefficient n de Manning (valeurs typiques)</t>
  </si>
  <si>
    <t>Canaux artificiels</t>
  </si>
  <si>
    <t>Matériau de la conduite / canal</t>
  </si>
  <si>
    <t>État / Revêtement</t>
  </si>
  <si>
    <t>Valeur typique de n</t>
  </si>
  <si>
    <t>Plage courante approximative</t>
  </si>
  <si>
    <t>Ciment lissé</t>
  </si>
  <si>
    <t>Parfait à Mauvais</t>
  </si>
  <si>
    <t>0,010 à 0,013</t>
  </si>
  <si>
    <t>PVC (Polychlorure de Vinyle)</t>
  </si>
  <si>
    <t>Neuf, lisse</t>
  </si>
  <si>
    <t>0,009 – 0,011</t>
  </si>
  <si>
    <t>0,009 – 0,013</t>
  </si>
  <si>
    <t>Mortier de ciment</t>
  </si>
  <si>
    <t>0,011 à 0,015</t>
  </si>
  <si>
    <t>PEHD (Polyéthylène Haute Densité)</t>
  </si>
  <si>
    <t>Aqueducs en bois raboté</t>
  </si>
  <si>
    <t>0,010 à 0,014</t>
  </si>
  <si>
    <t>Fonte ductile</t>
  </si>
  <si>
    <t>Revêtement ciment neuf</t>
  </si>
  <si>
    <t>0,011 – 0,013</t>
  </si>
  <si>
    <t>0,010 – 0,014</t>
  </si>
  <si>
    <t>Aqueducs en bois non raboté</t>
  </si>
  <si>
    <t>Sans revêtement / ancien</t>
  </si>
  <si>
    <t>0,014 – 0,018+</t>
  </si>
  <si>
    <t>Canaux revêtus de béton</t>
  </si>
  <si>
    <t>0,012 à 0,018</t>
  </si>
  <si>
    <t>Neuf, lisse / revêtu</t>
  </si>
  <si>
    <t>0,010 – 0,012</t>
  </si>
  <si>
    <t>0,009 – 0,014</t>
  </si>
  <si>
    <t>Moëllons bruts</t>
  </si>
  <si>
    <t>0,017 à 0,030</t>
  </si>
  <si>
    <t>0,013 – 0,017+</t>
  </si>
  <si>
    <t>Pierres sèches</t>
  </si>
  <si>
    <t>0,025 à 0,035</t>
  </si>
  <si>
    <t>Béton</t>
  </si>
  <si>
    <t>Lisse, bien fini</t>
  </si>
  <si>
    <t>0,010 – 0,015</t>
  </si>
  <si>
    <t>Moëllons dressés</t>
  </si>
  <si>
    <t>0,013 à 0,017</t>
  </si>
  <si>
    <t>Brut, usé</t>
  </si>
  <si>
    <t>0,014 – 0,017</t>
  </si>
  <si>
    <t>Aqueducs métalliques (section demi-circulaire lisse)</t>
  </si>
  <si>
    <t>Amiante-Ciment</t>
  </si>
  <si>
    <t>0,010 – 0,011</t>
  </si>
  <si>
    <t>Aqueducs métalliques (section demi-circulaire plissée)</t>
  </si>
  <si>
    <t>0,0225 à 0,030</t>
  </si>
  <si>
    <t>Ancien</t>
  </si>
  <si>
    <t>0,011 – 0,015</t>
  </si>
  <si>
    <t>Canaux en terre droits et uniformes</t>
  </si>
  <si>
    <t>0,017 à 0,025</t>
  </si>
  <si>
    <t>Grès (canalisations gravitaires)</t>
  </si>
  <si>
    <t>Vitrifié, bons joints</t>
  </si>
  <si>
    <t>Canaux avec pierres lisses et uniformes</t>
  </si>
  <si>
    <t>Joints dégradés</t>
  </si>
  <si>
    <t>Canaux avec pierres rugueux et irréguliers</t>
  </si>
  <si>
    <t>0,035 à 0,045</t>
  </si>
  <si>
    <t>Caniveaux / Chenaux en béton</t>
  </si>
  <si>
    <t>Lisse</t>
  </si>
  <si>
    <t>0,012 – 0,014</t>
  </si>
  <si>
    <t>0,011 – 0,016</t>
  </si>
  <si>
    <t>Canaux en terre à larges méandres</t>
  </si>
  <si>
    <t>Avec débris, rugueux</t>
  </si>
  <si>
    <t>0,015 – 0,020+</t>
  </si>
  <si>
    <t>Canaux en terre dragués</t>
  </si>
  <si>
    <t>0,025 à 0,033</t>
  </si>
  <si>
    <t>Canaux en terre</t>
  </si>
  <si>
    <t>Propres, droits</t>
  </si>
  <si>
    <t>0,018 – 0,025</t>
  </si>
  <si>
    <t>Canaux à fond en terre, côtés avec pierres</t>
  </si>
  <si>
    <t>0,028 à 0,035</t>
  </si>
  <si>
    <t>Végétation, sinueux</t>
  </si>
  <si>
    <t>0,025 – 0,040+</t>
  </si>
  <si>
    <t>Cours d'eau naturels</t>
  </si>
  <si>
    <t>Canaux revêtus béton (général)</t>
  </si>
  <si>
    <t>Parfait à mauvais état</t>
  </si>
  <si>
    <t>0,012 – 0,018</t>
  </si>
  <si>
    <t>Propres, rives en ligne droite</t>
  </si>
  <si>
    <t>0,017 – 0,030</t>
  </si>
  <si>
    <t>Avec quelques herbes et pierres</t>
  </si>
  <si>
    <t>0,030 à 0,040</t>
  </si>
  <si>
    <t>0,025 – 0,035</t>
  </si>
  <si>
    <t>Avec méandres, étangs, endroits peu profonds, propres</t>
  </si>
  <si>
    <t>0,035 à 0,050</t>
  </si>
  <si>
    <t>Aqueducs métalliques lisses</t>
  </si>
  <si>
    <t>Même conditions que ci-dessus, eau à l’étiage, pente faible</t>
  </si>
  <si>
    <t>0,040 à 0,055</t>
  </si>
  <si>
    <t>Aqueducs métalliques plissés</t>
  </si>
  <si>
    <t>0,0225 – 0,030</t>
  </si>
  <si>
    <t>0,033 à 0,045</t>
  </si>
  <si>
    <t>Avec pierres</t>
  </si>
  <si>
    <t>0,045 à 0,060</t>
  </si>
  <si>
    <t>Zones à eau coulant lentement avec herbes ou fosses profondes</t>
  </si>
  <si>
    <t>0,050 à 0,080</t>
  </si>
  <si>
    <t>Zones avec beaucoup de mauvaises herbes</t>
  </si>
  <si>
    <t>0,075 à 0,150</t>
  </si>
  <si>
    <t>positif</t>
  </si>
  <si>
    <t>negatif</t>
  </si>
  <si>
    <t>sens</t>
  </si>
  <si>
    <t>Sens</t>
  </si>
  <si>
    <t>`</t>
  </si>
  <si>
    <t>EQUIV</t>
  </si>
  <si>
    <t>INDEX</t>
  </si>
  <si>
    <t>DEUXIEME ITTERATION</t>
  </si>
  <si>
    <t>DIFF ΔQ</t>
  </si>
  <si>
    <t>OBSERVATION</t>
  </si>
  <si>
    <t>TROISIEME ITTERATION</t>
  </si>
  <si>
    <t>Signe_M1</t>
  </si>
  <si>
    <t>Signe_M2</t>
  </si>
  <si>
    <t>MANNING ROUGHNESS COEF</t>
  </si>
  <si>
    <t>Longitude</t>
  </si>
  <si>
    <t>Latitude</t>
  </si>
  <si>
    <t>Altitude</t>
  </si>
  <si>
    <t>Cu_reel (m^3)</t>
  </si>
  <si>
    <t>Reserve_incendie (m^3)</t>
  </si>
  <si>
    <t>V_mort</t>
  </si>
  <si>
    <t>V_reserve_sec</t>
  </si>
  <si>
    <t>h_sous_cuve (m)</t>
  </si>
  <si>
    <t>Diametre (m)</t>
  </si>
  <si>
    <t>Section (m)</t>
  </si>
  <si>
    <t>h_utile (m)</t>
  </si>
  <si>
    <t>h_total (m)</t>
  </si>
  <si>
    <t>ID</t>
  </si>
  <si>
    <t>Ct_ajusté (m^3)</t>
  </si>
  <si>
    <t>Ct_choisie (m^3)</t>
  </si>
  <si>
    <t>R2</t>
  </si>
  <si>
    <t>C_total (m^3)</t>
  </si>
  <si>
    <t>Diamètre Extérieur (DE) Typique (mm)</t>
  </si>
  <si>
    <t>Épaisseur Estimée (e) pour PN10 (SDR21) (mm)</t>
  </si>
  <si>
    <t>Diamètre Intérieur (DI) Estimé (mm)</t>
  </si>
  <si>
    <t>id</t>
  </si>
  <si>
    <t>elev_dem</t>
  </si>
  <si>
    <t>demand</t>
  </si>
  <si>
    <t>DC_ID</t>
  </si>
  <si>
    <t>ELEVATION</t>
  </si>
  <si>
    <t>RESULT_DEM</t>
  </si>
  <si>
    <t>RESULT_HEA</t>
  </si>
  <si>
    <t>RESULT_PRE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</si>
  <si>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</si>
  <si>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</si>
  <si>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</si>
  <si>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</si>
  <si>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</si>
  <si>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</si>
  <si>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</si>
  <si>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</si>
  <si>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</si>
  <si>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</si>
  <si>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</si>
  <si>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</si>
  <si>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</si>
  <si>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</si>
  <si>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</si>
  <si>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</si>
  <si>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</si>
  <si>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</si>
  <si>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</si>
  <si>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</si>
  <si>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</si>
  <si>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</si>
  <si>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</si>
  <si>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</si>
  <si>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</si>
  <si>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</si>
  <si>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</si>
  <si>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</si>
  <si>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</si>
  <si>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</si>
  <si>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</si>
  <si>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</si>
  <si>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</si>
  <si>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</si>
  <si>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</si>
  <si>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</si>
  <si>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</si>
  <si>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</si>
  <si>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</si>
  <si>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</si>
  <si>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</si>
  <si>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</si>
  <si>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</si>
  <si>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</si>
  <si>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</si>
  <si>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</si>
  <si>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</si>
  <si>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</si>
  <si>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</si>
  <si>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</si>
  <si>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</si>
  <si>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</si>
  <si>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</si>
  <si>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</si>
  <si>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</si>
  <si>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</si>
  <si>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</si>
  <si>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</si>
  <si>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</si>
  <si>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</si>
  <si>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</si>
  <si>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</si>
  <si>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</si>
  <si>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</si>
  <si>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</si>
  <si>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</si>
  <si>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</si>
  <si>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</si>
  <si>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</si>
  <si>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</si>
  <si>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</si>
  <si>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</si>
  <si>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</si>
  <si>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</si>
  <si>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</si>
  <si>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</si>
  <si>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</si>
  <si>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</si>
  <si>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</si>
  <si>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</si>
  <si>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</si>
  <si>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</si>
  <si>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</si>
  <si>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</si>
  <si>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</si>
  <si>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</si>
  <si>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</si>
  <si>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</si>
  <si>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</si>
  <si>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</si>
  <si>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</si>
  <si>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</si>
  <si>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</si>
  <si>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</si>
  <si>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</si>
  <si>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</si>
  <si>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</si>
  <si>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</si>
  <si>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</si>
  <si>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</si>
  <si>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</si>
  <si>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</si>
  <si>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</si>
  <si>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</si>
  <si>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</si>
  <si>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</si>
  <si>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</si>
  <si>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</si>
  <si>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</si>
  <si>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</si>
  <si>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</si>
  <si>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</si>
  <si>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</si>
  <si>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</si>
  <si>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</si>
  <si>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</si>
  <si>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</si>
  <si>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</si>
  <si>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</si>
  <si>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</si>
  <si>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</si>
  <si>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</si>
  <si>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</si>
  <si>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</si>
  <si>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</si>
  <si>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</si>
  <si>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</si>
  <si>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</si>
  <si>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</si>
  <si>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</si>
  <si>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</si>
  <si>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</si>
  <si>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</si>
  <si>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</si>
  <si>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</si>
  <si>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</si>
  <si>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</si>
  <si>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</si>
  <si>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</si>
  <si>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</si>
  <si>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</si>
  <si>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</si>
  <si>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</si>
  <si>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</si>
  <si>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</si>
  <si>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</si>
  <si>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</si>
  <si>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</si>
  <si>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</si>
  <si>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</si>
  <si>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</si>
  <si>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</si>
  <si>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</si>
  <si>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</si>
  <si>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</si>
  <si>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</si>
  <si>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</si>
  <si>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</si>
  <si>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</si>
  <si>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</si>
  <si>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</si>
  <si>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</si>
  <si>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</si>
  <si>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</si>
  <si>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</si>
  <si>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</si>
  <si>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</si>
  <si>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</si>
  <si>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</si>
  <si>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</si>
  <si>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</si>
  <si>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</si>
  <si>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</si>
  <si>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</si>
  <si>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</si>
  <si>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</si>
  <si>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</si>
  <si>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</si>
  <si>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</si>
  <si>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</si>
  <si>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</si>
  <si>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</si>
  <si>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</si>
  <si>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</si>
  <si>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</si>
  <si>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</si>
  <si>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</si>
  <si>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</si>
  <si>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</si>
  <si>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</si>
  <si>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</si>
  <si>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</si>
  <si>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</si>
  <si>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</si>
  <si>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</si>
  <si>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</si>
  <si>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length</t>
  </si>
  <si>
    <t>diameter</t>
  </si>
  <si>
    <t>status</t>
  </si>
  <si>
    <t>roughness</t>
  </si>
  <si>
    <t>material</t>
  </si>
  <si>
    <t>NODE1</t>
  </si>
  <si>
    <t>NODE2</t>
  </si>
  <si>
    <t>MINORLOSS</t>
  </si>
  <si>
    <t>RESULT_FLO</t>
  </si>
  <si>
    <t>RESULT_VEL</t>
  </si>
  <si>
    <t>RESULT_REA</t>
  </si>
  <si>
    <t>DN</t>
  </si>
  <si>
    <t>BASE_VEL</t>
  </si>
  <si>
    <t>diameter_eco</t>
  </si>
  <si>
    <t>|RESULT_FLO|</t>
  </si>
  <si>
    <t>OPEN</t>
  </si>
  <si>
    <t>PVC</t>
  </si>
  <si>
    <t>INITIALLEV</t>
  </si>
  <si>
    <t>MINIMUMLEV</t>
  </si>
  <si>
    <t>MINIMUMVOL</t>
  </si>
  <si>
    <t>MAXIMUMLEV</t>
  </si>
  <si>
    <t>VOLUMECURV</t>
  </si>
  <si>
    <t>RESULT_QUA</t>
  </si>
  <si>
    <t>N105_N104</t>
  </si>
  <si>
    <t>minor_loss</t>
  </si>
  <si>
    <t>description</t>
  </si>
  <si>
    <t>tag</t>
  </si>
  <si>
    <t>RESULT_STA</t>
  </si>
  <si>
    <t>RESULT_FRI</t>
  </si>
  <si>
    <t>N83_N82</t>
  </si>
  <si>
    <t>N71_N70</t>
  </si>
  <si>
    <t>N68_N67</t>
  </si>
  <si>
    <t>N67_N66</t>
  </si>
  <si>
    <t>N66_N65</t>
  </si>
  <si>
    <t>N65_N64</t>
  </si>
  <si>
    <t>N64_N63</t>
  </si>
  <si>
    <t>N63_N62</t>
  </si>
  <si>
    <t>N62_N61</t>
  </si>
  <si>
    <t>N60_N59</t>
  </si>
  <si>
    <t>N61_N60</t>
  </si>
  <si>
    <t>N59_N58</t>
  </si>
  <si>
    <t>N58_N57</t>
  </si>
  <si>
    <t>N57_N56</t>
  </si>
  <si>
    <t>N56_N55</t>
  </si>
  <si>
    <t>N55_N54</t>
  </si>
  <si>
    <t>N54_N53</t>
  </si>
  <si>
    <t>N53_N52</t>
  </si>
  <si>
    <t>N80_N79</t>
  </si>
  <si>
    <t>N40_N39</t>
  </si>
  <si>
    <t>N39_N38</t>
  </si>
  <si>
    <t>N38_N37</t>
  </si>
  <si>
    <t>N36_N35</t>
  </si>
  <si>
    <t>N37_N36</t>
  </si>
  <si>
    <t>N35_N34</t>
  </si>
  <si>
    <t>N34_N33</t>
  </si>
  <si>
    <t>N33_N32</t>
  </si>
  <si>
    <t>N16_N15</t>
  </si>
  <si>
    <t>N15_N14</t>
  </si>
  <si>
    <t>N14_N13</t>
  </si>
  <si>
    <t>N13_N12</t>
  </si>
  <si>
    <t>N11_N10</t>
  </si>
  <si>
    <t>N12_N11</t>
  </si>
  <si>
    <t>N10_N9</t>
  </si>
  <si>
    <t>N9_N8</t>
  </si>
  <si>
    <t>N121_N120</t>
  </si>
  <si>
    <t>N119_N118</t>
  </si>
  <si>
    <t>N120_N119</t>
  </si>
  <si>
    <t>N118_N117</t>
  </si>
  <si>
    <t>N195_N116</t>
  </si>
  <si>
    <t>N116_N115</t>
  </si>
  <si>
    <t>N115_N114</t>
  </si>
  <si>
    <t>N114_N113</t>
  </si>
  <si>
    <t>N112_N111</t>
  </si>
  <si>
    <t>N113_N112</t>
  </si>
  <si>
    <t>N52_N42</t>
  </si>
  <si>
    <t>N41_N40</t>
  </si>
  <si>
    <t>N111_N42</t>
  </si>
  <si>
    <t>N32_N31</t>
  </si>
  <si>
    <t>N31_N30</t>
  </si>
  <si>
    <t>N30_N29</t>
  </si>
  <si>
    <t>N29_N196</t>
  </si>
  <si>
    <t>N196_N28</t>
  </si>
  <si>
    <t>N27_N26</t>
  </si>
  <si>
    <t>N28_N27</t>
  </si>
  <si>
    <t>N26_N25</t>
  </si>
  <si>
    <t>N25_N24</t>
  </si>
  <si>
    <t>N24_N23</t>
  </si>
  <si>
    <t>N23_N22</t>
  </si>
  <si>
    <t>N22_N21</t>
  </si>
  <si>
    <t>N21_N20</t>
  </si>
  <si>
    <t>N20_N19</t>
  </si>
  <si>
    <t>N19_N18</t>
  </si>
  <si>
    <t>N18_N3</t>
  </si>
  <si>
    <t>N8_N7</t>
  </si>
  <si>
    <t>N70_N69</t>
  </si>
  <si>
    <t>N69_N68</t>
  </si>
  <si>
    <t>N69_N51</t>
  </si>
  <si>
    <t>N51_N50</t>
  </si>
  <si>
    <t>N50_N49</t>
  </si>
  <si>
    <t>N48_N47</t>
  </si>
  <si>
    <t>N49_N48</t>
  </si>
  <si>
    <t>N47_N46</t>
  </si>
  <si>
    <t>N46_N45</t>
  </si>
  <si>
    <t>N45_N44</t>
  </si>
  <si>
    <t>N17_N16</t>
  </si>
  <si>
    <t>N44_N43</t>
  </si>
  <si>
    <t>N43_N17</t>
  </si>
  <si>
    <t>N165_N84</t>
  </si>
  <si>
    <t>N84_N83</t>
  </si>
  <si>
    <t>N99_N194</t>
  </si>
  <si>
    <t>N100_N99</t>
  </si>
  <si>
    <t>N194_N193</t>
  </si>
  <si>
    <t>N193_N192</t>
  </si>
  <si>
    <t>N192_N71</t>
  </si>
  <si>
    <t>N82_N81</t>
  </si>
  <si>
    <t>N81_N80</t>
  </si>
  <si>
    <t>N135_N134</t>
  </si>
  <si>
    <t>N134_N133</t>
  </si>
  <si>
    <t>N133_N132</t>
  </si>
  <si>
    <t>N132_N131</t>
  </si>
  <si>
    <t>N131_N130</t>
  </si>
  <si>
    <t>N130_N129</t>
  </si>
  <si>
    <t>N129_N128</t>
  </si>
  <si>
    <t>N128_N127</t>
  </si>
  <si>
    <t>N104_N103</t>
  </si>
  <si>
    <t>N103_N102</t>
  </si>
  <si>
    <t>N101_N100</t>
  </si>
  <si>
    <t>N102_N101</t>
  </si>
  <si>
    <t>NODE 1</t>
  </si>
  <si>
    <t>NODE 2</t>
  </si>
  <si>
    <t>RAND_NUM</t>
  </si>
  <si>
    <t>Q_ri  (m^3/s) 2</t>
  </si>
  <si>
    <t>N196_N29</t>
  </si>
  <si>
    <t>Q_ri  (m^3/s) 3</t>
  </si>
  <si>
    <t>Q_ri  (m^3/s) 4</t>
  </si>
  <si>
    <t>D_REEL ou D_INT (mm)</t>
  </si>
  <si>
    <t>∑𝚫H_i (m)</t>
  </si>
  <si>
    <t>Z_i (m)</t>
  </si>
  <si>
    <t>P_ser (m)</t>
  </si>
  <si>
    <t>H_i^min;imp (m)</t>
  </si>
  <si>
    <t>P_réel (m)</t>
  </si>
  <si>
    <t>V m/s)</t>
  </si>
  <si>
    <t>|ΔH_i (m)|</t>
  </si>
  <si>
    <t>V (m/s)</t>
  </si>
  <si>
    <t>|Q_ri  (m^3/s) 2|</t>
  </si>
  <si>
    <t>h_sous_cuve_min (m)</t>
  </si>
  <si>
    <t>Section (m^2)</t>
  </si>
  <si>
    <t>HMT</t>
  </si>
  <si>
    <t>Paramètres</t>
  </si>
  <si>
    <t>Valeurs</t>
  </si>
  <si>
    <t>Débit d'adduction (Qadd)</t>
  </si>
  <si>
    <r>
      <t>m</t>
    </r>
    <r>
      <rPr>
        <vertAlign val="superscript"/>
        <sz val="12"/>
        <color theme="1"/>
        <rFont val="Arial"/>
        <family val="2"/>
      </rPr>
      <t>3</t>
    </r>
    <r>
      <rPr>
        <sz val="12"/>
        <color theme="1"/>
        <rFont val="Arial"/>
        <family val="2"/>
      </rPr>
      <t>/s</t>
    </r>
  </si>
  <si>
    <t>Longueur de la conduite (Lc)</t>
  </si>
  <si>
    <t>m3/s</t>
  </si>
  <si>
    <t>Pression Nominal (PN)</t>
  </si>
  <si>
    <t>mCE</t>
  </si>
  <si>
    <t>Pression Maximale Service (PMS)</t>
  </si>
  <si>
    <t>Pression Maximale Admissible (PMA)</t>
  </si>
  <si>
    <t>Pression Atmosphérique</t>
  </si>
  <si>
    <t>mm</t>
  </si>
  <si>
    <t>Diamètre intérieur (Dint)</t>
  </si>
  <si>
    <t>Epaisseur de la conduite (e)</t>
  </si>
  <si>
    <t>Vitesse (V)</t>
  </si>
  <si>
    <t>m/s</t>
  </si>
  <si>
    <t>Pertes de charges (ΔH)</t>
  </si>
  <si>
    <t>m</t>
  </si>
  <si>
    <t>Côte TN du Forage</t>
  </si>
  <si>
    <t>Niveau dynamique maximal du forage (NDmax)</t>
  </si>
  <si>
    <t>Hauteur géométrique (Hgéo)</t>
  </si>
  <si>
    <t>Hauteur Manométrique Total (HMT)</t>
  </si>
  <si>
    <t>K (PVC)</t>
  </si>
  <si>
    <t>Accélération de la pesanteur (g)</t>
  </si>
  <si>
    <r>
      <t>m/s</t>
    </r>
    <r>
      <rPr>
        <vertAlign val="superscript"/>
        <sz val="12"/>
        <color theme="1"/>
        <rFont val="Arial"/>
        <family val="2"/>
      </rPr>
      <t>2</t>
    </r>
  </si>
  <si>
    <t>Vitesse de propagation des ondes de pression (Célérité) C</t>
  </si>
  <si>
    <t>Variation maximale de la pression(ΔP)</t>
  </si>
  <si>
    <t>Pression Maximale de la conduite de refoulement (Hmax)</t>
  </si>
  <si>
    <t>Pression Minimale de la conduite de refoulement (Hmin)</t>
  </si>
  <si>
    <t>PMA = 1,2 * PMS</t>
  </si>
  <si>
    <t>SA1_N11</t>
  </si>
  <si>
    <t>SA2_N11</t>
  </si>
  <si>
    <t>SA3_N12</t>
  </si>
  <si>
    <t>N12_R</t>
  </si>
  <si>
    <t>3/8″</t>
  </si>
  <si>
    <t>1/2″</t>
  </si>
  <si>
    <t>3/4″</t>
  </si>
  <si>
    <t>1″</t>
  </si>
  <si>
    <t>1 1/4″</t>
  </si>
  <si>
    <t>1 1/2″</t>
  </si>
  <si>
    <t>2″</t>
  </si>
  <si>
    <t>2 1/2″</t>
  </si>
  <si>
    <t>3″</t>
  </si>
  <si>
    <t>4″</t>
  </si>
  <si>
    <t>5″</t>
  </si>
  <si>
    <t>6″</t>
  </si>
  <si>
    <t>8″</t>
  </si>
  <si>
    <t>10″</t>
  </si>
  <si>
    <t>12″</t>
  </si>
  <si>
    <t>14″</t>
  </si>
  <si>
    <t>16″</t>
  </si>
  <si>
    <t>épaisseur (mm)</t>
  </si>
  <si>
    <t>Côte du cuve (Z_cuve)</t>
  </si>
  <si>
    <t>Côte TN de N12</t>
  </si>
  <si>
    <t>Côte TN de N11</t>
  </si>
  <si>
    <t>Diamètres des conduites PVC PN 10</t>
  </si>
  <si>
    <t>Diamètres extérieurs (mm)</t>
  </si>
  <si>
    <t>DN125</t>
  </si>
  <si>
    <t>Totale</t>
  </si>
  <si>
    <t>Diamètres Nominal</t>
  </si>
  <si>
    <t>Longueur Distribution</t>
  </si>
  <si>
    <t>Longueur refoulement</t>
  </si>
  <si>
    <t>Largeur de fouille (m)</t>
  </si>
  <si>
    <t>Longueurs totales</t>
  </si>
  <si>
    <t>Profondeur de fouille (m)</t>
  </si>
  <si>
    <t>Largeurs retenues (m)</t>
  </si>
  <si>
    <t>Profondeur retenue (m)</t>
  </si>
  <si>
    <t>MATERIEL HYDRAULIQUE</t>
  </si>
  <si>
    <t>Titre</t>
  </si>
  <si>
    <t>Unité</t>
  </si>
  <si>
    <t>Quantité</t>
  </si>
  <si>
    <t>VANNERIE</t>
  </si>
  <si>
    <t>u</t>
  </si>
  <si>
    <t>FONTAINERIE</t>
  </si>
  <si>
    <t>Dispositif de ventouse triple fonctions en chambre</t>
  </si>
  <si>
    <t>Construction de regards en béton armé (1,2m*1,2m)</t>
  </si>
  <si>
    <t>Dispositif de vidange avec bouche à clé</t>
  </si>
  <si>
    <t>Construction de puits de vidange de diamètre 1m pour 4m de profondeur</t>
  </si>
  <si>
    <t>DN 300</t>
  </si>
  <si>
    <t>DN 350</t>
  </si>
  <si>
    <t>DN 400</t>
  </si>
  <si>
    <t>DN 450</t>
  </si>
  <si>
    <t>DN 500</t>
  </si>
  <si>
    <t>DN 600</t>
  </si>
  <si>
    <t>DN 800</t>
  </si>
  <si>
    <t>DN 80</t>
  </si>
  <si>
    <t>DN 125</t>
  </si>
  <si>
    <t>DN 130</t>
  </si>
  <si>
    <t>DN 200</t>
  </si>
  <si>
    <t>DN 250</t>
  </si>
  <si>
    <t>Vidange pour DN 300 TUYAU entre N48 et N149</t>
  </si>
  <si>
    <t>Vanne pour DN 400 TUYAU entre R2 et N41</t>
  </si>
  <si>
    <t>Vanne pour DN 800 TUYAU entre R3 et N1</t>
  </si>
  <si>
    <t>Vanne pour DN 200 TUYAU entre N105 et R1</t>
  </si>
  <si>
    <t>Vanne pour DN 350 TUYAU entre N83 et N84</t>
  </si>
  <si>
    <t>Ventouse pour DN 350 TUYAU entre N31 et N31</t>
  </si>
  <si>
    <t>Ventouse pour DN 300 TUYAU entre N127 et N128</t>
  </si>
  <si>
    <t>Vidange pour DN 250 TUYAU entre N66 et N67</t>
  </si>
  <si>
    <t>Désignations</t>
  </si>
  <si>
    <t>Caractéristique technique de la pompe</t>
  </si>
  <si>
    <t xml:space="preserve">Paramètres </t>
  </si>
  <si>
    <t>valeurs</t>
  </si>
  <si>
    <t>Marque</t>
  </si>
  <si>
    <t>GRUNFOS</t>
  </si>
  <si>
    <t>Qadd</t>
  </si>
  <si>
    <r>
      <t>m</t>
    </r>
    <r>
      <rPr>
        <vertAlign val="superscript"/>
        <sz val="12"/>
        <rFont val="Arial"/>
        <family val="2"/>
      </rPr>
      <t>3</t>
    </r>
    <r>
      <rPr>
        <sz val="12"/>
        <rFont val="Arial"/>
        <family val="2"/>
      </rPr>
      <t>/s</t>
    </r>
  </si>
  <si>
    <t>Nom du produit</t>
  </si>
  <si>
    <t>Type de moteur</t>
  </si>
  <si>
    <t>Puissance hydraulique PH</t>
  </si>
  <si>
    <t>Kw</t>
  </si>
  <si>
    <t>rendement de la pompe ȠP</t>
  </si>
  <si>
    <t>Débit d’exploitation</t>
  </si>
  <si>
    <t>rendement du moteur Ƞm</t>
  </si>
  <si>
    <t>Fréquence d’alimentation</t>
  </si>
  <si>
    <t>50 Hz</t>
  </si>
  <si>
    <t>Tension nominale</t>
  </si>
  <si>
    <t>Intensité nominale</t>
  </si>
  <si>
    <t>Puissance_maximal_groupe</t>
  </si>
  <si>
    <t>KVA</t>
  </si>
  <si>
    <t>SP 9-29</t>
  </si>
  <si>
    <t>Triphasé (380-400-415 V)</t>
  </si>
  <si>
    <t>4 pouces (environ 100 mm)</t>
  </si>
  <si>
    <t>187 m à débit minimum, 100 m à débit maximum</t>
  </si>
  <si>
    <t>380-400-415 V (triphasé)</t>
  </si>
  <si>
    <t>5,5 kW</t>
  </si>
  <si>
    <t>Poids net de la pompe complète</t>
  </si>
  <si>
    <t>Environ 47,8 kg</t>
  </si>
  <si>
    <t>0,8 à 11 m³/h</t>
  </si>
  <si>
    <t>Diamètre du moteur</t>
  </si>
  <si>
    <t>Hauteur manométrique totale (HMT)</t>
  </si>
  <si>
    <t>13,0 à 13,4 A</t>
  </si>
  <si>
    <t>Puissance nominale P2</t>
  </si>
  <si>
    <t>Facteur de puissance (Cos φ)</t>
  </si>
  <si>
    <t>0,85 à 0,76 selon la tension</t>
  </si>
  <si>
    <t>Rendement de la pompe</t>
  </si>
  <si>
    <t>Rendement pompe + moteur</t>
  </si>
  <si>
    <t>Non spécifié explicitement, moteur haute efficacité (MEI ≥ 0,70)</t>
  </si>
  <si>
    <t>Matériaux</t>
  </si>
  <si>
    <t>Acier inoxydable EN 1.4301 (AISI 304)</t>
  </si>
  <si>
    <t>Classe de protection</t>
  </si>
  <si>
    <t>IP68</t>
  </si>
  <si>
    <t>Classe d’isolation</t>
  </si>
  <si>
    <t>F</t>
  </si>
  <si>
    <t>Température maximale du liquide</t>
  </si>
  <si>
    <t>40 °C</t>
  </si>
  <si>
    <t>Certification eau potable</t>
  </si>
  <si>
    <t>Oui (ACS)</t>
  </si>
  <si>
    <t>Prix indicatif</t>
  </si>
  <si>
    <t>Environ 5 300 € TTC (variable selon le fournisseur)</t>
  </si>
  <si>
    <t>POMPE SA1 et SA2</t>
  </si>
  <si>
    <t>puissance électrique Pelec</t>
  </si>
  <si>
    <t>Grundfos</t>
  </si>
  <si>
    <t>SP 7-42</t>
  </si>
  <si>
    <t>Environ 56,3 kg</t>
  </si>
  <si>
    <t>0,7 à 9,1 m³/h</t>
  </si>
  <si>
    <t>210 m à débit minimum, 160 m à débit maximum</t>
  </si>
  <si>
    <t>Environ 80 %</t>
  </si>
  <si>
    <t>Environ 5 300 € TTC (variable selon le fournisseur)</t>
  </si>
  <si>
    <t>POMPE SA3</t>
  </si>
  <si>
    <t>Non spécifié explicitement, mais pompe haute performance, estimé à 80%</t>
  </si>
  <si>
    <r>
      <t>m</t>
    </r>
    <r>
      <rPr>
        <vertAlign val="superscript"/>
        <sz val="12"/>
        <rFont val="Arial"/>
        <family val="2"/>
      </rPr>
      <t>3</t>
    </r>
    <r>
      <rPr>
        <sz val="12"/>
        <rFont val="Arial"/>
        <family val="2"/>
      </rPr>
      <t>/h</t>
    </r>
  </si>
  <si>
    <t>Tableau récapitulatif des prix d'achat et leur amortissement</t>
  </si>
  <si>
    <t>Intitulé</t>
  </si>
  <si>
    <t>Durée de vie (an)</t>
  </si>
  <si>
    <t>Taux d'amortissement (%)</t>
  </si>
  <si>
    <t>Prix d'achat (FCFA)</t>
  </si>
  <si>
    <t>Amortissement (FCFA)/an</t>
  </si>
  <si>
    <t>Forage</t>
  </si>
  <si>
    <t>Equipements en tête de forage</t>
  </si>
  <si>
    <t>Pompes doseuses</t>
  </si>
  <si>
    <t>Groupe électrogène</t>
  </si>
  <si>
    <t xml:space="preserve">TOTAL </t>
  </si>
  <si>
    <t>N</t>
  </si>
  <si>
    <t>Prix unitaire</t>
  </si>
  <si>
    <t>Montant total</t>
  </si>
  <si>
    <t>GÉNÉRALITÉ</t>
  </si>
  <si>
    <t>1.1</t>
  </si>
  <si>
    <t>Installation générale et aménagement du chantier</t>
  </si>
  <si>
    <t xml:space="preserve">ff </t>
  </si>
  <si>
    <t>1.2</t>
  </si>
  <si>
    <t>Dossier d'exécution y compris les travaux préparatoires et les implantations</t>
  </si>
  <si>
    <t>1.3</t>
  </si>
  <si>
    <t>Plans de récolement</t>
  </si>
  <si>
    <t>1.4</t>
  </si>
  <si>
    <t>Repli général du chantier</t>
  </si>
  <si>
    <t>1.5</t>
  </si>
  <si>
    <t>Mesures Environnementales et Sociales</t>
  </si>
  <si>
    <t>TOTAL GENERALITE</t>
  </si>
  <si>
    <t>MISE EN PLACE DU RÉSEAU AEP</t>
  </si>
  <si>
    <t>FOURNITURE ET POSE DE CANALISATIONS ET ACCESSOIRES</t>
  </si>
  <si>
    <t>2.1</t>
  </si>
  <si>
    <t>DISTRIBUTION</t>
  </si>
  <si>
    <t>Fourniture et pose de canalisation en PVC PN10 y compris les pièces de raccords en Fonte Ductile (FD) PN10</t>
  </si>
  <si>
    <t>2.1.1</t>
  </si>
  <si>
    <t>ml</t>
  </si>
  <si>
    <t>2.1.2</t>
  </si>
  <si>
    <t>2.1.3</t>
  </si>
  <si>
    <t>DN 100</t>
  </si>
  <si>
    <t>2.1.4</t>
  </si>
  <si>
    <t>2.1.5</t>
  </si>
  <si>
    <t>2.1.6</t>
  </si>
  <si>
    <t>2.1.7</t>
  </si>
  <si>
    <t>2.1.8</t>
  </si>
  <si>
    <t>2.1.9</t>
  </si>
  <si>
    <t>2.2</t>
  </si>
  <si>
    <t>REFOULEMENT</t>
  </si>
  <si>
    <t>Fourniture et pose de la conduite de refoulement en PVC PN10 y compris les pièces de raccords en Fonte Ductile (FD) PN10</t>
  </si>
  <si>
    <t>2.2.1</t>
  </si>
  <si>
    <t>2.3</t>
  </si>
  <si>
    <t>Fourniture et pose de robinet-vanne de sectionnement PN 10 avec la bouche à clé de type réhaussable sur robinet vanne y compris les accessoires</t>
  </si>
  <si>
    <t>2.3.1</t>
  </si>
  <si>
    <t>2.3.2</t>
  </si>
  <si>
    <t>2.3.3</t>
  </si>
  <si>
    <t>2.3.4</t>
  </si>
  <si>
    <t>2.4</t>
  </si>
  <si>
    <t>2.4.1</t>
  </si>
  <si>
    <t>Fourniture et pose de dispositif de ventouse triple fonctions en chambre y compris les accessoires</t>
  </si>
  <si>
    <t>2.4.1.1</t>
  </si>
  <si>
    <t>2.4.1.2</t>
  </si>
  <si>
    <t>Construction de regards en béton armé (1,2m*1,2m) y compris la couverture tampon en Fonte Ductile (FD)</t>
  </si>
  <si>
    <t>2.4.2</t>
  </si>
  <si>
    <t>Fourniture et pose de dispositif de vidange avec bouche à clé y compris les accessoires</t>
  </si>
  <si>
    <t>2.4.2.1</t>
  </si>
  <si>
    <t>2.4.2.2</t>
  </si>
  <si>
    <t>Construction de puit de vidange de diamètre 1m pour 4m de profondeur</t>
  </si>
  <si>
    <t>2.4.4</t>
  </si>
  <si>
    <t>Essai et désinfection</t>
  </si>
  <si>
    <t>2.4.4.1</t>
  </si>
  <si>
    <t>Essai de pression</t>
  </si>
  <si>
    <t>ff</t>
  </si>
  <si>
    <t>2.4.4.2</t>
  </si>
  <si>
    <t>Désinfection des installations</t>
  </si>
  <si>
    <t>2.4.4.3</t>
  </si>
  <si>
    <t>Essai des installations</t>
  </si>
  <si>
    <t>TOTAL MISE EN PLACE DU RESEAU AEP</t>
  </si>
  <si>
    <t>ÉQUIPEMENT DE FORAGE ET ÉLECTRICITÉ</t>
  </si>
  <si>
    <t>Fourniture et installation de pompe immergée multicellulaire (TD PI) avec tous les accessoires</t>
  </si>
  <si>
    <t>3.1</t>
  </si>
  <si>
    <t>Fourniture et montage des équipements tête de forage et manifold (ventouse, clapet anti retour, robinet vanne, manomètre, compteur, pressostat, ballon, robinet de puisage, manchette, filtre, soupape de décharge etc. …)</t>
  </si>
  <si>
    <t>3.2</t>
  </si>
  <si>
    <t>3.3</t>
  </si>
  <si>
    <t>Système de traitement</t>
  </si>
  <si>
    <t>Fourniture et installation de pompe doseuse DOSATRON y compris bac de chloration et toute sujétion</t>
  </si>
  <si>
    <t>Fourniture et stockage des réactifs (chlore)</t>
  </si>
  <si>
    <t>kg</t>
  </si>
  <si>
    <t>3.4</t>
  </si>
  <si>
    <t>Système d'alimentation en énergie électrique</t>
  </si>
  <si>
    <t>3.4.1</t>
  </si>
  <si>
    <t>Fourniture et installation d'un groupe électrogène de 13 à 22 KVA et accessoire</t>
  </si>
  <si>
    <t>3.5</t>
  </si>
  <si>
    <t>CLOTURE ET LOCAL DU GROUPE</t>
  </si>
  <si>
    <t>3.5.1</t>
  </si>
  <si>
    <t>Local de groupe électrogène</t>
  </si>
  <si>
    <t>3.5.2</t>
  </si>
  <si>
    <t>Clôture des installations (local groupe et tête de forage) en grillage de 15 m x 15 m</t>
  </si>
  <si>
    <t>3.5.2.1</t>
  </si>
  <si>
    <t>Clôture du réservoir en grillage de 8m x 8 m</t>
  </si>
  <si>
    <t>3.5.2.2</t>
  </si>
  <si>
    <t>Local forage</t>
  </si>
  <si>
    <t>TOTAL EQUIPEMENT DE FORAGE ET ELECTRIQUE</t>
  </si>
  <si>
    <t>4.1</t>
  </si>
  <si>
    <t>Travaux Préparatoires</t>
  </si>
  <si>
    <t>4.2</t>
  </si>
  <si>
    <t>Etude géotechnique pour les sols de fondation</t>
  </si>
  <si>
    <t>4.3</t>
  </si>
  <si>
    <t>Essais géotechniques et mécanique sur matériaux et béton</t>
  </si>
  <si>
    <t>4.4</t>
  </si>
  <si>
    <t>CONSTRUCTION DES LOCAUX</t>
  </si>
  <si>
    <t>5.1</t>
  </si>
  <si>
    <t xml:space="preserve">LOCAL TECHNIQUE </t>
  </si>
  <si>
    <t>5.1.1</t>
  </si>
  <si>
    <t xml:space="preserve">Terrassement </t>
  </si>
  <si>
    <t>5.1.1.1</t>
  </si>
  <si>
    <t xml:space="preserve">Fouilles en puits </t>
  </si>
  <si>
    <t xml:space="preserve">m3 </t>
  </si>
  <si>
    <t>5.1.1.2</t>
  </si>
  <si>
    <t xml:space="preserve">Fouilles en rigole </t>
  </si>
  <si>
    <t>5.1.1.3</t>
  </si>
  <si>
    <t xml:space="preserve">Remblai dans les fouilles </t>
  </si>
  <si>
    <t>5.1.1.4</t>
  </si>
  <si>
    <t xml:space="preserve">Remblais d'apport en sable silteux </t>
  </si>
  <si>
    <t>5.1.2</t>
  </si>
  <si>
    <t xml:space="preserve">Béton - Béton armé </t>
  </si>
  <si>
    <t>5.1.2.1</t>
  </si>
  <si>
    <t xml:space="preserve">Béton de propreté </t>
  </si>
  <si>
    <t>5.1.2.2</t>
  </si>
  <si>
    <t xml:space="preserve">Béton armé pour semelles </t>
  </si>
  <si>
    <t>5.1.2.3</t>
  </si>
  <si>
    <t xml:space="preserve">Béton armé pour amorces poteaux </t>
  </si>
  <si>
    <t>5.1.2.4</t>
  </si>
  <si>
    <t xml:space="preserve">Béton armé pour longrine </t>
  </si>
  <si>
    <t>5.1.2.5</t>
  </si>
  <si>
    <t xml:space="preserve">Béton armé pour poteaux </t>
  </si>
  <si>
    <t>5.1.2.6</t>
  </si>
  <si>
    <t xml:space="preserve">Béton armé pour chaînage </t>
  </si>
  <si>
    <t>5.1.2.7</t>
  </si>
  <si>
    <t xml:space="preserve">Béton légèrement armé pour dallage au sol </t>
  </si>
  <si>
    <t>5.1.2.8</t>
  </si>
  <si>
    <t xml:space="preserve">Construction de caniveaux complets de dimensions intérieures 70cmx50cm avec couvertures en dalle et conformément aux plans guides et toutes sujétions </t>
  </si>
  <si>
    <t xml:space="preserve">ml </t>
  </si>
  <si>
    <t>5.1.2.9</t>
  </si>
  <si>
    <t xml:space="preserve">Construction d'un massif pour fût d'hypochlorites de calcium en béton armé, y compris chape de finition et toutes sujétions </t>
  </si>
  <si>
    <t>5.1.2.10</t>
  </si>
  <si>
    <t xml:space="preserve">Construction d'un massif pour poste de dosage en béton armé, y compris chape de finition et toutes sujétions </t>
  </si>
  <si>
    <t>5.1.2.11</t>
  </si>
  <si>
    <t xml:space="preserve">Construction d'un regard de vidange de chlore </t>
  </si>
  <si>
    <t xml:space="preserve">u </t>
  </si>
  <si>
    <t>5.1.3</t>
  </si>
  <si>
    <t xml:space="preserve">Maçonnerie </t>
  </si>
  <si>
    <t>5.1.3.1</t>
  </si>
  <si>
    <t xml:space="preserve">Mur de soubassement en agglomérés ciment pleins de 20x20x40 </t>
  </si>
  <si>
    <t xml:space="preserve">m² </t>
  </si>
  <si>
    <t>5.1.3.2</t>
  </si>
  <si>
    <t xml:space="preserve">Mur d'élévation en agglomérés ciment creux de 15x20x40 </t>
  </si>
  <si>
    <t>5.1.3.3</t>
  </si>
  <si>
    <t xml:space="preserve">Enduit vertical intérieur et extérieur </t>
  </si>
  <si>
    <t>5.1.3.4</t>
  </si>
  <si>
    <t xml:space="preserve">Chape lisse au sol </t>
  </si>
  <si>
    <t>5.1.3.5</t>
  </si>
  <si>
    <t xml:space="preserve">Constructions de marches en agglomérés ciments, y compris chape et toutes sujétions </t>
  </si>
  <si>
    <t>5.1.4</t>
  </si>
  <si>
    <t xml:space="preserve">Menuiserie </t>
  </si>
  <si>
    <t>5.1.4.1</t>
  </si>
  <si>
    <t xml:space="preserve">Toiture avec couverture en bac alu et charpente métallique et toutes sujétions </t>
  </si>
  <si>
    <t>5.1.4.2</t>
  </si>
  <si>
    <t xml:space="preserve">Fourniture et pose de portes métalliques de 1mx2,1m en fer forgé, y compris peinture et toutes sujétions </t>
  </si>
  <si>
    <t>5.1.4.3</t>
  </si>
  <si>
    <t xml:space="preserve">Fourniture et pose de fenêtres 120cmx120cm en lame naco, y compris châssis en aluminium, peinture et toutes sujétions </t>
  </si>
  <si>
    <t>5.1.5</t>
  </si>
  <si>
    <t xml:space="preserve">Peinture </t>
  </si>
  <si>
    <t>5.1.5.1</t>
  </si>
  <si>
    <t xml:space="preserve">Peinture à huile à l'extérieur </t>
  </si>
  <si>
    <t>5.1.5.2</t>
  </si>
  <si>
    <t xml:space="preserve">Peinture vinylique à l'intérieur </t>
  </si>
  <si>
    <t>5.2</t>
  </si>
  <si>
    <t xml:space="preserve">CLOTURE </t>
  </si>
  <si>
    <t>5.2.1</t>
  </si>
  <si>
    <t xml:space="preserve">Implantation de la clôture </t>
  </si>
  <si>
    <t>5.2.2</t>
  </si>
  <si>
    <t>5.2.2.1</t>
  </si>
  <si>
    <t xml:space="preserve">Fouille en puits pour semelles </t>
  </si>
  <si>
    <t xml:space="preserve">m³ </t>
  </si>
  <si>
    <t>5.2.2.2</t>
  </si>
  <si>
    <t xml:space="preserve">Fouille en rigole pour soubassement </t>
  </si>
  <si>
    <t>5.2.2.3</t>
  </si>
  <si>
    <t>5.2.2.4</t>
  </si>
  <si>
    <t xml:space="preserve">Béton-Béton armé </t>
  </si>
  <si>
    <t>5.2.2.5</t>
  </si>
  <si>
    <t>5.2.2.6</t>
  </si>
  <si>
    <t xml:space="preserve">Béton armé pour semelle </t>
  </si>
  <si>
    <t>5.2.2.7</t>
  </si>
  <si>
    <t>5.2.2.8</t>
  </si>
  <si>
    <t>5.2.3</t>
  </si>
  <si>
    <t>5.2.3.1</t>
  </si>
  <si>
    <t xml:space="preserve">Enduit vertical de 2cm d'épaisseur sur poteau en béton armé </t>
  </si>
  <si>
    <t>5.2.3.2</t>
  </si>
  <si>
    <t xml:space="preserve">Soubassement en agglomérés de 15 plein </t>
  </si>
  <si>
    <t>5.2.3.3</t>
  </si>
  <si>
    <t xml:space="preserve">Elévation en agglomérés de 15 creux </t>
  </si>
  <si>
    <t>5.2.3.4</t>
  </si>
  <si>
    <t xml:space="preserve">Enduit au mortier de ciment sur longrine et élévation </t>
  </si>
  <si>
    <t>5.2.4</t>
  </si>
  <si>
    <t>5.2.4.1</t>
  </si>
  <si>
    <t xml:space="preserve">Fourniture et pose des poteaux métalliques en T de 50x50x6, hauteur utile =2,5m </t>
  </si>
  <si>
    <t>5.2.4.2</t>
  </si>
  <si>
    <t xml:space="preserve">Fourniture et pose des poteaux métalliques de reprise en T de 50x50x7, hauteur utile =2,5m </t>
  </si>
  <si>
    <t>5.2.4.3</t>
  </si>
  <si>
    <t xml:space="preserve">Fourniture et pose de grillage torsadé en fil de fer de 2mm galvanisé et aux mailles de 10 cm </t>
  </si>
  <si>
    <t>5.2.4.4</t>
  </si>
  <si>
    <t xml:space="preserve">Fourniture et pose d'un portail métallique de dimensions 6mx2,5 m en fer forgé et galvanisé à chaud </t>
  </si>
  <si>
    <t>5.2.4.5</t>
  </si>
  <si>
    <t xml:space="preserve">Fourniture et pose d'un portillon métallique de dimensions 1mx2,5 m en fer forgé et galvanisé à chaud </t>
  </si>
  <si>
    <t>5.2.5</t>
  </si>
  <si>
    <t>5.2.5.1</t>
  </si>
  <si>
    <t xml:space="preserve">Peinture à huile sur mur poteau en béton armé </t>
  </si>
  <si>
    <t>5.2.5.2</t>
  </si>
  <si>
    <t xml:space="preserve">Peinture à huile sur portes métalliques </t>
  </si>
  <si>
    <t>5.2.5.3</t>
  </si>
  <si>
    <t xml:space="preserve">Peinture à huile sur élévation </t>
  </si>
  <si>
    <t>5.2.6</t>
  </si>
  <si>
    <t xml:space="preserve">Aménagement des abords </t>
  </si>
  <si>
    <t>5.2.6.1</t>
  </si>
  <si>
    <t xml:space="preserve">Profilage du terrain après l'achèvement des travaux de construction, déblais/remblais et compactage </t>
  </si>
  <si>
    <t>5.2.6.2</t>
  </si>
  <si>
    <t xml:space="preserve">Fourniture et pose de pavée pour aire de circulation </t>
  </si>
  <si>
    <t>5.2.6.3</t>
  </si>
  <si>
    <t xml:space="preserve">Fourniture et mise en place de sable silteux </t>
  </si>
  <si>
    <t>5.3</t>
  </si>
  <si>
    <t xml:space="preserve">BUREAU </t>
  </si>
  <si>
    <t>5.3.1</t>
  </si>
  <si>
    <t>5.3.1.1</t>
  </si>
  <si>
    <t>5.3.1.2</t>
  </si>
  <si>
    <t>5.3.1.3</t>
  </si>
  <si>
    <t>5.3.1.4</t>
  </si>
  <si>
    <t>5.3.2</t>
  </si>
  <si>
    <t xml:space="preserve">Béton- Béton armé </t>
  </si>
  <si>
    <t>5.3.2.1</t>
  </si>
  <si>
    <t>5.3.2.2</t>
  </si>
  <si>
    <t>5.3.2.3</t>
  </si>
  <si>
    <t>5.3.2.4</t>
  </si>
  <si>
    <t>5.3.2.5</t>
  </si>
  <si>
    <t>5.3.2.6</t>
  </si>
  <si>
    <t>5.3.3</t>
  </si>
  <si>
    <t>FINITION</t>
  </si>
  <si>
    <t>5.3.3.1</t>
  </si>
  <si>
    <t>5.3.3.2</t>
  </si>
  <si>
    <t>5.3.4</t>
  </si>
  <si>
    <t>5.4.4.1</t>
  </si>
  <si>
    <t>5.4.4.2</t>
  </si>
  <si>
    <t>5.4.4.3</t>
  </si>
  <si>
    <t xml:space="preserve">TOTAL DE CONSTRUCTION DES LOCAUX </t>
  </si>
  <si>
    <t>TOTAL GENERAL HORS TAXE (FCFA)</t>
  </si>
  <si>
    <t>TOTAL GENERAL TOUT TAXE (FCFA)</t>
  </si>
  <si>
    <t>Prix Estimé (F CFA HT / ml)</t>
  </si>
  <si>
    <t>Méthode</t>
  </si>
  <si>
    <t>4 030</t>
  </si>
  <si>
    <t>Interpolation</t>
  </si>
  <si>
    <t>7 925</t>
  </si>
  <si>
    <t>8 440</t>
  </si>
  <si>
    <t>*17 933 (Donnée existante)*</t>
  </si>
  <si>
    <t>-</t>
  </si>
  <si>
    <t>28 400</t>
  </si>
  <si>
    <t>Extrapolation</t>
  </si>
  <si>
    <t>40 900</t>
  </si>
  <si>
    <t>55 650</t>
  </si>
  <si>
    <t>72 700</t>
  </si>
  <si>
    <t>92 000</t>
  </si>
  <si>
    <t>113 600</t>
  </si>
  <si>
    <t>163 600</t>
  </si>
  <si>
    <t>290 800</t>
  </si>
  <si>
    <t>2.2.2</t>
  </si>
  <si>
    <t>2.2.3</t>
  </si>
  <si>
    <t>Description de la Vanne (DN et Localisation)</t>
  </si>
  <si>
    <t>Prix Robinet-Vanne Seul (Extrait ou Estimé)</t>
  </si>
  <si>
    <t>Prix Bouche à Clé (Forfaitaire)</t>
  </si>
  <si>
    <t>Prix Total Estimé (Fourniture et Pose)</t>
  </si>
  <si>
    <t>Source / Méthode de la Vanne Seule</t>
  </si>
  <si>
    <t>328 611</t>
  </si>
  <si>
    <t>14 695</t>
  </si>
  <si>
    <t>Document (Réf. 42.07.05 / 44.32.05)</t>
  </si>
  <si>
    <t>953 436</t>
  </si>
  <si>
    <t>Estimation (Extrapolation à partir DN 250)</t>
  </si>
  <si>
    <t>1 245 304</t>
  </si>
  <si>
    <t>4 981 217</t>
  </si>
  <si>
    <t>Description de la Ventouse (pour DN Tuyau et Localisation)</t>
  </si>
  <si>
    <t>DN Ventouse Supposé</t>
  </si>
  <si>
    <t>Prix Fourniture et Pose Ventouse Seule (Extrait)</t>
  </si>
  <si>
    <t>Coût de la Chambre</t>
  </si>
  <si>
    <t>Coût du Té de Pose (si nécessaire)</t>
  </si>
  <si>
    <t>À évaluer en sus</t>
  </si>
  <si>
    <t>Ventouse pour DN 100 TUYAU entre N31 et N31</t>
  </si>
  <si>
    <t>Ventouse pour DN 100 TUYAU entre N127 et N128</t>
  </si>
  <si>
    <t>Description de la Vidange (pour DN Tuyau et Localisation)</t>
  </si>
  <si>
    <t>DN Vidange Supposé</t>
  </si>
  <si>
    <t>Prix Fourniture et Pose Vidange Seule (Extrait)</t>
  </si>
  <si>
    <t>Prix Total Estimé (Vidange + BAC, *hors chambre et té*)</t>
  </si>
  <si>
    <t>Coût de la Chambre de Vidange</t>
  </si>
  <si>
    <t>Coût du Té de Pose</t>
  </si>
  <si>
    <t>DN 150</t>
  </si>
  <si>
    <t>242 033</t>
  </si>
  <si>
    <t>196 141</t>
  </si>
  <si>
    <t>2.4.2.3</t>
  </si>
  <si>
    <t>Vidange pour DN 150 TUYAU entre N48 et N149</t>
  </si>
  <si>
    <t>Vidange pour DN 100 TUYAU entre N66 et N67</t>
  </si>
  <si>
    <t>Tête de forage DN80</t>
  </si>
  <si>
    <t>CONSTRUCTION CHÂTEAU D'EAU 7200 m³</t>
  </si>
  <si>
    <t>Construction du château de 7200 m³ y compris génie civil, équipements hydrauliques et électriques</t>
  </si>
  <si>
    <t>Pompe immergée de (débit :0,8 à 11 m³/h  HMT : 187 m)</t>
  </si>
  <si>
    <t>Pompe immergée de (débit : 0,7 à 9,1 m³/h  HMT : 210 m)</t>
  </si>
  <si>
    <t>électropompe HMT 187</t>
  </si>
  <si>
    <t>électropompe HMT 210</t>
  </si>
  <si>
    <t>Récapitulatif de la charge de personnel</t>
  </si>
  <si>
    <t>Désignation</t>
  </si>
  <si>
    <t>Salaire et prime mensuel  (FCFA)</t>
  </si>
  <si>
    <t>montant annuel (FCFA)</t>
  </si>
  <si>
    <t>Montant total (FCFA)</t>
  </si>
  <si>
    <t>Chef centre</t>
  </si>
  <si>
    <t>Chef réseau</t>
  </si>
  <si>
    <t>Agent du reseau</t>
  </si>
  <si>
    <t>Collecteur</t>
  </si>
  <si>
    <t>Fontainiers</t>
  </si>
  <si>
    <t>Gardiens</t>
  </si>
  <si>
    <t>TOTAL CHARGE PERSONNEL</t>
  </si>
  <si>
    <t>Nombre</t>
  </si>
  <si>
    <t>Montant total Unitaire (FCFA)</t>
  </si>
  <si>
    <t>Montant Unitaire (FCFA)</t>
  </si>
  <si>
    <t xml:space="preserve">Désignations </t>
  </si>
  <si>
    <t>Montant mensuel (FCFA)</t>
  </si>
  <si>
    <t>Coeficient (%)</t>
  </si>
  <si>
    <t>Entretien réseau</t>
  </si>
  <si>
    <t>entretien réservoir</t>
  </si>
  <si>
    <t>entretien forage</t>
  </si>
  <si>
    <t>entretien groupe électrogène</t>
  </si>
  <si>
    <t>entretien pompe</t>
  </si>
  <si>
    <t>Chloration</t>
  </si>
  <si>
    <t>Autres frais</t>
  </si>
  <si>
    <t>TOTAL CHARGES DE FONCTIONNEMENT</t>
  </si>
  <si>
    <t>Récapitulatif des charges de fonctionnement</t>
  </si>
  <si>
    <t>N°</t>
  </si>
  <si>
    <t>Prix Unitaire</t>
  </si>
  <si>
    <t>MONTANT</t>
  </si>
  <si>
    <t>Total généralité</t>
  </si>
  <si>
    <t>FCFA</t>
  </si>
  <si>
    <t>Total mise en place du réseau AEP</t>
  </si>
  <si>
    <t>Total équipement de forage et électrique</t>
  </si>
  <si>
    <t>Total de construction des locaux</t>
  </si>
  <si>
    <t>TOTAL HORS TAXE (FCFA)</t>
  </si>
  <si>
    <t>MONTANT TVA</t>
  </si>
  <si>
    <t>TOTAL TTC (FCFA)</t>
  </si>
  <si>
    <t>Total construction du château d'eau de 7200 m³</t>
  </si>
  <si>
    <t>DN_CALCULE(mm)</t>
  </si>
  <si>
    <t>DN_EPANET (mm)</t>
  </si>
  <si>
    <t>D_EPANET (mm)</t>
  </si>
  <si>
    <t>|Q_ri_CALCULER  (m^3/s) 2|</t>
  </si>
  <si>
    <t>|Q_ri_EPANET  (m^3/s) 2|</t>
  </si>
  <si>
    <t>V_CALCULE (m/s)</t>
  </si>
  <si>
    <t>V_EPANET (m/s)</t>
  </si>
  <si>
    <t>|ΔH_i_CALCULER (m)|</t>
  </si>
  <si>
    <t>|ΔH_i_EPANET (m)|</t>
  </si>
  <si>
    <t>P_CALCULE (m)</t>
  </si>
  <si>
    <t>P_EPANET (m)</t>
  </si>
  <si>
    <t>Caractéristique</t>
  </si>
  <si>
    <t>Détails pour SA1</t>
  </si>
  <si>
    <t>Détails pour SA2</t>
  </si>
  <si>
    <t>Détails pour SA3</t>
  </si>
  <si>
    <t>Ouvrage</t>
  </si>
  <si>
    <t>\-</t>
  </si>
  <si>
    <t>Coordonnée X</t>
  </si>
  <si>
    <t>Coordonnée Y</t>
  </si>
  <si>
    <t>Altitude Terrain Naturel (Z_TN)</t>
  </si>
  <si>
    <t>Débit d'Exploitation Individuel</t>
  </si>
  <si>
    <t>m³/h</t>
  </si>
  <si>
    <t>Degrés Décimaux</t>
  </si>
  <si>
    <t>3.4.2</t>
  </si>
  <si>
    <t>TOTAL CONSTRUCTION DU CHATEAU D'EAU DE 7200 m3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</si>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</sst>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0.0000"/>
    <numFmt numFmtId="166" formatCode="0.000"/>
    <numFmt numFmtId="167" formatCode="0.00000"/>
    <numFmt numFmtId="168" formatCode="0.0"/>
    <numFmt numFmtId="169" formatCode="_-* #,##0_-;\-* #,##0_-;_-* &quot;-&quot;??_-;_-@_-"/>
    <numFmt numFmtId="170" formatCode="_-* #,##0\ _€_-;\-* #,##0\ _€_-;_-* &quot;-&quot;?\ _€_-;_-@_-"/>
    <numFmt numFmtId="171" formatCode="#,##0\ _€"/>
    <numFmt numFmtId="172" formatCode="#,##0\ _F_ _C_F_A"/>
    <numFmt numFmtId="173" formatCode="#,##0\ _F_ _C_F_A;[Red]#,##0\ _F_ _C_F_A"/>
    <numFmt numFmtId="174" formatCode="0.000000"/>
  </numFmts>
  <fonts count="31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perscript"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2"/>
      <name val="Arial"/>
      <family val="2"/>
    </font>
    <font>
      <vertAlign val="superscript"/>
      <sz val="12"/>
      <name val="Arial"/>
      <family val="2"/>
    </font>
    <font>
      <sz val="12"/>
      <color rgb="FF0C1217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4C6E7"/>
        <bgColor rgb="FF000000"/>
      </patternFill>
    </fill>
    <fill>
      <patternFill patternType="solid">
        <fgColor rgb="FF8EA9DB"/>
        <bgColor rgb="FF000000"/>
      </patternFill>
    </fill>
  </fills>
  <borders count="4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15" fillId="0" borderId="0"/>
    <xf numFmtId="164" fontId="16" fillId="0" borderId="0" applyFont="0" applyFill="0" applyBorder="0" applyAlignment="0" applyProtection="0"/>
    <xf numFmtId="0" fontId="18" fillId="0" borderId="0"/>
  </cellStyleXfs>
  <cellXfs count="264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wrapText="1"/>
    </xf>
    <xf numFmtId="2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2" fontId="1" fillId="2" borderId="9" xfId="0" applyNumberFormat="1" applyFont="1" applyFill="1" applyBorder="1" applyAlignment="1">
      <alignment horizontal="center" vertical="center" wrapText="1"/>
    </xf>
    <xf numFmtId="2" fontId="1" fillId="2" borderId="10" xfId="0" applyNumberFormat="1" applyFont="1" applyFill="1" applyBorder="1" applyAlignment="1">
      <alignment horizontal="center" vertical="center"/>
    </xf>
    <xf numFmtId="2" fontId="1" fillId="2" borderId="11" xfId="0" applyNumberFormat="1" applyFont="1" applyFill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 wrapText="1"/>
    </xf>
    <xf numFmtId="2" fontId="1" fillId="0" borderId="10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1" fillId="2" borderId="11" xfId="0" applyNumberFormat="1" applyFont="1" applyFill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/>
    <xf numFmtId="0" fontId="1" fillId="0" borderId="8" xfId="0" applyFont="1" applyBorder="1"/>
    <xf numFmtId="2" fontId="1" fillId="0" borderId="8" xfId="0" applyNumberFormat="1" applyFont="1" applyBorder="1"/>
    <xf numFmtId="2" fontId="2" fillId="0" borderId="8" xfId="0" applyNumberFormat="1" applyFont="1" applyBorder="1"/>
    <xf numFmtId="0" fontId="2" fillId="0" borderId="2" xfId="0" applyFont="1" applyBorder="1" applyAlignment="1">
      <alignment vertical="center"/>
    </xf>
    <xf numFmtId="0" fontId="2" fillId="0" borderId="25" xfId="0" applyFont="1" applyBorder="1" applyAlignment="1">
      <alignment vertical="center"/>
    </xf>
    <xf numFmtId="0" fontId="2" fillId="0" borderId="25" xfId="0" applyFont="1" applyBorder="1" applyAlignment="1">
      <alignment vertical="center" wrapText="1"/>
    </xf>
    <xf numFmtId="0" fontId="2" fillId="0" borderId="26" xfId="0" applyFont="1" applyBorder="1" applyAlignment="1">
      <alignment vertical="center"/>
    </xf>
    <xf numFmtId="0" fontId="2" fillId="0" borderId="5" xfId="0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6" fontId="1" fillId="0" borderId="8" xfId="0" applyNumberFormat="1" applyFont="1" applyBorder="1"/>
    <xf numFmtId="1" fontId="1" fillId="0" borderId="27" xfId="0" applyNumberFormat="1" applyFont="1" applyBorder="1"/>
    <xf numFmtId="2" fontId="1" fillId="0" borderId="3" xfId="0" applyNumberFormat="1" applyFont="1" applyBorder="1"/>
    <xf numFmtId="0" fontId="2" fillId="0" borderId="28" xfId="0" applyFont="1" applyBorder="1"/>
    <xf numFmtId="165" fontId="1" fillId="0" borderId="29" xfId="0" applyNumberFormat="1" applyFont="1" applyBorder="1"/>
    <xf numFmtId="166" fontId="1" fillId="0" borderId="29" xfId="0" applyNumberFormat="1" applyFont="1" applyBorder="1"/>
    <xf numFmtId="0" fontId="1" fillId="0" borderId="29" xfId="0" applyFont="1" applyBorder="1"/>
    <xf numFmtId="2" fontId="1" fillId="0" borderId="29" xfId="0" applyNumberFormat="1" applyFont="1" applyBorder="1"/>
    <xf numFmtId="2" fontId="1" fillId="0" borderId="30" xfId="0" applyNumberFormat="1" applyFont="1" applyBorder="1"/>
    <xf numFmtId="0" fontId="0" fillId="0" borderId="31" xfId="0" applyBorder="1" applyAlignment="1">
      <alignment vertical="center" wrapText="1"/>
    </xf>
    <xf numFmtId="1" fontId="0" fillId="0" borderId="0" xfId="0" applyNumberFormat="1"/>
    <xf numFmtId="0" fontId="0" fillId="0" borderId="10" xfId="0" applyBorder="1"/>
    <xf numFmtId="0" fontId="0" fillId="0" borderId="8" xfId="0" applyBorder="1"/>
    <xf numFmtId="0" fontId="0" fillId="0" borderId="8" xfId="0" applyBorder="1" applyAlignment="1">
      <alignment horizontal="center"/>
    </xf>
    <xf numFmtId="1" fontId="0" fillId="0" borderId="8" xfId="0" applyNumberFormat="1" applyBorder="1"/>
    <xf numFmtId="0" fontId="0" fillId="0" borderId="8" xfId="0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/>
    </xf>
    <xf numFmtId="0" fontId="0" fillId="0" borderId="8" xfId="0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36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6" fillId="7" borderId="8" xfId="0" applyFont="1" applyFill="1" applyBorder="1"/>
    <xf numFmtId="2" fontId="0" fillId="0" borderId="8" xfId="0" applyNumberFormat="1" applyBorder="1" applyAlignment="1">
      <alignment horizontal="right"/>
    </xf>
    <xf numFmtId="0" fontId="0" fillId="0" borderId="8" xfId="0" applyBorder="1" applyAlignment="1">
      <alignment horizontal="right"/>
    </xf>
    <xf numFmtId="0" fontId="9" fillId="0" borderId="8" xfId="0" applyFont="1" applyBorder="1"/>
    <xf numFmtId="0" fontId="11" fillId="0" borderId="8" xfId="0" applyFont="1" applyBorder="1"/>
    <xf numFmtId="0" fontId="11" fillId="0" borderId="8" xfId="0" applyFont="1" applyBorder="1" applyAlignment="1">
      <alignment horizontal="left" vertical="center"/>
    </xf>
    <xf numFmtId="0" fontId="12" fillId="0" borderId="29" xfId="0" applyFont="1" applyBorder="1" applyAlignment="1">
      <alignment horizontal="left" vertical="center" wrapText="1"/>
    </xf>
    <xf numFmtId="0" fontId="12" fillId="0" borderId="8" xfId="0" applyFont="1" applyBorder="1"/>
    <xf numFmtId="1" fontId="11" fillId="0" borderId="8" xfId="0" applyNumberFormat="1" applyFont="1" applyBorder="1" applyAlignment="1">
      <alignment horizontal="right" vertical="center"/>
    </xf>
    <xf numFmtId="0" fontId="10" fillId="0" borderId="8" xfId="0" applyFont="1" applyBorder="1"/>
    <xf numFmtId="0" fontId="10" fillId="11" borderId="8" xfId="0" applyFont="1" applyFill="1" applyBorder="1"/>
    <xf numFmtId="0" fontId="0" fillId="0" borderId="8" xfId="0" applyBorder="1" applyAlignment="1">
      <alignment horizontal="right" vertical="center"/>
    </xf>
    <xf numFmtId="0" fontId="0" fillId="0" borderId="42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0" fillId="0" borderId="5" xfId="0" applyBorder="1"/>
    <xf numFmtId="0" fontId="9" fillId="0" borderId="0" xfId="0" applyFont="1"/>
    <xf numFmtId="0" fontId="9" fillId="0" borderId="5" xfId="0" applyFont="1" applyBorder="1"/>
    <xf numFmtId="0" fontId="0" fillId="0" borderId="43" xfId="0" applyBorder="1"/>
    <xf numFmtId="0" fontId="0" fillId="0" borderId="0" xfId="0" applyAlignment="1">
      <alignment vertical="center"/>
    </xf>
    <xf numFmtId="0" fontId="0" fillId="13" borderId="8" xfId="0" applyFill="1" applyBorder="1"/>
    <xf numFmtId="0" fontId="14" fillId="13" borderId="8" xfId="0" applyFont="1" applyFill="1" applyBorder="1"/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0" fontId="13" fillId="0" borderId="0" xfId="0" applyFont="1"/>
    <xf numFmtId="1" fontId="0" fillId="13" borderId="8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5" fillId="0" borderId="0" xfId="1"/>
    <xf numFmtId="0" fontId="15" fillId="0" borderId="8" xfId="1" applyBorder="1"/>
    <xf numFmtId="11" fontId="0" fillId="0" borderId="31" xfId="0" applyNumberFormat="1" applyBorder="1" applyAlignment="1">
      <alignment vertical="center" wrapText="1"/>
    </xf>
    <xf numFmtId="0" fontId="0" fillId="0" borderId="31" xfId="0" applyBorder="1" applyAlignment="1">
      <alignment horizontal="center"/>
    </xf>
    <xf numFmtId="0" fontId="1" fillId="0" borderId="8" xfId="3" applyFont="1" applyBorder="1"/>
    <xf numFmtId="0" fontId="18" fillId="0" borderId="0" xfId="3"/>
    <xf numFmtId="167" fontId="1" fillId="0" borderId="8" xfId="3" applyNumberFormat="1" applyFont="1" applyBorder="1"/>
    <xf numFmtId="1" fontId="1" fillId="0" borderId="8" xfId="3" applyNumberFormat="1" applyFont="1" applyBorder="1"/>
    <xf numFmtId="0" fontId="13" fillId="0" borderId="8" xfId="3" applyFont="1" applyBorder="1"/>
    <xf numFmtId="0" fontId="20" fillId="0" borderId="0" xfId="3" applyFont="1"/>
    <xf numFmtId="2" fontId="1" fillId="0" borderId="8" xfId="3" applyNumberFormat="1" applyFont="1" applyBorder="1"/>
    <xf numFmtId="0" fontId="17" fillId="7" borderId="44" xfId="0" applyFont="1" applyFill="1" applyBorder="1"/>
    <xf numFmtId="2" fontId="0" fillId="0" borderId="0" xfId="0" applyNumberFormat="1"/>
    <xf numFmtId="1" fontId="13" fillId="0" borderId="0" xfId="3" applyNumberFormat="1" applyFont="1"/>
    <xf numFmtId="1" fontId="1" fillId="0" borderId="0" xfId="3" applyNumberFormat="1" applyFont="1"/>
    <xf numFmtId="0" fontId="22" fillId="0" borderId="8" xfId="3" applyFont="1" applyBorder="1" applyAlignment="1">
      <alignment wrapText="1"/>
    </xf>
    <xf numFmtId="0" fontId="22" fillId="0" borderId="8" xfId="3" applyFont="1" applyBorder="1" applyAlignment="1">
      <alignment horizontal="center" vertical="center"/>
    </xf>
    <xf numFmtId="1" fontId="13" fillId="0" borderId="8" xfId="3" applyNumberFormat="1" applyFont="1" applyBorder="1"/>
    <xf numFmtId="0" fontId="1" fillId="0" borderId="8" xfId="3" applyFont="1" applyBorder="1" applyAlignment="1">
      <alignment wrapText="1"/>
    </xf>
    <xf numFmtId="0" fontId="14" fillId="0" borderId="8" xfId="0" applyFont="1" applyBorder="1"/>
    <xf numFmtId="0" fontId="24" fillId="0" borderId="8" xfId="0" applyFont="1" applyBorder="1"/>
    <xf numFmtId="0" fontId="3" fillId="0" borderId="8" xfId="0" applyFont="1" applyBorder="1"/>
    <xf numFmtId="167" fontId="3" fillId="0" borderId="8" xfId="0" applyNumberFormat="1" applyFont="1" applyBorder="1"/>
    <xf numFmtId="2" fontId="3" fillId="0" borderId="8" xfId="0" applyNumberFormat="1" applyFont="1" applyBorder="1"/>
    <xf numFmtId="0" fontId="22" fillId="0" borderId="8" xfId="0" applyFont="1" applyBorder="1" applyAlignment="1">
      <alignment wrapText="1"/>
    </xf>
    <xf numFmtId="0" fontId="13" fillId="0" borderId="8" xfId="0" applyFont="1" applyBorder="1" applyAlignment="1">
      <alignment wrapText="1"/>
    </xf>
    <xf numFmtId="0" fontId="26" fillId="0" borderId="8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27" fillId="0" borderId="8" xfId="0" applyFont="1" applyBorder="1"/>
    <xf numFmtId="0" fontId="27" fillId="0" borderId="8" xfId="0" applyFont="1" applyBorder="1" applyAlignment="1">
      <alignment wrapText="1"/>
    </xf>
    <xf numFmtId="0" fontId="27" fillId="0" borderId="8" xfId="0" applyFont="1" applyBorder="1" applyAlignment="1">
      <alignment vertical="center"/>
    </xf>
    <xf numFmtId="0" fontId="28" fillId="0" borderId="8" xfId="0" applyFont="1" applyBorder="1"/>
    <xf numFmtId="0" fontId="28" fillId="0" borderId="5" xfId="0" applyFont="1" applyBorder="1"/>
    <xf numFmtId="168" fontId="28" fillId="0" borderId="5" xfId="0" applyNumberFormat="1" applyFont="1" applyBorder="1"/>
    <xf numFmtId="169" fontId="28" fillId="0" borderId="5" xfId="0" applyNumberFormat="1" applyFont="1" applyBorder="1"/>
    <xf numFmtId="170" fontId="28" fillId="0" borderId="5" xfId="0" applyNumberFormat="1" applyFont="1" applyBorder="1"/>
    <xf numFmtId="169" fontId="28" fillId="0" borderId="8" xfId="2" applyNumberFormat="1" applyFont="1" applyBorder="1"/>
    <xf numFmtId="170" fontId="28" fillId="0" borderId="8" xfId="0" applyNumberFormat="1" applyFont="1" applyBorder="1"/>
    <xf numFmtId="170" fontId="27" fillId="0" borderId="8" xfId="0" applyNumberFormat="1" applyFont="1" applyBorder="1"/>
    <xf numFmtId="0" fontId="13" fillId="0" borderId="8" xfId="0" applyFont="1" applyBorder="1" applyAlignment="1">
      <alignment horizontal="left" vertical="center"/>
    </xf>
    <xf numFmtId="0" fontId="13" fillId="14" borderId="8" xfId="0" applyFont="1" applyFill="1" applyBorder="1" applyAlignment="1">
      <alignment horizontal="left" vertical="center"/>
    </xf>
    <xf numFmtId="0" fontId="0" fillId="0" borderId="0" xfId="0" applyAlignment="1">
      <alignment wrapText="1"/>
    </xf>
    <xf numFmtId="0" fontId="27" fillId="0" borderId="8" xfId="0" applyFont="1" applyBorder="1" applyAlignment="1">
      <alignment horizontal="center" vertical="center" wrapText="1"/>
    </xf>
    <xf numFmtId="0" fontId="27" fillId="0" borderId="8" xfId="0" applyFont="1" applyBorder="1" applyAlignment="1">
      <alignment vertical="center" wrapText="1"/>
    </xf>
    <xf numFmtId="0" fontId="27" fillId="0" borderId="8" xfId="0" applyFont="1" applyBorder="1" applyAlignment="1">
      <alignment horizontal="center" wrapText="1"/>
    </xf>
    <xf numFmtId="0" fontId="28" fillId="0" borderId="8" xfId="0" applyFont="1" applyBorder="1" applyAlignment="1">
      <alignment horizontal="left" vertical="center" wrapText="1"/>
    </xf>
    <xf numFmtId="3" fontId="28" fillId="0" borderId="8" xfId="0" applyNumberFormat="1" applyFont="1" applyBorder="1" applyAlignment="1">
      <alignment horizontal="right" vertical="center" wrapText="1"/>
    </xf>
    <xf numFmtId="0" fontId="28" fillId="0" borderId="8" xfId="0" applyFont="1" applyBorder="1" applyAlignment="1">
      <alignment horizontal="right" wrapText="1"/>
    </xf>
    <xf numFmtId="0" fontId="28" fillId="0" borderId="8" xfId="0" applyFont="1" applyBorder="1" applyAlignment="1">
      <alignment wrapText="1"/>
    </xf>
    <xf numFmtId="0" fontId="28" fillId="0" borderId="8" xfId="0" applyFont="1" applyBorder="1" applyAlignment="1">
      <alignment horizontal="left"/>
    </xf>
    <xf numFmtId="169" fontId="28" fillId="0" borderId="8" xfId="2" applyNumberFormat="1" applyFont="1" applyBorder="1" applyAlignment="1">
      <alignment horizontal="right"/>
    </xf>
    <xf numFmtId="169" fontId="28" fillId="0" borderId="8" xfId="0" applyNumberFormat="1" applyFont="1" applyBorder="1"/>
    <xf numFmtId="169" fontId="30" fillId="0" borderId="8" xfId="0" applyNumberFormat="1" applyFont="1" applyBorder="1"/>
    <xf numFmtId="0" fontId="27" fillId="0" borderId="8" xfId="0" applyFont="1" applyBorder="1" applyAlignment="1">
      <alignment horizontal="center"/>
    </xf>
    <xf numFmtId="169" fontId="27" fillId="0" borderId="8" xfId="0" applyNumberFormat="1" applyFont="1" applyBorder="1"/>
    <xf numFmtId="0" fontId="0" fillId="0" borderId="8" xfId="0" applyBorder="1" applyAlignment="1">
      <alignment wrapText="1"/>
    </xf>
    <xf numFmtId="173" fontId="0" fillId="0" borderId="8" xfId="0" applyNumberFormat="1" applyBorder="1" applyAlignment="1">
      <alignment wrapText="1"/>
    </xf>
    <xf numFmtId="9" fontId="0" fillId="0" borderId="8" xfId="0" applyNumberFormat="1" applyBorder="1" applyAlignment="1">
      <alignment wrapText="1"/>
    </xf>
    <xf numFmtId="0" fontId="13" fillId="0" borderId="8" xfId="0" applyFont="1" applyBorder="1" applyAlignment="1">
      <alignment horizontal="left" vertical="center" wrapText="1"/>
    </xf>
    <xf numFmtId="171" fontId="13" fillId="0" borderId="8" xfId="0" applyNumberFormat="1" applyFont="1" applyBorder="1" applyAlignment="1">
      <alignment horizontal="left" vertical="center"/>
    </xf>
    <xf numFmtId="0" fontId="13" fillId="14" borderId="8" xfId="0" applyFont="1" applyFill="1" applyBorder="1" applyAlignment="1">
      <alignment horizontal="left" vertical="center" wrapText="1"/>
    </xf>
    <xf numFmtId="171" fontId="13" fillId="14" borderId="8" xfId="0" applyNumberFormat="1" applyFont="1" applyFill="1" applyBorder="1" applyAlignment="1">
      <alignment horizontal="left" vertical="center"/>
    </xf>
    <xf numFmtId="172" fontId="13" fillId="0" borderId="8" xfId="0" applyNumberFormat="1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172" fontId="13" fillId="14" borderId="8" xfId="0" applyNumberFormat="1" applyFont="1" applyFill="1" applyBorder="1" applyAlignment="1">
      <alignment horizontal="left" vertical="center"/>
    </xf>
    <xf numFmtId="0" fontId="1" fillId="0" borderId="8" xfId="3" applyFont="1" applyBorder="1" applyAlignment="1">
      <alignment horizontal="left" vertical="center"/>
    </xf>
    <xf numFmtId="1" fontId="1" fillId="0" borderId="8" xfId="3" applyNumberFormat="1" applyFont="1" applyBorder="1" applyAlignment="1">
      <alignment horizontal="left" vertical="center"/>
    </xf>
    <xf numFmtId="1" fontId="13" fillId="0" borderId="8" xfId="3" applyNumberFormat="1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3" fillId="15" borderId="8" xfId="0" applyFont="1" applyFill="1" applyBorder="1" applyAlignment="1">
      <alignment horizontal="left" vertical="center"/>
    </xf>
    <xf numFmtId="0" fontId="13" fillId="15" borderId="8" xfId="0" applyFont="1" applyFill="1" applyBorder="1" applyAlignment="1">
      <alignment horizontal="left" vertical="center" wrapText="1"/>
    </xf>
    <xf numFmtId="172" fontId="13" fillId="15" borderId="8" xfId="0" applyNumberFormat="1" applyFont="1" applyFill="1" applyBorder="1" applyAlignment="1">
      <alignment horizontal="left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1" fontId="11" fillId="0" borderId="8" xfId="0" applyNumberFormat="1" applyFont="1" applyBorder="1" applyAlignment="1">
      <alignment horizontal="right" vertical="center"/>
    </xf>
    <xf numFmtId="0" fontId="10" fillId="0" borderId="30" xfId="0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4" borderId="8" xfId="0" applyFill="1" applyBorder="1" applyAlignment="1">
      <alignment horizontal="center"/>
    </xf>
    <xf numFmtId="0" fontId="21" fillId="0" borderId="0" xfId="3" applyFont="1" applyAlignment="1">
      <alignment horizontal="center"/>
    </xf>
    <xf numFmtId="0" fontId="18" fillId="0" borderId="1" xfId="3" applyBorder="1" applyAlignment="1">
      <alignment horizontal="center"/>
    </xf>
    <xf numFmtId="0" fontId="0" fillId="6" borderId="8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43" xfId="0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0" borderId="8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/>
    </xf>
    <xf numFmtId="0" fontId="0" fillId="6" borderId="32" xfId="0" applyFill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8" xfId="0" applyFont="1" applyBorder="1" applyAlignment="1">
      <alignment horizontal="center"/>
    </xf>
    <xf numFmtId="0" fontId="22" fillId="0" borderId="8" xfId="3" applyFont="1" applyBorder="1" applyAlignment="1">
      <alignment horizontal="center" vertical="center"/>
    </xf>
    <xf numFmtId="0" fontId="1" fillId="0" borderId="8" xfId="3" applyFont="1" applyBorder="1" applyAlignment="1">
      <alignment horizontal="center" vertical="center" wrapText="1"/>
    </xf>
    <xf numFmtId="0" fontId="23" fillId="0" borderId="1" xfId="3" applyFont="1" applyBorder="1" applyAlignment="1">
      <alignment horizontal="center"/>
    </xf>
    <xf numFmtId="0" fontId="1" fillId="0" borderId="1" xfId="3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27" fillId="0" borderId="8" xfId="0" applyFont="1" applyBorder="1" applyAlignment="1">
      <alignment horizontal="left"/>
    </xf>
    <xf numFmtId="0" fontId="29" fillId="0" borderId="3" xfId="0" applyFont="1" applyBorder="1" applyAlignment="1">
      <alignment horizontal="left"/>
    </xf>
    <xf numFmtId="0" fontId="29" fillId="0" borderId="4" xfId="0" applyFont="1" applyBorder="1" applyAlignment="1">
      <alignment horizontal="left"/>
    </xf>
    <xf numFmtId="0" fontId="29" fillId="0" borderId="5" xfId="0" applyFont="1" applyBorder="1" applyAlignment="1">
      <alignment horizontal="left"/>
    </xf>
    <xf numFmtId="166" fontId="0" fillId="0" borderId="0" xfId="0" applyNumberFormat="1"/>
    <xf numFmtId="174" fontId="0" fillId="0" borderId="0" xfId="0" applyNumberFormat="1"/>
  </cellXfs>
  <cellStyles count="4">
    <cellStyle name="Milliers" xfId="2" builtinId="3"/>
    <cellStyle name="Normal" xfId="0" builtinId="0"/>
    <cellStyle name="Normal 2" xfId="1" xr:uid="{750668A1-922E-4FDA-84B3-BD0F7E6B8520}"/>
    <cellStyle name="Normal 3" xfId="3" xr:uid="{479A5E44-7CD6-4A5E-B671-0D7861E58C02}"/>
  </cellStyles>
  <dxfs count="197"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ont>
        <color theme="0"/>
      </font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fill>
        <patternFill patternType="solid">
          <bgColor rgb="FFFF5757"/>
        </patternFill>
      </fill>
    </dxf>
    <dxf>
      <fill>
        <patternFill>
          <bgColor rgb="FF00F26D"/>
        </patternFill>
      </fill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Arial"/>
        <family val="2"/>
        <scheme val="none"/>
      </font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FF5757"/>
      <color rgb="FF00F2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</a:t>
            </a:r>
            <a:r>
              <a:rPr lang="fr-FR" baseline="0"/>
              <a:t> THEORIQUE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EPANET'!$E$3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EPANET'!$E$4:$E$73</c:f>
              <c:numCache>
                <c:formatCode>General</c:formatCode>
                <c:ptCount val="70"/>
                <c:pt idx="0">
                  <c:v>349.70415157754883</c:v>
                </c:pt>
                <c:pt idx="1">
                  <c:v>347.87800775595855</c:v>
                </c:pt>
                <c:pt idx="2">
                  <c:v>304.94857037416716</c:v>
                </c:pt>
                <c:pt idx="3">
                  <c:v>313.19190917793884</c:v>
                </c:pt>
                <c:pt idx="4">
                  <c:v>564.33264798310029</c:v>
                </c:pt>
                <c:pt idx="5">
                  <c:v>283.2927409413515</c:v>
                </c:pt>
                <c:pt idx="6">
                  <c:v>228.53730409510246</c:v>
                </c:pt>
                <c:pt idx="7">
                  <c:v>506.01477786129203</c:v>
                </c:pt>
                <c:pt idx="8">
                  <c:v>405.37786100264873</c:v>
                </c:pt>
                <c:pt idx="9">
                  <c:v>376.03360738815661</c:v>
                </c:pt>
                <c:pt idx="10">
                  <c:v>334.81623441527665</c:v>
                </c:pt>
                <c:pt idx="11">
                  <c:v>307.03015474634879</c:v>
                </c:pt>
                <c:pt idx="12">
                  <c:v>562.07078458053741</c:v>
                </c:pt>
                <c:pt idx="13">
                  <c:v>384.40954805642207</c:v>
                </c:pt>
                <c:pt idx="14">
                  <c:v>403.80357210005502</c:v>
                </c:pt>
                <c:pt idx="15">
                  <c:v>419.28054849223457</c:v>
                </c:pt>
                <c:pt idx="16">
                  <c:v>484.14347507593106</c:v>
                </c:pt>
                <c:pt idx="17">
                  <c:v>606.7560187110123</c:v>
                </c:pt>
                <c:pt idx="18">
                  <c:v>441.47985072789686</c:v>
                </c:pt>
                <c:pt idx="19">
                  <c:v>304.94857037416716</c:v>
                </c:pt>
                <c:pt idx="20">
                  <c:v>267.09095757407135</c:v>
                </c:pt>
                <c:pt idx="21">
                  <c:v>167.40811720763833</c:v>
                </c:pt>
                <c:pt idx="22">
                  <c:v>262.27811368316162</c:v>
                </c:pt>
                <c:pt idx="23">
                  <c:v>195.49056373532235</c:v>
                </c:pt>
                <c:pt idx="24">
                  <c:v>340.47550114359308</c:v>
                </c:pt>
                <c:pt idx="25">
                  <c:v>358.69544237718657</c:v>
                </c:pt>
                <c:pt idx="26">
                  <c:v>195.49056373532235</c:v>
                </c:pt>
                <c:pt idx="27">
                  <c:v>211.15394209236661</c:v>
                </c:pt>
                <c:pt idx="28">
                  <c:v>249.8407135868874</c:v>
                </c:pt>
                <c:pt idx="29">
                  <c:v>336.71322542832195</c:v>
                </c:pt>
                <c:pt idx="30">
                  <c:v>313.19190917793884</c:v>
                </c:pt>
                <c:pt idx="31">
                  <c:v>217.10310444989827</c:v>
                </c:pt>
                <c:pt idx="32">
                  <c:v>405.37786100264873</c:v>
                </c:pt>
                <c:pt idx="33">
                  <c:v>329.05965230801246</c:v>
                </c:pt>
                <c:pt idx="34">
                  <c:v>309.09772123696632</c:v>
                </c:pt>
                <c:pt idx="35">
                  <c:v>325.165318071336</c:v>
                </c:pt>
                <c:pt idx="36">
                  <c:v>327.11828048391237</c:v>
                </c:pt>
                <c:pt idx="37">
                  <c:v>315.21906243887082</c:v>
                </c:pt>
                <c:pt idx="38">
                  <c:v>438.5848696638875</c:v>
                </c:pt>
                <c:pt idx="39">
                  <c:v>262.27811368316162</c:v>
                </c:pt>
                <c:pt idx="40">
                  <c:v>211.15394209236661</c:v>
                </c:pt>
                <c:pt idx="41">
                  <c:v>334.81623441527665</c:v>
                </c:pt>
                <c:pt idx="42">
                  <c:v>541.28886056637862</c:v>
                </c:pt>
                <c:pt idx="43">
                  <c:v>192.30085240163368</c:v>
                </c:pt>
                <c:pt idx="44">
                  <c:v>192.30085240163368</c:v>
                </c:pt>
                <c:pt idx="45">
                  <c:v>192.30085240163368</c:v>
                </c:pt>
                <c:pt idx="46">
                  <c:v>192.30085240163368</c:v>
                </c:pt>
                <c:pt idx="47">
                  <c:v>192.30085240163368</c:v>
                </c:pt>
                <c:pt idx="48">
                  <c:v>192.30085240163368</c:v>
                </c:pt>
                <c:pt idx="49">
                  <c:v>192.30085240163368</c:v>
                </c:pt>
                <c:pt idx="50">
                  <c:v>192.30085240163368</c:v>
                </c:pt>
                <c:pt idx="51">
                  <c:v>192.30085240163368</c:v>
                </c:pt>
                <c:pt idx="52">
                  <c:v>192.30085240163368</c:v>
                </c:pt>
                <c:pt idx="53">
                  <c:v>192.30085240163368</c:v>
                </c:pt>
                <c:pt idx="54">
                  <c:v>192.30085240163368</c:v>
                </c:pt>
                <c:pt idx="55">
                  <c:v>192.30085240163368</c:v>
                </c:pt>
                <c:pt idx="56">
                  <c:v>192.30085240163368</c:v>
                </c:pt>
                <c:pt idx="57">
                  <c:v>192.30085240163368</c:v>
                </c:pt>
                <c:pt idx="58">
                  <c:v>192.30085240163368</c:v>
                </c:pt>
                <c:pt idx="59">
                  <c:v>192.30085240163368</c:v>
                </c:pt>
                <c:pt idx="60">
                  <c:v>192.30085240163368</c:v>
                </c:pt>
                <c:pt idx="61">
                  <c:v>192.30085240163368</c:v>
                </c:pt>
                <c:pt idx="62">
                  <c:v>192.30085240163368</c:v>
                </c:pt>
                <c:pt idx="63">
                  <c:v>192.30085240163368</c:v>
                </c:pt>
                <c:pt idx="64">
                  <c:v>192.30085240163368</c:v>
                </c:pt>
                <c:pt idx="65">
                  <c:v>192.30085240163368</c:v>
                </c:pt>
                <c:pt idx="66">
                  <c:v>192.30085240163368</c:v>
                </c:pt>
                <c:pt idx="67">
                  <c:v>192.30085240163368</c:v>
                </c:pt>
                <c:pt idx="68">
                  <c:v>539.43235085272443</c:v>
                </c:pt>
                <c:pt idx="69">
                  <c:v>539.43235085272443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B-4E52-B98D-9FBC6CD99ED2}"/>
            </c:ext>
          </c:extLst>
        </c:ser>
        <c:ser>
          <c:idx val="1"/>
          <c:order val="1"/>
          <c:tx>
            <c:strRef>
              <c:f>'COMPARAISON EPANET'!$F$3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'COMPARAISON EPANET'!$F$4:$F$73</c:f>
              <c:numCache>
                <c:formatCode>General</c:formatCode>
                <c:ptCount val="70"/>
                <c:pt idx="0">
                  <c:v>204.2</c:v>
                </c:pt>
                <c:pt idx="1">
                  <c:v>156.4</c:v>
                </c:pt>
                <c:pt idx="2">
                  <c:v>156.4</c:v>
                </c:pt>
                <c:pt idx="3">
                  <c:v>156.4</c:v>
                </c:pt>
                <c:pt idx="4">
                  <c:v>156.4</c:v>
                </c:pt>
                <c:pt idx="5">
                  <c:v>156.4</c:v>
                </c:pt>
                <c:pt idx="6">
                  <c:v>156.4</c:v>
                </c:pt>
                <c:pt idx="7">
                  <c:v>156.4</c:v>
                </c:pt>
                <c:pt idx="8">
                  <c:v>156.4</c:v>
                </c:pt>
                <c:pt idx="9">
                  <c:v>108.4</c:v>
                </c:pt>
                <c:pt idx="10">
                  <c:v>108.4</c:v>
                </c:pt>
                <c:pt idx="11">
                  <c:v>97.8</c:v>
                </c:pt>
                <c:pt idx="12">
                  <c:v>94.4</c:v>
                </c:pt>
                <c:pt idx="13">
                  <c:v>72.8</c:v>
                </c:pt>
                <c:pt idx="14">
                  <c:v>54.6</c:v>
                </c:pt>
                <c:pt idx="15">
                  <c:v>51.4</c:v>
                </c:pt>
                <c:pt idx="16">
                  <c:v>156.4</c:v>
                </c:pt>
                <c:pt idx="17">
                  <c:v>51.4</c:v>
                </c:pt>
                <c:pt idx="18">
                  <c:v>77.2</c:v>
                </c:pt>
                <c:pt idx="19">
                  <c:v>72.8</c:v>
                </c:pt>
                <c:pt idx="20">
                  <c:v>72.8</c:v>
                </c:pt>
                <c:pt idx="21">
                  <c:v>51.4</c:v>
                </c:pt>
                <c:pt idx="22">
                  <c:v>51.4</c:v>
                </c:pt>
                <c:pt idx="23">
                  <c:v>51.4</c:v>
                </c:pt>
                <c:pt idx="24">
                  <c:v>156.4</c:v>
                </c:pt>
                <c:pt idx="25">
                  <c:v>156.4</c:v>
                </c:pt>
                <c:pt idx="26">
                  <c:v>156.4</c:v>
                </c:pt>
                <c:pt idx="27">
                  <c:v>156.4</c:v>
                </c:pt>
                <c:pt idx="28">
                  <c:v>156.4</c:v>
                </c:pt>
                <c:pt idx="29">
                  <c:v>156.4</c:v>
                </c:pt>
                <c:pt idx="30">
                  <c:v>156.4</c:v>
                </c:pt>
                <c:pt idx="31">
                  <c:v>156.4</c:v>
                </c:pt>
                <c:pt idx="32">
                  <c:v>156.4</c:v>
                </c:pt>
                <c:pt idx="33">
                  <c:v>156.4</c:v>
                </c:pt>
                <c:pt idx="34">
                  <c:v>156.4</c:v>
                </c:pt>
                <c:pt idx="35">
                  <c:v>156.4</c:v>
                </c:pt>
                <c:pt idx="36">
                  <c:v>156.4</c:v>
                </c:pt>
                <c:pt idx="37">
                  <c:v>156.4</c:v>
                </c:pt>
                <c:pt idx="38">
                  <c:v>156.4</c:v>
                </c:pt>
                <c:pt idx="39">
                  <c:v>156.4</c:v>
                </c:pt>
                <c:pt idx="40">
                  <c:v>156.4</c:v>
                </c:pt>
                <c:pt idx="41">
                  <c:v>156.4</c:v>
                </c:pt>
                <c:pt idx="42">
                  <c:v>156.4</c:v>
                </c:pt>
                <c:pt idx="43">
                  <c:v>108.4</c:v>
                </c:pt>
                <c:pt idx="44">
                  <c:v>108.4</c:v>
                </c:pt>
                <c:pt idx="45">
                  <c:v>94.4</c:v>
                </c:pt>
                <c:pt idx="46">
                  <c:v>94.4</c:v>
                </c:pt>
                <c:pt idx="47">
                  <c:v>94.4</c:v>
                </c:pt>
                <c:pt idx="48">
                  <c:v>72.8</c:v>
                </c:pt>
                <c:pt idx="49">
                  <c:v>72.8</c:v>
                </c:pt>
                <c:pt idx="50">
                  <c:v>72.8</c:v>
                </c:pt>
                <c:pt idx="51">
                  <c:v>51.4</c:v>
                </c:pt>
                <c:pt idx="52">
                  <c:v>51.4</c:v>
                </c:pt>
                <c:pt idx="53">
                  <c:v>51.4</c:v>
                </c:pt>
                <c:pt idx="54">
                  <c:v>51.4</c:v>
                </c:pt>
                <c:pt idx="55">
                  <c:v>53.4</c:v>
                </c:pt>
                <c:pt idx="56">
                  <c:v>72.8</c:v>
                </c:pt>
                <c:pt idx="57">
                  <c:v>77.2</c:v>
                </c:pt>
                <c:pt idx="58">
                  <c:v>94.4</c:v>
                </c:pt>
                <c:pt idx="59">
                  <c:v>94.4</c:v>
                </c:pt>
                <c:pt idx="60">
                  <c:v>100</c:v>
                </c:pt>
                <c:pt idx="61">
                  <c:v>108.4</c:v>
                </c:pt>
                <c:pt idx="62">
                  <c:v>156.4</c:v>
                </c:pt>
                <c:pt idx="63">
                  <c:v>156.4</c:v>
                </c:pt>
                <c:pt idx="64">
                  <c:v>156.4</c:v>
                </c:pt>
                <c:pt idx="65">
                  <c:v>156.4</c:v>
                </c:pt>
                <c:pt idx="66">
                  <c:v>156.4</c:v>
                </c:pt>
                <c:pt idx="67">
                  <c:v>156.4</c:v>
                </c:pt>
                <c:pt idx="68">
                  <c:v>156.4</c:v>
                </c:pt>
                <c:pt idx="69">
                  <c:v>156.4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B-4E52-B98D-9FBC6CD9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088063"/>
        <c:axId val="632089023"/>
      </c:barChart>
      <c:catAx>
        <c:axId val="63208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089023"/>
        <c:crosses val="autoZero"/>
        <c:auto val="1"/>
        <c:lblAlgn val="ctr"/>
        <c:lblOffset val="100"/>
        <c:noMultiLvlLbl val="0"/>
      </c:catAx>
      <c:valAx>
        <c:axId val="6320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08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</a:t>
            </a:r>
            <a:r>
              <a:rPr lang="fr-FR" baseline="0"/>
              <a:t> 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EPANET'!$G$3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EPANET'!$G$4:$G$73</c:f>
              <c:numCache>
                <c:formatCode>General</c:formatCode>
                <c:ptCount val="70"/>
                <c:pt idx="0">
                  <c:v>350</c:v>
                </c:pt>
                <c:pt idx="1">
                  <c:v>350</c:v>
                </c:pt>
                <c:pt idx="2">
                  <c:v>350</c:v>
                </c:pt>
                <c:pt idx="3">
                  <c:v>350</c:v>
                </c:pt>
                <c:pt idx="4">
                  <c:v>600</c:v>
                </c:pt>
                <c:pt idx="5">
                  <c:v>300</c:v>
                </c:pt>
                <c:pt idx="6">
                  <c:v>250</c:v>
                </c:pt>
                <c:pt idx="7">
                  <c:v>600</c:v>
                </c:pt>
                <c:pt idx="8">
                  <c:v>450</c:v>
                </c:pt>
                <c:pt idx="9">
                  <c:v>400</c:v>
                </c:pt>
                <c:pt idx="10">
                  <c:v>350</c:v>
                </c:pt>
                <c:pt idx="11">
                  <c:v>350</c:v>
                </c:pt>
                <c:pt idx="12">
                  <c:v>600</c:v>
                </c:pt>
                <c:pt idx="13">
                  <c:v>400</c:v>
                </c:pt>
                <c:pt idx="14">
                  <c:v>450</c:v>
                </c:pt>
                <c:pt idx="15">
                  <c:v>450</c:v>
                </c:pt>
                <c:pt idx="16">
                  <c:v>600</c:v>
                </c:pt>
                <c:pt idx="17">
                  <c:v>800</c:v>
                </c:pt>
                <c:pt idx="18">
                  <c:v>500</c:v>
                </c:pt>
                <c:pt idx="19">
                  <c:v>350</c:v>
                </c:pt>
                <c:pt idx="20">
                  <c:v>300</c:v>
                </c:pt>
                <c:pt idx="21">
                  <c:v>200</c:v>
                </c:pt>
                <c:pt idx="22">
                  <c:v>300</c:v>
                </c:pt>
                <c:pt idx="23">
                  <c:v>200</c:v>
                </c:pt>
                <c:pt idx="24">
                  <c:v>350</c:v>
                </c:pt>
                <c:pt idx="25">
                  <c:v>400</c:v>
                </c:pt>
                <c:pt idx="26">
                  <c:v>200</c:v>
                </c:pt>
                <c:pt idx="27">
                  <c:v>250</c:v>
                </c:pt>
                <c:pt idx="28">
                  <c:v>250</c:v>
                </c:pt>
                <c:pt idx="29">
                  <c:v>350</c:v>
                </c:pt>
                <c:pt idx="30">
                  <c:v>350</c:v>
                </c:pt>
                <c:pt idx="31">
                  <c:v>250</c:v>
                </c:pt>
                <c:pt idx="32">
                  <c:v>450</c:v>
                </c:pt>
                <c:pt idx="33">
                  <c:v>350</c:v>
                </c:pt>
                <c:pt idx="34">
                  <c:v>350</c:v>
                </c:pt>
                <c:pt idx="35">
                  <c:v>350</c:v>
                </c:pt>
                <c:pt idx="36">
                  <c:v>350</c:v>
                </c:pt>
                <c:pt idx="37">
                  <c:v>350</c:v>
                </c:pt>
                <c:pt idx="38">
                  <c:v>500</c:v>
                </c:pt>
                <c:pt idx="39">
                  <c:v>300</c:v>
                </c:pt>
                <c:pt idx="40">
                  <c:v>250</c:v>
                </c:pt>
                <c:pt idx="41">
                  <c:v>350</c:v>
                </c:pt>
                <c:pt idx="42">
                  <c:v>600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600</c:v>
                </c:pt>
                <c:pt idx="69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1-483A-809A-F928E9108F6A}"/>
            </c:ext>
          </c:extLst>
        </c:ser>
        <c:ser>
          <c:idx val="1"/>
          <c:order val="1"/>
          <c:tx>
            <c:strRef>
              <c:f>'COMPARAISON EPANET'!$H$3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'COMPARAISON EPANET'!$H$4:$H$73</c:f>
              <c:numCache>
                <c:formatCode>General</c:formatCode>
                <c:ptCount val="70"/>
                <c:pt idx="0">
                  <c:v>200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75</c:v>
                </c:pt>
                <c:pt idx="14">
                  <c:v>50</c:v>
                </c:pt>
                <c:pt idx="15">
                  <c:v>50</c:v>
                </c:pt>
                <c:pt idx="16">
                  <c:v>150</c:v>
                </c:pt>
                <c:pt idx="17">
                  <c:v>50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75</c:v>
                </c:pt>
                <c:pt idx="57">
                  <c:v>75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1-483A-809A-F928E910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221231"/>
        <c:axId val="627223631"/>
      </c:barChart>
      <c:catAx>
        <c:axId val="62722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223631"/>
        <c:crosses val="autoZero"/>
        <c:auto val="1"/>
        <c:lblAlgn val="ctr"/>
        <c:lblOffset val="100"/>
        <c:noMultiLvlLbl val="0"/>
      </c:catAx>
      <c:valAx>
        <c:axId val="627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22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EPANET'!$I$3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EPANET'!$I$4:$I$73</c:f>
              <c:numCache>
                <c:formatCode>General</c:formatCode>
                <c:ptCount val="70"/>
                <c:pt idx="0">
                  <c:v>2.0853796048124752E-2</c:v>
                </c:pt>
                <c:pt idx="1">
                  <c:v>1.4931447295270297E-2</c:v>
                </c:pt>
                <c:pt idx="2">
                  <c:v>1.3589568371156142E-2</c:v>
                </c:pt>
                <c:pt idx="3">
                  <c:v>1.2254391611317524E-2</c:v>
                </c:pt>
                <c:pt idx="4">
                  <c:v>1.0448243431330108E-2</c:v>
                </c:pt>
                <c:pt idx="5">
                  <c:v>8.1802321178428786E-3</c:v>
                </c:pt>
                <c:pt idx="6">
                  <c:v>7.8454534688086573E-3</c:v>
                </c:pt>
                <c:pt idx="7">
                  <c:v>6.1364883263278769E-3</c:v>
                </c:pt>
                <c:pt idx="8">
                  <c:v>5.0944432547182211E-3</c:v>
                </c:pt>
                <c:pt idx="9">
                  <c:v>4.2504826767064937E-3</c:v>
                </c:pt>
                <c:pt idx="10">
                  <c:v>1.8161600251247346E-3</c:v>
                </c:pt>
                <c:pt idx="11">
                  <c:v>1.0455650577453476E-3</c:v>
                </c:pt>
                <c:pt idx="12">
                  <c:v>4.1460525251979692E-4</c:v>
                </c:pt>
                <c:pt idx="13">
                  <c:v>1.937222505701398E-3</c:v>
                </c:pt>
                <c:pt idx="14">
                  <c:v>3.8717170899619782E-3</c:v>
                </c:pt>
                <c:pt idx="15">
                  <c:v>6.0699877427935469E-3</c:v>
                </c:pt>
                <c:pt idx="16">
                  <c:v>2.5297522971591841E-3</c:v>
                </c:pt>
                <c:pt idx="17">
                  <c:v>3.5052425549203427E-4</c:v>
                </c:pt>
                <c:pt idx="18">
                  <c:v>1.7344873335937722E-3</c:v>
                </c:pt>
                <c:pt idx="19">
                  <c:v>2.7547797696999138E-3</c:v>
                </c:pt>
                <c:pt idx="20">
                  <c:v>4.1178197049803727E-3</c:v>
                </c:pt>
                <c:pt idx="21">
                  <c:v>4.899302312000104E-3</c:v>
                </c:pt>
                <c:pt idx="22">
                  <c:v>5.1839247217690312E-3</c:v>
                </c:pt>
                <c:pt idx="23">
                  <c:v>4.8596935076183498E-2</c:v>
                </c:pt>
                <c:pt idx="24">
                  <c:v>6.5757426923407046E-3</c:v>
                </c:pt>
                <c:pt idx="25">
                  <c:v>7.9186732488670981E-3</c:v>
                </c:pt>
                <c:pt idx="26">
                  <c:v>8.2070792912686402E-3</c:v>
                </c:pt>
                <c:pt idx="27">
                  <c:v>7.5738741129898774E-3</c:v>
                </c:pt>
                <c:pt idx="28">
                  <c:v>8.0152868444800952E-3</c:v>
                </c:pt>
                <c:pt idx="29">
                  <c:v>9.8437607048732119E-3</c:v>
                </c:pt>
                <c:pt idx="30">
                  <c:v>1.0444741196510071E-2</c:v>
                </c:pt>
                <c:pt idx="31">
                  <c:v>1.1570607137653602E-2</c:v>
                </c:pt>
                <c:pt idx="32">
                  <c:v>1.2080196732373786E-2</c:v>
                </c:pt>
                <c:pt idx="33">
                  <c:v>1.3440495541544629E-2</c:v>
                </c:pt>
                <c:pt idx="34">
                  <c:v>1.3551805505591012E-2</c:v>
                </c:pt>
                <c:pt idx="35">
                  <c:v>1.5181102533791693E-2</c:v>
                </c:pt>
                <c:pt idx="36">
                  <c:v>1.5653140908892596E-2</c:v>
                </c:pt>
                <c:pt idx="37">
                  <c:v>1.6432974118929002E-2</c:v>
                </c:pt>
                <c:pt idx="38">
                  <c:v>1.7336437868687445E-2</c:v>
                </c:pt>
                <c:pt idx="39">
                  <c:v>1.9566196206081993E-2</c:v>
                </c:pt>
                <c:pt idx="40">
                  <c:v>1.9731093319003384E-2</c:v>
                </c:pt>
                <c:pt idx="41">
                  <c:v>2.1117570768017388E-2</c:v>
                </c:pt>
                <c:pt idx="42">
                  <c:v>5.7204614229803994E-3</c:v>
                </c:pt>
                <c:pt idx="43">
                  <c:v>3.4158959983891946E-3</c:v>
                </c:pt>
                <c:pt idx="44">
                  <c:v>2.8483790914413144E-3</c:v>
                </c:pt>
                <c:pt idx="45">
                  <c:v>8.2525626731084004E-4</c:v>
                </c:pt>
                <c:pt idx="46">
                  <c:v>5.5067698178077554E-4</c:v>
                </c:pt>
                <c:pt idx="47">
                  <c:v>1.0289757278739231E-3</c:v>
                </c:pt>
                <c:pt idx="48">
                  <c:v>1.8232894456951519E-3</c:v>
                </c:pt>
                <c:pt idx="49">
                  <c:v>2.7536849631541582E-3</c:v>
                </c:pt>
                <c:pt idx="50">
                  <c:v>2.6788435646668452E-3</c:v>
                </c:pt>
                <c:pt idx="51">
                  <c:v>4.1520211677015337E-3</c:v>
                </c:pt>
                <c:pt idx="52">
                  <c:v>4.6472620234922542E-3</c:v>
                </c:pt>
                <c:pt idx="53">
                  <c:v>5.5280134627942725E-3</c:v>
                </c:pt>
                <c:pt idx="54">
                  <c:v>5.5123198527817444E-3</c:v>
                </c:pt>
                <c:pt idx="55">
                  <c:v>4.8093251469635348E-3</c:v>
                </c:pt>
                <c:pt idx="56">
                  <c:v>4.7892963499085606E-3</c:v>
                </c:pt>
                <c:pt idx="57">
                  <c:v>2.5181153393386497E-3</c:v>
                </c:pt>
                <c:pt idx="58">
                  <c:v>2.715960240648236E-3</c:v>
                </c:pt>
                <c:pt idx="59">
                  <c:v>9.5932252197964644E-4</c:v>
                </c:pt>
                <c:pt idx="60">
                  <c:v>4.5938434527676136E-4</c:v>
                </c:pt>
                <c:pt idx="61">
                  <c:v>2.2238442319289578E-3</c:v>
                </c:pt>
                <c:pt idx="62">
                  <c:v>3.8880935052790343E-3</c:v>
                </c:pt>
                <c:pt idx="63">
                  <c:v>6.175869455249651E-3</c:v>
                </c:pt>
                <c:pt idx="64">
                  <c:v>8.5702441369695393E-3</c:v>
                </c:pt>
                <c:pt idx="65">
                  <c:v>1.0650585959359166E-2</c:v>
                </c:pt>
                <c:pt idx="66">
                  <c:v>1.4191223912138524E-2</c:v>
                </c:pt>
                <c:pt idx="67">
                  <c:v>1.5034547802609786E-2</c:v>
                </c:pt>
                <c:pt idx="68">
                  <c:v>8.5786050978224893E-3</c:v>
                </c:pt>
                <c:pt idx="69">
                  <c:v>4.5141885895355009E-3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3-4005-8E6A-A463CB496623}"/>
            </c:ext>
          </c:extLst>
        </c:ser>
        <c:ser>
          <c:idx val="1"/>
          <c:order val="1"/>
          <c:tx>
            <c:strRef>
              <c:f>'COMPARAISON EPANET'!$J$3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EPANET'!$J$4:$J$73</c:f>
              <c:numCache>
                <c:formatCode>General</c:formatCode>
                <c:ptCount val="70"/>
                <c:pt idx="0">
                  <c:v>2.7296918869018551E-2</c:v>
                </c:pt>
                <c:pt idx="1">
                  <c:v>2.0083776473999018E-2</c:v>
                </c:pt>
                <c:pt idx="2">
                  <c:v>1.9125244140625001E-2</c:v>
                </c:pt>
                <c:pt idx="3">
                  <c:v>1.8269411087036128E-2</c:v>
                </c:pt>
                <c:pt idx="4">
                  <c:v>1.6403696060180661E-2</c:v>
                </c:pt>
                <c:pt idx="5">
                  <c:v>1.461785984039307E-2</c:v>
                </c:pt>
                <c:pt idx="6">
                  <c:v>1.402448272705078E-2</c:v>
                </c:pt>
                <c:pt idx="7">
                  <c:v>1.264373970031738E-2</c:v>
                </c:pt>
                <c:pt idx="8">
                  <c:v>1.0760909080505369E-2</c:v>
                </c:pt>
                <c:pt idx="9">
                  <c:v>9.3915777206420893E-3</c:v>
                </c:pt>
                <c:pt idx="10">
                  <c:v>8.256173133850098E-3</c:v>
                </c:pt>
                <c:pt idx="11">
                  <c:v>7.3318743705749513E-3</c:v>
                </c:pt>
                <c:pt idx="12">
                  <c:v>5.4946870803833005E-3</c:v>
                </c:pt>
                <c:pt idx="13">
                  <c:v>3.417867422103882E-3</c:v>
                </c:pt>
                <c:pt idx="14">
                  <c:v>2.0257134437561041E-3</c:v>
                </c:pt>
                <c:pt idx="15">
                  <c:v>5.0803762674331667E-4</c:v>
                </c:pt>
                <c:pt idx="16">
                  <c:v>9.0544853210449226E-3</c:v>
                </c:pt>
                <c:pt idx="17">
                  <c:v>5.0803762674331667E-4</c:v>
                </c:pt>
                <c:pt idx="18">
                  <c:v>3.5545794963836668E-3</c:v>
                </c:pt>
                <c:pt idx="19">
                  <c:v>2.2651252746582031E-3</c:v>
                </c:pt>
                <c:pt idx="20">
                  <c:v>1.529109477996826E-3</c:v>
                </c:pt>
                <c:pt idx="21">
                  <c:v>1.0840767621994021E-3</c:v>
                </c:pt>
                <c:pt idx="22">
                  <c:v>6.5045499801635745E-4</c:v>
                </c:pt>
                <c:pt idx="23">
                  <c:v>0</c:v>
                </c:pt>
                <c:pt idx="24">
                  <c:v>1.2776296615600589E-2</c:v>
                </c:pt>
                <c:pt idx="25">
                  <c:v>1.3679935455322268E-2</c:v>
                </c:pt>
                <c:pt idx="26">
                  <c:v>1.3466668128967291E-2</c:v>
                </c:pt>
                <c:pt idx="27">
                  <c:v>1.3837529182434079E-2</c:v>
                </c:pt>
                <c:pt idx="28">
                  <c:v>1.4316794395446778E-2</c:v>
                </c:pt>
                <c:pt idx="29">
                  <c:v>1.5104161262512211E-2</c:v>
                </c:pt>
                <c:pt idx="30">
                  <c:v>1.6051282882690431E-2</c:v>
                </c:pt>
                <c:pt idx="31">
                  <c:v>1.6701713562011718E-2</c:v>
                </c:pt>
                <c:pt idx="32">
                  <c:v>1.7648836135864262E-2</c:v>
                </c:pt>
                <c:pt idx="33">
                  <c:v>1.886982345581055E-2</c:v>
                </c:pt>
                <c:pt idx="34">
                  <c:v>1.9782709121704101E-2</c:v>
                </c:pt>
                <c:pt idx="35">
                  <c:v>2.06841869354248E-2</c:v>
                </c:pt>
                <c:pt idx="36">
                  <c:v>2.1637012481689449E-2</c:v>
                </c:pt>
                <c:pt idx="37">
                  <c:v>2.2561313629150391E-2</c:v>
                </c:pt>
                <c:pt idx="38">
                  <c:v>2.3867883682250981E-2</c:v>
                </c:pt>
                <c:pt idx="39">
                  <c:v>2.503752136230469E-2</c:v>
                </c:pt>
                <c:pt idx="40">
                  <c:v>2.5545314788818361E-2</c:v>
                </c:pt>
                <c:pt idx="41">
                  <c:v>2.624709701538086E-2</c:v>
                </c:pt>
                <c:pt idx="42">
                  <c:v>1.17913990020752E-2</c:v>
                </c:pt>
                <c:pt idx="43">
                  <c:v>9.6518192291259759E-3</c:v>
                </c:pt>
                <c:pt idx="44">
                  <c:v>8.0884981155395514E-3</c:v>
                </c:pt>
                <c:pt idx="45">
                  <c:v>6.7591056823730466E-3</c:v>
                </c:pt>
                <c:pt idx="46">
                  <c:v>5.7149901390075681E-3</c:v>
                </c:pt>
                <c:pt idx="47">
                  <c:v>4.7564578056335446E-3</c:v>
                </c:pt>
                <c:pt idx="48">
                  <c:v>3.7408702373504638E-3</c:v>
                </c:pt>
                <c:pt idx="49">
                  <c:v>2.9763264656066891E-3</c:v>
                </c:pt>
                <c:pt idx="50">
                  <c:v>2.4742381572723389E-3</c:v>
                </c:pt>
                <c:pt idx="51">
                  <c:v>1.8523334264755249E-3</c:v>
                </c:pt>
                <c:pt idx="52">
                  <c:v>1.201900839805603E-3</c:v>
                </c:pt>
                <c:pt idx="53">
                  <c:v>8.1962907314300532E-4</c:v>
                </c:pt>
                <c:pt idx="54">
                  <c:v>3.803018033504486E-4</c:v>
                </c:pt>
                <c:pt idx="55">
                  <c:v>4.2988613247871396E-4</c:v>
                </c:pt>
                <c:pt idx="56">
                  <c:v>1.508234858512878E-3</c:v>
                </c:pt>
                <c:pt idx="57">
                  <c:v>2.6208169460296632E-3</c:v>
                </c:pt>
                <c:pt idx="58">
                  <c:v>3.5793492794036872E-3</c:v>
                </c:pt>
                <c:pt idx="59">
                  <c:v>4.4979424476623547E-3</c:v>
                </c:pt>
                <c:pt idx="60">
                  <c:v>5.9699740409851071E-3</c:v>
                </c:pt>
                <c:pt idx="61">
                  <c:v>7.9326825141906743E-3</c:v>
                </c:pt>
                <c:pt idx="62">
                  <c:v>9.8611583709716805E-3</c:v>
                </c:pt>
                <c:pt idx="63">
                  <c:v>1.1589940071105961E-2</c:v>
                </c:pt>
                <c:pt idx="64">
                  <c:v>1.385504245758057E-2</c:v>
                </c:pt>
                <c:pt idx="65">
                  <c:v>1.6821928024291988E-2</c:v>
                </c:pt>
                <c:pt idx="66">
                  <c:v>1.9275314331054692E-2</c:v>
                </c:pt>
                <c:pt idx="67">
                  <c:v>2.05305347442627E-2</c:v>
                </c:pt>
                <c:pt idx="68">
                  <c:v>2.05305347442627E-2</c:v>
                </c:pt>
                <c:pt idx="69">
                  <c:v>1.1068543434143071E-2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3-4005-8E6A-A463CB49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919759"/>
        <c:axId val="922921199"/>
      </c:barChart>
      <c:catAx>
        <c:axId val="92291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2921199"/>
        <c:crosses val="autoZero"/>
        <c:auto val="1"/>
        <c:lblAlgn val="ctr"/>
        <c:lblOffset val="100"/>
        <c:noMultiLvlLbl val="0"/>
      </c:catAx>
      <c:valAx>
        <c:axId val="92292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291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EPANET'!$K$3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EPANET'!$K$4:$K$73</c:f>
              <c:numCache>
                <c:formatCode>General</c:formatCode>
                <c:ptCount val="70"/>
                <c:pt idx="0">
                  <c:v>1.3546876421588928E-2</c:v>
                </c:pt>
                <c:pt idx="1">
                  <c:v>9.69964752880971E-3</c:v>
                </c:pt>
                <c:pt idx="2">
                  <c:v>8.8279468602235796E-3</c:v>
                </c:pt>
                <c:pt idx="3">
                  <c:v>7.960599998061391E-3</c:v>
                </c:pt>
                <c:pt idx="4">
                  <c:v>2.6045729324514267E-3</c:v>
                </c:pt>
                <c:pt idx="5">
                  <c:v>7.2329132066320991E-3</c:v>
                </c:pt>
                <c:pt idx="6">
                  <c:v>9.989141602866838E-3</c:v>
                </c:pt>
                <c:pt idx="7">
                  <c:v>1.5297242546178928E-3</c:v>
                </c:pt>
                <c:pt idx="8">
                  <c:v>2.2872975956171786E-3</c:v>
                </c:pt>
                <c:pt idx="9">
                  <c:v>2.1140166516384652E-3</c:v>
                </c:pt>
                <c:pt idx="10">
                  <c:v>1.1797993691612342E-3</c:v>
                </c:pt>
                <c:pt idx="11">
                  <c:v>6.7921162148708205E-4</c:v>
                </c:pt>
                <c:pt idx="12">
                  <c:v>1.0335417866769395E-4</c:v>
                </c:pt>
                <c:pt idx="13">
                  <c:v>9.6349543016014023E-4</c:v>
                </c:pt>
                <c:pt idx="14">
                  <c:v>1.7383193310825864E-3</c:v>
                </c:pt>
                <c:pt idx="15">
                  <c:v>2.72529649960452E-3</c:v>
                </c:pt>
                <c:pt idx="16">
                  <c:v>6.3062508088489557E-4</c:v>
                </c:pt>
                <c:pt idx="17">
                  <c:v>5.6926191770575213E-5</c:v>
                </c:pt>
                <c:pt idx="18">
                  <c:v>6.3560811783172026E-4</c:v>
                </c:pt>
                <c:pt idx="19">
                  <c:v>1.7895380305195691E-3</c:v>
                </c:pt>
                <c:pt idx="20">
                  <c:v>3.640952004493536E-3</c:v>
                </c:pt>
                <c:pt idx="21">
                  <c:v>9.7468522582045969E-3</c:v>
                </c:pt>
                <c:pt idx="22">
                  <c:v>4.5835958004767753E-3</c:v>
                </c:pt>
                <c:pt idx="23">
                  <c:v>9.6680530456131453E-2</c:v>
                </c:pt>
                <c:pt idx="24">
                  <c:v>4.271681444842578E-3</c:v>
                </c:pt>
                <c:pt idx="25">
                  <c:v>3.9384249696461154E-3</c:v>
                </c:pt>
                <c:pt idx="26">
                  <c:v>1.6327465469406662E-2</c:v>
                </c:pt>
                <c:pt idx="27">
                  <c:v>9.6433560275046657E-3</c:v>
                </c:pt>
                <c:pt idx="28">
                  <c:v>1.0205380172787576E-2</c:v>
                </c:pt>
                <c:pt idx="29">
                  <c:v>6.3946252032421706E-3</c:v>
                </c:pt>
                <c:pt idx="30">
                  <c:v>6.7850293499597363E-3</c:v>
                </c:pt>
                <c:pt idx="31">
                  <c:v>1.4732154564255497E-2</c:v>
                </c:pt>
                <c:pt idx="32">
                  <c:v>5.4237535995617561E-3</c:v>
                </c:pt>
                <c:pt idx="33">
                  <c:v>8.7311073593526883E-3</c:v>
                </c:pt>
                <c:pt idx="34">
                  <c:v>8.8034156491215172E-3</c:v>
                </c:pt>
                <c:pt idx="35">
                  <c:v>9.8618265707667158E-3</c:v>
                </c:pt>
                <c:pt idx="36">
                  <c:v>1.016846836964988E-2</c:v>
                </c:pt>
                <c:pt idx="37">
                  <c:v>1.0675057390729529E-2</c:v>
                </c:pt>
                <c:pt idx="38">
                  <c:v>6.352989975886297E-3</c:v>
                </c:pt>
                <c:pt idx="39">
                  <c:v>1.7300315798354657E-2</c:v>
                </c:pt>
                <c:pt idx="40">
                  <c:v>2.5122408274614882E-2</c:v>
                </c:pt>
                <c:pt idx="41">
                  <c:v>1.3718227648256656E-2</c:v>
                </c:pt>
                <c:pt idx="42">
                  <c:v>1.4260156820954319E-3</c:v>
                </c:pt>
                <c:pt idx="43">
                  <c:v>6.7957091653933158E-3</c:v>
                </c:pt>
                <c:pt idx="44">
                  <c:v>5.6666701525310862E-3</c:v>
                </c:pt>
                <c:pt idx="45">
                  <c:v>1.6417951782510837E-3</c:v>
                </c:pt>
                <c:pt idx="46">
                  <c:v>1.0955370462167001E-3</c:v>
                </c:pt>
                <c:pt idx="47">
                  <c:v>2.0470821676589475E-3</c:v>
                </c:pt>
                <c:pt idx="48">
                  <c:v>3.6273190996208159E-3</c:v>
                </c:pt>
                <c:pt idx="49">
                  <c:v>5.4782821700475994E-3</c:v>
                </c:pt>
                <c:pt idx="50">
                  <c:v>5.3293899385830224E-3</c:v>
                </c:pt>
                <c:pt idx="51">
                  <c:v>8.2601836582735302E-3</c:v>
                </c:pt>
                <c:pt idx="52">
                  <c:v>9.2454340360254503E-3</c:v>
                </c:pt>
                <c:pt idx="53">
                  <c:v>1.0997633351028172E-2</c:v>
                </c:pt>
                <c:pt idx="54">
                  <c:v>1.0966411905922542E-2</c:v>
                </c:pt>
                <c:pt idx="55">
                  <c:v>9.5678483759425309E-3</c:v>
                </c:pt>
                <c:pt idx="56">
                  <c:v>9.5280023502489868E-3</c:v>
                </c:pt>
                <c:pt idx="57">
                  <c:v>5.0096312941408936E-3</c:v>
                </c:pt>
                <c:pt idx="58">
                  <c:v>5.4032312192527545E-3</c:v>
                </c:pt>
                <c:pt idx="59">
                  <c:v>1.9085115174055517E-3</c:v>
                </c:pt>
                <c:pt idx="60">
                  <c:v>9.1391611662288189E-4</c:v>
                </c:pt>
                <c:pt idx="61">
                  <c:v>4.4241975272236618E-3</c:v>
                </c:pt>
                <c:pt idx="62">
                  <c:v>7.735116257108157E-3</c:v>
                </c:pt>
                <c:pt idx="63">
                  <c:v>1.2286501896165409E-2</c:v>
                </c:pt>
                <c:pt idx="64">
                  <c:v>1.7049958973787957E-2</c:v>
                </c:pt>
                <c:pt idx="65">
                  <c:v>2.1188667528214342E-2</c:v>
                </c:pt>
                <c:pt idx="66">
                  <c:v>2.8232542926759387E-2</c:v>
                </c:pt>
                <c:pt idx="67">
                  <c:v>2.9910282499209257E-2</c:v>
                </c:pt>
                <c:pt idx="68">
                  <c:v>2.1385032596942313E-3</c:v>
                </c:pt>
                <c:pt idx="69">
                  <c:v>1.125311971295491E-3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A10-BAC9-E1DEA2226F4E}"/>
            </c:ext>
          </c:extLst>
        </c:ser>
        <c:ser>
          <c:idx val="1"/>
          <c:order val="1"/>
          <c:tx>
            <c:strRef>
              <c:f>'COMPARAISON EPANET'!$L$3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EPANET'!$L$4:$L$73</c:f>
              <c:numCache>
                <c:formatCode>General</c:formatCode>
                <c:ptCount val="70"/>
                <c:pt idx="0">
                  <c:v>0.83350831270217896</c:v>
                </c:pt>
                <c:pt idx="1">
                  <c:v>1.045393109321594</c:v>
                </c:pt>
                <c:pt idx="2">
                  <c:v>0.99549990892410278</c:v>
                </c:pt>
                <c:pt idx="3">
                  <c:v>0.95095252990722656</c:v>
                </c:pt>
                <c:pt idx="4">
                  <c:v>0.85383903980255127</c:v>
                </c:pt>
                <c:pt idx="5">
                  <c:v>0.76088333129882813</c:v>
                </c:pt>
                <c:pt idx="6">
                  <c:v>0.72999703884124756</c:v>
                </c:pt>
                <c:pt idx="7">
                  <c:v>0.65812718868255615</c:v>
                </c:pt>
                <c:pt idx="8">
                  <c:v>0.5601227879524231</c:v>
                </c:pt>
                <c:pt idx="9">
                  <c:v>1.017624974250793</c:v>
                </c:pt>
                <c:pt idx="10">
                  <c:v>0.89459812641143799</c:v>
                </c:pt>
                <c:pt idx="11">
                  <c:v>0.97598934173583984</c:v>
                </c:pt>
                <c:pt idx="12">
                  <c:v>0.78506708145141602</c:v>
                </c:pt>
                <c:pt idx="13">
                  <c:v>0.82110786437988281</c:v>
                </c:pt>
                <c:pt idx="14">
                  <c:v>0.86516809463500977</c:v>
                </c:pt>
                <c:pt idx="15">
                  <c:v>0.2448371946811676</c:v>
                </c:pt>
                <c:pt idx="16">
                  <c:v>0.4713006317615509</c:v>
                </c:pt>
                <c:pt idx="17">
                  <c:v>0.2448371946811676</c:v>
                </c:pt>
                <c:pt idx="18">
                  <c:v>0.7593839168548584</c:v>
                </c:pt>
                <c:pt idx="19">
                  <c:v>0.54417330026626587</c:v>
                </c:pt>
                <c:pt idx="20">
                  <c:v>0.36735299229621893</c:v>
                </c:pt>
                <c:pt idx="21">
                  <c:v>0.5224461555480957</c:v>
                </c:pt>
                <c:pt idx="22">
                  <c:v>0.31347203254699713</c:v>
                </c:pt>
                <c:pt idx="23">
                  <c:v>0</c:v>
                </c:pt>
                <c:pt idx="24">
                  <c:v>0.6650269627571106</c:v>
                </c:pt>
                <c:pt idx="25">
                  <c:v>0.71206283569335938</c:v>
                </c:pt>
                <c:pt idx="26">
                  <c:v>0.70096194744110107</c:v>
                </c:pt>
                <c:pt idx="27">
                  <c:v>0.72026580572128296</c:v>
                </c:pt>
                <c:pt idx="28">
                  <c:v>0.7452123761177063</c:v>
                </c:pt>
                <c:pt idx="29">
                  <c:v>0.78619611263275146</c:v>
                </c:pt>
                <c:pt idx="30">
                  <c:v>0.83549529314041138</c:v>
                </c:pt>
                <c:pt idx="31">
                  <c:v>0.86935132741928101</c:v>
                </c:pt>
                <c:pt idx="32">
                  <c:v>0.91865050792694092</c:v>
                </c:pt>
                <c:pt idx="33">
                  <c:v>0.98220491409301758</c:v>
                </c:pt>
                <c:pt idx="34">
                  <c:v>1.0297220945358281</c:v>
                </c:pt>
                <c:pt idx="35">
                  <c:v>1.076645493507385</c:v>
                </c:pt>
                <c:pt idx="36">
                  <c:v>1.1262416839599609</c:v>
                </c:pt>
                <c:pt idx="37">
                  <c:v>1.1743530035018921</c:v>
                </c:pt>
                <c:pt idx="38">
                  <c:v>1.2423620223999019</c:v>
                </c:pt>
                <c:pt idx="39">
                  <c:v>1.3032436370849609</c:v>
                </c:pt>
                <c:pt idx="40">
                  <c:v>1.329675078392029</c:v>
                </c:pt>
                <c:pt idx="41">
                  <c:v>1.3662040233612061</c:v>
                </c:pt>
                <c:pt idx="42">
                  <c:v>0.61376148462295532</c:v>
                </c:pt>
                <c:pt idx="43">
                  <c:v>1.045823454856873</c:v>
                </c:pt>
                <c:pt idx="44">
                  <c:v>0.87642973661422729</c:v>
                </c:pt>
                <c:pt idx="45">
                  <c:v>0.96572393178939819</c:v>
                </c:pt>
                <c:pt idx="46">
                  <c:v>0.81654340028762817</c:v>
                </c:pt>
                <c:pt idx="47">
                  <c:v>0.67959064245223999</c:v>
                </c:pt>
                <c:pt idx="48">
                  <c:v>0.89870601892471313</c:v>
                </c:pt>
                <c:pt idx="49">
                  <c:v>0.71503216028213501</c:v>
                </c:pt>
                <c:pt idx="50">
                  <c:v>0.59441053867340088</c:v>
                </c:pt>
                <c:pt idx="51">
                  <c:v>0.89269006252288818</c:v>
                </c:pt>
                <c:pt idx="52">
                  <c:v>0.57922881841659546</c:v>
                </c:pt>
                <c:pt idx="53">
                  <c:v>0.395001620054245</c:v>
                </c:pt>
                <c:pt idx="54">
                  <c:v>0.18327781558036799</c:v>
                </c:pt>
                <c:pt idx="55">
                  <c:v>0.19194583594799039</c:v>
                </c:pt>
                <c:pt idx="56">
                  <c:v>0.36233809590339661</c:v>
                </c:pt>
                <c:pt idx="57">
                  <c:v>0.55989921092987061</c:v>
                </c:pt>
                <c:pt idx="58">
                  <c:v>0.51140838861465454</c:v>
                </c:pt>
                <c:pt idx="59">
                  <c:v>0.6426546573638916</c:v>
                </c:pt>
                <c:pt idx="60">
                  <c:v>0.7601165771484375</c:v>
                </c:pt>
                <c:pt idx="61">
                  <c:v>0.85954630374908447</c:v>
                </c:pt>
                <c:pt idx="62">
                  <c:v>0.51328927278518677</c:v>
                </c:pt>
                <c:pt idx="63">
                  <c:v>0.60327517986297607</c:v>
                </c:pt>
                <c:pt idx="64">
                  <c:v>0.72117745876312256</c:v>
                </c:pt>
                <c:pt idx="65">
                  <c:v>0.87560862302780151</c:v>
                </c:pt>
                <c:pt idx="66">
                  <c:v>1.003311395645142</c:v>
                </c:pt>
                <c:pt idx="67">
                  <c:v>1.068647623062134</c:v>
                </c:pt>
                <c:pt idx="68">
                  <c:v>1.068647623062134</c:v>
                </c:pt>
                <c:pt idx="69">
                  <c:v>0.57613563537597656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A10-BAC9-E1DEA2226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476959"/>
        <c:axId val="1190478879"/>
      </c:barChart>
      <c:catAx>
        <c:axId val="119047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478879"/>
        <c:crosses val="autoZero"/>
        <c:auto val="1"/>
        <c:lblAlgn val="ctr"/>
        <c:lblOffset val="100"/>
        <c:noMultiLvlLbl val="0"/>
      </c:catAx>
      <c:valAx>
        <c:axId val="119047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47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 DE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EPANET'!$M$3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EPANET'!$M$4:$M$73</c:f>
              <c:numCache>
                <c:formatCode>General</c:formatCode>
                <c:ptCount val="70"/>
                <c:pt idx="0">
                  <c:v>0.20734410255996347</c:v>
                </c:pt>
                <c:pt idx="1">
                  <c:v>0.2012434958680151</c:v>
                </c:pt>
                <c:pt idx="2">
                  <c:v>9.4940371718878883E-2</c:v>
                </c:pt>
                <c:pt idx="3">
                  <c:v>0.11054158283193545</c:v>
                </c:pt>
                <c:pt idx="4">
                  <c:v>0.30839440487044523</c:v>
                </c:pt>
                <c:pt idx="5">
                  <c:v>0.132151224021303</c:v>
                </c:pt>
                <c:pt idx="6">
                  <c:v>9.4341624853503211E-2</c:v>
                </c:pt>
                <c:pt idx="7">
                  <c:v>0.16553763307059088</c:v>
                </c:pt>
                <c:pt idx="8">
                  <c:v>0.19585440315176539</c:v>
                </c:pt>
                <c:pt idx="9">
                  <c:v>0.16369540640591485</c:v>
                </c:pt>
                <c:pt idx="10">
                  <c:v>0.16177772046556005</c:v>
                </c:pt>
                <c:pt idx="11">
                  <c:v>9.8696782594534224E-2</c:v>
                </c:pt>
                <c:pt idx="12">
                  <c:v>0.30141008477405656</c:v>
                </c:pt>
                <c:pt idx="13">
                  <c:v>0.18561349239891756</c:v>
                </c:pt>
                <c:pt idx="14">
                  <c:v>0.19155536470823792</c:v>
                </c:pt>
                <c:pt idx="15">
                  <c:v>0.2373923066502179</c:v>
                </c:pt>
                <c:pt idx="16">
                  <c:v>0.12865954661016527</c:v>
                </c:pt>
                <c:pt idx="17">
                  <c:v>0.16421683189371203</c:v>
                </c:pt>
                <c:pt idx="18">
                  <c:v>0.19428610209258285</c:v>
                </c:pt>
                <c:pt idx="19">
                  <c:v>9.4940371718878883E-2</c:v>
                </c:pt>
                <c:pt idx="20">
                  <c:v>9.4446136293034055E-2</c:v>
                </c:pt>
                <c:pt idx="21">
                  <c:v>4.7389480906776568E-2</c:v>
                </c:pt>
                <c:pt idx="22">
                  <c:v>8.5141039063695509E-2</c:v>
                </c:pt>
                <c:pt idx="23">
                  <c:v>0.11477367408807007</c:v>
                </c:pt>
                <c:pt idx="24">
                  <c:v>0.17800827088336596</c:v>
                </c:pt>
                <c:pt idx="25">
                  <c:v>0.12505467014160557</c:v>
                </c:pt>
                <c:pt idx="26">
                  <c:v>0.11477367408807007</c:v>
                </c:pt>
                <c:pt idx="27">
                  <c:v>6.0079437098534257E-2</c:v>
                </c:pt>
                <c:pt idx="28">
                  <c:v>0.15684945454255206</c:v>
                </c:pt>
                <c:pt idx="29">
                  <c:v>0.16707613867720356</c:v>
                </c:pt>
                <c:pt idx="30">
                  <c:v>0.11054158283193545</c:v>
                </c:pt>
                <c:pt idx="31">
                  <c:v>7.0397155231682926E-2</c:v>
                </c:pt>
                <c:pt idx="32">
                  <c:v>0.19585440315176539</c:v>
                </c:pt>
                <c:pt idx="33">
                  <c:v>0.14654024282313405</c:v>
                </c:pt>
                <c:pt idx="34">
                  <c:v>0.10254839177742346</c:v>
                </c:pt>
                <c:pt idx="35">
                  <c:v>0.13691935675646288</c:v>
                </c:pt>
                <c:pt idx="36">
                  <c:v>0.14167677243743118</c:v>
                </c:pt>
                <c:pt idx="37">
                  <c:v>0.11468534822271816</c:v>
                </c:pt>
                <c:pt idx="38">
                  <c:v>0.18713026311110245</c:v>
                </c:pt>
                <c:pt idx="39">
                  <c:v>8.5141039063695509E-2</c:v>
                </c:pt>
                <c:pt idx="40">
                  <c:v>6.0079437098534257E-2</c:v>
                </c:pt>
                <c:pt idx="41">
                  <c:v>0.16177772046556005</c:v>
                </c:pt>
                <c:pt idx="42">
                  <c:v>0.24312486288101076</c:v>
                </c:pt>
                <c:pt idx="43">
                  <c:v>0.52194587745420518</c:v>
                </c:pt>
                <c:pt idx="44">
                  <c:v>0.46435184959718945</c:v>
                </c:pt>
                <c:pt idx="45">
                  <c:v>0.37436118107060234</c:v>
                </c:pt>
                <c:pt idx="46">
                  <c:v>0.28437051254401524</c:v>
                </c:pt>
                <c:pt idx="47">
                  <c:v>0.32036677995465007</c:v>
                </c:pt>
                <c:pt idx="48">
                  <c:v>0.32036677995465007</c:v>
                </c:pt>
                <c:pt idx="49">
                  <c:v>0.16198320334785676</c:v>
                </c:pt>
                <c:pt idx="50">
                  <c:v>0.1547839498657298</c:v>
                </c:pt>
                <c:pt idx="51">
                  <c:v>0.23757536491018991</c:v>
                </c:pt>
                <c:pt idx="52">
                  <c:v>0.17278208357104724</c:v>
                </c:pt>
                <c:pt idx="53">
                  <c:v>6.8392908080206191E-2</c:v>
                </c:pt>
                <c:pt idx="54">
                  <c:v>0.20877835098168207</c:v>
                </c:pt>
                <c:pt idx="55">
                  <c:v>0.30236864624933263</c:v>
                </c:pt>
                <c:pt idx="56">
                  <c:v>0.37796080781166586</c:v>
                </c:pt>
                <c:pt idx="57">
                  <c:v>0.32396640669571353</c:v>
                </c:pt>
                <c:pt idx="58">
                  <c:v>0.28077088580295173</c:v>
                </c:pt>
                <c:pt idx="59">
                  <c:v>0.29876901950826917</c:v>
                </c:pt>
                <c:pt idx="60">
                  <c:v>0.62993467968610972</c:v>
                </c:pt>
                <c:pt idx="61">
                  <c:v>0.60833691923972877</c:v>
                </c:pt>
                <c:pt idx="62">
                  <c:v>0.60833691923972877</c:v>
                </c:pt>
                <c:pt idx="63">
                  <c:v>0.48234998330250689</c:v>
                </c:pt>
                <c:pt idx="64">
                  <c:v>0.94670183289969634</c:v>
                </c:pt>
                <c:pt idx="65">
                  <c:v>0.92510407245331538</c:v>
                </c:pt>
                <c:pt idx="66">
                  <c:v>0.6227354262039827</c:v>
                </c:pt>
                <c:pt idx="67">
                  <c:v>0.16918245682998373</c:v>
                </c:pt>
                <c:pt idx="68">
                  <c:v>0.36633795039434436</c:v>
                </c:pt>
                <c:pt idx="69">
                  <c:v>0.17638493907875838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B-4776-A016-85C6463C3FF6}"/>
            </c:ext>
          </c:extLst>
        </c:ser>
        <c:ser>
          <c:idx val="1"/>
          <c:order val="1"/>
          <c:tx>
            <c:strRef>
              <c:f>'COMPARAISON EPANET'!$N$3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EPANET'!$B$4:$B$73</c:f>
              <c:strCache>
                <c:ptCount val="70"/>
                <c:pt idx="0">
                  <c:v>N165_N84</c:v>
                </c:pt>
                <c:pt idx="1">
                  <c:v>N84_N85</c:v>
                </c:pt>
                <c:pt idx="2">
                  <c:v>N85_N86</c:v>
                </c:pt>
                <c:pt idx="3">
                  <c:v>N86_N87</c:v>
                </c:pt>
                <c:pt idx="4">
                  <c:v>N87_N88</c:v>
                </c:pt>
                <c:pt idx="5">
                  <c:v>N88_N89</c:v>
                </c:pt>
                <c:pt idx="6">
                  <c:v>N89_N90</c:v>
                </c:pt>
                <c:pt idx="7">
                  <c:v>N90_N91</c:v>
                </c:pt>
                <c:pt idx="8">
                  <c:v>N91_N92</c:v>
                </c:pt>
                <c:pt idx="9">
                  <c:v>N92_N93</c:v>
                </c:pt>
                <c:pt idx="10">
                  <c:v>N93_N94</c:v>
                </c:pt>
                <c:pt idx="11">
                  <c:v>N94_N95</c:v>
                </c:pt>
                <c:pt idx="12">
                  <c:v>N95_N96</c:v>
                </c:pt>
                <c:pt idx="13">
                  <c:v>N96_N97</c:v>
                </c:pt>
                <c:pt idx="14">
                  <c:v>N97_N98</c:v>
                </c:pt>
                <c:pt idx="15">
                  <c:v>N98_N99</c:v>
                </c:pt>
                <c:pt idx="16">
                  <c:v>N194_N99</c:v>
                </c:pt>
                <c:pt idx="17">
                  <c:v>N99_N100</c:v>
                </c:pt>
                <c:pt idx="18">
                  <c:v>N100_N101</c:v>
                </c:pt>
                <c:pt idx="19">
                  <c:v>N101_N102</c:v>
                </c:pt>
                <c:pt idx="20">
                  <c:v>N102_N103</c:v>
                </c:pt>
                <c:pt idx="21">
                  <c:v>N103_N104</c:v>
                </c:pt>
                <c:pt idx="22">
                  <c:v>N104_N105</c:v>
                </c:pt>
                <c:pt idx="23">
                  <c:v>N105_R1</c:v>
                </c:pt>
                <c:pt idx="24">
                  <c:v>N148_N149</c:v>
                </c:pt>
                <c:pt idx="25">
                  <c:v>N148_N166</c:v>
                </c:pt>
                <c:pt idx="26">
                  <c:v>N149_N150</c:v>
                </c:pt>
                <c:pt idx="27">
                  <c:v>N150_N151</c:v>
                </c:pt>
                <c:pt idx="28">
                  <c:v>N151_N152</c:v>
                </c:pt>
                <c:pt idx="29">
                  <c:v>N152_N153</c:v>
                </c:pt>
                <c:pt idx="30">
                  <c:v>N153_N154</c:v>
                </c:pt>
                <c:pt idx="31">
                  <c:v>N154_N155</c:v>
                </c:pt>
                <c:pt idx="32">
                  <c:v>N155_N156</c:v>
                </c:pt>
                <c:pt idx="33">
                  <c:v>N156_N157</c:v>
                </c:pt>
                <c:pt idx="34">
                  <c:v>N157_N158</c:v>
                </c:pt>
                <c:pt idx="35">
                  <c:v>N158_N159</c:v>
                </c:pt>
                <c:pt idx="36">
                  <c:v>N159_N160</c:v>
                </c:pt>
                <c:pt idx="37">
                  <c:v>N160_N161</c:v>
                </c:pt>
                <c:pt idx="38">
                  <c:v>N161_N162</c:v>
                </c:pt>
                <c:pt idx="39">
                  <c:v>N162_N163</c:v>
                </c:pt>
                <c:pt idx="40">
                  <c:v>N163_N164</c:v>
                </c:pt>
                <c:pt idx="41">
                  <c:v>N164_N165</c:v>
                </c:pt>
                <c:pt idx="42">
                  <c:v>N166_N167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EPANET'!$N$4:$N$73</c:f>
              <c:numCache>
                <c:formatCode>General</c:formatCode>
                <c:ptCount val="70"/>
                <c:pt idx="0">
                  <c:v>2.953453540802002</c:v>
                </c:pt>
                <c:pt idx="1">
                  <c:v>6.6291894912719727</c:v>
                </c:pt>
                <c:pt idx="2">
                  <c:v>6.0115623474121094</c:v>
                </c:pt>
                <c:pt idx="3">
                  <c:v>5.4855637550354004</c:v>
                </c:pt>
                <c:pt idx="4">
                  <c:v>4.4223670959472656</c:v>
                </c:pt>
                <c:pt idx="5">
                  <c:v>3.5118203163146968</c:v>
                </c:pt>
                <c:pt idx="6">
                  <c:v>3.2325878143310551</c:v>
                </c:pt>
                <c:pt idx="7">
                  <c:v>2.627388477325439</c:v>
                </c:pt>
                <c:pt idx="8">
                  <c:v>1.903107881546021</c:v>
                </c:pt>
                <c:pt idx="9">
                  <c:v>10.240055084228519</c:v>
                </c:pt>
                <c:pt idx="10">
                  <c:v>7.9137349128723136</c:v>
                </c:pt>
                <c:pt idx="11">
                  <c:v>10.804136276245121</c:v>
                </c:pt>
                <c:pt idx="12">
                  <c:v>7.328188419342041</c:v>
                </c:pt>
                <c:pt idx="13">
                  <c:v>11.33439922332764</c:v>
                </c:pt>
                <c:pt idx="14">
                  <c:v>18.464790344238281</c:v>
                </c:pt>
                <c:pt idx="15">
                  <c:v>1.6027151346206669</c:v>
                </c:pt>
                <c:pt idx="16">
                  <c:v>1.3474123477935791</c:v>
                </c:pt>
                <c:pt idx="17">
                  <c:v>1.6027151346206669</c:v>
                </c:pt>
                <c:pt idx="18">
                  <c:v>8.9649877548217773</c:v>
                </c:pt>
                <c:pt idx="19">
                  <c:v>4.9782266616821289</c:v>
                </c:pt>
                <c:pt idx="20">
                  <c:v>2.2686045169830318</c:v>
                </c:pt>
                <c:pt idx="21">
                  <c:v>7.2977886199951172</c:v>
                </c:pt>
                <c:pt idx="22">
                  <c:v>2.6272718906402588</c:v>
                </c:pt>
                <c:pt idx="23">
                  <c:v>0</c:v>
                </c:pt>
                <c:pt idx="24">
                  <c:v>2.6827230453491211</c:v>
                </c:pt>
                <c:pt idx="25">
                  <c:v>3.0757045745849609</c:v>
                </c:pt>
                <c:pt idx="26">
                  <c:v>2.9805271625518799</c:v>
                </c:pt>
                <c:pt idx="27">
                  <c:v>3.146917581558228</c:v>
                </c:pt>
                <c:pt idx="28">
                  <c:v>3.3687422275543208</c:v>
                </c:pt>
                <c:pt idx="29">
                  <c:v>3.749416828155518</c:v>
                </c:pt>
                <c:pt idx="30">
                  <c:v>4.2344193458557129</c:v>
                </c:pt>
                <c:pt idx="31">
                  <c:v>4.5844731330871582</c:v>
                </c:pt>
                <c:pt idx="32">
                  <c:v>5.1192193031311044</c:v>
                </c:pt>
                <c:pt idx="33">
                  <c:v>5.8520379066467294</c:v>
                </c:pt>
                <c:pt idx="34">
                  <c:v>6.4319539070129386</c:v>
                </c:pt>
                <c:pt idx="35">
                  <c:v>7.0314812660217294</c:v>
                </c:pt>
                <c:pt idx="36">
                  <c:v>7.6942839622497559</c:v>
                </c:pt>
                <c:pt idx="37">
                  <c:v>8.3656482696533203</c:v>
                </c:pt>
                <c:pt idx="38">
                  <c:v>9.3626575469970703</c:v>
                </c:pt>
                <c:pt idx="39">
                  <c:v>10.30277156829834</c:v>
                </c:pt>
                <c:pt idx="40">
                  <c:v>10.7249002456665</c:v>
                </c:pt>
                <c:pt idx="41">
                  <c:v>11.3223123550415</c:v>
                </c:pt>
                <c:pt idx="42">
                  <c:v>2.2850725650787349</c:v>
                </c:pt>
                <c:pt idx="43">
                  <c:v>10.815413475036619</c:v>
                </c:pt>
                <c:pt idx="44">
                  <c:v>7.5955853462219238</c:v>
                </c:pt>
                <c:pt idx="45">
                  <c:v>11.08889007568359</c:v>
                </c:pt>
                <c:pt idx="46">
                  <c:v>7.9276022911071777</c:v>
                </c:pt>
                <c:pt idx="47">
                  <c:v>5.4913220405578613</c:v>
                </c:pt>
                <c:pt idx="48">
                  <c:v>13.57794761657715</c:v>
                </c:pt>
                <c:pt idx="49">
                  <c:v>8.5950908660888672</c:v>
                </c:pt>
                <c:pt idx="50">
                  <c:v>5.939852237701416</c:v>
                </c:pt>
                <c:pt idx="51">
                  <c:v>21.306278228759769</c:v>
                </c:pt>
                <c:pt idx="52">
                  <c:v>8.9702978134155273</c:v>
                </c:pt>
                <c:pt idx="53">
                  <c:v>4.1715936660766602</c:v>
                </c:pt>
                <c:pt idx="54">
                  <c:v>0.89813637733459473</c:v>
                </c:pt>
                <c:pt idx="55">
                  <c:v>0.93621087074279785</c:v>
                </c:pt>
                <c:pt idx="56">
                  <c:v>2.207109689712524</c:v>
                </c:pt>
                <c:pt idx="57">
                  <c:v>4.8735637664794922</c:v>
                </c:pt>
                <c:pt idx="58">
                  <c:v>3.1096739768981929</c:v>
                </c:pt>
                <c:pt idx="59">
                  <c:v>4.9106364250183114</c:v>
                </c:pt>
                <c:pt idx="60">
                  <c:v>6.3618330955505371</c:v>
                </c:pt>
                <c:pt idx="61">
                  <c:v>7.3057327270507813</c:v>
                </c:pt>
                <c:pt idx="62">
                  <c:v>1.598186135292053</c:v>
                </c:pt>
                <c:pt idx="63">
                  <c:v>2.2076749801635742</c:v>
                </c:pt>
                <c:pt idx="64">
                  <c:v>3.1549141407012939</c:v>
                </c:pt>
                <c:pt idx="65">
                  <c:v>4.650752067565918</c:v>
                </c:pt>
                <c:pt idx="66">
                  <c:v>6.1062579154968262</c:v>
                </c:pt>
                <c:pt idx="67">
                  <c:v>6.9274296760559082</c:v>
                </c:pt>
                <c:pt idx="68">
                  <c:v>6.9274296760559082</c:v>
                </c:pt>
                <c:pt idx="69">
                  <c:v>2.013487577438354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B-4776-A016-85C6463C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995039"/>
        <c:axId val="782000319"/>
      </c:barChart>
      <c:catAx>
        <c:axId val="78199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2000319"/>
        <c:crosses val="autoZero"/>
        <c:auto val="1"/>
        <c:lblAlgn val="ctr"/>
        <c:lblOffset val="100"/>
        <c:noMultiLvlLbl val="0"/>
      </c:catAx>
      <c:valAx>
        <c:axId val="78200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EPANET'!$O$3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EPANET'!$D$4:$D$73</c:f>
              <c:strCache>
                <c:ptCount val="70"/>
                <c:pt idx="0">
                  <c:v>N84</c:v>
                </c:pt>
                <c:pt idx="1">
                  <c:v>N85</c:v>
                </c:pt>
                <c:pt idx="2">
                  <c:v>N86</c:v>
                </c:pt>
                <c:pt idx="3">
                  <c:v>N87</c:v>
                </c:pt>
                <c:pt idx="4">
                  <c:v>N88</c:v>
                </c:pt>
                <c:pt idx="5">
                  <c:v>N89</c:v>
                </c:pt>
                <c:pt idx="6">
                  <c:v>N90</c:v>
                </c:pt>
                <c:pt idx="7">
                  <c:v>N91</c:v>
                </c:pt>
                <c:pt idx="8">
                  <c:v>N92</c:v>
                </c:pt>
                <c:pt idx="9">
                  <c:v>N93</c:v>
                </c:pt>
                <c:pt idx="10">
                  <c:v>N94</c:v>
                </c:pt>
                <c:pt idx="11">
                  <c:v>N95</c:v>
                </c:pt>
                <c:pt idx="12">
                  <c:v>N96</c:v>
                </c:pt>
                <c:pt idx="13">
                  <c:v>N97</c:v>
                </c:pt>
                <c:pt idx="14">
                  <c:v>N98</c:v>
                </c:pt>
                <c:pt idx="15">
                  <c:v>N99</c:v>
                </c:pt>
                <c:pt idx="16">
                  <c:v>N194</c:v>
                </c:pt>
                <c:pt idx="17">
                  <c:v>N99</c:v>
                </c:pt>
                <c:pt idx="18">
                  <c:v>N100</c:v>
                </c:pt>
                <c:pt idx="19">
                  <c:v>N101</c:v>
                </c:pt>
                <c:pt idx="20">
                  <c:v>N102</c:v>
                </c:pt>
                <c:pt idx="21">
                  <c:v>N103</c:v>
                </c:pt>
                <c:pt idx="22">
                  <c:v>N104</c:v>
                </c:pt>
                <c:pt idx="23">
                  <c:v>N105</c:v>
                </c:pt>
                <c:pt idx="24">
                  <c:v>N149</c:v>
                </c:pt>
                <c:pt idx="25">
                  <c:v>N166</c:v>
                </c:pt>
                <c:pt idx="26">
                  <c:v>N150</c:v>
                </c:pt>
                <c:pt idx="27">
                  <c:v>N151</c:v>
                </c:pt>
                <c:pt idx="28">
                  <c:v>N152</c:v>
                </c:pt>
                <c:pt idx="29">
                  <c:v>N153</c:v>
                </c:pt>
                <c:pt idx="30">
                  <c:v>N154</c:v>
                </c:pt>
                <c:pt idx="31">
                  <c:v>N155</c:v>
                </c:pt>
                <c:pt idx="32">
                  <c:v>N156</c:v>
                </c:pt>
                <c:pt idx="33">
                  <c:v>N157</c:v>
                </c:pt>
                <c:pt idx="34">
                  <c:v>N158</c:v>
                </c:pt>
                <c:pt idx="35">
                  <c:v>N159</c:v>
                </c:pt>
                <c:pt idx="36">
                  <c:v>N160</c:v>
                </c:pt>
                <c:pt idx="37">
                  <c:v>N161</c:v>
                </c:pt>
                <c:pt idx="38">
                  <c:v>N162</c:v>
                </c:pt>
                <c:pt idx="39">
                  <c:v>N163</c:v>
                </c:pt>
                <c:pt idx="40">
                  <c:v>N164</c:v>
                </c:pt>
                <c:pt idx="41">
                  <c:v>N165</c:v>
                </c:pt>
                <c:pt idx="42">
                  <c:v>N167</c:v>
                </c:pt>
                <c:pt idx="43">
                  <c:v>N168</c:v>
                </c:pt>
                <c:pt idx="44">
                  <c:v>N169</c:v>
                </c:pt>
                <c:pt idx="45">
                  <c:v>N170</c:v>
                </c:pt>
                <c:pt idx="46">
                  <c:v>N171</c:v>
                </c:pt>
                <c:pt idx="47">
                  <c:v>N172</c:v>
                </c:pt>
                <c:pt idx="48">
                  <c:v>N173</c:v>
                </c:pt>
                <c:pt idx="49">
                  <c:v>N174</c:v>
                </c:pt>
                <c:pt idx="50">
                  <c:v>N175</c:v>
                </c:pt>
                <c:pt idx="51">
                  <c:v>N176</c:v>
                </c:pt>
                <c:pt idx="52">
                  <c:v>N177</c:v>
                </c:pt>
                <c:pt idx="53">
                  <c:v>N178</c:v>
                </c:pt>
                <c:pt idx="54">
                  <c:v>N179</c:v>
                </c:pt>
                <c:pt idx="55">
                  <c:v>N180</c:v>
                </c:pt>
                <c:pt idx="56">
                  <c:v>N181</c:v>
                </c:pt>
                <c:pt idx="57">
                  <c:v>N182</c:v>
                </c:pt>
                <c:pt idx="58">
                  <c:v>N183</c:v>
                </c:pt>
                <c:pt idx="59">
                  <c:v>N184</c:v>
                </c:pt>
                <c:pt idx="60">
                  <c:v>N185</c:v>
                </c:pt>
                <c:pt idx="61">
                  <c:v>N186</c:v>
                </c:pt>
                <c:pt idx="62">
                  <c:v>N187</c:v>
                </c:pt>
                <c:pt idx="63">
                  <c:v>N188</c:v>
                </c:pt>
                <c:pt idx="64">
                  <c:v>N189</c:v>
                </c:pt>
                <c:pt idx="65">
                  <c:v>N190</c:v>
                </c:pt>
                <c:pt idx="66">
                  <c:v>N191</c:v>
                </c:pt>
                <c:pt idx="67">
                  <c:v>N192</c:v>
                </c:pt>
                <c:pt idx="68">
                  <c:v>N192</c:v>
                </c:pt>
                <c:pt idx="69">
                  <c:v>N193</c:v>
                </c:pt>
              </c:strCache>
            </c:strRef>
          </c:cat>
          <c:val>
            <c:numRef>
              <c:f>'COMPARAISON EPANET'!$O$4:$O$73</c:f>
              <c:numCache>
                <c:formatCode>General</c:formatCode>
                <c:ptCount val="70"/>
                <c:pt idx="0">
                  <c:v>25.999151909734536</c:v>
                </c:pt>
                <c:pt idx="1">
                  <c:v>27.797908413866523</c:v>
                </c:pt>
                <c:pt idx="2">
                  <c:v>31.702968042147642</c:v>
                </c:pt>
                <c:pt idx="3">
                  <c:v>25.592426459315707</c:v>
                </c:pt>
                <c:pt idx="4">
                  <c:v>26.284032054445262</c:v>
                </c:pt>
                <c:pt idx="5">
                  <c:v>23.151880830423959</c:v>
                </c:pt>
                <c:pt idx="6">
                  <c:v>23.057539205570457</c:v>
                </c:pt>
                <c:pt idx="7">
                  <c:v>27.892001572499865</c:v>
                </c:pt>
                <c:pt idx="8">
                  <c:v>29.696147169348102</c:v>
                </c:pt>
                <c:pt idx="9">
                  <c:v>23.532451762942184</c:v>
                </c:pt>
                <c:pt idx="10">
                  <c:v>22.370674042476626</c:v>
                </c:pt>
                <c:pt idx="11">
                  <c:v>25.271977259882092</c:v>
                </c:pt>
                <c:pt idx="12">
                  <c:v>23.970567175108034</c:v>
                </c:pt>
                <c:pt idx="13">
                  <c:v>27.784953682709116</c:v>
                </c:pt>
                <c:pt idx="14">
                  <c:v>25.593398318000879</c:v>
                </c:pt>
                <c:pt idx="15">
                  <c:v>24.356006011350662</c:v>
                </c:pt>
                <c:pt idx="16">
                  <c:v>29.227346464740496</c:v>
                </c:pt>
                <c:pt idx="17">
                  <c:v>24.063129632846785</c:v>
                </c:pt>
                <c:pt idx="18">
                  <c:v>23.868843530754202</c:v>
                </c:pt>
                <c:pt idx="19">
                  <c:v>30.773903159035321</c:v>
                </c:pt>
                <c:pt idx="20">
                  <c:v>26.679457022742287</c:v>
                </c:pt>
                <c:pt idx="21">
                  <c:v>22.632067541835511</c:v>
                </c:pt>
                <c:pt idx="22">
                  <c:v>22.546926502771814</c:v>
                </c:pt>
                <c:pt idx="23">
                  <c:v>21.432152828683744</c:v>
                </c:pt>
                <c:pt idx="24">
                  <c:v>30.25414455780038</c:v>
                </c:pt>
                <c:pt idx="25">
                  <c:v>27.129089887658772</c:v>
                </c:pt>
                <c:pt idx="26">
                  <c:v>27.014316213570702</c:v>
                </c:pt>
                <c:pt idx="27">
                  <c:v>24.954236776472168</c:v>
                </c:pt>
                <c:pt idx="28">
                  <c:v>25.797387321929616</c:v>
                </c:pt>
                <c:pt idx="29">
                  <c:v>28.630311183252413</c:v>
                </c:pt>
                <c:pt idx="30">
                  <c:v>31.519769600420478</c:v>
                </c:pt>
                <c:pt idx="31">
                  <c:v>24.449372445188793</c:v>
                </c:pt>
                <c:pt idx="32">
                  <c:v>26.25351804203703</c:v>
                </c:pt>
                <c:pt idx="33">
                  <c:v>25.106977799213894</c:v>
                </c:pt>
                <c:pt idx="34">
                  <c:v>24.004429407436472</c:v>
                </c:pt>
                <c:pt idx="35">
                  <c:v>26.867510050680011</c:v>
                </c:pt>
                <c:pt idx="36">
                  <c:v>22.725833278242579</c:v>
                </c:pt>
                <c:pt idx="37">
                  <c:v>24.611147930019861</c:v>
                </c:pt>
                <c:pt idx="38">
                  <c:v>28.424017666908757</c:v>
                </c:pt>
                <c:pt idx="39">
                  <c:v>27.33887662784506</c:v>
                </c:pt>
                <c:pt idx="40">
                  <c:v>28.278797190746527</c:v>
                </c:pt>
                <c:pt idx="41">
                  <c:v>21.117019470280969</c:v>
                </c:pt>
                <c:pt idx="42">
                  <c:v>23.873894607399958</c:v>
                </c:pt>
                <c:pt idx="43">
                  <c:v>23.351948729945754</c:v>
                </c:pt>
                <c:pt idx="44">
                  <c:v>21.887596880348561</c:v>
                </c:pt>
                <c:pt idx="45">
                  <c:v>23.51323569927796</c:v>
                </c:pt>
                <c:pt idx="46">
                  <c:v>19.228865186733945</c:v>
                </c:pt>
                <c:pt idx="47">
                  <c:v>18.908498406779294</c:v>
                </c:pt>
                <c:pt idx="48">
                  <c:v>20.588131626824644</c:v>
                </c:pt>
                <c:pt idx="49">
                  <c:v>23.426148423476789</c:v>
                </c:pt>
                <c:pt idx="50">
                  <c:v>22.271364473611058</c:v>
                </c:pt>
                <c:pt idx="51">
                  <c:v>21.033789108700866</c:v>
                </c:pt>
                <c:pt idx="52">
                  <c:v>16.861007025129823</c:v>
                </c:pt>
                <c:pt idx="53">
                  <c:v>18.792614117049617</c:v>
                </c:pt>
                <c:pt idx="54">
                  <c:v>17.583835766067935</c:v>
                </c:pt>
                <c:pt idx="55">
                  <c:v>19.281467119818601</c:v>
                </c:pt>
                <c:pt idx="56">
                  <c:v>21.903506312006932</c:v>
                </c:pt>
                <c:pt idx="57">
                  <c:v>20.579539905311222</c:v>
                </c:pt>
                <c:pt idx="58">
                  <c:v>15.298769019508269</c:v>
                </c:pt>
                <c:pt idx="59">
                  <c:v>10</c:v>
                </c:pt>
                <c:pt idx="60">
                  <c:v>17.370065320313891</c:v>
                </c:pt>
                <c:pt idx="61">
                  <c:v>18.761728401074159</c:v>
                </c:pt>
                <c:pt idx="62">
                  <c:v>16.153391481834433</c:v>
                </c:pt>
                <c:pt idx="63">
                  <c:v>20.671041498531924</c:v>
                </c:pt>
                <c:pt idx="64">
                  <c:v>13.724339665632227</c:v>
                </c:pt>
                <c:pt idx="65">
                  <c:v>20.799235593178913</c:v>
                </c:pt>
                <c:pt idx="66">
                  <c:v>16.176500166974929</c:v>
                </c:pt>
                <c:pt idx="67">
                  <c:v>14.007317710144946</c:v>
                </c:pt>
                <c:pt idx="68">
                  <c:v>13.6409797597506</c:v>
                </c:pt>
                <c:pt idx="69">
                  <c:v>13.464594820671842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1-42FD-A89B-81F15E913B60}"/>
            </c:ext>
          </c:extLst>
        </c:ser>
        <c:ser>
          <c:idx val="1"/>
          <c:order val="1"/>
          <c:tx>
            <c:strRef>
              <c:f>'COMPARAISON EPANET'!$P$3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EPANET'!$D$4:$D$73</c:f>
              <c:strCache>
                <c:ptCount val="70"/>
                <c:pt idx="0">
                  <c:v>N84</c:v>
                </c:pt>
                <c:pt idx="1">
                  <c:v>N85</c:v>
                </c:pt>
                <c:pt idx="2">
                  <c:v>N86</c:v>
                </c:pt>
                <c:pt idx="3">
                  <c:v>N87</c:v>
                </c:pt>
                <c:pt idx="4">
                  <c:v>N88</c:v>
                </c:pt>
                <c:pt idx="5">
                  <c:v>N89</c:v>
                </c:pt>
                <c:pt idx="6">
                  <c:v>N90</c:v>
                </c:pt>
                <c:pt idx="7">
                  <c:v>N91</c:v>
                </c:pt>
                <c:pt idx="8">
                  <c:v>N92</c:v>
                </c:pt>
                <c:pt idx="9">
                  <c:v>N93</c:v>
                </c:pt>
                <c:pt idx="10">
                  <c:v>N94</c:v>
                </c:pt>
                <c:pt idx="11">
                  <c:v>N95</c:v>
                </c:pt>
                <c:pt idx="12">
                  <c:v>N96</c:v>
                </c:pt>
                <c:pt idx="13">
                  <c:v>N97</c:v>
                </c:pt>
                <c:pt idx="14">
                  <c:v>N98</c:v>
                </c:pt>
                <c:pt idx="15">
                  <c:v>N99</c:v>
                </c:pt>
                <c:pt idx="16">
                  <c:v>N194</c:v>
                </c:pt>
                <c:pt idx="17">
                  <c:v>N99</c:v>
                </c:pt>
                <c:pt idx="18">
                  <c:v>N100</c:v>
                </c:pt>
                <c:pt idx="19">
                  <c:v>N101</c:v>
                </c:pt>
                <c:pt idx="20">
                  <c:v>N102</c:v>
                </c:pt>
                <c:pt idx="21">
                  <c:v>N103</c:v>
                </c:pt>
                <c:pt idx="22">
                  <c:v>N104</c:v>
                </c:pt>
                <c:pt idx="23">
                  <c:v>N105</c:v>
                </c:pt>
                <c:pt idx="24">
                  <c:v>N149</c:v>
                </c:pt>
                <c:pt idx="25">
                  <c:v>N166</c:v>
                </c:pt>
                <c:pt idx="26">
                  <c:v>N150</c:v>
                </c:pt>
                <c:pt idx="27">
                  <c:v>N151</c:v>
                </c:pt>
                <c:pt idx="28">
                  <c:v>N152</c:v>
                </c:pt>
                <c:pt idx="29">
                  <c:v>N153</c:v>
                </c:pt>
                <c:pt idx="30">
                  <c:v>N154</c:v>
                </c:pt>
                <c:pt idx="31">
                  <c:v>N155</c:v>
                </c:pt>
                <c:pt idx="32">
                  <c:v>N156</c:v>
                </c:pt>
                <c:pt idx="33">
                  <c:v>N157</c:v>
                </c:pt>
                <c:pt idx="34">
                  <c:v>N158</c:v>
                </c:pt>
                <c:pt idx="35">
                  <c:v>N159</c:v>
                </c:pt>
                <c:pt idx="36">
                  <c:v>N160</c:v>
                </c:pt>
                <c:pt idx="37">
                  <c:v>N161</c:v>
                </c:pt>
                <c:pt idx="38">
                  <c:v>N162</c:v>
                </c:pt>
                <c:pt idx="39">
                  <c:v>N163</c:v>
                </c:pt>
                <c:pt idx="40">
                  <c:v>N164</c:v>
                </c:pt>
                <c:pt idx="41">
                  <c:v>N165</c:v>
                </c:pt>
                <c:pt idx="42">
                  <c:v>N167</c:v>
                </c:pt>
                <c:pt idx="43">
                  <c:v>N168</c:v>
                </c:pt>
                <c:pt idx="44">
                  <c:v>N169</c:v>
                </c:pt>
                <c:pt idx="45">
                  <c:v>N170</c:v>
                </c:pt>
                <c:pt idx="46">
                  <c:v>N171</c:v>
                </c:pt>
                <c:pt idx="47">
                  <c:v>N172</c:v>
                </c:pt>
                <c:pt idx="48">
                  <c:v>N173</c:v>
                </c:pt>
                <c:pt idx="49">
                  <c:v>N174</c:v>
                </c:pt>
                <c:pt idx="50">
                  <c:v>N175</c:v>
                </c:pt>
                <c:pt idx="51">
                  <c:v>N176</c:v>
                </c:pt>
                <c:pt idx="52">
                  <c:v>N177</c:v>
                </c:pt>
                <c:pt idx="53">
                  <c:v>N178</c:v>
                </c:pt>
                <c:pt idx="54">
                  <c:v>N179</c:v>
                </c:pt>
                <c:pt idx="55">
                  <c:v>N180</c:v>
                </c:pt>
                <c:pt idx="56">
                  <c:v>N181</c:v>
                </c:pt>
                <c:pt idx="57">
                  <c:v>N182</c:v>
                </c:pt>
                <c:pt idx="58">
                  <c:v>N183</c:v>
                </c:pt>
                <c:pt idx="59">
                  <c:v>N184</c:v>
                </c:pt>
                <c:pt idx="60">
                  <c:v>N185</c:v>
                </c:pt>
                <c:pt idx="61">
                  <c:v>N186</c:v>
                </c:pt>
                <c:pt idx="62">
                  <c:v>N187</c:v>
                </c:pt>
                <c:pt idx="63">
                  <c:v>N188</c:v>
                </c:pt>
                <c:pt idx="64">
                  <c:v>N189</c:v>
                </c:pt>
                <c:pt idx="65">
                  <c:v>N190</c:v>
                </c:pt>
                <c:pt idx="66">
                  <c:v>N191</c:v>
                </c:pt>
                <c:pt idx="67">
                  <c:v>N192</c:v>
                </c:pt>
                <c:pt idx="68">
                  <c:v>N192</c:v>
                </c:pt>
                <c:pt idx="69">
                  <c:v>N193</c:v>
                </c:pt>
              </c:strCache>
            </c:strRef>
          </c:cat>
          <c:val>
            <c:numRef>
              <c:f>'COMPARAISON EPANET'!$P$4:$P$73</c:f>
              <c:numCache>
                <c:formatCode>General</c:formatCode>
                <c:ptCount val="70"/>
                <c:pt idx="0">
                  <c:v>58.451694488525391</c:v>
                </c:pt>
                <c:pt idx="1">
                  <c:v>59.821258544921882</c:v>
                </c:pt>
                <c:pt idx="2">
                  <c:v>63.380611419677727</c:v>
                </c:pt>
                <c:pt idx="3">
                  <c:v>56.957672119140618</c:v>
                </c:pt>
                <c:pt idx="4">
                  <c:v>56.850753784179688</c:v>
                </c:pt>
                <c:pt idx="5">
                  <c:v>53.629859924316413</c:v>
                </c:pt>
                <c:pt idx="6">
                  <c:v>53.497325897216797</c:v>
                </c:pt>
                <c:pt idx="7">
                  <c:v>57.968433380126953</c:v>
                </c:pt>
                <c:pt idx="8">
                  <c:v>59.723121643066413</c:v>
                </c:pt>
                <c:pt idx="9">
                  <c:v>52.585453033447273</c:v>
                </c:pt>
                <c:pt idx="10">
                  <c:v>50.889041900634773</c:v>
                </c:pt>
                <c:pt idx="11">
                  <c:v>53.090618133544922</c:v>
                </c:pt>
                <c:pt idx="12">
                  <c:v>50.271759033203118</c:v>
                </c:pt>
                <c:pt idx="13">
                  <c:v>52.952438354492188</c:v>
                </c:pt>
                <c:pt idx="14">
                  <c:v>48.594482421875</c:v>
                </c:pt>
                <c:pt idx="15">
                  <c:v>47.373466491699219</c:v>
                </c:pt>
                <c:pt idx="16">
                  <c:v>52.620853424072273</c:v>
                </c:pt>
                <c:pt idx="17">
                  <c:v>47.373466491699219</c:v>
                </c:pt>
                <c:pt idx="18">
                  <c:v>44.785224914550781</c:v>
                </c:pt>
                <c:pt idx="19">
                  <c:v>50.416271209716797</c:v>
                </c:pt>
                <c:pt idx="20">
                  <c:v>46.053359985351563</c:v>
                </c:pt>
                <c:pt idx="21">
                  <c:v>41.925636291503913</c:v>
                </c:pt>
                <c:pt idx="22">
                  <c:v>41.76800537109375</c:v>
                </c:pt>
                <c:pt idx="23">
                  <c:v>40.626396179199219</c:v>
                </c:pt>
                <c:pt idx="24">
                  <c:v>58.109989166259773</c:v>
                </c:pt>
                <c:pt idx="25">
                  <c:v>54.555484771728523</c:v>
                </c:pt>
                <c:pt idx="26">
                  <c:v>55.200893402099609</c:v>
                </c:pt>
                <c:pt idx="27">
                  <c:v>53.311038970947273</c:v>
                </c:pt>
                <c:pt idx="28">
                  <c:v>54.475433349609382</c:v>
                </c:pt>
                <c:pt idx="29">
                  <c:v>57.807628631591797</c:v>
                </c:pt>
                <c:pt idx="30">
                  <c:v>61.132835388183587</c:v>
                </c:pt>
                <c:pt idx="31">
                  <c:v>54.304294586181641</c:v>
                </c:pt>
                <c:pt idx="32">
                  <c:v>56.963134765625</c:v>
                </c:pt>
                <c:pt idx="33">
                  <c:v>56.462314605712891</c:v>
                </c:pt>
                <c:pt idx="34">
                  <c:v>55.943424224853523</c:v>
                </c:pt>
                <c:pt idx="35">
                  <c:v>59.529148101806641</c:v>
                </c:pt>
                <c:pt idx="36">
                  <c:v>56.178546905517578</c:v>
                </c:pt>
                <c:pt idx="37">
                  <c:v>58.827720642089837</c:v>
                </c:pt>
                <c:pt idx="38">
                  <c:v>64.237739562988281</c:v>
                </c:pt>
                <c:pt idx="39">
                  <c:v>63.795116424560547</c:v>
                </c:pt>
                <c:pt idx="40">
                  <c:v>65.167266845703125</c:v>
                </c:pt>
                <c:pt idx="41">
                  <c:v>59.168163299560547</c:v>
                </c:pt>
                <c:pt idx="42">
                  <c:v>53.029460906982422</c:v>
                </c:pt>
                <c:pt idx="43">
                  <c:v>51.463386535644531</c:v>
                </c:pt>
                <c:pt idx="44">
                  <c:v>49.479759216308587</c:v>
                </c:pt>
                <c:pt idx="45">
                  <c:v>50.323188781738281</c:v>
                </c:pt>
                <c:pt idx="46">
                  <c:v>45.696113586425781</c:v>
                </c:pt>
                <c:pt idx="47">
                  <c:v>45.206287384033203</c:v>
                </c:pt>
                <c:pt idx="48">
                  <c:v>46.000568389892578</c:v>
                </c:pt>
                <c:pt idx="49">
                  <c:v>48.611209869384773</c:v>
                </c:pt>
                <c:pt idx="50">
                  <c:v>47.355201721191413</c:v>
                </c:pt>
                <c:pt idx="51">
                  <c:v>44.940464019775391</c:v>
                </c:pt>
                <c:pt idx="52">
                  <c:v>40.508995056152337</c:v>
                </c:pt>
                <c:pt idx="53">
                  <c:v>42.429733276367188</c:v>
                </c:pt>
                <c:pt idx="54">
                  <c:v>41.377193450927727</c:v>
                </c:pt>
                <c:pt idx="55">
                  <c:v>43.455833435058587</c:v>
                </c:pt>
                <c:pt idx="56">
                  <c:v>46.687801361083977</c:v>
                </c:pt>
                <c:pt idx="57">
                  <c:v>46.126911163330078</c:v>
                </c:pt>
                <c:pt idx="58">
                  <c:v>41.370395660400391</c:v>
                </c:pt>
                <c:pt idx="59">
                  <c:v>36.779945373535163</c:v>
                </c:pt>
                <c:pt idx="60">
                  <c:v>45.891990661621087</c:v>
                </c:pt>
                <c:pt idx="61">
                  <c:v>49.126663208007813</c:v>
                </c:pt>
                <c:pt idx="62">
                  <c:v>47.396915435791023</c:v>
                </c:pt>
                <c:pt idx="63">
                  <c:v>52.692741394042969</c:v>
                </c:pt>
                <c:pt idx="64">
                  <c:v>47.521537780761719</c:v>
                </c:pt>
                <c:pt idx="65">
                  <c:v>56.714458465576172</c:v>
                </c:pt>
                <c:pt idx="66">
                  <c:v>53.772670745849609</c:v>
                </c:pt>
                <c:pt idx="67">
                  <c:v>52.097568511962891</c:v>
                </c:pt>
                <c:pt idx="68">
                  <c:v>52.097568511962891</c:v>
                </c:pt>
                <c:pt idx="69">
                  <c:v>50.962139129638672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41-42FD-A89B-81F15E91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715615"/>
        <c:axId val="632716575"/>
      </c:barChart>
      <c:catAx>
        <c:axId val="63271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716575"/>
        <c:crosses val="autoZero"/>
        <c:auto val="1"/>
        <c:lblAlgn val="ctr"/>
        <c:lblOffset val="100"/>
        <c:noMultiLvlLbl val="0"/>
      </c:catAx>
      <c:valAx>
        <c:axId val="63271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71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DIAMETRE_THEORIQUE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EPANET'!$W$3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EPANET'!$W$4:$W$73</c:f>
              <c:numCache>
                <c:formatCode>General</c:formatCode>
                <c:ptCount val="70"/>
                <c:pt idx="0">
                  <c:v>340.27714444529937</c:v>
                </c:pt>
                <c:pt idx="1">
                  <c:v>271.95447352229712</c:v>
                </c:pt>
                <c:pt idx="2">
                  <c:v>340.27714444529937</c:v>
                </c:pt>
                <c:pt idx="3">
                  <c:v>340.27714444529937</c:v>
                </c:pt>
                <c:pt idx="4">
                  <c:v>192.30085240163368</c:v>
                </c:pt>
                <c:pt idx="5">
                  <c:v>271.95447352229712</c:v>
                </c:pt>
                <c:pt idx="6">
                  <c:v>271.95447352229712</c:v>
                </c:pt>
                <c:pt idx="7">
                  <c:v>271.95447352229712</c:v>
                </c:pt>
                <c:pt idx="8">
                  <c:v>271.95447352229712</c:v>
                </c:pt>
                <c:pt idx="9">
                  <c:v>271.95447352229712</c:v>
                </c:pt>
                <c:pt idx="10">
                  <c:v>271.95447352229712</c:v>
                </c:pt>
                <c:pt idx="11">
                  <c:v>271.95447352229712</c:v>
                </c:pt>
                <c:pt idx="12">
                  <c:v>271.95447352229712</c:v>
                </c:pt>
                <c:pt idx="13">
                  <c:v>271.95447352229712</c:v>
                </c:pt>
                <c:pt idx="14">
                  <c:v>271.95447352229712</c:v>
                </c:pt>
                <c:pt idx="15">
                  <c:v>271.95447352229712</c:v>
                </c:pt>
                <c:pt idx="16">
                  <c:v>271.95447352229712</c:v>
                </c:pt>
                <c:pt idx="17">
                  <c:v>271.95447352229712</c:v>
                </c:pt>
                <c:pt idx="18">
                  <c:v>271.95447352229712</c:v>
                </c:pt>
                <c:pt idx="19">
                  <c:v>271.95447352229712</c:v>
                </c:pt>
                <c:pt idx="20">
                  <c:v>271.95447352229712</c:v>
                </c:pt>
                <c:pt idx="21">
                  <c:v>271.95447352229712</c:v>
                </c:pt>
                <c:pt idx="22">
                  <c:v>271.95447352229712</c:v>
                </c:pt>
                <c:pt idx="23">
                  <c:v>271.95447352229712</c:v>
                </c:pt>
                <c:pt idx="24">
                  <c:v>271.95447352229712</c:v>
                </c:pt>
                <c:pt idx="25">
                  <c:v>271.95447352229712</c:v>
                </c:pt>
                <c:pt idx="26">
                  <c:v>192.30085240163368</c:v>
                </c:pt>
                <c:pt idx="27">
                  <c:v>192.30085240163368</c:v>
                </c:pt>
                <c:pt idx="28">
                  <c:v>192.30085240163368</c:v>
                </c:pt>
                <c:pt idx="29">
                  <c:v>192.30085240163368</c:v>
                </c:pt>
                <c:pt idx="30">
                  <c:v>192.30085240163368</c:v>
                </c:pt>
                <c:pt idx="31">
                  <c:v>192.30085240163368</c:v>
                </c:pt>
                <c:pt idx="32">
                  <c:v>192.30085240163368</c:v>
                </c:pt>
                <c:pt idx="33">
                  <c:v>192.30085240163368</c:v>
                </c:pt>
                <c:pt idx="34">
                  <c:v>192.30085240163368</c:v>
                </c:pt>
                <c:pt idx="35">
                  <c:v>192.30085240163368</c:v>
                </c:pt>
                <c:pt idx="36">
                  <c:v>192.30085240163368</c:v>
                </c:pt>
                <c:pt idx="37">
                  <c:v>192.30085240163368</c:v>
                </c:pt>
                <c:pt idx="38">
                  <c:v>192.30085240163368</c:v>
                </c:pt>
                <c:pt idx="39">
                  <c:v>192.30085240163368</c:v>
                </c:pt>
                <c:pt idx="40">
                  <c:v>192.30085240163368</c:v>
                </c:pt>
                <c:pt idx="41">
                  <c:v>192.30085240163368</c:v>
                </c:pt>
                <c:pt idx="42">
                  <c:v>192.30085240163368</c:v>
                </c:pt>
                <c:pt idx="43">
                  <c:v>192.30085240163368</c:v>
                </c:pt>
                <c:pt idx="44">
                  <c:v>192.30085240163368</c:v>
                </c:pt>
                <c:pt idx="45">
                  <c:v>192.30085240163368</c:v>
                </c:pt>
                <c:pt idx="46">
                  <c:v>192.30085240163368</c:v>
                </c:pt>
                <c:pt idx="47">
                  <c:v>192.30085240163368</c:v>
                </c:pt>
                <c:pt idx="48">
                  <c:v>192.30085240163368</c:v>
                </c:pt>
                <c:pt idx="49">
                  <c:v>192.30085240163368</c:v>
                </c:pt>
                <c:pt idx="50">
                  <c:v>192.30085240163368</c:v>
                </c:pt>
                <c:pt idx="51">
                  <c:v>192.30085240163368</c:v>
                </c:pt>
                <c:pt idx="52">
                  <c:v>192.30085240163368</c:v>
                </c:pt>
                <c:pt idx="53">
                  <c:v>192.30085240163368</c:v>
                </c:pt>
                <c:pt idx="54">
                  <c:v>192.30085240163368</c:v>
                </c:pt>
                <c:pt idx="55">
                  <c:v>192.30085240163368</c:v>
                </c:pt>
                <c:pt idx="56">
                  <c:v>192.30085240163368</c:v>
                </c:pt>
                <c:pt idx="57">
                  <c:v>192.30085240163368</c:v>
                </c:pt>
                <c:pt idx="58">
                  <c:v>192.30085240163368</c:v>
                </c:pt>
                <c:pt idx="59">
                  <c:v>192.30085240163368</c:v>
                </c:pt>
                <c:pt idx="60">
                  <c:v>192.30085240163368</c:v>
                </c:pt>
                <c:pt idx="61">
                  <c:v>192.30085240163368</c:v>
                </c:pt>
                <c:pt idx="62">
                  <c:v>192.30085240163368</c:v>
                </c:pt>
                <c:pt idx="63">
                  <c:v>192.30085240163368</c:v>
                </c:pt>
                <c:pt idx="64">
                  <c:v>192.30085240163368</c:v>
                </c:pt>
                <c:pt idx="65">
                  <c:v>192.30085240163368</c:v>
                </c:pt>
                <c:pt idx="66">
                  <c:v>192.30085240163368</c:v>
                </c:pt>
                <c:pt idx="67">
                  <c:v>192.30085240163368</c:v>
                </c:pt>
                <c:pt idx="68">
                  <c:v>539.43235085272443</c:v>
                </c:pt>
                <c:pt idx="69">
                  <c:v>539.43235085272443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8-43ED-8F09-D82C3FC98549}"/>
            </c:ext>
          </c:extLst>
        </c:ser>
        <c:ser>
          <c:idx val="1"/>
          <c:order val="1"/>
          <c:tx>
            <c:strRef>
              <c:f>'COMPARAISON EPANET'!$X$3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EPANET'!$X$4:$X$73</c:f>
              <c:numCache>
                <c:formatCode>General</c:formatCode>
                <c:ptCount val="70"/>
                <c:pt idx="0">
                  <c:v>252</c:v>
                </c:pt>
                <c:pt idx="1">
                  <c:v>72.8</c:v>
                </c:pt>
                <c:pt idx="2">
                  <c:v>252</c:v>
                </c:pt>
                <c:pt idx="3">
                  <c:v>204.2</c:v>
                </c:pt>
                <c:pt idx="4">
                  <c:v>204.2</c:v>
                </c:pt>
                <c:pt idx="5">
                  <c:v>204.2</c:v>
                </c:pt>
                <c:pt idx="6">
                  <c:v>252</c:v>
                </c:pt>
                <c:pt idx="7">
                  <c:v>156.4</c:v>
                </c:pt>
                <c:pt idx="8">
                  <c:v>108.4</c:v>
                </c:pt>
                <c:pt idx="9">
                  <c:v>108.4</c:v>
                </c:pt>
                <c:pt idx="10">
                  <c:v>97.8</c:v>
                </c:pt>
                <c:pt idx="11">
                  <c:v>51.4</c:v>
                </c:pt>
                <c:pt idx="12">
                  <c:v>51.4</c:v>
                </c:pt>
                <c:pt idx="13">
                  <c:v>51.4</c:v>
                </c:pt>
                <c:pt idx="14">
                  <c:v>204.2</c:v>
                </c:pt>
                <c:pt idx="15">
                  <c:v>204.2</c:v>
                </c:pt>
                <c:pt idx="16">
                  <c:v>156.4</c:v>
                </c:pt>
                <c:pt idx="17">
                  <c:v>156.4</c:v>
                </c:pt>
                <c:pt idx="18">
                  <c:v>156.4</c:v>
                </c:pt>
                <c:pt idx="19">
                  <c:v>156.4</c:v>
                </c:pt>
                <c:pt idx="20">
                  <c:v>156.4</c:v>
                </c:pt>
                <c:pt idx="21">
                  <c:v>156.4</c:v>
                </c:pt>
                <c:pt idx="22">
                  <c:v>156.4</c:v>
                </c:pt>
                <c:pt idx="23">
                  <c:v>108.4</c:v>
                </c:pt>
                <c:pt idx="24">
                  <c:v>94.4</c:v>
                </c:pt>
                <c:pt idx="25">
                  <c:v>94.4</c:v>
                </c:pt>
                <c:pt idx="26">
                  <c:v>156.4</c:v>
                </c:pt>
                <c:pt idx="27">
                  <c:v>156.4</c:v>
                </c:pt>
                <c:pt idx="28">
                  <c:v>156.4</c:v>
                </c:pt>
                <c:pt idx="29">
                  <c:v>156.4</c:v>
                </c:pt>
                <c:pt idx="30">
                  <c:v>156.4</c:v>
                </c:pt>
                <c:pt idx="31">
                  <c:v>156.4</c:v>
                </c:pt>
                <c:pt idx="32">
                  <c:v>156.4</c:v>
                </c:pt>
                <c:pt idx="33">
                  <c:v>156.4</c:v>
                </c:pt>
                <c:pt idx="34">
                  <c:v>156.4</c:v>
                </c:pt>
                <c:pt idx="35">
                  <c:v>156.4</c:v>
                </c:pt>
                <c:pt idx="36">
                  <c:v>156.4</c:v>
                </c:pt>
                <c:pt idx="37">
                  <c:v>156.4</c:v>
                </c:pt>
                <c:pt idx="38">
                  <c:v>156.4</c:v>
                </c:pt>
                <c:pt idx="39">
                  <c:v>156.4</c:v>
                </c:pt>
                <c:pt idx="40">
                  <c:v>156.4</c:v>
                </c:pt>
                <c:pt idx="41">
                  <c:v>156.4</c:v>
                </c:pt>
                <c:pt idx="42">
                  <c:v>156.4</c:v>
                </c:pt>
                <c:pt idx="43">
                  <c:v>108.4</c:v>
                </c:pt>
                <c:pt idx="44">
                  <c:v>108.4</c:v>
                </c:pt>
                <c:pt idx="45">
                  <c:v>94.4</c:v>
                </c:pt>
                <c:pt idx="46">
                  <c:v>94.4</c:v>
                </c:pt>
                <c:pt idx="47">
                  <c:v>94.4</c:v>
                </c:pt>
                <c:pt idx="48">
                  <c:v>72.8</c:v>
                </c:pt>
                <c:pt idx="49">
                  <c:v>72.8</c:v>
                </c:pt>
                <c:pt idx="50">
                  <c:v>72.8</c:v>
                </c:pt>
                <c:pt idx="51">
                  <c:v>51.4</c:v>
                </c:pt>
                <c:pt idx="52">
                  <c:v>51.4</c:v>
                </c:pt>
                <c:pt idx="53">
                  <c:v>51.4</c:v>
                </c:pt>
                <c:pt idx="54">
                  <c:v>51.4</c:v>
                </c:pt>
                <c:pt idx="55">
                  <c:v>53.4</c:v>
                </c:pt>
                <c:pt idx="56">
                  <c:v>72.8</c:v>
                </c:pt>
                <c:pt idx="57">
                  <c:v>77.2</c:v>
                </c:pt>
                <c:pt idx="58">
                  <c:v>94.4</c:v>
                </c:pt>
                <c:pt idx="59">
                  <c:v>94.4</c:v>
                </c:pt>
                <c:pt idx="60">
                  <c:v>100</c:v>
                </c:pt>
                <c:pt idx="61">
                  <c:v>108.4</c:v>
                </c:pt>
                <c:pt idx="62">
                  <c:v>156.4</c:v>
                </c:pt>
                <c:pt idx="63">
                  <c:v>156.4</c:v>
                </c:pt>
                <c:pt idx="64">
                  <c:v>156.4</c:v>
                </c:pt>
                <c:pt idx="65">
                  <c:v>156.4</c:v>
                </c:pt>
                <c:pt idx="66">
                  <c:v>156.4</c:v>
                </c:pt>
                <c:pt idx="67">
                  <c:v>156.4</c:v>
                </c:pt>
                <c:pt idx="68">
                  <c:v>156.4</c:v>
                </c:pt>
                <c:pt idx="69">
                  <c:v>156.4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48-43ED-8F09-D82C3FC98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915919"/>
        <c:axId val="922916879"/>
      </c:barChart>
      <c:catAx>
        <c:axId val="92291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2916879"/>
        <c:crosses val="autoZero"/>
        <c:auto val="1"/>
        <c:lblAlgn val="ctr"/>
        <c:lblOffset val="100"/>
        <c:noMultiLvlLbl val="0"/>
      </c:catAx>
      <c:valAx>
        <c:axId val="92291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291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EPANET'!$Y$3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EPANET'!$Y$4:$Y$73</c:f>
              <c:numCache>
                <c:formatCode>General</c:formatCode>
                <c:ptCount val="70"/>
                <c:pt idx="0">
                  <c:v>350</c:v>
                </c:pt>
                <c:pt idx="1">
                  <c:v>300</c:v>
                </c:pt>
                <c:pt idx="2">
                  <c:v>350</c:v>
                </c:pt>
                <c:pt idx="3">
                  <c:v>350</c:v>
                </c:pt>
                <c:pt idx="4">
                  <c:v>200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600</c:v>
                </c:pt>
                <c:pt idx="69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F-4A03-8822-B7E460F77822}"/>
            </c:ext>
          </c:extLst>
        </c:ser>
        <c:ser>
          <c:idx val="1"/>
          <c:order val="1"/>
          <c:tx>
            <c:strRef>
              <c:f>'COMPARAISON EPANET'!$Z$3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EPANET'!$Z$4:$Z$73</c:f>
              <c:numCache>
                <c:formatCode>General</c:formatCode>
                <c:ptCount val="70"/>
                <c:pt idx="0">
                  <c:v>250</c:v>
                </c:pt>
                <c:pt idx="1">
                  <c:v>75</c:v>
                </c:pt>
                <c:pt idx="2">
                  <c:v>250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250</c:v>
                </c:pt>
                <c:pt idx="7">
                  <c:v>150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200</c:v>
                </c:pt>
                <c:pt idx="15">
                  <c:v>200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75</c:v>
                </c:pt>
                <c:pt idx="57">
                  <c:v>75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F-4A03-8822-B7E460F7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471679"/>
        <c:axId val="1190473119"/>
      </c:barChart>
      <c:catAx>
        <c:axId val="119047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473119"/>
        <c:crosses val="autoZero"/>
        <c:auto val="1"/>
        <c:lblAlgn val="ctr"/>
        <c:lblOffset val="100"/>
        <c:noMultiLvlLbl val="0"/>
      </c:catAx>
      <c:valAx>
        <c:axId val="11904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47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EPANET'!$AA$3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EPANET'!$AA$4:$AA$73</c:f>
              <c:numCache>
                <c:formatCode>General</c:formatCode>
                <c:ptCount val="70"/>
                <c:pt idx="0">
                  <c:v>5.3203589470187704E-2</c:v>
                </c:pt>
                <c:pt idx="1">
                  <c:v>1.7481161244201236E-3</c:v>
                </c:pt>
                <c:pt idx="2">
                  <c:v>4.865934652743583E-2</c:v>
                </c:pt>
                <c:pt idx="3">
                  <c:v>4.5250482127863388E-2</c:v>
                </c:pt>
                <c:pt idx="4">
                  <c:v>2.6121357490103962E-2</c:v>
                </c:pt>
                <c:pt idx="5">
                  <c:v>2.8766998571680552E-2</c:v>
                </c:pt>
                <c:pt idx="6">
                  <c:v>7.3290945253670714E-3</c:v>
                </c:pt>
                <c:pt idx="7">
                  <c:v>2.0410303096012553E-3</c:v>
                </c:pt>
                <c:pt idx="8">
                  <c:v>2.1749295901185885E-3</c:v>
                </c:pt>
                <c:pt idx="9">
                  <c:v>3.4771855721336953E-4</c:v>
                </c:pt>
                <c:pt idx="10">
                  <c:v>2.68063579649003E-3</c:v>
                </c:pt>
                <c:pt idx="11">
                  <c:v>4.0433589408214949E-3</c:v>
                </c:pt>
                <c:pt idx="12">
                  <c:v>4.0353064464146281E-3</c:v>
                </c:pt>
                <c:pt idx="13">
                  <c:v>2.4593294434197303E-3</c:v>
                </c:pt>
                <c:pt idx="14">
                  <c:v>2.4137502949274317E-2</c:v>
                </c:pt>
                <c:pt idx="15">
                  <c:v>2.0589390249357888E-2</c:v>
                </c:pt>
                <c:pt idx="16">
                  <c:v>2.1210473254807391E-2</c:v>
                </c:pt>
                <c:pt idx="17">
                  <c:v>1.5589817932820625E-2</c:v>
                </c:pt>
                <c:pt idx="18">
                  <c:v>1.2149759936825977E-2</c:v>
                </c:pt>
                <c:pt idx="19">
                  <c:v>1.1738371043320029E-2</c:v>
                </c:pt>
                <c:pt idx="20">
                  <c:v>9.6271247287682774E-3</c:v>
                </c:pt>
                <c:pt idx="21">
                  <c:v>8.4606213740655439E-3</c:v>
                </c:pt>
                <c:pt idx="22">
                  <c:v>7.7033973419067111E-3</c:v>
                </c:pt>
                <c:pt idx="23">
                  <c:v>2.4601289774330839E-3</c:v>
                </c:pt>
                <c:pt idx="24">
                  <c:v>1.9297096944473368E-3</c:v>
                </c:pt>
                <c:pt idx="25">
                  <c:v>1.1233622356655423E-3</c:v>
                </c:pt>
                <c:pt idx="26">
                  <c:v>8.134972383825434E-3</c:v>
                </c:pt>
                <c:pt idx="27">
                  <c:v>1.1639572052696461E-2</c:v>
                </c:pt>
                <c:pt idx="28">
                  <c:v>1.145345918657068E-2</c:v>
                </c:pt>
                <c:pt idx="29">
                  <c:v>1.1065039289850538E-2</c:v>
                </c:pt>
                <c:pt idx="30">
                  <c:v>1.3669986404243713E-2</c:v>
                </c:pt>
                <c:pt idx="31">
                  <c:v>1.5988191704550677E-2</c:v>
                </c:pt>
                <c:pt idx="32">
                  <c:v>1.3580285307680264E-2</c:v>
                </c:pt>
                <c:pt idx="33">
                  <c:v>1.4611096030467624E-2</c:v>
                </c:pt>
                <c:pt idx="34">
                  <c:v>1.7163472536927748E-2</c:v>
                </c:pt>
                <c:pt idx="35">
                  <c:v>1.575112677736926E-2</c:v>
                </c:pt>
                <c:pt idx="36">
                  <c:v>1.7869263081348691E-2</c:v>
                </c:pt>
                <c:pt idx="37">
                  <c:v>1.7443268151482401E-2</c:v>
                </c:pt>
                <c:pt idx="38">
                  <c:v>2.2002156226095377E-2</c:v>
                </c:pt>
                <c:pt idx="39">
                  <c:v>2.1427920330376111E-2</c:v>
                </c:pt>
                <c:pt idx="40">
                  <c:v>2.2880308540549472E-2</c:v>
                </c:pt>
                <c:pt idx="41">
                  <c:v>2.1097988070816663E-2</c:v>
                </c:pt>
                <c:pt idx="42">
                  <c:v>2.3312312747534994E-2</c:v>
                </c:pt>
                <c:pt idx="43">
                  <c:v>5.7178107520392636E-3</c:v>
                </c:pt>
                <c:pt idx="44">
                  <c:v>7.4004426018153989E-3</c:v>
                </c:pt>
                <c:pt idx="45">
                  <c:v>2.7450861712727077E-3</c:v>
                </c:pt>
                <c:pt idx="46">
                  <c:v>4.4884453938549137E-3</c:v>
                </c:pt>
                <c:pt idx="47">
                  <c:v>2.378096114085002E-3</c:v>
                </c:pt>
                <c:pt idx="48">
                  <c:v>5.1559089004894016E-4</c:v>
                </c:pt>
                <c:pt idx="49">
                  <c:v>1.8946841983272754E-3</c:v>
                </c:pt>
                <c:pt idx="50">
                  <c:v>1.6010217641143263E-3</c:v>
                </c:pt>
                <c:pt idx="51">
                  <c:v>1.4127237990254182E-3</c:v>
                </c:pt>
                <c:pt idx="52">
                  <c:v>1.1848186181109639E-3</c:v>
                </c:pt>
                <c:pt idx="53">
                  <c:v>2.6710731842888259E-5</c:v>
                </c:pt>
                <c:pt idx="54">
                  <c:v>3.2236682525302956E-3</c:v>
                </c:pt>
                <c:pt idx="55">
                  <c:v>3.0381313582258647E-3</c:v>
                </c:pt>
                <c:pt idx="56">
                  <c:v>7.4587637964537126E-4</c:v>
                </c:pt>
                <c:pt idx="57">
                  <c:v>2.957262738368556E-4</c:v>
                </c:pt>
                <c:pt idx="58">
                  <c:v>3.5155096728153672E-3</c:v>
                </c:pt>
                <c:pt idx="59">
                  <c:v>1.8616910468267048E-3</c:v>
                </c:pt>
                <c:pt idx="60">
                  <c:v>4.8548107601697425E-3</c:v>
                </c:pt>
                <c:pt idx="61">
                  <c:v>5.3979373016433685E-3</c:v>
                </c:pt>
                <c:pt idx="62">
                  <c:v>5.2083728670454053E-3</c:v>
                </c:pt>
                <c:pt idx="63">
                  <c:v>1.0509470737790256E-2</c:v>
                </c:pt>
                <c:pt idx="64">
                  <c:v>1.0149517383691499E-2</c:v>
                </c:pt>
                <c:pt idx="65">
                  <c:v>1.6801488560265924E-2</c:v>
                </c:pt>
                <c:pt idx="66">
                  <c:v>1.6890519998458413E-2</c:v>
                </c:pt>
                <c:pt idx="67">
                  <c:v>1.7622536230404908E-2</c:v>
                </c:pt>
                <c:pt idx="68">
                  <c:v>9.5365150519625026E-3</c:v>
                </c:pt>
                <c:pt idx="69">
                  <c:v>9.7256388023146748E-3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B-4D7A-8CD9-AB50CCB11A38}"/>
            </c:ext>
          </c:extLst>
        </c:ser>
        <c:ser>
          <c:idx val="1"/>
          <c:order val="1"/>
          <c:tx>
            <c:strRef>
              <c:f>'COMPARAISON EPANET'!$AB$3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EPANET'!$AB$4:$AB$73</c:f>
              <c:numCache>
                <c:formatCode>General</c:formatCode>
                <c:ptCount val="70"/>
                <c:pt idx="0">
                  <c:v>5.1448749542236327E-2</c:v>
                </c:pt>
                <c:pt idx="1">
                  <c:v>2.2272217273712159E-3</c:v>
                </c:pt>
                <c:pt idx="2">
                  <c:v>5.0193531036376957E-2</c:v>
                </c:pt>
                <c:pt idx="3">
                  <c:v>4.8898372650146474E-2</c:v>
                </c:pt>
                <c:pt idx="4">
                  <c:v>2.7296918869018551E-2</c:v>
                </c:pt>
                <c:pt idx="5">
                  <c:v>3.1976058959960939E-2</c:v>
                </c:pt>
                <c:pt idx="6">
                  <c:v>4.4782958984375003E-2</c:v>
                </c:pt>
                <c:pt idx="7">
                  <c:v>6.3425126075744628E-3</c:v>
                </c:pt>
                <c:pt idx="8">
                  <c:v>4.2200489044189457E-3</c:v>
                </c:pt>
                <c:pt idx="9">
                  <c:v>3.3242774009704591E-3</c:v>
                </c:pt>
                <c:pt idx="10">
                  <c:v>2.2801618576049798E-3</c:v>
                </c:pt>
                <c:pt idx="11">
                  <c:v>8.0813032388687132E-4</c:v>
                </c:pt>
                <c:pt idx="12">
                  <c:v>3.558016419410706E-4</c:v>
                </c:pt>
                <c:pt idx="13">
                  <c:v>1.194517374038696E-3</c:v>
                </c:pt>
                <c:pt idx="14">
                  <c:v>2.8655429840087891E-2</c:v>
                </c:pt>
                <c:pt idx="15">
                  <c:v>2.4804183959960941E-2</c:v>
                </c:pt>
                <c:pt idx="16">
                  <c:v>2.146643829345703E-2</c:v>
                </c:pt>
                <c:pt idx="17">
                  <c:v>1.8898941040039058E-2</c:v>
                </c:pt>
                <c:pt idx="18">
                  <c:v>1.6673776626586912E-2</c:v>
                </c:pt>
                <c:pt idx="19">
                  <c:v>1.490505695343018E-2</c:v>
                </c:pt>
                <c:pt idx="20">
                  <c:v>1.189823246002197E-2</c:v>
                </c:pt>
                <c:pt idx="21">
                  <c:v>8.9655799865722662E-3</c:v>
                </c:pt>
                <c:pt idx="22">
                  <c:v>7.81305980682373E-3</c:v>
                </c:pt>
                <c:pt idx="23">
                  <c:v>6.1983890533447265E-3</c:v>
                </c:pt>
                <c:pt idx="24">
                  <c:v>4.0188694000244142E-3</c:v>
                </c:pt>
                <c:pt idx="25">
                  <c:v>2.398493528366089E-3</c:v>
                </c:pt>
                <c:pt idx="26">
                  <c:v>1.2776296615600589E-2</c:v>
                </c:pt>
                <c:pt idx="27">
                  <c:v>1.3466668128967291E-2</c:v>
                </c:pt>
                <c:pt idx="28">
                  <c:v>1.3837529182434079E-2</c:v>
                </c:pt>
                <c:pt idx="29">
                  <c:v>1.4316794395446778E-2</c:v>
                </c:pt>
                <c:pt idx="30">
                  <c:v>1.5104161262512211E-2</c:v>
                </c:pt>
                <c:pt idx="31">
                  <c:v>1.6051282882690431E-2</c:v>
                </c:pt>
                <c:pt idx="32">
                  <c:v>1.6701713562011718E-2</c:v>
                </c:pt>
                <c:pt idx="33">
                  <c:v>1.7648836135864262E-2</c:v>
                </c:pt>
                <c:pt idx="34">
                  <c:v>1.886982345581055E-2</c:v>
                </c:pt>
                <c:pt idx="35">
                  <c:v>1.9782709121704101E-2</c:v>
                </c:pt>
                <c:pt idx="36">
                  <c:v>2.06841869354248E-2</c:v>
                </c:pt>
                <c:pt idx="37">
                  <c:v>2.1637012481689449E-2</c:v>
                </c:pt>
                <c:pt idx="38">
                  <c:v>2.2561313629150391E-2</c:v>
                </c:pt>
                <c:pt idx="39">
                  <c:v>2.3867883682250981E-2</c:v>
                </c:pt>
                <c:pt idx="40">
                  <c:v>2.503752136230469E-2</c:v>
                </c:pt>
                <c:pt idx="41">
                  <c:v>2.5545314788818361E-2</c:v>
                </c:pt>
                <c:pt idx="42">
                  <c:v>2.624709701538086E-2</c:v>
                </c:pt>
                <c:pt idx="43">
                  <c:v>9.6518192291259759E-3</c:v>
                </c:pt>
                <c:pt idx="44">
                  <c:v>8.0884981155395514E-3</c:v>
                </c:pt>
                <c:pt idx="45">
                  <c:v>6.7591056823730466E-3</c:v>
                </c:pt>
                <c:pt idx="46">
                  <c:v>5.7149901390075681E-3</c:v>
                </c:pt>
                <c:pt idx="47">
                  <c:v>4.7564578056335446E-3</c:v>
                </c:pt>
                <c:pt idx="48">
                  <c:v>3.7408702373504638E-3</c:v>
                </c:pt>
                <c:pt idx="49">
                  <c:v>2.9763264656066891E-3</c:v>
                </c:pt>
                <c:pt idx="50">
                  <c:v>2.4742381572723389E-3</c:v>
                </c:pt>
                <c:pt idx="51">
                  <c:v>1.8523334264755249E-3</c:v>
                </c:pt>
                <c:pt idx="52">
                  <c:v>1.201900839805603E-3</c:v>
                </c:pt>
                <c:pt idx="53">
                  <c:v>8.1962907314300532E-4</c:v>
                </c:pt>
                <c:pt idx="54">
                  <c:v>3.803018033504486E-4</c:v>
                </c:pt>
                <c:pt idx="55">
                  <c:v>4.2988613247871396E-4</c:v>
                </c:pt>
                <c:pt idx="56">
                  <c:v>1.508234858512878E-3</c:v>
                </c:pt>
                <c:pt idx="57">
                  <c:v>2.6208169460296632E-3</c:v>
                </c:pt>
                <c:pt idx="58">
                  <c:v>3.5793492794036872E-3</c:v>
                </c:pt>
                <c:pt idx="59">
                  <c:v>4.4979424476623547E-3</c:v>
                </c:pt>
                <c:pt idx="60">
                  <c:v>5.9699740409851071E-3</c:v>
                </c:pt>
                <c:pt idx="61">
                  <c:v>7.9326825141906743E-3</c:v>
                </c:pt>
                <c:pt idx="62">
                  <c:v>9.8611583709716805E-3</c:v>
                </c:pt>
                <c:pt idx="63">
                  <c:v>1.1589940071105961E-2</c:v>
                </c:pt>
                <c:pt idx="64">
                  <c:v>1.385504245758057E-2</c:v>
                </c:pt>
                <c:pt idx="65">
                  <c:v>1.6821928024291988E-2</c:v>
                </c:pt>
                <c:pt idx="66">
                  <c:v>1.9275314331054692E-2</c:v>
                </c:pt>
                <c:pt idx="67">
                  <c:v>2.05305347442627E-2</c:v>
                </c:pt>
                <c:pt idx="68">
                  <c:v>2.05305347442627E-2</c:v>
                </c:pt>
                <c:pt idx="69">
                  <c:v>1.1068543434143071E-2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B-4D7A-8CD9-AB50CCB11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885343"/>
        <c:axId val="1011885823"/>
      </c:barChart>
      <c:catAx>
        <c:axId val="101188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5823"/>
        <c:crosses val="autoZero"/>
        <c:auto val="1"/>
        <c:lblAlgn val="ctr"/>
        <c:lblOffset val="100"/>
        <c:noMultiLvlLbl val="0"/>
      </c:catAx>
      <c:valAx>
        <c:axId val="10118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EPANET'!$AC$3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EPANET'!$AC$4:$AC$73</c:f>
              <c:numCache>
                <c:formatCode>General</c:formatCode>
                <c:ptCount val="70"/>
                <c:pt idx="0">
                  <c:v>3.456169083433587E-2</c:v>
                </c:pt>
                <c:pt idx="1">
                  <c:v>1.5456740127783855E-3</c:v>
                </c:pt>
                <c:pt idx="2">
                  <c:v>3.1609696030460675E-2</c:v>
                </c:pt>
                <c:pt idx="3">
                  <c:v>2.9395256767105821E-2</c:v>
                </c:pt>
                <c:pt idx="4">
                  <c:v>5.1966789560256875E-2</c:v>
                </c:pt>
                <c:pt idx="5">
                  <c:v>2.5435611225558069E-2</c:v>
                </c:pt>
                <c:pt idx="6">
                  <c:v>6.4803423449995437E-3</c:v>
                </c:pt>
                <c:pt idx="7">
                  <c:v>1.8046670154078961E-3</c:v>
                </c:pt>
                <c:pt idx="8">
                  <c:v>1.9230599730233511E-3</c:v>
                </c:pt>
                <c:pt idx="9">
                  <c:v>3.0745070658494324E-4</c:v>
                </c:pt>
                <c:pt idx="10">
                  <c:v>2.3702024313359345E-3</c:v>
                </c:pt>
                <c:pt idx="11">
                  <c:v>3.5751142340363956E-3</c:v>
                </c:pt>
                <c:pt idx="12">
                  <c:v>3.5679942657637696E-3</c:v>
                </c:pt>
                <c:pt idx="13">
                  <c:v>2.1745246533982766E-3</c:v>
                </c:pt>
                <c:pt idx="14">
                  <c:v>2.1342238379290054E-2</c:v>
                </c:pt>
                <c:pt idx="15">
                  <c:v>1.8205017963518776E-2</c:v>
                </c:pt>
                <c:pt idx="16">
                  <c:v>1.8754175910116879E-2</c:v>
                </c:pt>
                <c:pt idx="17">
                  <c:v>1.3784425477283755E-2</c:v>
                </c:pt>
                <c:pt idx="18">
                  <c:v>1.0742746396254046E-2</c:v>
                </c:pt>
                <c:pt idx="19">
                  <c:v>1.0378998752173062E-2</c:v>
                </c:pt>
                <c:pt idx="20">
                  <c:v>8.5122471574760744E-3</c:v>
                </c:pt>
                <c:pt idx="21">
                  <c:v>7.4808317406193058E-3</c:v>
                </c:pt>
                <c:pt idx="22">
                  <c:v>6.8112986975856693E-3</c:v>
                </c:pt>
                <c:pt idx="23">
                  <c:v>2.1752315966782508E-3</c:v>
                </c:pt>
                <c:pt idx="24">
                  <c:v>1.7062379811313591E-3</c:v>
                </c:pt>
                <c:pt idx="25">
                  <c:v>9.9327029271629834E-4</c:v>
                </c:pt>
                <c:pt idx="26">
                  <c:v>1.6184013335023464E-2</c:v>
                </c:pt>
                <c:pt idx="27">
                  <c:v>2.3156192845761505E-2</c:v>
                </c:pt>
                <c:pt idx="28">
                  <c:v>2.2785933063050028E-2</c:v>
                </c:pt>
                <c:pt idx="29">
                  <c:v>2.2013196231071855E-2</c:v>
                </c:pt>
                <c:pt idx="30">
                  <c:v>2.7195573852929887E-2</c:v>
                </c:pt>
                <c:pt idx="31">
                  <c:v>3.1807496761000947E-2</c:v>
                </c:pt>
                <c:pt idx="32">
                  <c:v>2.7017119191444432E-2</c:v>
                </c:pt>
                <c:pt idx="33">
                  <c:v>2.9067851965491154E-2</c:v>
                </c:pt>
                <c:pt idx="34">
                  <c:v>3.4145643685925549E-2</c:v>
                </c:pt>
                <c:pt idx="35">
                  <c:v>3.1335871073567917E-2</c:v>
                </c:pt>
                <c:pt idx="36">
                  <c:v>3.5549769360076963E-2</c:v>
                </c:pt>
                <c:pt idx="37">
                  <c:v>3.4702279374823147E-2</c:v>
                </c:pt>
                <c:pt idx="38">
                  <c:v>4.3771899025790005E-2</c:v>
                </c:pt>
                <c:pt idx="39">
                  <c:v>4.262949300948346E-2</c:v>
                </c:pt>
                <c:pt idx="40">
                  <c:v>4.5518927546201973E-2</c:v>
                </c:pt>
                <c:pt idx="41">
                  <c:v>4.1973113634553909E-2</c:v>
                </c:pt>
                <c:pt idx="42">
                  <c:v>4.6378372608429974E-2</c:v>
                </c:pt>
                <c:pt idx="43">
                  <c:v>1.1375223060637953E-2</c:v>
                </c:pt>
                <c:pt idx="44">
                  <c:v>1.4722712764334595E-2</c:v>
                </c:pt>
                <c:pt idx="45">
                  <c:v>5.4611754171407078E-3</c:v>
                </c:pt>
                <c:pt idx="46">
                  <c:v>8.9294783903757311E-3</c:v>
                </c:pt>
                <c:pt idx="47">
                  <c:v>4.7310718963031991E-3</c:v>
                </c:pt>
                <c:pt idx="48">
                  <c:v>1.0257354845554841E-3</c:v>
                </c:pt>
                <c:pt idx="49">
                  <c:v>3.7693544470236355E-3</c:v>
                </c:pt>
                <c:pt idx="50">
                  <c:v>3.1851315969562682E-3</c:v>
                </c:pt>
                <c:pt idx="51">
                  <c:v>2.8105246979807075E-3</c:v>
                </c:pt>
                <c:pt idx="52">
                  <c:v>2.3571217467458568E-3</c:v>
                </c:pt>
                <c:pt idx="53">
                  <c:v>5.3139312579971964E-5</c:v>
                </c:pt>
                <c:pt idx="54">
                  <c:v>6.4132842159826103E-3</c:v>
                </c:pt>
                <c:pt idx="55">
                  <c:v>6.0441702928017522E-3</c:v>
                </c:pt>
                <c:pt idx="56">
                  <c:v>1.4838739094505998E-3</c:v>
                </c:pt>
                <c:pt idx="57">
                  <c:v>5.8832872854103755E-4</c:v>
                </c:pt>
                <c:pt idx="58">
                  <c:v>6.9938842739492163E-3</c:v>
                </c:pt>
                <c:pt idx="59">
                  <c:v>3.7037166576549406E-3</c:v>
                </c:pt>
                <c:pt idx="60">
                  <c:v>9.6583391282092056E-3</c:v>
                </c:pt>
                <c:pt idx="61">
                  <c:v>1.0738855050708367E-2</c:v>
                </c:pt>
                <c:pt idx="62">
                  <c:v>1.036172859069979E-2</c:v>
                </c:pt>
                <c:pt idx="63">
                  <c:v>2.0907927714986844E-2</c:v>
                </c:pt>
                <c:pt idx="64">
                  <c:v>2.0191823270145286E-2</c:v>
                </c:pt>
                <c:pt idx="65">
                  <c:v>3.3425499445853171E-2</c:v>
                </c:pt>
                <c:pt idx="66">
                  <c:v>3.3602621864339606E-2</c:v>
                </c:pt>
                <c:pt idx="67">
                  <c:v>3.505892188606196E-2</c:v>
                </c:pt>
                <c:pt idx="68">
                  <c:v>2.3772942444828821E-3</c:v>
                </c:pt>
                <c:pt idx="69">
                  <c:v>2.4244396430648002E-3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C-45EA-BCC0-A9DCB19A2C5D}"/>
            </c:ext>
          </c:extLst>
        </c:ser>
        <c:ser>
          <c:idx val="1"/>
          <c:order val="1"/>
          <c:tx>
            <c:strRef>
              <c:f>'COMPARAISON EPANET'!$AD$3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EPANET'!$AD$4:$AD$73</c:f>
              <c:numCache>
                <c:formatCode>General</c:formatCode>
                <c:ptCount val="70"/>
                <c:pt idx="0">
                  <c:v>1.0315291881561279</c:v>
                </c:pt>
                <c:pt idx="1">
                  <c:v>0.53506731986999512</c:v>
                </c:pt>
                <c:pt idx="2">
                  <c:v>1.0063624382019041</c:v>
                </c:pt>
                <c:pt idx="3">
                  <c:v>1.4931061267852781</c:v>
                </c:pt>
                <c:pt idx="4">
                  <c:v>0.83350831270217896</c:v>
                </c:pt>
                <c:pt idx="5">
                  <c:v>0.97638529539108276</c:v>
                </c:pt>
                <c:pt idx="6">
                  <c:v>0.89788240194320679</c:v>
                </c:pt>
                <c:pt idx="7">
                  <c:v>0.33013808727264399</c:v>
                </c:pt>
                <c:pt idx="8">
                  <c:v>0.45726364850997919</c:v>
                </c:pt>
                <c:pt idx="9">
                  <c:v>0.36020228266715998</c:v>
                </c:pt>
                <c:pt idx="10">
                  <c:v>0.3035258948802948</c:v>
                </c:pt>
                <c:pt idx="11">
                  <c:v>0.38946005702018738</c:v>
                </c:pt>
                <c:pt idx="12">
                  <c:v>0.1714705228805542</c:v>
                </c:pt>
                <c:pt idx="13">
                  <c:v>0.57567054033279419</c:v>
                </c:pt>
                <c:pt idx="14">
                  <c:v>0.87499022483825684</c:v>
                </c:pt>
                <c:pt idx="15">
                  <c:v>0.75739294290542603</c:v>
                </c:pt>
                <c:pt idx="16">
                  <c:v>1.117362976074219</c:v>
                </c:pt>
                <c:pt idx="17">
                  <c:v>0.98372054100036621</c:v>
                </c:pt>
                <c:pt idx="18">
                  <c:v>0.8678971529006958</c:v>
                </c:pt>
                <c:pt idx="19">
                  <c:v>0.7758324146270752</c:v>
                </c:pt>
                <c:pt idx="20">
                  <c:v>0.61932229995727539</c:v>
                </c:pt>
                <c:pt idx="21">
                  <c:v>0.46667295694351202</c:v>
                </c:pt>
                <c:pt idx="22">
                  <c:v>0.40668243169784551</c:v>
                </c:pt>
                <c:pt idx="23">
                  <c:v>0.67162680625915527</c:v>
                </c:pt>
                <c:pt idx="24">
                  <c:v>0.57420593500137329</c:v>
                </c:pt>
                <c:pt idx="25">
                  <c:v>0.34269070625305181</c:v>
                </c:pt>
                <c:pt idx="26">
                  <c:v>0.6650269627571106</c:v>
                </c:pt>
                <c:pt idx="27">
                  <c:v>0.70096194744110107</c:v>
                </c:pt>
                <c:pt idx="28">
                  <c:v>0.72026580572128296</c:v>
                </c:pt>
                <c:pt idx="29">
                  <c:v>0.7452123761177063</c:v>
                </c:pt>
                <c:pt idx="30">
                  <c:v>0.78619611263275146</c:v>
                </c:pt>
                <c:pt idx="31">
                  <c:v>0.83549529314041138</c:v>
                </c:pt>
                <c:pt idx="32">
                  <c:v>0.86935132741928101</c:v>
                </c:pt>
                <c:pt idx="33">
                  <c:v>0.91865050792694092</c:v>
                </c:pt>
                <c:pt idx="34">
                  <c:v>0.98220491409301758</c:v>
                </c:pt>
                <c:pt idx="35">
                  <c:v>1.0297220945358281</c:v>
                </c:pt>
                <c:pt idx="36">
                  <c:v>1.076645493507385</c:v>
                </c:pt>
                <c:pt idx="37">
                  <c:v>1.1262416839599609</c:v>
                </c:pt>
                <c:pt idx="38">
                  <c:v>1.1743530035018921</c:v>
                </c:pt>
                <c:pt idx="39">
                  <c:v>1.2423620223999019</c:v>
                </c:pt>
                <c:pt idx="40">
                  <c:v>1.3032436370849609</c:v>
                </c:pt>
                <c:pt idx="41">
                  <c:v>1.329675078392029</c:v>
                </c:pt>
                <c:pt idx="42">
                  <c:v>1.3662040233612061</c:v>
                </c:pt>
                <c:pt idx="43">
                  <c:v>1.045823454856873</c:v>
                </c:pt>
                <c:pt idx="44">
                  <c:v>0.87642973661422729</c:v>
                </c:pt>
                <c:pt idx="45">
                  <c:v>0.96572393178939819</c:v>
                </c:pt>
                <c:pt idx="46">
                  <c:v>0.81654340028762817</c:v>
                </c:pt>
                <c:pt idx="47">
                  <c:v>0.67959064245223999</c:v>
                </c:pt>
                <c:pt idx="48">
                  <c:v>0.89870601892471313</c:v>
                </c:pt>
                <c:pt idx="49">
                  <c:v>0.71503216028213501</c:v>
                </c:pt>
                <c:pt idx="50">
                  <c:v>0.59441053867340088</c:v>
                </c:pt>
                <c:pt idx="51">
                  <c:v>0.89269006252288818</c:v>
                </c:pt>
                <c:pt idx="52">
                  <c:v>0.57922881841659546</c:v>
                </c:pt>
                <c:pt idx="53">
                  <c:v>0.395001620054245</c:v>
                </c:pt>
                <c:pt idx="54">
                  <c:v>0.18327781558036799</c:v>
                </c:pt>
                <c:pt idx="55">
                  <c:v>0.19194583594799039</c:v>
                </c:pt>
                <c:pt idx="56">
                  <c:v>0.36233809590339661</c:v>
                </c:pt>
                <c:pt idx="57">
                  <c:v>0.55989921092987061</c:v>
                </c:pt>
                <c:pt idx="58">
                  <c:v>0.51140838861465454</c:v>
                </c:pt>
                <c:pt idx="59">
                  <c:v>0.6426546573638916</c:v>
                </c:pt>
                <c:pt idx="60">
                  <c:v>0.7601165771484375</c:v>
                </c:pt>
                <c:pt idx="61">
                  <c:v>0.85954630374908447</c:v>
                </c:pt>
                <c:pt idx="62">
                  <c:v>0.51328927278518677</c:v>
                </c:pt>
                <c:pt idx="63">
                  <c:v>0.60327517986297607</c:v>
                </c:pt>
                <c:pt idx="64">
                  <c:v>0.72117745876312256</c:v>
                </c:pt>
                <c:pt idx="65">
                  <c:v>0.87560862302780151</c:v>
                </c:pt>
                <c:pt idx="66">
                  <c:v>1.003311395645142</c:v>
                </c:pt>
                <c:pt idx="67">
                  <c:v>1.068647623062134</c:v>
                </c:pt>
                <c:pt idx="68">
                  <c:v>1.068647623062134</c:v>
                </c:pt>
                <c:pt idx="69">
                  <c:v>0.57613563537597656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C-45EA-BCC0-A9DCB19A2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663535"/>
        <c:axId val="1010664015"/>
      </c:barChart>
      <c:catAx>
        <c:axId val="101066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64015"/>
        <c:crosses val="autoZero"/>
        <c:auto val="1"/>
        <c:lblAlgn val="ctr"/>
        <c:lblOffset val="100"/>
        <c:noMultiLvlLbl val="0"/>
      </c:catAx>
      <c:valAx>
        <c:axId val="101066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6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PERTE_DE_CHARGE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EPANET'!$AE$3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EPANET'!$AE$4:$AE$73</c:f>
              <c:numCache>
                <c:formatCode>General</c:formatCode>
                <c:ptCount val="70"/>
                <c:pt idx="0">
                  <c:v>0.13273035727434446</c:v>
                </c:pt>
                <c:pt idx="1">
                  <c:v>0.15867451177943664</c:v>
                </c:pt>
                <c:pt idx="2">
                  <c:v>0.29669138684853463</c:v>
                </c:pt>
                <c:pt idx="3">
                  <c:v>0.14639377640552698</c:v>
                </c:pt>
                <c:pt idx="4">
                  <c:v>0.34556416714209448</c:v>
                </c:pt>
                <c:pt idx="5">
                  <c:v>0.40029251835266977</c:v>
                </c:pt>
                <c:pt idx="6">
                  <c:v>0.34259269588741997</c:v>
                </c:pt>
                <c:pt idx="7">
                  <c:v>0.52290464109132528</c:v>
                </c:pt>
                <c:pt idx="8">
                  <c:v>0.14785579506720234</c:v>
                </c:pt>
                <c:pt idx="9">
                  <c:v>0.13523395890292897</c:v>
                </c:pt>
                <c:pt idx="10">
                  <c:v>0.19473690082021772</c:v>
                </c:pt>
                <c:pt idx="11">
                  <c:v>0.27046791780585794</c:v>
                </c:pt>
                <c:pt idx="12">
                  <c:v>9.7368450410108859E-2</c:v>
                </c:pt>
                <c:pt idx="13">
                  <c:v>0.16769010903963191</c:v>
                </c:pt>
                <c:pt idx="14">
                  <c:v>0.64912300273405898</c:v>
                </c:pt>
                <c:pt idx="15">
                  <c:v>0.56798262739230165</c:v>
                </c:pt>
                <c:pt idx="16">
                  <c:v>0.48684225205054421</c:v>
                </c:pt>
                <c:pt idx="17">
                  <c:v>0.32456150136702949</c:v>
                </c:pt>
                <c:pt idx="18">
                  <c:v>0.37865508492820105</c:v>
                </c:pt>
                <c:pt idx="19">
                  <c:v>0.18031194520390531</c:v>
                </c:pt>
                <c:pt idx="20">
                  <c:v>0.76993200602067557</c:v>
                </c:pt>
                <c:pt idx="21">
                  <c:v>0.15687139232739758</c:v>
                </c:pt>
                <c:pt idx="22">
                  <c:v>0.20735873698449106</c:v>
                </c:pt>
                <c:pt idx="23">
                  <c:v>0.30292406794256088</c:v>
                </c:pt>
                <c:pt idx="24">
                  <c:v>0.38586756273635725</c:v>
                </c:pt>
                <c:pt idx="25">
                  <c:v>0.12621836164273367</c:v>
                </c:pt>
                <c:pt idx="26">
                  <c:v>3.0943516202637942</c:v>
                </c:pt>
                <c:pt idx="27">
                  <c:v>0.16584918199856438</c:v>
                </c:pt>
                <c:pt idx="28">
                  <c:v>0.24527997752358771</c:v>
                </c:pt>
                <c:pt idx="29">
                  <c:v>0.5876553864915437</c:v>
                </c:pt>
                <c:pt idx="30">
                  <c:v>2.912491740352483</c:v>
                </c:pt>
                <c:pt idx="31">
                  <c:v>1.9655302348454322</c:v>
                </c:pt>
                <c:pt idx="32">
                  <c:v>0.28285680122909845</c:v>
                </c:pt>
                <c:pt idx="33">
                  <c:v>8.0650848595285289</c:v>
                </c:pt>
                <c:pt idx="34">
                  <c:v>2.5698921402347308</c:v>
                </c:pt>
                <c:pt idx="35">
                  <c:v>1.8305166876164278</c:v>
                </c:pt>
                <c:pt idx="36">
                  <c:v>2.4088928286696114</c:v>
                </c:pt>
                <c:pt idx="37">
                  <c:v>2.4885476694281339</c:v>
                </c:pt>
                <c:pt idx="38">
                  <c:v>2.0353909603128959</c:v>
                </c:pt>
                <c:pt idx="39">
                  <c:v>12.471763818331654</c:v>
                </c:pt>
                <c:pt idx="40">
                  <c:v>0.75959980646985081</c:v>
                </c:pt>
                <c:pt idx="41">
                  <c:v>0.24527997752358771</c:v>
                </c:pt>
                <c:pt idx="42">
                  <c:v>2.8242261078771005</c:v>
                </c:pt>
                <c:pt idx="43">
                  <c:v>0.3237951393825354</c:v>
                </c:pt>
                <c:pt idx="44">
                  <c:v>0.28806602055411779</c:v>
                </c:pt>
                <c:pt idx="45">
                  <c:v>0.23223927238471509</c:v>
                </c:pt>
                <c:pt idx="46">
                  <c:v>0.17641252421531242</c:v>
                </c:pt>
                <c:pt idx="47">
                  <c:v>0.19874322348307349</c:v>
                </c:pt>
                <c:pt idx="48">
                  <c:v>0.19874322348307349</c:v>
                </c:pt>
                <c:pt idx="49">
                  <c:v>0.10048814670492479</c:v>
                </c:pt>
                <c:pt idx="50">
                  <c:v>9.6022006851372577E-2</c:v>
                </c:pt>
                <c:pt idx="51">
                  <c:v>0.14738261516722301</c:v>
                </c:pt>
                <c:pt idx="52">
                  <c:v>0.10718735648525311</c:v>
                </c:pt>
                <c:pt idx="53">
                  <c:v>4.2428328608746027E-2</c:v>
                </c:pt>
                <c:pt idx="54">
                  <c:v>0.12951805575301417</c:v>
                </c:pt>
                <c:pt idx="55">
                  <c:v>0.18757787384919294</c:v>
                </c:pt>
                <c:pt idx="56">
                  <c:v>0.23447234231149122</c:v>
                </c:pt>
                <c:pt idx="57">
                  <c:v>0.20097629340984957</c:v>
                </c:pt>
                <c:pt idx="58">
                  <c:v>0.17417945428853632</c:v>
                </c:pt>
                <c:pt idx="59">
                  <c:v>0.18534480392241684</c:v>
                </c:pt>
                <c:pt idx="60">
                  <c:v>0.39078723718581865</c:v>
                </c:pt>
                <c:pt idx="61">
                  <c:v>0.37738881762516202</c:v>
                </c:pt>
                <c:pt idx="62">
                  <c:v>0.37738881762516202</c:v>
                </c:pt>
                <c:pt idx="63">
                  <c:v>0.29923137018799828</c:v>
                </c:pt>
                <c:pt idx="64">
                  <c:v>0.58729739074211607</c:v>
                </c:pt>
                <c:pt idx="65">
                  <c:v>0.57389897118145938</c:v>
                </c:pt>
                <c:pt idx="66">
                  <c:v>0.38632109733226644</c:v>
                </c:pt>
                <c:pt idx="67">
                  <c:v>0.10495428655847701</c:v>
                </c:pt>
                <c:pt idx="68">
                  <c:v>0.34698543293187428</c:v>
                </c:pt>
                <c:pt idx="69">
                  <c:v>0.16706706030053203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5-4F78-916E-A6B2FAB3A7E9}"/>
            </c:ext>
          </c:extLst>
        </c:ser>
        <c:ser>
          <c:idx val="1"/>
          <c:order val="1"/>
          <c:tx>
            <c:strRef>
              <c:f>'COMPARAISON EPANET'!$AF$3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EPANET'!$T$4:$T$73</c:f>
              <c:strCache>
                <c:ptCount val="70"/>
                <c:pt idx="0">
                  <c:v>N81_N82</c:v>
                </c:pt>
                <c:pt idx="1">
                  <c:v>N81_N135</c:v>
                </c:pt>
                <c:pt idx="2">
                  <c:v>N82_N83</c:v>
                </c:pt>
                <c:pt idx="3">
                  <c:v>N83_N84</c:v>
                </c:pt>
                <c:pt idx="4">
                  <c:v>N165_N84</c:v>
                </c:pt>
                <c:pt idx="5">
                  <c:v>N127_N136</c:v>
                </c:pt>
                <c:pt idx="6">
                  <c:v>N127_N128</c:v>
                </c:pt>
                <c:pt idx="7">
                  <c:v>N128_N129</c:v>
                </c:pt>
                <c:pt idx="8">
                  <c:v>N129_N130</c:v>
                </c:pt>
                <c:pt idx="9">
                  <c:v>N130_N131</c:v>
                </c:pt>
                <c:pt idx="10">
                  <c:v>N131_N132</c:v>
                </c:pt>
                <c:pt idx="11">
                  <c:v>N132_N133</c:v>
                </c:pt>
                <c:pt idx="12">
                  <c:v>N133_N134</c:v>
                </c:pt>
                <c:pt idx="13">
                  <c:v>N134_N135</c:v>
                </c:pt>
                <c:pt idx="14">
                  <c:v>N136_N137</c:v>
                </c:pt>
                <c:pt idx="15">
                  <c:v>N137_N138</c:v>
                </c:pt>
                <c:pt idx="16">
                  <c:v>N138_N139</c:v>
                </c:pt>
                <c:pt idx="17">
                  <c:v>N139_N140</c:v>
                </c:pt>
                <c:pt idx="18">
                  <c:v>N140_N141</c:v>
                </c:pt>
                <c:pt idx="19">
                  <c:v>N141_N142</c:v>
                </c:pt>
                <c:pt idx="20">
                  <c:v>N142_N143</c:v>
                </c:pt>
                <c:pt idx="21">
                  <c:v>N143_N144</c:v>
                </c:pt>
                <c:pt idx="22">
                  <c:v>N144_N145</c:v>
                </c:pt>
                <c:pt idx="23">
                  <c:v>N145_N146</c:v>
                </c:pt>
                <c:pt idx="24">
                  <c:v>N146_N147</c:v>
                </c:pt>
                <c:pt idx="25">
                  <c:v>N147_N148</c:v>
                </c:pt>
                <c:pt idx="26">
                  <c:v>N148_N149</c:v>
                </c:pt>
                <c:pt idx="27">
                  <c:v>N149_N150</c:v>
                </c:pt>
                <c:pt idx="28">
                  <c:v>N150_N151</c:v>
                </c:pt>
                <c:pt idx="29">
                  <c:v>N151_N152</c:v>
                </c:pt>
                <c:pt idx="30">
                  <c:v>N152_N153</c:v>
                </c:pt>
                <c:pt idx="31">
                  <c:v>N153_N154</c:v>
                </c:pt>
                <c:pt idx="32">
                  <c:v>N154_N155</c:v>
                </c:pt>
                <c:pt idx="33">
                  <c:v>N155_N156</c:v>
                </c:pt>
                <c:pt idx="34">
                  <c:v>N156_N157</c:v>
                </c:pt>
                <c:pt idx="35">
                  <c:v>N157_N158</c:v>
                </c:pt>
                <c:pt idx="36">
                  <c:v>N158_N159</c:v>
                </c:pt>
                <c:pt idx="37">
                  <c:v>N159_N160</c:v>
                </c:pt>
                <c:pt idx="38">
                  <c:v>N160_N161</c:v>
                </c:pt>
                <c:pt idx="39">
                  <c:v>N161_N162</c:v>
                </c:pt>
                <c:pt idx="40">
                  <c:v>N162_N163</c:v>
                </c:pt>
                <c:pt idx="41">
                  <c:v>N163_N164</c:v>
                </c:pt>
                <c:pt idx="42">
                  <c:v>N164_N165</c:v>
                </c:pt>
                <c:pt idx="43">
                  <c:v>N167_N168</c:v>
                </c:pt>
                <c:pt idx="44">
                  <c:v>N168_N169</c:v>
                </c:pt>
                <c:pt idx="45">
                  <c:v>N169_N170</c:v>
                </c:pt>
                <c:pt idx="46">
                  <c:v>N170_N171</c:v>
                </c:pt>
                <c:pt idx="47">
                  <c:v>N171_N172</c:v>
                </c:pt>
                <c:pt idx="48">
                  <c:v>N172_N173</c:v>
                </c:pt>
                <c:pt idx="49">
                  <c:v>N173_N174</c:v>
                </c:pt>
                <c:pt idx="50">
                  <c:v>N174_N175</c:v>
                </c:pt>
                <c:pt idx="51">
                  <c:v>N175_N176</c:v>
                </c:pt>
                <c:pt idx="52">
                  <c:v>N176_N177</c:v>
                </c:pt>
                <c:pt idx="53">
                  <c:v>N177_N178</c:v>
                </c:pt>
                <c:pt idx="54">
                  <c:v>N178_N179</c:v>
                </c:pt>
                <c:pt idx="55">
                  <c:v>N179_N180</c:v>
                </c:pt>
                <c:pt idx="56">
                  <c:v>N180_N181</c:v>
                </c:pt>
                <c:pt idx="57">
                  <c:v>N181_N182</c:v>
                </c:pt>
                <c:pt idx="58">
                  <c:v>N182_N183</c:v>
                </c:pt>
                <c:pt idx="59">
                  <c:v>N183_N184</c:v>
                </c:pt>
                <c:pt idx="60">
                  <c:v>N184_N185</c:v>
                </c:pt>
                <c:pt idx="61">
                  <c:v>N185_N186</c:v>
                </c:pt>
                <c:pt idx="62">
                  <c:v>N186_N187</c:v>
                </c:pt>
                <c:pt idx="63">
                  <c:v>N187_N188</c:v>
                </c:pt>
                <c:pt idx="64">
                  <c:v>N188_N189</c:v>
                </c:pt>
                <c:pt idx="65">
                  <c:v>N189_N190</c:v>
                </c:pt>
                <c:pt idx="66">
                  <c:v>N190_N191</c:v>
                </c:pt>
                <c:pt idx="67">
                  <c:v>N191_N192</c:v>
                </c:pt>
                <c:pt idx="68">
                  <c:v>N192_N193</c:v>
                </c:pt>
                <c:pt idx="69">
                  <c:v>N193_N194</c:v>
                </c:pt>
              </c:strCache>
            </c:strRef>
          </c:cat>
          <c:val>
            <c:numRef>
              <c:f>'COMPARAISON EPANET'!$AF$4:$AF$73</c:f>
              <c:numCache>
                <c:formatCode>General</c:formatCode>
                <c:ptCount val="70"/>
                <c:pt idx="0">
                  <c:v>3.417511940002441</c:v>
                </c:pt>
                <c:pt idx="1">
                  <c:v>4.812995433807373</c:v>
                </c:pt>
                <c:pt idx="2">
                  <c:v>3.252838134765625</c:v>
                </c:pt>
                <c:pt idx="3">
                  <c:v>9.477630615234375</c:v>
                </c:pt>
                <c:pt idx="4">
                  <c:v>2.953453540802002</c:v>
                </c:pt>
                <c:pt idx="5">
                  <c:v>4.052828311920166</c:v>
                </c:pt>
                <c:pt idx="6">
                  <c:v>2.589356422424316</c:v>
                </c:pt>
                <c:pt idx="7">
                  <c:v>0.66114652156829834</c:v>
                </c:pt>
                <c:pt idx="8">
                  <c:v>2.067552804946899</c:v>
                </c:pt>
                <c:pt idx="9">
                  <c:v>1.282986164093018</c:v>
                </c:pt>
                <c:pt idx="10">
                  <c:v>1.0449404716491699</c:v>
                </c:pt>
                <c:pt idx="11">
                  <c:v>4.0553994178771973</c:v>
                </c:pt>
                <c:pt idx="12">
                  <c:v>0.78617078065872192</c:v>
                </c:pt>
                <c:pt idx="13">
                  <c:v>8.8603992462158203</c:v>
                </c:pt>
                <c:pt idx="14">
                  <c:v>3.254787921905518</c:v>
                </c:pt>
                <c:pt idx="15">
                  <c:v>2.4387040138244629</c:v>
                </c:pt>
                <c:pt idx="16">
                  <c:v>7.5734109878540039</c:v>
                </c:pt>
                <c:pt idx="17">
                  <c:v>5.8701033592224121</c:v>
                </c:pt>
                <c:pt idx="18">
                  <c:v>4.5691900253295898</c:v>
                </c:pt>
                <c:pt idx="19">
                  <c:v>3.6512200832366939</c:v>
                </c:pt>
                <c:pt idx="20">
                  <c:v>2.3266811370849609</c:v>
                </c:pt>
                <c:pt idx="21">
                  <c:v>1.321064710617065</c:v>
                </c:pt>
                <c:pt idx="22">
                  <c:v>1.003243684768677</c:v>
                </c:pt>
                <c:pt idx="23">
                  <c:v>4.4604997634887704</c:v>
                </c:pt>
                <c:pt idx="24">
                  <c:v>3.920287132263184</c:v>
                </c:pt>
                <c:pt idx="25">
                  <c:v>1.396320700645447</c:v>
                </c:pt>
                <c:pt idx="26">
                  <c:v>2.6827230453491211</c:v>
                </c:pt>
                <c:pt idx="27">
                  <c:v>2.9805271625518799</c:v>
                </c:pt>
                <c:pt idx="28">
                  <c:v>3.146917581558228</c:v>
                </c:pt>
                <c:pt idx="29">
                  <c:v>3.3687422275543208</c:v>
                </c:pt>
                <c:pt idx="30">
                  <c:v>3.749416828155518</c:v>
                </c:pt>
                <c:pt idx="31">
                  <c:v>4.2344193458557129</c:v>
                </c:pt>
                <c:pt idx="32">
                  <c:v>4.5844731330871582</c:v>
                </c:pt>
                <c:pt idx="33">
                  <c:v>5.1192193031311044</c:v>
                </c:pt>
                <c:pt idx="34">
                  <c:v>5.8520379066467294</c:v>
                </c:pt>
                <c:pt idx="35">
                  <c:v>6.4319539070129386</c:v>
                </c:pt>
                <c:pt idx="36">
                  <c:v>7.0314812660217294</c:v>
                </c:pt>
                <c:pt idx="37">
                  <c:v>7.6942839622497559</c:v>
                </c:pt>
                <c:pt idx="38">
                  <c:v>8.3656482696533203</c:v>
                </c:pt>
                <c:pt idx="39">
                  <c:v>9.3626575469970703</c:v>
                </c:pt>
                <c:pt idx="40">
                  <c:v>10.30277156829834</c:v>
                </c:pt>
                <c:pt idx="41">
                  <c:v>10.7249002456665</c:v>
                </c:pt>
                <c:pt idx="42">
                  <c:v>11.3223123550415</c:v>
                </c:pt>
                <c:pt idx="43">
                  <c:v>10.815413475036619</c:v>
                </c:pt>
                <c:pt idx="44">
                  <c:v>7.5955853462219238</c:v>
                </c:pt>
                <c:pt idx="45">
                  <c:v>11.08889007568359</c:v>
                </c:pt>
                <c:pt idx="46">
                  <c:v>7.9276022911071777</c:v>
                </c:pt>
                <c:pt idx="47">
                  <c:v>5.4913220405578613</c:v>
                </c:pt>
                <c:pt idx="48">
                  <c:v>13.57794761657715</c:v>
                </c:pt>
                <c:pt idx="49">
                  <c:v>8.5950908660888672</c:v>
                </c:pt>
                <c:pt idx="50">
                  <c:v>5.939852237701416</c:v>
                </c:pt>
                <c:pt idx="51">
                  <c:v>21.306278228759769</c:v>
                </c:pt>
                <c:pt idx="52">
                  <c:v>8.9702978134155273</c:v>
                </c:pt>
                <c:pt idx="53">
                  <c:v>4.1715936660766602</c:v>
                </c:pt>
                <c:pt idx="54">
                  <c:v>0.89813637733459473</c:v>
                </c:pt>
                <c:pt idx="55">
                  <c:v>0.93621087074279785</c:v>
                </c:pt>
                <c:pt idx="56">
                  <c:v>2.207109689712524</c:v>
                </c:pt>
                <c:pt idx="57">
                  <c:v>4.8735637664794922</c:v>
                </c:pt>
                <c:pt idx="58">
                  <c:v>3.1096739768981929</c:v>
                </c:pt>
                <c:pt idx="59">
                  <c:v>4.9106364250183114</c:v>
                </c:pt>
                <c:pt idx="60">
                  <c:v>6.3618330955505371</c:v>
                </c:pt>
                <c:pt idx="61">
                  <c:v>7.3057327270507813</c:v>
                </c:pt>
                <c:pt idx="62">
                  <c:v>1.598186135292053</c:v>
                </c:pt>
                <c:pt idx="63">
                  <c:v>2.2076749801635742</c:v>
                </c:pt>
                <c:pt idx="64">
                  <c:v>3.1549141407012939</c:v>
                </c:pt>
                <c:pt idx="65">
                  <c:v>4.650752067565918</c:v>
                </c:pt>
                <c:pt idx="66">
                  <c:v>6.1062579154968262</c:v>
                </c:pt>
                <c:pt idx="67">
                  <c:v>6.9274296760559082</c:v>
                </c:pt>
                <c:pt idx="68">
                  <c:v>6.9274296760559082</c:v>
                </c:pt>
                <c:pt idx="69">
                  <c:v>2.013487577438354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5-4F78-916E-A6B2FAB3A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669775"/>
        <c:axId val="1010666415"/>
      </c:barChart>
      <c:catAx>
        <c:axId val="101066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66415"/>
        <c:crosses val="autoZero"/>
        <c:auto val="1"/>
        <c:lblAlgn val="ctr"/>
        <c:lblOffset val="100"/>
        <c:noMultiLvlLbl val="0"/>
      </c:catAx>
      <c:valAx>
        <c:axId val="101066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EPANET'!$AG$3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EPANET'!$V$4:$V$73</c:f>
              <c:strCache>
                <c:ptCount val="70"/>
                <c:pt idx="0">
                  <c:v>N81</c:v>
                </c:pt>
                <c:pt idx="1">
                  <c:v>N135</c:v>
                </c:pt>
                <c:pt idx="2">
                  <c:v>N82</c:v>
                </c:pt>
                <c:pt idx="3">
                  <c:v>N83</c:v>
                </c:pt>
                <c:pt idx="4">
                  <c:v>N84</c:v>
                </c:pt>
                <c:pt idx="5">
                  <c:v>N136</c:v>
                </c:pt>
                <c:pt idx="6">
                  <c:v>N127</c:v>
                </c:pt>
                <c:pt idx="7">
                  <c:v>N128</c:v>
                </c:pt>
                <c:pt idx="8">
                  <c:v>N129</c:v>
                </c:pt>
                <c:pt idx="9">
                  <c:v>N130</c:v>
                </c:pt>
                <c:pt idx="10">
                  <c:v>N131</c:v>
                </c:pt>
                <c:pt idx="11">
                  <c:v>N132</c:v>
                </c:pt>
                <c:pt idx="12">
                  <c:v>N133</c:v>
                </c:pt>
                <c:pt idx="13">
                  <c:v>N134</c:v>
                </c:pt>
                <c:pt idx="14">
                  <c:v>N137</c:v>
                </c:pt>
                <c:pt idx="15">
                  <c:v>N138</c:v>
                </c:pt>
                <c:pt idx="16">
                  <c:v>N139</c:v>
                </c:pt>
                <c:pt idx="17">
                  <c:v>N140</c:v>
                </c:pt>
                <c:pt idx="18">
                  <c:v>N141</c:v>
                </c:pt>
                <c:pt idx="19">
                  <c:v>N142</c:v>
                </c:pt>
                <c:pt idx="20">
                  <c:v>N143</c:v>
                </c:pt>
                <c:pt idx="21">
                  <c:v>N144</c:v>
                </c:pt>
                <c:pt idx="22">
                  <c:v>N145</c:v>
                </c:pt>
                <c:pt idx="23">
                  <c:v>N146</c:v>
                </c:pt>
                <c:pt idx="24">
                  <c:v>N147</c:v>
                </c:pt>
                <c:pt idx="25">
                  <c:v>N148</c:v>
                </c:pt>
                <c:pt idx="26">
                  <c:v>N149</c:v>
                </c:pt>
                <c:pt idx="27">
                  <c:v>N150</c:v>
                </c:pt>
                <c:pt idx="28">
                  <c:v>N151</c:v>
                </c:pt>
                <c:pt idx="29">
                  <c:v>N152</c:v>
                </c:pt>
                <c:pt idx="30">
                  <c:v>N153</c:v>
                </c:pt>
                <c:pt idx="31">
                  <c:v>N154</c:v>
                </c:pt>
                <c:pt idx="32">
                  <c:v>N155</c:v>
                </c:pt>
                <c:pt idx="33">
                  <c:v>N156</c:v>
                </c:pt>
                <c:pt idx="34">
                  <c:v>N157</c:v>
                </c:pt>
                <c:pt idx="35">
                  <c:v>N158</c:v>
                </c:pt>
                <c:pt idx="36">
                  <c:v>N159</c:v>
                </c:pt>
                <c:pt idx="37">
                  <c:v>N160</c:v>
                </c:pt>
                <c:pt idx="38">
                  <c:v>N161</c:v>
                </c:pt>
                <c:pt idx="39">
                  <c:v>N162</c:v>
                </c:pt>
                <c:pt idx="40">
                  <c:v>N163</c:v>
                </c:pt>
                <c:pt idx="41">
                  <c:v>N164</c:v>
                </c:pt>
                <c:pt idx="42">
                  <c:v>N165</c:v>
                </c:pt>
                <c:pt idx="43">
                  <c:v>N168</c:v>
                </c:pt>
                <c:pt idx="44">
                  <c:v>N169</c:v>
                </c:pt>
                <c:pt idx="45">
                  <c:v>N170</c:v>
                </c:pt>
                <c:pt idx="46">
                  <c:v>N171</c:v>
                </c:pt>
                <c:pt idx="47">
                  <c:v>N172</c:v>
                </c:pt>
                <c:pt idx="48">
                  <c:v>N173</c:v>
                </c:pt>
                <c:pt idx="49">
                  <c:v>N174</c:v>
                </c:pt>
                <c:pt idx="50">
                  <c:v>N175</c:v>
                </c:pt>
                <c:pt idx="51">
                  <c:v>N176</c:v>
                </c:pt>
                <c:pt idx="52">
                  <c:v>N177</c:v>
                </c:pt>
                <c:pt idx="53">
                  <c:v>N178</c:v>
                </c:pt>
                <c:pt idx="54">
                  <c:v>N179</c:v>
                </c:pt>
                <c:pt idx="55">
                  <c:v>N180</c:v>
                </c:pt>
                <c:pt idx="56">
                  <c:v>N181</c:v>
                </c:pt>
                <c:pt idx="57">
                  <c:v>N182</c:v>
                </c:pt>
                <c:pt idx="58">
                  <c:v>N183</c:v>
                </c:pt>
                <c:pt idx="59">
                  <c:v>N184</c:v>
                </c:pt>
                <c:pt idx="60">
                  <c:v>N185</c:v>
                </c:pt>
                <c:pt idx="61">
                  <c:v>N186</c:v>
                </c:pt>
                <c:pt idx="62">
                  <c:v>N187</c:v>
                </c:pt>
                <c:pt idx="63">
                  <c:v>N188</c:v>
                </c:pt>
                <c:pt idx="64">
                  <c:v>N189</c:v>
                </c:pt>
                <c:pt idx="65">
                  <c:v>N190</c:v>
                </c:pt>
                <c:pt idx="66">
                  <c:v>N191</c:v>
                </c:pt>
                <c:pt idx="67">
                  <c:v>N192</c:v>
                </c:pt>
                <c:pt idx="68">
                  <c:v>N192</c:v>
                </c:pt>
                <c:pt idx="69">
                  <c:v>N193</c:v>
                </c:pt>
              </c:strCache>
            </c:strRef>
          </c:cat>
          <c:val>
            <c:numRef>
              <c:f>'COMPARAISON EPANET'!$AG$4:$AG$73</c:f>
              <c:numCache>
                <c:formatCode>General</c:formatCode>
                <c:ptCount val="70"/>
                <c:pt idx="0">
                  <c:v>68.739901850435103</c:v>
                </c:pt>
                <c:pt idx="1">
                  <c:v>72.581227338655665</c:v>
                </c:pt>
                <c:pt idx="2">
                  <c:v>71.284535951807129</c:v>
                </c:pt>
                <c:pt idx="3">
                  <c:v>71.138142175401597</c:v>
                </c:pt>
                <c:pt idx="4">
                  <c:v>69.792578008259511</c:v>
                </c:pt>
                <c:pt idx="5">
                  <c:v>78.39228548990684</c:v>
                </c:pt>
                <c:pt idx="6">
                  <c:v>70.049692794019421</c:v>
                </c:pt>
                <c:pt idx="7">
                  <c:v>71.526788152928091</c:v>
                </c:pt>
                <c:pt idx="8">
                  <c:v>67.37893235786089</c:v>
                </c:pt>
                <c:pt idx="9">
                  <c:v>72.24369839895796</c:v>
                </c:pt>
                <c:pt idx="10">
                  <c:v>72.048961498137743</c:v>
                </c:pt>
                <c:pt idx="11">
                  <c:v>77.778493580331883</c:v>
                </c:pt>
                <c:pt idx="12">
                  <c:v>68.681125129921782</c:v>
                </c:pt>
                <c:pt idx="13">
                  <c:v>70.513435020882142</c:v>
                </c:pt>
                <c:pt idx="14">
                  <c:v>65.864312018148084</c:v>
                </c:pt>
                <c:pt idx="15">
                  <c:v>65.296329390755787</c:v>
                </c:pt>
                <c:pt idx="16">
                  <c:v>61.809487138705236</c:v>
                </c:pt>
                <c:pt idx="17">
                  <c:v>60.484925637338208</c:v>
                </c:pt>
                <c:pt idx="18">
                  <c:v>62.10627055241001</c:v>
                </c:pt>
                <c:pt idx="19">
                  <c:v>63.925958607206105</c:v>
                </c:pt>
                <c:pt idx="20">
                  <c:v>63.156026601185431</c:v>
                </c:pt>
                <c:pt idx="21">
                  <c:v>62.999155208858028</c:v>
                </c:pt>
                <c:pt idx="22">
                  <c:v>64.791796471873539</c:v>
                </c:pt>
                <c:pt idx="23">
                  <c:v>66.488872403930984</c:v>
                </c:pt>
                <c:pt idx="24">
                  <c:v>62.103004841194618</c:v>
                </c:pt>
                <c:pt idx="25">
                  <c:v>66.97678647955189</c:v>
                </c:pt>
                <c:pt idx="26">
                  <c:v>67.882434859288097</c:v>
                </c:pt>
                <c:pt idx="27">
                  <c:v>64.71658567728953</c:v>
                </c:pt>
                <c:pt idx="28">
                  <c:v>62.471305699765942</c:v>
                </c:pt>
                <c:pt idx="29">
                  <c:v>62.883650313274401</c:v>
                </c:pt>
                <c:pt idx="30">
                  <c:v>62.971158572921915</c:v>
                </c:pt>
                <c:pt idx="31">
                  <c:v>64.005628338076491</c:v>
                </c:pt>
                <c:pt idx="32">
                  <c:v>56.722771536847389</c:v>
                </c:pt>
                <c:pt idx="33">
                  <c:v>50.657686677318857</c:v>
                </c:pt>
                <c:pt idx="34">
                  <c:v>47.087794537084122</c:v>
                </c:pt>
                <c:pt idx="35">
                  <c:v>44.257277849467698</c:v>
                </c:pt>
                <c:pt idx="36">
                  <c:v>44.848385020798084</c:v>
                </c:pt>
                <c:pt idx="37">
                  <c:v>38.359837351369947</c:v>
                </c:pt>
                <c:pt idx="38">
                  <c:v>38.324446391057052</c:v>
                </c:pt>
                <c:pt idx="39">
                  <c:v>29.852682572725399</c:v>
                </c:pt>
                <c:pt idx="40">
                  <c:v>28.093082766255549</c:v>
                </c:pt>
                <c:pt idx="41">
                  <c:v>28.847802788731961</c:v>
                </c:pt>
                <c:pt idx="42">
                  <c:v>19.023576680854859</c:v>
                </c:pt>
                <c:pt idx="43">
                  <c:v>21.699781541472326</c:v>
                </c:pt>
                <c:pt idx="44">
                  <c:v>20.411715520918207</c:v>
                </c:pt>
                <c:pt idx="45">
                  <c:v>22.17947624853349</c:v>
                </c:pt>
                <c:pt idx="46">
                  <c:v>18.003063724318174</c:v>
                </c:pt>
                <c:pt idx="47">
                  <c:v>17.804320500835104</c:v>
                </c:pt>
                <c:pt idx="48">
                  <c:v>19.605577277352033</c:v>
                </c:pt>
                <c:pt idx="49">
                  <c:v>22.505089130647107</c:v>
                </c:pt>
                <c:pt idx="50">
                  <c:v>21.409067123795737</c:v>
                </c:pt>
                <c:pt idx="51">
                  <c:v>20.261684508628512</c:v>
                </c:pt>
                <c:pt idx="52">
                  <c:v>16.154497152143257</c:v>
                </c:pt>
                <c:pt idx="53">
                  <c:v>18.112068823534514</c:v>
                </c:pt>
                <c:pt idx="54">
                  <c:v>16.982550767781497</c:v>
                </c:pt>
                <c:pt idx="55">
                  <c:v>18.794972893932304</c:v>
                </c:pt>
                <c:pt idx="56">
                  <c:v>21.560500551620812</c:v>
                </c:pt>
                <c:pt idx="57">
                  <c:v>20.359524258210961</c:v>
                </c:pt>
                <c:pt idx="58">
                  <c:v>15.185344803922426</c:v>
                </c:pt>
                <c:pt idx="59">
                  <c:v>10.000000000000007</c:v>
                </c:pt>
                <c:pt idx="60">
                  <c:v>17.609212762814188</c:v>
                </c:pt>
                <c:pt idx="61">
                  <c:v>19.231823945189028</c:v>
                </c:pt>
                <c:pt idx="62">
                  <c:v>16.854435127563868</c:v>
                </c:pt>
                <c:pt idx="63">
                  <c:v>21.555203757375871</c:v>
                </c:pt>
                <c:pt idx="64">
                  <c:v>14.967906366633756</c:v>
                </c:pt>
                <c:pt idx="65">
                  <c:v>22.394007395452299</c:v>
                </c:pt>
                <c:pt idx="66">
                  <c:v>18.007686298120035</c:v>
                </c:pt>
                <c:pt idx="67">
                  <c:v>15.902732011561561</c:v>
                </c:pt>
                <c:pt idx="68">
                  <c:v>15.555746578629687</c:v>
                </c:pt>
                <c:pt idx="69">
                  <c:v>15.388679518329155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8-4E21-BF9C-6A2406DD487B}"/>
            </c:ext>
          </c:extLst>
        </c:ser>
        <c:ser>
          <c:idx val="1"/>
          <c:order val="1"/>
          <c:tx>
            <c:strRef>
              <c:f>'COMPARAISON EPANET'!$AH$3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EPANET'!$V$4:$V$73</c:f>
              <c:strCache>
                <c:ptCount val="70"/>
                <c:pt idx="0">
                  <c:v>N81</c:v>
                </c:pt>
                <c:pt idx="1">
                  <c:v>N135</c:v>
                </c:pt>
                <c:pt idx="2">
                  <c:v>N82</c:v>
                </c:pt>
                <c:pt idx="3">
                  <c:v>N83</c:v>
                </c:pt>
                <c:pt idx="4">
                  <c:v>N84</c:v>
                </c:pt>
                <c:pt idx="5">
                  <c:v>N136</c:v>
                </c:pt>
                <c:pt idx="6">
                  <c:v>N127</c:v>
                </c:pt>
                <c:pt idx="7">
                  <c:v>N128</c:v>
                </c:pt>
                <c:pt idx="8">
                  <c:v>N129</c:v>
                </c:pt>
                <c:pt idx="9">
                  <c:v>N130</c:v>
                </c:pt>
                <c:pt idx="10">
                  <c:v>N131</c:v>
                </c:pt>
                <c:pt idx="11">
                  <c:v>N132</c:v>
                </c:pt>
                <c:pt idx="12">
                  <c:v>N133</c:v>
                </c:pt>
                <c:pt idx="13">
                  <c:v>N134</c:v>
                </c:pt>
                <c:pt idx="14">
                  <c:v>N137</c:v>
                </c:pt>
                <c:pt idx="15">
                  <c:v>N138</c:v>
                </c:pt>
                <c:pt idx="16">
                  <c:v>N139</c:v>
                </c:pt>
                <c:pt idx="17">
                  <c:v>N140</c:v>
                </c:pt>
                <c:pt idx="18">
                  <c:v>N141</c:v>
                </c:pt>
                <c:pt idx="19">
                  <c:v>N142</c:v>
                </c:pt>
                <c:pt idx="20">
                  <c:v>N143</c:v>
                </c:pt>
                <c:pt idx="21">
                  <c:v>N144</c:v>
                </c:pt>
                <c:pt idx="22">
                  <c:v>N145</c:v>
                </c:pt>
                <c:pt idx="23">
                  <c:v>N146</c:v>
                </c:pt>
                <c:pt idx="24">
                  <c:v>N147</c:v>
                </c:pt>
                <c:pt idx="25">
                  <c:v>N148</c:v>
                </c:pt>
                <c:pt idx="26">
                  <c:v>N149</c:v>
                </c:pt>
                <c:pt idx="27">
                  <c:v>N150</c:v>
                </c:pt>
                <c:pt idx="28">
                  <c:v>N151</c:v>
                </c:pt>
                <c:pt idx="29">
                  <c:v>N152</c:v>
                </c:pt>
                <c:pt idx="30">
                  <c:v>N153</c:v>
                </c:pt>
                <c:pt idx="31">
                  <c:v>N154</c:v>
                </c:pt>
                <c:pt idx="32">
                  <c:v>N155</c:v>
                </c:pt>
                <c:pt idx="33">
                  <c:v>N156</c:v>
                </c:pt>
                <c:pt idx="34">
                  <c:v>N157</c:v>
                </c:pt>
                <c:pt idx="35">
                  <c:v>N158</c:v>
                </c:pt>
                <c:pt idx="36">
                  <c:v>N159</c:v>
                </c:pt>
                <c:pt idx="37">
                  <c:v>N160</c:v>
                </c:pt>
                <c:pt idx="38">
                  <c:v>N161</c:v>
                </c:pt>
                <c:pt idx="39">
                  <c:v>N162</c:v>
                </c:pt>
                <c:pt idx="40">
                  <c:v>N163</c:v>
                </c:pt>
                <c:pt idx="41">
                  <c:v>N164</c:v>
                </c:pt>
                <c:pt idx="42">
                  <c:v>N165</c:v>
                </c:pt>
                <c:pt idx="43">
                  <c:v>N168</c:v>
                </c:pt>
                <c:pt idx="44">
                  <c:v>N169</c:v>
                </c:pt>
                <c:pt idx="45">
                  <c:v>N170</c:v>
                </c:pt>
                <c:pt idx="46">
                  <c:v>N171</c:v>
                </c:pt>
                <c:pt idx="47">
                  <c:v>N172</c:v>
                </c:pt>
                <c:pt idx="48">
                  <c:v>N173</c:v>
                </c:pt>
                <c:pt idx="49">
                  <c:v>N174</c:v>
                </c:pt>
                <c:pt idx="50">
                  <c:v>N175</c:v>
                </c:pt>
                <c:pt idx="51">
                  <c:v>N176</c:v>
                </c:pt>
                <c:pt idx="52">
                  <c:v>N177</c:v>
                </c:pt>
                <c:pt idx="53">
                  <c:v>N178</c:v>
                </c:pt>
                <c:pt idx="54">
                  <c:v>N179</c:v>
                </c:pt>
                <c:pt idx="55">
                  <c:v>N180</c:v>
                </c:pt>
                <c:pt idx="56">
                  <c:v>N181</c:v>
                </c:pt>
                <c:pt idx="57">
                  <c:v>N182</c:v>
                </c:pt>
                <c:pt idx="58">
                  <c:v>N183</c:v>
                </c:pt>
                <c:pt idx="59">
                  <c:v>N184</c:v>
                </c:pt>
                <c:pt idx="60">
                  <c:v>N185</c:v>
                </c:pt>
                <c:pt idx="61">
                  <c:v>N186</c:v>
                </c:pt>
                <c:pt idx="62">
                  <c:v>N187</c:v>
                </c:pt>
                <c:pt idx="63">
                  <c:v>N188</c:v>
                </c:pt>
                <c:pt idx="64">
                  <c:v>N189</c:v>
                </c:pt>
                <c:pt idx="65">
                  <c:v>N190</c:v>
                </c:pt>
                <c:pt idx="66">
                  <c:v>N191</c:v>
                </c:pt>
                <c:pt idx="67">
                  <c:v>N192</c:v>
                </c:pt>
                <c:pt idx="68">
                  <c:v>N192</c:v>
                </c:pt>
                <c:pt idx="69">
                  <c:v>N193</c:v>
                </c:pt>
              </c:strCache>
            </c:strRef>
          </c:cat>
          <c:val>
            <c:numRef>
              <c:f>'COMPARAISON EPANET'!$AH$4:$AH$73</c:f>
              <c:numCache>
                <c:formatCode>General</c:formatCode>
                <c:ptCount val="70"/>
                <c:pt idx="0">
                  <c:v>57.888214111328118</c:v>
                </c:pt>
                <c:pt idx="1">
                  <c:v>61.467079162597663</c:v>
                </c:pt>
                <c:pt idx="2">
                  <c:v>60.654457092285163</c:v>
                </c:pt>
                <c:pt idx="3">
                  <c:v>60.158725738525391</c:v>
                </c:pt>
                <c:pt idx="4">
                  <c:v>58.451694488525391</c:v>
                </c:pt>
                <c:pt idx="5">
                  <c:v>68.135505676269531</c:v>
                </c:pt>
                <c:pt idx="6">
                  <c:v>61.037258148193359</c:v>
                </c:pt>
                <c:pt idx="7">
                  <c:v>62.780147552490227</c:v>
                </c:pt>
                <c:pt idx="8">
                  <c:v>58.588417053222663</c:v>
                </c:pt>
                <c:pt idx="9">
                  <c:v>63.418048858642578</c:v>
                </c:pt>
                <c:pt idx="10">
                  <c:v>63.321697235107422</c:v>
                </c:pt>
                <c:pt idx="11">
                  <c:v>69.208839416503906</c:v>
                </c:pt>
                <c:pt idx="12">
                  <c:v>59.599723815917969</c:v>
                </c:pt>
                <c:pt idx="13">
                  <c:v>61.642173767089837</c:v>
                </c:pt>
                <c:pt idx="14">
                  <c:v>56.964431762695313</c:v>
                </c:pt>
                <c:pt idx="15">
                  <c:v>56.196971893310547</c:v>
                </c:pt>
                <c:pt idx="16">
                  <c:v>51.155178070068359</c:v>
                </c:pt>
                <c:pt idx="17">
                  <c:v>49.100910186767578</c:v>
                </c:pt>
                <c:pt idx="18">
                  <c:v>50.140464782714837</c:v>
                </c:pt>
                <c:pt idx="19">
                  <c:v>51.776802062988281</c:v>
                </c:pt>
                <c:pt idx="20">
                  <c:v>50.783309936523438</c:v>
                </c:pt>
                <c:pt idx="21">
                  <c:v>50.669036865234382</c:v>
                </c:pt>
                <c:pt idx="22">
                  <c:v>52.553966522216797</c:v>
                </c:pt>
                <c:pt idx="23">
                  <c:v>53.804157257080078</c:v>
                </c:pt>
                <c:pt idx="24">
                  <c:v>48.964431762695313</c:v>
                </c:pt>
                <c:pt idx="25">
                  <c:v>53.866130828857422</c:v>
                </c:pt>
                <c:pt idx="26">
                  <c:v>58.109989166259773</c:v>
                </c:pt>
                <c:pt idx="27">
                  <c:v>55.200893402099609</c:v>
                </c:pt>
                <c:pt idx="28">
                  <c:v>53.311038970947273</c:v>
                </c:pt>
                <c:pt idx="29">
                  <c:v>54.475433349609382</c:v>
                </c:pt>
                <c:pt idx="30">
                  <c:v>57.807628631591797</c:v>
                </c:pt>
                <c:pt idx="31">
                  <c:v>61.132835388183587</c:v>
                </c:pt>
                <c:pt idx="32">
                  <c:v>54.304294586181641</c:v>
                </c:pt>
                <c:pt idx="33">
                  <c:v>56.963134765625</c:v>
                </c:pt>
                <c:pt idx="34">
                  <c:v>56.462314605712891</c:v>
                </c:pt>
                <c:pt idx="35">
                  <c:v>55.943424224853523</c:v>
                </c:pt>
                <c:pt idx="36">
                  <c:v>59.529148101806641</c:v>
                </c:pt>
                <c:pt idx="37">
                  <c:v>56.178546905517578</c:v>
                </c:pt>
                <c:pt idx="38">
                  <c:v>58.827720642089837</c:v>
                </c:pt>
                <c:pt idx="39">
                  <c:v>64.237739562988281</c:v>
                </c:pt>
                <c:pt idx="40">
                  <c:v>63.795116424560547</c:v>
                </c:pt>
                <c:pt idx="41">
                  <c:v>65.167266845703125</c:v>
                </c:pt>
                <c:pt idx="42">
                  <c:v>59.168163299560547</c:v>
                </c:pt>
                <c:pt idx="43">
                  <c:v>51.463386535644531</c:v>
                </c:pt>
                <c:pt idx="44">
                  <c:v>49.479759216308587</c:v>
                </c:pt>
                <c:pt idx="45">
                  <c:v>50.323188781738281</c:v>
                </c:pt>
                <c:pt idx="46">
                  <c:v>45.696113586425781</c:v>
                </c:pt>
                <c:pt idx="47">
                  <c:v>45.206287384033203</c:v>
                </c:pt>
                <c:pt idx="48">
                  <c:v>46.000568389892578</c:v>
                </c:pt>
                <c:pt idx="49">
                  <c:v>48.611209869384773</c:v>
                </c:pt>
                <c:pt idx="50">
                  <c:v>47.355201721191413</c:v>
                </c:pt>
                <c:pt idx="51">
                  <c:v>44.940464019775391</c:v>
                </c:pt>
                <c:pt idx="52">
                  <c:v>40.508995056152337</c:v>
                </c:pt>
                <c:pt idx="53">
                  <c:v>42.429733276367188</c:v>
                </c:pt>
                <c:pt idx="54">
                  <c:v>41.377193450927727</c:v>
                </c:pt>
                <c:pt idx="55">
                  <c:v>43.455833435058587</c:v>
                </c:pt>
                <c:pt idx="56">
                  <c:v>46.687801361083977</c:v>
                </c:pt>
                <c:pt idx="57">
                  <c:v>46.126911163330078</c:v>
                </c:pt>
                <c:pt idx="58">
                  <c:v>41.370395660400391</c:v>
                </c:pt>
                <c:pt idx="59">
                  <c:v>36.779945373535163</c:v>
                </c:pt>
                <c:pt idx="60">
                  <c:v>45.891990661621087</c:v>
                </c:pt>
                <c:pt idx="61">
                  <c:v>49.126663208007813</c:v>
                </c:pt>
                <c:pt idx="62">
                  <c:v>47.396915435791023</c:v>
                </c:pt>
                <c:pt idx="63">
                  <c:v>52.692741394042969</c:v>
                </c:pt>
                <c:pt idx="64">
                  <c:v>47.521537780761719</c:v>
                </c:pt>
                <c:pt idx="65">
                  <c:v>56.714458465576172</c:v>
                </c:pt>
                <c:pt idx="66">
                  <c:v>53.772670745849609</c:v>
                </c:pt>
                <c:pt idx="67">
                  <c:v>52.097568511962891</c:v>
                </c:pt>
                <c:pt idx="68">
                  <c:v>52.097568511962891</c:v>
                </c:pt>
                <c:pt idx="69">
                  <c:v>50.962139129638672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8-4E21-BF9C-6A2406DD4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880543"/>
        <c:axId val="1011881503"/>
      </c:barChart>
      <c:catAx>
        <c:axId val="10118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1503"/>
        <c:crosses val="autoZero"/>
        <c:auto val="1"/>
        <c:lblAlgn val="ctr"/>
        <c:lblOffset val="100"/>
        <c:noMultiLvlLbl val="0"/>
      </c:catAx>
      <c:valAx>
        <c:axId val="101188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DIAMETRE_THEORIQUE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EPANET'!$AP$3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EPANET'!$AP$4:$AP$40</c:f>
              <c:numCache>
                <c:formatCode>General</c:formatCode>
                <c:ptCount val="37"/>
                <c:pt idx="0">
                  <c:v>204.52212438525402</c:v>
                </c:pt>
                <c:pt idx="1">
                  <c:v>204.52212438525402</c:v>
                </c:pt>
                <c:pt idx="2">
                  <c:v>204.52523865872314</c:v>
                </c:pt>
                <c:pt idx="3">
                  <c:v>204.52523865872314</c:v>
                </c:pt>
                <c:pt idx="4">
                  <c:v>204.52523865872314</c:v>
                </c:pt>
                <c:pt idx="5">
                  <c:v>204.52523865872314</c:v>
                </c:pt>
                <c:pt idx="6">
                  <c:v>204.52523865872314</c:v>
                </c:pt>
                <c:pt idx="7">
                  <c:v>204.52523865872314</c:v>
                </c:pt>
                <c:pt idx="8">
                  <c:v>204.52523865872314</c:v>
                </c:pt>
                <c:pt idx="9">
                  <c:v>204.52523865872314</c:v>
                </c:pt>
                <c:pt idx="10">
                  <c:v>204.52212438525402</c:v>
                </c:pt>
                <c:pt idx="11">
                  <c:v>271.95447352229712</c:v>
                </c:pt>
                <c:pt idx="12">
                  <c:v>204.52523865872314</c:v>
                </c:pt>
                <c:pt idx="13">
                  <c:v>204.52523865872314</c:v>
                </c:pt>
                <c:pt idx="14">
                  <c:v>204.52523865872314</c:v>
                </c:pt>
                <c:pt idx="15">
                  <c:v>204.52523865872314</c:v>
                </c:pt>
                <c:pt idx="16">
                  <c:v>204.52523865872314</c:v>
                </c:pt>
                <c:pt idx="17">
                  <c:v>204.52523865872314</c:v>
                </c:pt>
                <c:pt idx="18">
                  <c:v>204.52523865872314</c:v>
                </c:pt>
                <c:pt idx="19">
                  <c:v>204.52523865872314</c:v>
                </c:pt>
                <c:pt idx="20">
                  <c:v>204.52523865872314</c:v>
                </c:pt>
                <c:pt idx="21">
                  <c:v>204.52523865872314</c:v>
                </c:pt>
                <c:pt idx="22">
                  <c:v>204.52212438525402</c:v>
                </c:pt>
                <c:pt idx="23">
                  <c:v>384.60170480326735</c:v>
                </c:pt>
                <c:pt idx="24">
                  <c:v>384.60170480326735</c:v>
                </c:pt>
                <c:pt idx="25">
                  <c:v>384.60170480326735</c:v>
                </c:pt>
                <c:pt idx="26">
                  <c:v>384.60170480326735</c:v>
                </c:pt>
                <c:pt idx="27">
                  <c:v>384.60170480326735</c:v>
                </c:pt>
                <c:pt idx="28">
                  <c:v>384.60170480326735</c:v>
                </c:pt>
                <c:pt idx="29">
                  <c:v>271.95447352229712</c:v>
                </c:pt>
                <c:pt idx="30">
                  <c:v>271.95447352229712</c:v>
                </c:pt>
                <c:pt idx="31">
                  <c:v>271.95447352229712</c:v>
                </c:pt>
                <c:pt idx="32">
                  <c:v>271.95447352229712</c:v>
                </c:pt>
                <c:pt idx="33">
                  <c:v>271.95447352229712</c:v>
                </c:pt>
                <c:pt idx="34">
                  <c:v>271.95447352229712</c:v>
                </c:pt>
                <c:pt idx="35">
                  <c:v>271.95447352229712</c:v>
                </c:pt>
                <c:pt idx="36">
                  <c:v>271.95447352229712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CAD-9771-9167514863BC}"/>
            </c:ext>
          </c:extLst>
        </c:ser>
        <c:ser>
          <c:idx val="1"/>
          <c:order val="1"/>
          <c:tx>
            <c:strRef>
              <c:f>'COMPARAISON EPANET'!$AQ$3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EPANET'!$AQ$4:$AQ$40</c:f>
              <c:numCache>
                <c:formatCode>General</c:formatCode>
                <c:ptCount val="37"/>
                <c:pt idx="0">
                  <c:v>252</c:v>
                </c:pt>
                <c:pt idx="1">
                  <c:v>156.4</c:v>
                </c:pt>
                <c:pt idx="2">
                  <c:v>252</c:v>
                </c:pt>
                <c:pt idx="3">
                  <c:v>252</c:v>
                </c:pt>
                <c:pt idx="4">
                  <c:v>252</c:v>
                </c:pt>
                <c:pt idx="5">
                  <c:v>252</c:v>
                </c:pt>
                <c:pt idx="6">
                  <c:v>252</c:v>
                </c:pt>
                <c:pt idx="7">
                  <c:v>252</c:v>
                </c:pt>
                <c:pt idx="8">
                  <c:v>252</c:v>
                </c:pt>
                <c:pt idx="9">
                  <c:v>252</c:v>
                </c:pt>
                <c:pt idx="10">
                  <c:v>252</c:v>
                </c:pt>
                <c:pt idx="11">
                  <c:v>72.8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51.4</c:v>
                </c:pt>
                <c:pt idx="16">
                  <c:v>51.4</c:v>
                </c:pt>
                <c:pt idx="17">
                  <c:v>51.4</c:v>
                </c:pt>
                <c:pt idx="18">
                  <c:v>100</c:v>
                </c:pt>
                <c:pt idx="19">
                  <c:v>51.4</c:v>
                </c:pt>
                <c:pt idx="20">
                  <c:v>100</c:v>
                </c:pt>
                <c:pt idx="21">
                  <c:v>100</c:v>
                </c:pt>
                <c:pt idx="22">
                  <c:v>108.4</c:v>
                </c:pt>
                <c:pt idx="23">
                  <c:v>252</c:v>
                </c:pt>
                <c:pt idx="24">
                  <c:v>252</c:v>
                </c:pt>
                <c:pt idx="25">
                  <c:v>252</c:v>
                </c:pt>
                <c:pt idx="26">
                  <c:v>252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156.4</c:v>
                </c:pt>
                <c:pt idx="31">
                  <c:v>108.4</c:v>
                </c:pt>
                <c:pt idx="32">
                  <c:v>108.4</c:v>
                </c:pt>
                <c:pt idx="33">
                  <c:v>97.8</c:v>
                </c:pt>
                <c:pt idx="34">
                  <c:v>51.4</c:v>
                </c:pt>
                <c:pt idx="35">
                  <c:v>51.4</c:v>
                </c:pt>
                <c:pt idx="36">
                  <c:v>51.4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D-4CAD-9771-916751486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674095"/>
        <c:axId val="1010677455"/>
      </c:barChart>
      <c:catAx>
        <c:axId val="10106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77455"/>
        <c:crosses val="autoZero"/>
        <c:auto val="1"/>
        <c:lblAlgn val="ctr"/>
        <c:lblOffset val="100"/>
        <c:noMultiLvlLbl val="0"/>
      </c:catAx>
      <c:valAx>
        <c:axId val="101067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EPANET'!$AR$3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EPANET'!$AR$4:$AR$40</c:f>
              <c:numCache>
                <c:formatCode>General</c:formatCode>
                <c:ptCount val="37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300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F-414C-B6A3-5D53DF1E0AF2}"/>
            </c:ext>
          </c:extLst>
        </c:ser>
        <c:ser>
          <c:idx val="1"/>
          <c:order val="1"/>
          <c:tx>
            <c:strRef>
              <c:f>'COMPARAISON EPANET'!$AS$3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EPANET'!$AS$4:$AS$40</c:f>
              <c:numCache>
                <c:formatCode>General</c:formatCode>
                <c:ptCount val="37"/>
                <c:pt idx="0">
                  <c:v>250</c:v>
                </c:pt>
                <c:pt idx="1">
                  <c:v>150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75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100</c:v>
                </c:pt>
                <c:pt idx="19">
                  <c:v>50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150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F-414C-B6A3-5D53DF1E0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878623"/>
        <c:axId val="1011880063"/>
      </c:barChart>
      <c:catAx>
        <c:axId val="10118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0063"/>
        <c:crosses val="autoZero"/>
        <c:auto val="1"/>
        <c:lblAlgn val="ctr"/>
        <c:lblOffset val="100"/>
        <c:noMultiLvlLbl val="0"/>
      </c:catAx>
      <c:valAx>
        <c:axId val="101188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EPANET'!$AT$3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EPANET'!$AT$4:$AT$40</c:f>
              <c:numCache>
                <c:formatCode>General</c:formatCode>
                <c:ptCount val="37"/>
                <c:pt idx="0">
                  <c:v>5.8552051240535904E-2</c:v>
                </c:pt>
                <c:pt idx="1">
                  <c:v>2.2231279922193658E-3</c:v>
                </c:pt>
                <c:pt idx="2">
                  <c:v>5.8128399703610577E-2</c:v>
                </c:pt>
                <c:pt idx="3">
                  <c:v>5.6346826009918811E-2</c:v>
                </c:pt>
                <c:pt idx="4">
                  <c:v>5.5297319636705394E-2</c:v>
                </c:pt>
                <c:pt idx="5">
                  <c:v>5.4715161251236662E-2</c:v>
                </c:pt>
                <c:pt idx="6">
                  <c:v>5.4259359077368403E-2</c:v>
                </c:pt>
                <c:pt idx="7">
                  <c:v>5.3323934948818229E-2</c:v>
                </c:pt>
                <c:pt idx="8">
                  <c:v>5.1706751255680909E-2</c:v>
                </c:pt>
                <c:pt idx="9">
                  <c:v>5.0426735940151755E-2</c:v>
                </c:pt>
                <c:pt idx="10">
                  <c:v>4.8561821891167263E-2</c:v>
                </c:pt>
                <c:pt idx="11">
                  <c:v>3.3581315338946554E-3</c:v>
                </c:pt>
                <c:pt idx="12">
                  <c:v>3.9904805134089415E-4</c:v>
                </c:pt>
                <c:pt idx="13">
                  <c:v>6.1974756305388599E-4</c:v>
                </c:pt>
                <c:pt idx="14">
                  <c:v>1.8996396427817621E-3</c:v>
                </c:pt>
                <c:pt idx="15">
                  <c:v>4.2567128495737874E-3</c:v>
                </c:pt>
                <c:pt idx="16">
                  <c:v>4.9122492283646723E-3</c:v>
                </c:pt>
                <c:pt idx="17">
                  <c:v>4.9864621659175563E-3</c:v>
                </c:pt>
                <c:pt idx="18">
                  <c:v>2.8436119017927852E-3</c:v>
                </c:pt>
                <c:pt idx="19">
                  <c:v>4.571385252712128E-3</c:v>
                </c:pt>
                <c:pt idx="20">
                  <c:v>6.9483369066257114E-5</c:v>
                </c:pt>
                <c:pt idx="21">
                  <c:v>1.4383996248023296E-3</c:v>
                </c:pt>
                <c:pt idx="22">
                  <c:v>3.387243992339333E-3</c:v>
                </c:pt>
                <c:pt idx="23">
                  <c:v>5.2203869364785827E-2</c:v>
                </c:pt>
                <c:pt idx="24">
                  <c:v>5.028201965257538E-2</c:v>
                </c:pt>
                <c:pt idx="25">
                  <c:v>4.7687501843167619E-2</c:v>
                </c:pt>
                <c:pt idx="26">
                  <c:v>4.5326157749270214E-2</c:v>
                </c:pt>
                <c:pt idx="27">
                  <c:v>4.2018307472397938E-2</c:v>
                </c:pt>
                <c:pt idx="28">
                  <c:v>3.8754659570581509E-2</c:v>
                </c:pt>
                <c:pt idx="29">
                  <c:v>3.103235923977132E-3</c:v>
                </c:pt>
                <c:pt idx="30">
                  <c:v>5.7979133559458908E-4</c:v>
                </c:pt>
                <c:pt idx="31">
                  <c:v>1.0173735665667304E-3</c:v>
                </c:pt>
                <c:pt idx="32">
                  <c:v>1.7731734437795156E-3</c:v>
                </c:pt>
                <c:pt idx="33">
                  <c:v>4.1864077444097583E-3</c:v>
                </c:pt>
                <c:pt idx="34">
                  <c:v>4.9287703268229722E-3</c:v>
                </c:pt>
                <c:pt idx="35">
                  <c:v>5.5204835379649656E-3</c:v>
                </c:pt>
                <c:pt idx="36">
                  <c:v>4.6445384196223353E-3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3-41AC-BDF5-2063925EAB85}"/>
            </c:ext>
          </c:extLst>
        </c:ser>
        <c:ser>
          <c:idx val="1"/>
          <c:order val="1"/>
          <c:tx>
            <c:strRef>
              <c:f>'COMPARAISON EPANET'!$AU$3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EPANET'!$AU$4:$AU$40</c:f>
              <c:numCache>
                <c:formatCode>General</c:formatCode>
                <c:ptCount val="37"/>
                <c:pt idx="0">
                  <c:v>6.4305412292480463E-2</c:v>
                </c:pt>
                <c:pt idx="1">
                  <c:v>8.0635652542114262E-3</c:v>
                </c:pt>
                <c:pt idx="2">
                  <c:v>6.3329761505126952E-2</c:v>
                </c:pt>
                <c:pt idx="3">
                  <c:v>6.2376930236816411E-2</c:v>
                </c:pt>
                <c:pt idx="4">
                  <c:v>6.1372756958007813E-2</c:v>
                </c:pt>
                <c:pt idx="5">
                  <c:v>6.0362876892089835E-2</c:v>
                </c:pt>
                <c:pt idx="6">
                  <c:v>5.9427165985107423E-2</c:v>
                </c:pt>
                <c:pt idx="7">
                  <c:v>5.8537097930908201E-2</c:v>
                </c:pt>
                <c:pt idx="8">
                  <c:v>5.7179180145263672E-2</c:v>
                </c:pt>
                <c:pt idx="9">
                  <c:v>5.7179180145263672E-2</c:v>
                </c:pt>
                <c:pt idx="10">
                  <c:v>5.5022480010986329E-2</c:v>
                </c:pt>
                <c:pt idx="11">
                  <c:v>2.2272217273712159E-3</c:v>
                </c:pt>
                <c:pt idx="12">
                  <c:v>6.3918390274047849E-3</c:v>
                </c:pt>
                <c:pt idx="13">
                  <c:v>4.6345300674438478E-3</c:v>
                </c:pt>
                <c:pt idx="14">
                  <c:v>3.761581182479858E-3</c:v>
                </c:pt>
                <c:pt idx="15">
                  <c:v>1.935805678367615E-3</c:v>
                </c:pt>
                <c:pt idx="16">
                  <c:v>2.1272979676723481E-4</c:v>
                </c:pt>
                <c:pt idx="17">
                  <c:v>5.689303874969482E-4</c:v>
                </c:pt>
                <c:pt idx="18">
                  <c:v>3.5129935741424561E-3</c:v>
                </c:pt>
                <c:pt idx="19">
                  <c:v>1.881206631660461E-3</c:v>
                </c:pt>
                <c:pt idx="20">
                  <c:v>5.4757027626037595E-3</c:v>
                </c:pt>
                <c:pt idx="21">
                  <c:v>7.6723389625549315E-3</c:v>
                </c:pt>
                <c:pt idx="22">
                  <c:v>9.4182367324829094E-3</c:v>
                </c:pt>
                <c:pt idx="23">
                  <c:v>5.762615203857422E-2</c:v>
                </c:pt>
                <c:pt idx="24">
                  <c:v>5.6114177703857425E-2</c:v>
                </c:pt>
                <c:pt idx="25">
                  <c:v>5.3786315917968751E-2</c:v>
                </c:pt>
                <c:pt idx="26">
                  <c:v>5.1424217224121084E-2</c:v>
                </c:pt>
                <c:pt idx="27">
                  <c:v>4.8223403930664065E-2</c:v>
                </c:pt>
                <c:pt idx="28">
                  <c:v>4.4782958984375003E-2</c:v>
                </c:pt>
                <c:pt idx="29">
                  <c:v>4.4782958984375003E-2</c:v>
                </c:pt>
                <c:pt idx="30">
                  <c:v>6.3425126075744628E-3</c:v>
                </c:pt>
                <c:pt idx="31">
                  <c:v>4.2200489044189457E-3</c:v>
                </c:pt>
                <c:pt idx="32">
                  <c:v>3.3242774009704591E-3</c:v>
                </c:pt>
                <c:pt idx="33">
                  <c:v>2.2801618576049798E-3</c:v>
                </c:pt>
                <c:pt idx="34">
                  <c:v>8.0813032388687132E-4</c:v>
                </c:pt>
                <c:pt idx="35">
                  <c:v>3.558016419410706E-4</c:v>
                </c:pt>
                <c:pt idx="36">
                  <c:v>1.194517374038696E-3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3-41AC-BDF5-2063925EA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347119"/>
        <c:axId val="1189349039"/>
      </c:barChart>
      <c:catAx>
        <c:axId val="118934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9349039"/>
        <c:crosses val="autoZero"/>
        <c:auto val="1"/>
        <c:lblAlgn val="ctr"/>
        <c:lblOffset val="100"/>
        <c:noMultiLvlLbl val="0"/>
      </c:catAx>
      <c:valAx>
        <c:axId val="11893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934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EPANET'!$AV$3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EPANET'!$AV$4:$AV$40</c:f>
              <c:numCache>
                <c:formatCode>General</c:formatCode>
                <c:ptCount val="37"/>
                <c:pt idx="0">
                  <c:v>7.4550787064809859E-2</c:v>
                </c:pt>
                <c:pt idx="1">
                  <c:v>2.8305744727013817E-3</c:v>
                </c:pt>
                <c:pt idx="2">
                  <c:v>7.4011377174808698E-2</c:v>
                </c:pt>
                <c:pt idx="3">
                  <c:v>7.1743007096140454E-2</c:v>
                </c:pt>
                <c:pt idx="4">
                  <c:v>7.0406734079313554E-2</c:v>
                </c:pt>
                <c:pt idx="5">
                  <c:v>6.9665507001635582E-2</c:v>
                </c:pt>
                <c:pt idx="6">
                  <c:v>6.9085161649290266E-2</c:v>
                </c:pt>
                <c:pt idx="7">
                  <c:v>6.7894142657720757E-2</c:v>
                </c:pt>
                <c:pt idx="8">
                  <c:v>6.5835080428517462E-2</c:v>
                </c:pt>
                <c:pt idx="9">
                  <c:v>6.4205314310919095E-2</c:v>
                </c:pt>
                <c:pt idx="10">
                  <c:v>6.1830831996219866E-2</c:v>
                </c:pt>
                <c:pt idx="11">
                  <c:v>2.9692401842894615E-3</c:v>
                </c:pt>
                <c:pt idx="12">
                  <c:v>5.0808375921673396E-4</c:v>
                </c:pt>
                <c:pt idx="13">
                  <c:v>7.8908710503345638E-4</c:v>
                </c:pt>
                <c:pt idx="14">
                  <c:v>2.418696313936318E-3</c:v>
                </c:pt>
                <c:pt idx="15">
                  <c:v>5.419815130659646E-3</c:v>
                </c:pt>
                <c:pt idx="16">
                  <c:v>6.2544699711486896E-3</c:v>
                </c:pt>
                <c:pt idx="17">
                  <c:v>6.3489608179719825E-3</c:v>
                </c:pt>
                <c:pt idx="18">
                  <c:v>3.6205991232421361E-3</c:v>
                </c:pt>
                <c:pt idx="19">
                  <c:v>5.8204684779722266E-3</c:v>
                </c:pt>
                <c:pt idx="20">
                  <c:v>8.8468973196586503E-5</c:v>
                </c:pt>
                <c:pt idx="21">
                  <c:v>1.8314272834305471E-3</c:v>
                </c:pt>
                <c:pt idx="22">
                  <c:v>4.3127729987130475E-3</c:v>
                </c:pt>
                <c:pt idx="23">
                  <c:v>2.5964074556028831E-2</c:v>
                </c:pt>
                <c:pt idx="24">
                  <c:v>2.5008224926097489E-2</c:v>
                </c:pt>
                <c:pt idx="25">
                  <c:v>2.3717817631387486E-2</c:v>
                </c:pt>
                <c:pt idx="26">
                  <c:v>2.2543381428623034E-2</c:v>
                </c:pt>
                <c:pt idx="27">
                  <c:v>2.0898191670585167E-2</c:v>
                </c:pt>
                <c:pt idx="28">
                  <c:v>1.9274986370317739E-2</c:v>
                </c:pt>
                <c:pt idx="29">
                  <c:v>2.7438629826739207E-3</c:v>
                </c:pt>
                <c:pt idx="30">
                  <c:v>5.1264809456517122E-4</c:v>
                </c:pt>
                <c:pt idx="31">
                  <c:v>8.9955573383403652E-4</c:v>
                </c:pt>
                <c:pt idx="32">
                  <c:v>1.5678295474266049E-3</c:v>
                </c:pt>
                <c:pt idx="33">
                  <c:v>3.7015971462278055E-3</c:v>
                </c:pt>
                <c:pt idx="34">
                  <c:v>4.357989782658514E-3</c:v>
                </c:pt>
                <c:pt idx="35">
                  <c:v>4.8811791295808845E-3</c:v>
                </c:pt>
                <c:pt idx="36">
                  <c:v>4.1066735992395234E-3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0-4B07-B620-7C42208204BA}"/>
            </c:ext>
          </c:extLst>
        </c:ser>
        <c:ser>
          <c:idx val="1"/>
          <c:order val="1"/>
          <c:tx>
            <c:strRef>
              <c:f>'COMPARAISON EPANET'!$AW$3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EPANET'!$AW$4:$AW$40</c:f>
              <c:numCache>
                <c:formatCode>General</c:formatCode>
                <c:ptCount val="37"/>
                <c:pt idx="0">
                  <c:v>1.289300680160522</c:v>
                </c:pt>
                <c:pt idx="1">
                  <c:v>0.41972163319587708</c:v>
                </c:pt>
                <c:pt idx="2">
                  <c:v>1.2697392702102659</c:v>
                </c:pt>
                <c:pt idx="3">
                  <c:v>1.2506353855133061</c:v>
                </c:pt>
                <c:pt idx="4">
                  <c:v>1.2305020093917849</c:v>
                </c:pt>
                <c:pt idx="5">
                  <c:v>1.210254311561584</c:v>
                </c:pt>
                <c:pt idx="6">
                  <c:v>1.1914936304092409</c:v>
                </c:pt>
                <c:pt idx="7">
                  <c:v>1.173647999763489</c:v>
                </c:pt>
                <c:pt idx="8">
                  <c:v>1.146422266960144</c:v>
                </c:pt>
                <c:pt idx="9">
                  <c:v>1.146422266960144</c:v>
                </c:pt>
                <c:pt idx="10">
                  <c:v>1.1031812429428101</c:v>
                </c:pt>
                <c:pt idx="11">
                  <c:v>0.53506731986999512</c:v>
                </c:pt>
                <c:pt idx="12">
                  <c:v>0.81382983922958374</c:v>
                </c:pt>
                <c:pt idx="13">
                  <c:v>0.59008347988128662</c:v>
                </c:pt>
                <c:pt idx="14">
                  <c:v>0.47893679141998291</c:v>
                </c:pt>
                <c:pt idx="15">
                  <c:v>0.93291759490966797</c:v>
                </c:pt>
                <c:pt idx="16">
                  <c:v>0.1025203019380569</c:v>
                </c:pt>
                <c:pt idx="17">
                  <c:v>0.27418306469917297</c:v>
                </c:pt>
                <c:pt idx="18">
                  <c:v>0.44728583097457891</c:v>
                </c:pt>
                <c:pt idx="19">
                  <c:v>0.9066048264503479</c:v>
                </c:pt>
                <c:pt idx="20">
                  <c:v>0.69718432426452637</c:v>
                </c:pt>
                <c:pt idx="21">
                  <c:v>0.97686725854873657</c:v>
                </c:pt>
                <c:pt idx="22">
                  <c:v>1.020513653755188</c:v>
                </c:pt>
                <c:pt idx="23">
                  <c:v>1.155383825302124</c:v>
                </c:pt>
                <c:pt idx="24">
                  <c:v>1.125069260597229</c:v>
                </c:pt>
                <c:pt idx="25">
                  <c:v>1.0783965587615969</c:v>
                </c:pt>
                <c:pt idx="26">
                  <c:v>1.031037330627441</c:v>
                </c:pt>
                <c:pt idx="27">
                  <c:v>0.96686214208602905</c:v>
                </c:pt>
                <c:pt idx="28">
                  <c:v>0.89788240194320679</c:v>
                </c:pt>
                <c:pt idx="29">
                  <c:v>0.89788240194320679</c:v>
                </c:pt>
                <c:pt idx="30">
                  <c:v>0.33013808727264399</c:v>
                </c:pt>
                <c:pt idx="31">
                  <c:v>0.45726364850997919</c:v>
                </c:pt>
                <c:pt idx="32">
                  <c:v>0.36020228266715998</c:v>
                </c:pt>
                <c:pt idx="33">
                  <c:v>0.3035258948802948</c:v>
                </c:pt>
                <c:pt idx="34">
                  <c:v>0.38946005702018738</c:v>
                </c:pt>
                <c:pt idx="35">
                  <c:v>0.1714705228805542</c:v>
                </c:pt>
                <c:pt idx="36">
                  <c:v>0.57567054033279419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0-4B07-B620-7C4220820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824191"/>
        <c:axId val="490825151"/>
      </c:barChart>
      <c:catAx>
        <c:axId val="49082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0825151"/>
        <c:crosses val="autoZero"/>
        <c:auto val="1"/>
        <c:lblAlgn val="ctr"/>
        <c:lblOffset val="100"/>
        <c:noMultiLvlLbl val="0"/>
      </c:catAx>
      <c:valAx>
        <c:axId val="4908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082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</a:t>
            </a:r>
            <a:r>
              <a:rPr lang="fr-FR" baseline="0"/>
              <a:t>_DE_CHARGE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EPANET'!$AX$3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EPANET'!$AX$4:$AX$40</c:f>
              <c:numCache>
                <c:formatCode>General</c:formatCode>
                <c:ptCount val="37"/>
                <c:pt idx="0">
                  <c:v>6.405805386727606E-2</c:v>
                </c:pt>
                <c:pt idx="1">
                  <c:v>6.405805386727606E-2</c:v>
                </c:pt>
                <c:pt idx="2">
                  <c:v>0.10982000037454172</c:v>
                </c:pt>
                <c:pt idx="3">
                  <c:v>0.11134527815752146</c:v>
                </c:pt>
                <c:pt idx="4">
                  <c:v>0.1128705559405012</c:v>
                </c:pt>
                <c:pt idx="5">
                  <c:v>0.11439583372348096</c:v>
                </c:pt>
                <c:pt idx="6">
                  <c:v>0.1159211115064607</c:v>
                </c:pt>
                <c:pt idx="7">
                  <c:v>0.11744638928944044</c:v>
                </c:pt>
                <c:pt idx="8">
                  <c:v>0.11897166707242018</c:v>
                </c:pt>
                <c:pt idx="9">
                  <c:v>0.12049694485539995</c:v>
                </c:pt>
                <c:pt idx="10">
                  <c:v>0.12201534069957347</c:v>
                </c:pt>
                <c:pt idx="11">
                  <c:v>5.7848134769030488E-2</c:v>
                </c:pt>
                <c:pt idx="12">
                  <c:v>0.16930583391075182</c:v>
                </c:pt>
                <c:pt idx="13">
                  <c:v>0.17083111169373155</c:v>
                </c:pt>
                <c:pt idx="14">
                  <c:v>0.17235638947671134</c:v>
                </c:pt>
                <c:pt idx="15">
                  <c:v>0.17388166725969104</c:v>
                </c:pt>
                <c:pt idx="16">
                  <c:v>0.17540694504267082</c:v>
                </c:pt>
                <c:pt idx="17">
                  <c:v>0.17693222282565055</c:v>
                </c:pt>
                <c:pt idx="18">
                  <c:v>0.1784575006086303</c:v>
                </c:pt>
                <c:pt idx="19">
                  <c:v>0.1784575006086303</c:v>
                </c:pt>
                <c:pt idx="20">
                  <c:v>0.17998277839161003</c:v>
                </c:pt>
                <c:pt idx="21">
                  <c:v>0.18150805617458979</c:v>
                </c:pt>
                <c:pt idx="22">
                  <c:v>0.1830230110493602</c:v>
                </c:pt>
                <c:pt idx="23">
                  <c:v>0.19397279997750211</c:v>
                </c:pt>
                <c:pt idx="24">
                  <c:v>0.19557588096905171</c:v>
                </c:pt>
                <c:pt idx="25">
                  <c:v>0.19717896196060131</c:v>
                </c:pt>
                <c:pt idx="26">
                  <c:v>0.19878204295215093</c:v>
                </c:pt>
                <c:pt idx="27">
                  <c:v>0.2003851239437005</c:v>
                </c:pt>
                <c:pt idx="28">
                  <c:v>0.20198820493525013</c:v>
                </c:pt>
                <c:pt idx="29">
                  <c:v>9.0700161921813224E-2</c:v>
                </c:pt>
                <c:pt idx="30">
                  <c:v>9.1414336425134607E-2</c:v>
                </c:pt>
                <c:pt idx="31">
                  <c:v>9.2128510928455962E-2</c:v>
                </c:pt>
                <c:pt idx="32">
                  <c:v>9.2842685431777316E-2</c:v>
                </c:pt>
                <c:pt idx="33">
                  <c:v>9.3556859935098699E-2</c:v>
                </c:pt>
                <c:pt idx="34">
                  <c:v>9.4271034438420054E-2</c:v>
                </c:pt>
                <c:pt idx="35">
                  <c:v>9.4985208941741409E-2</c:v>
                </c:pt>
                <c:pt idx="36">
                  <c:v>9.5699383445062791E-2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F-4E95-BA5A-20D40C813AB0}"/>
            </c:ext>
          </c:extLst>
        </c:ser>
        <c:ser>
          <c:idx val="1"/>
          <c:order val="1"/>
          <c:tx>
            <c:strRef>
              <c:f>'COMPARAISON EPANET'!$AY$3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EPANET'!$AM$4:$AM$40</c:f>
              <c:strCache>
                <c:ptCount val="37"/>
                <c:pt idx="0">
                  <c:v>N42_N72</c:v>
                </c:pt>
                <c:pt idx="1">
                  <c:v>N42_N111</c:v>
                </c:pt>
                <c:pt idx="2">
                  <c:v>N72_N73</c:v>
                </c:pt>
                <c:pt idx="3">
                  <c:v>N73_N74</c:v>
                </c:pt>
                <c:pt idx="4">
                  <c:v>N74_N75</c:v>
                </c:pt>
                <c:pt idx="5">
                  <c:v>N75_N76</c:v>
                </c:pt>
                <c:pt idx="6">
                  <c:v>N76_N77</c:v>
                </c:pt>
                <c:pt idx="7">
                  <c:v>N77_N78</c:v>
                </c:pt>
                <c:pt idx="8">
                  <c:v>N78_N79</c:v>
                </c:pt>
                <c:pt idx="9">
                  <c:v>N79_N80</c:v>
                </c:pt>
                <c:pt idx="10">
                  <c:v>N80_N81</c:v>
                </c:pt>
                <c:pt idx="11">
                  <c:v>N81_N135</c:v>
                </c:pt>
                <c:pt idx="12">
                  <c:v>N111_N112</c:v>
                </c:pt>
                <c:pt idx="13">
                  <c:v>N112_N113</c:v>
                </c:pt>
                <c:pt idx="14">
                  <c:v>N113_N114</c:v>
                </c:pt>
                <c:pt idx="15">
                  <c:v>N114_N115</c:v>
                </c:pt>
                <c:pt idx="16">
                  <c:v>N115_N116</c:v>
                </c:pt>
                <c:pt idx="17">
                  <c:v>N116_N195</c:v>
                </c:pt>
                <c:pt idx="18">
                  <c:v>N117_N118</c:v>
                </c:pt>
                <c:pt idx="19">
                  <c:v>N117_N195</c:v>
                </c:pt>
                <c:pt idx="20">
                  <c:v>N118_N119</c:v>
                </c:pt>
                <c:pt idx="21">
                  <c:v>N119_N120</c:v>
                </c:pt>
                <c:pt idx="22">
                  <c:v>N120_N121</c:v>
                </c:pt>
                <c:pt idx="23">
                  <c:v>N121_N122</c:v>
                </c:pt>
                <c:pt idx="24">
                  <c:v>N122_N123</c:v>
                </c:pt>
                <c:pt idx="25">
                  <c:v>N123_N124</c:v>
                </c:pt>
                <c:pt idx="26">
                  <c:v>N124_N125</c:v>
                </c:pt>
                <c:pt idx="27">
                  <c:v>N125_N126</c:v>
                </c:pt>
                <c:pt idx="28">
                  <c:v>N126_N127</c:v>
                </c:pt>
                <c:pt idx="29">
                  <c:v>N127_N128</c:v>
                </c:pt>
                <c:pt idx="30">
                  <c:v>N128_N129</c:v>
                </c:pt>
                <c:pt idx="31">
                  <c:v>N129_N130</c:v>
                </c:pt>
                <c:pt idx="32">
                  <c:v>N130_N131</c:v>
                </c:pt>
                <c:pt idx="33">
                  <c:v>N131_N132</c:v>
                </c:pt>
                <c:pt idx="34">
                  <c:v>N132_N133</c:v>
                </c:pt>
                <c:pt idx="35">
                  <c:v>N133_N134</c:v>
                </c:pt>
                <c:pt idx="36">
                  <c:v>N134_N135</c:v>
                </c:pt>
              </c:strCache>
            </c:strRef>
          </c:cat>
          <c:val>
            <c:numRef>
              <c:f>'COMPARAISON EPANET'!$AY$4:$AY$40</c:f>
              <c:numCache>
                <c:formatCode>General</c:formatCode>
                <c:ptCount val="37"/>
                <c:pt idx="0">
                  <c:v>5.3390045166015616</c:v>
                </c:pt>
                <c:pt idx="1">
                  <c:v>1.068596720695496</c:v>
                </c:pt>
                <c:pt idx="2">
                  <c:v>5.1782503128051758</c:v>
                </c:pt>
                <c:pt idx="3">
                  <c:v>5.0235886573791504</c:v>
                </c:pt>
                <c:pt idx="4">
                  <c:v>4.8631472587585449</c:v>
                </c:pt>
                <c:pt idx="5">
                  <c:v>4.704409122467041</c:v>
                </c:pt>
                <c:pt idx="6">
                  <c:v>4.55975341796875</c:v>
                </c:pt>
                <c:pt idx="7">
                  <c:v>4.4240975379943848</c:v>
                </c:pt>
                <c:pt idx="8">
                  <c:v>4.221285343170166</c:v>
                </c:pt>
                <c:pt idx="9">
                  <c:v>4.221285343170166</c:v>
                </c:pt>
                <c:pt idx="10">
                  <c:v>3.9088785648345952</c:v>
                </c:pt>
                <c:pt idx="11">
                  <c:v>4.812995433807373</c:v>
                </c:pt>
                <c:pt idx="12">
                  <c:v>7.292689323425293</c:v>
                </c:pt>
                <c:pt idx="13">
                  <c:v>3.8339500427246089</c:v>
                </c:pt>
                <c:pt idx="14">
                  <c:v>2.5256319046020508</c:v>
                </c:pt>
                <c:pt idx="15">
                  <c:v>23.269832611083981</c:v>
                </c:pt>
                <c:pt idx="16">
                  <c:v>0.28104487061500549</c:v>
                </c:pt>
                <c:pt idx="17">
                  <c:v>2.0100018978118901</c:v>
                </c:pt>
                <c:pt idx="18">
                  <c:v>2.2028639316558838</c:v>
                </c:pt>
                <c:pt idx="19">
                  <c:v>21.975688934326168</c:v>
                </c:pt>
                <c:pt idx="20">
                  <c:v>5.3519940376281738</c:v>
                </c:pt>
                <c:pt idx="21">
                  <c:v>10.507328033447269</c:v>
                </c:pt>
                <c:pt idx="22">
                  <c:v>10.29825019836426</c:v>
                </c:pt>
                <c:pt idx="23">
                  <c:v>4.2875046730041504</c:v>
                </c:pt>
                <c:pt idx="24">
                  <c:v>4.0654888153076172</c:v>
                </c:pt>
                <c:pt idx="25">
                  <c:v>3.735169649124146</c:v>
                </c:pt>
                <c:pt idx="26">
                  <c:v>3.4143004417419429</c:v>
                </c:pt>
                <c:pt idx="27">
                  <c:v>3.002503633499146</c:v>
                </c:pt>
                <c:pt idx="28">
                  <c:v>2.589356422424316</c:v>
                </c:pt>
                <c:pt idx="29">
                  <c:v>2.589356422424316</c:v>
                </c:pt>
                <c:pt idx="30">
                  <c:v>0.66114652156829834</c:v>
                </c:pt>
                <c:pt idx="31">
                  <c:v>2.067552804946899</c:v>
                </c:pt>
                <c:pt idx="32">
                  <c:v>1.282986164093018</c:v>
                </c:pt>
                <c:pt idx="33">
                  <c:v>1.0449404716491699</c:v>
                </c:pt>
                <c:pt idx="34">
                  <c:v>4.0553994178771973</c:v>
                </c:pt>
                <c:pt idx="35">
                  <c:v>0.78617078065872192</c:v>
                </c:pt>
                <c:pt idx="36">
                  <c:v>8.8603992462158203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F-4E95-BA5A-20D40C813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676975"/>
        <c:axId val="1010677935"/>
      </c:barChart>
      <c:catAx>
        <c:axId val="101067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77935"/>
        <c:crosses val="autoZero"/>
        <c:auto val="1"/>
        <c:lblAlgn val="ctr"/>
        <c:lblOffset val="100"/>
        <c:noMultiLvlLbl val="0"/>
      </c:catAx>
      <c:valAx>
        <c:axId val="101067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067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EPANET'!$AZ$3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EPANET'!$AO$4:$AO$40</c:f>
              <c:strCache>
                <c:ptCount val="37"/>
                <c:pt idx="0">
                  <c:v>N72</c:v>
                </c:pt>
                <c:pt idx="1">
                  <c:v>N42</c:v>
                </c:pt>
                <c:pt idx="2">
                  <c:v>N73</c:v>
                </c:pt>
                <c:pt idx="3">
                  <c:v>N74</c:v>
                </c:pt>
                <c:pt idx="4">
                  <c:v>N75</c:v>
                </c:pt>
                <c:pt idx="5">
                  <c:v>N76</c:v>
                </c:pt>
                <c:pt idx="6">
                  <c:v>N77</c:v>
                </c:pt>
                <c:pt idx="7">
                  <c:v>N78</c:v>
                </c:pt>
                <c:pt idx="8">
                  <c:v>N79</c:v>
                </c:pt>
                <c:pt idx="9">
                  <c:v>N79</c:v>
                </c:pt>
                <c:pt idx="10">
                  <c:v>N80</c:v>
                </c:pt>
                <c:pt idx="11">
                  <c:v>N135</c:v>
                </c:pt>
                <c:pt idx="12">
                  <c:v>N111</c:v>
                </c:pt>
                <c:pt idx="13">
                  <c:v>N112</c:v>
                </c:pt>
                <c:pt idx="14">
                  <c:v>N113</c:v>
                </c:pt>
                <c:pt idx="15">
                  <c:v>N114</c:v>
                </c:pt>
                <c:pt idx="16">
                  <c:v>N115</c:v>
                </c:pt>
                <c:pt idx="17">
                  <c:v>N116</c:v>
                </c:pt>
                <c:pt idx="18">
                  <c:v>N117</c:v>
                </c:pt>
                <c:pt idx="19">
                  <c:v>N195</c:v>
                </c:pt>
                <c:pt idx="20">
                  <c:v>N118</c:v>
                </c:pt>
                <c:pt idx="21">
                  <c:v>N119</c:v>
                </c:pt>
                <c:pt idx="22">
                  <c:v>N120</c:v>
                </c:pt>
                <c:pt idx="23">
                  <c:v>N122</c:v>
                </c:pt>
                <c:pt idx="24">
                  <c:v>N123</c:v>
                </c:pt>
                <c:pt idx="25">
                  <c:v>N124</c:v>
                </c:pt>
                <c:pt idx="26">
                  <c:v>N125</c:v>
                </c:pt>
                <c:pt idx="27">
                  <c:v>N126</c:v>
                </c:pt>
                <c:pt idx="28">
                  <c:v>N127</c:v>
                </c:pt>
                <c:pt idx="29">
                  <c:v>N127</c:v>
                </c:pt>
                <c:pt idx="30">
                  <c:v>N128</c:v>
                </c:pt>
                <c:pt idx="31">
                  <c:v>N129</c:v>
                </c:pt>
                <c:pt idx="32">
                  <c:v>N130</c:v>
                </c:pt>
                <c:pt idx="33">
                  <c:v>N131</c:v>
                </c:pt>
                <c:pt idx="34">
                  <c:v>N132</c:v>
                </c:pt>
                <c:pt idx="35">
                  <c:v>N133</c:v>
                </c:pt>
                <c:pt idx="36">
                  <c:v>N134</c:v>
                </c:pt>
              </c:strCache>
            </c:strRef>
          </c:cat>
          <c:val>
            <c:numRef>
              <c:f>'COMPARAISON EPANET'!$AZ$4:$AZ$40</c:f>
              <c:numCache>
                <c:formatCode>General</c:formatCode>
                <c:ptCount val="37"/>
                <c:pt idx="0">
                  <c:v>24.692059970204831</c:v>
                </c:pt>
                <c:pt idx="1">
                  <c:v>18.628001916337553</c:v>
                </c:pt>
                <c:pt idx="2">
                  <c:v>18.518181915963012</c:v>
                </c:pt>
                <c:pt idx="3">
                  <c:v>21.40683663780549</c:v>
                </c:pt>
                <c:pt idx="4">
                  <c:v>16.293966081864987</c:v>
                </c:pt>
                <c:pt idx="5">
                  <c:v>19.179570248141509</c:v>
                </c:pt>
                <c:pt idx="6">
                  <c:v>16.063649136635046</c:v>
                </c:pt>
                <c:pt idx="7">
                  <c:v>17.946202747345605</c:v>
                </c:pt>
                <c:pt idx="8">
                  <c:v>13.827231080273187</c:v>
                </c:pt>
                <c:pt idx="9">
                  <c:v>13.706734135417786</c:v>
                </c:pt>
                <c:pt idx="10">
                  <c:v>10.584718794718214</c:v>
                </c:pt>
                <c:pt idx="11">
                  <c:v>16.526870659949182</c:v>
                </c:pt>
                <c:pt idx="12">
                  <c:v>12.357564826038431</c:v>
                </c:pt>
                <c:pt idx="13">
                  <c:v>19.186733714344697</c:v>
                </c:pt>
                <c:pt idx="14">
                  <c:v>15.014377324867988</c:v>
                </c:pt>
                <c:pt idx="15">
                  <c:v>18.840495657608297</c:v>
                </c:pt>
                <c:pt idx="16">
                  <c:v>14.665088712565627</c:v>
                </c:pt>
                <c:pt idx="17">
                  <c:v>12.488156489739975</c:v>
                </c:pt>
                <c:pt idx="18">
                  <c:v>19.309698989131345</c:v>
                </c:pt>
                <c:pt idx="19">
                  <c:v>17.131241488522715</c:v>
                </c:pt>
                <c:pt idx="20">
                  <c:v>10.951258710131103</c:v>
                </c:pt>
                <c:pt idx="21">
                  <c:v>18.769750653956514</c:v>
                </c:pt>
                <c:pt idx="22">
                  <c:v>13.586727642907155</c:v>
                </c:pt>
                <c:pt idx="23">
                  <c:v>18.392754842929651</c:v>
                </c:pt>
                <c:pt idx="24">
                  <c:v>11.197178961960601</c:v>
                </c:pt>
                <c:pt idx="25">
                  <c:v>10</c:v>
                </c:pt>
                <c:pt idx="26">
                  <c:v>11.801217957047848</c:v>
                </c:pt>
                <c:pt idx="27">
                  <c:v>12.600832833104148</c:v>
                </c:pt>
                <c:pt idx="28">
                  <c:v>12.398844628168899</c:v>
                </c:pt>
                <c:pt idx="29">
                  <c:v>12.308144466247086</c:v>
                </c:pt>
                <c:pt idx="30">
                  <c:v>14.216730129821951</c:v>
                </c:pt>
                <c:pt idx="31">
                  <c:v>10.124601618893495</c:v>
                </c:pt>
                <c:pt idx="32">
                  <c:v>15.031758933461717</c:v>
                </c:pt>
                <c:pt idx="33">
                  <c:v>14.938202073526618</c:v>
                </c:pt>
                <c:pt idx="34">
                  <c:v>20.843931039088197</c:v>
                </c:pt>
                <c:pt idx="35">
                  <c:v>11.748945830146457</c:v>
                </c:pt>
                <c:pt idx="36">
                  <c:v>13.653246446701395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8-4C5F-9B6C-6A0C12C88E0C}"/>
            </c:ext>
          </c:extLst>
        </c:ser>
        <c:ser>
          <c:idx val="1"/>
          <c:order val="1"/>
          <c:tx>
            <c:strRef>
              <c:f>'COMPARAISON EPANET'!$BA$3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EPANET'!$AO$4:$AO$40</c:f>
              <c:strCache>
                <c:ptCount val="37"/>
                <c:pt idx="0">
                  <c:v>N72</c:v>
                </c:pt>
                <c:pt idx="1">
                  <c:v>N42</c:v>
                </c:pt>
                <c:pt idx="2">
                  <c:v>N73</c:v>
                </c:pt>
                <c:pt idx="3">
                  <c:v>N74</c:v>
                </c:pt>
                <c:pt idx="4">
                  <c:v>N75</c:v>
                </c:pt>
                <c:pt idx="5">
                  <c:v>N76</c:v>
                </c:pt>
                <c:pt idx="6">
                  <c:v>N77</c:v>
                </c:pt>
                <c:pt idx="7">
                  <c:v>N78</c:v>
                </c:pt>
                <c:pt idx="8">
                  <c:v>N79</c:v>
                </c:pt>
                <c:pt idx="9">
                  <c:v>N79</c:v>
                </c:pt>
                <c:pt idx="10">
                  <c:v>N80</c:v>
                </c:pt>
                <c:pt idx="11">
                  <c:v>N135</c:v>
                </c:pt>
                <c:pt idx="12">
                  <c:v>N111</c:v>
                </c:pt>
                <c:pt idx="13">
                  <c:v>N112</c:v>
                </c:pt>
                <c:pt idx="14">
                  <c:v>N113</c:v>
                </c:pt>
                <c:pt idx="15">
                  <c:v>N114</c:v>
                </c:pt>
                <c:pt idx="16">
                  <c:v>N115</c:v>
                </c:pt>
                <c:pt idx="17">
                  <c:v>N116</c:v>
                </c:pt>
                <c:pt idx="18">
                  <c:v>N117</c:v>
                </c:pt>
                <c:pt idx="19">
                  <c:v>N195</c:v>
                </c:pt>
                <c:pt idx="20">
                  <c:v>N118</c:v>
                </c:pt>
                <c:pt idx="21">
                  <c:v>N119</c:v>
                </c:pt>
                <c:pt idx="22">
                  <c:v>N120</c:v>
                </c:pt>
                <c:pt idx="23">
                  <c:v>N122</c:v>
                </c:pt>
                <c:pt idx="24">
                  <c:v>N123</c:v>
                </c:pt>
                <c:pt idx="25">
                  <c:v>N124</c:v>
                </c:pt>
                <c:pt idx="26">
                  <c:v>N125</c:v>
                </c:pt>
                <c:pt idx="27">
                  <c:v>N126</c:v>
                </c:pt>
                <c:pt idx="28">
                  <c:v>N127</c:v>
                </c:pt>
                <c:pt idx="29">
                  <c:v>N127</c:v>
                </c:pt>
                <c:pt idx="30">
                  <c:v>N128</c:v>
                </c:pt>
                <c:pt idx="31">
                  <c:v>N129</c:v>
                </c:pt>
                <c:pt idx="32">
                  <c:v>N130</c:v>
                </c:pt>
                <c:pt idx="33">
                  <c:v>N131</c:v>
                </c:pt>
                <c:pt idx="34">
                  <c:v>N132</c:v>
                </c:pt>
                <c:pt idx="35">
                  <c:v>N133</c:v>
                </c:pt>
                <c:pt idx="36">
                  <c:v>N134</c:v>
                </c:pt>
              </c:strCache>
            </c:strRef>
          </c:cat>
          <c:val>
            <c:numRef>
              <c:f>'COMPARAISON EPANET'!$BA$4:$BA$40</c:f>
              <c:numCache>
                <c:formatCode>General</c:formatCode>
                <c:ptCount val="37"/>
                <c:pt idx="0">
                  <c:v>72.551666259765625</c:v>
                </c:pt>
                <c:pt idx="1">
                  <c:v>67.037513732910156</c:v>
                </c:pt>
                <c:pt idx="2">
                  <c:v>66.137924194335938</c:v>
                </c:pt>
                <c:pt idx="3">
                  <c:v>68.699363708496094</c:v>
                </c:pt>
                <c:pt idx="4">
                  <c:v>63.266544342041023</c:v>
                </c:pt>
                <c:pt idx="5">
                  <c:v>65.852088928222656</c:v>
                </c:pt>
                <c:pt idx="6">
                  <c:v>62.504634857177727</c:v>
                </c:pt>
                <c:pt idx="7">
                  <c:v>64.151145935058594</c:v>
                </c:pt>
                <c:pt idx="8">
                  <c:v>59.486293792724609</c:v>
                </c:pt>
                <c:pt idx="9">
                  <c:v>59.486293792724609</c:v>
                </c:pt>
                <c:pt idx="10">
                  <c:v>56.202487945556641</c:v>
                </c:pt>
                <c:pt idx="11">
                  <c:v>61.467079162597663</c:v>
                </c:pt>
                <c:pt idx="12">
                  <c:v>61.974575042724609</c:v>
                </c:pt>
                <c:pt idx="13">
                  <c:v>67.269546508789063</c:v>
                </c:pt>
                <c:pt idx="14">
                  <c:v>62.986598968505859</c:v>
                </c:pt>
                <c:pt idx="15">
                  <c:v>66.785812377929688</c:v>
                </c:pt>
                <c:pt idx="16">
                  <c:v>57.184761047363281</c:v>
                </c:pt>
                <c:pt idx="17">
                  <c:v>55.167701721191413</c:v>
                </c:pt>
                <c:pt idx="18">
                  <c:v>65.715301513671875</c:v>
                </c:pt>
                <c:pt idx="19">
                  <c:v>60.320060729980469</c:v>
                </c:pt>
                <c:pt idx="20">
                  <c:v>58.005420684814453</c:v>
                </c:pt>
                <c:pt idx="21">
                  <c:v>67.141647338867188</c:v>
                </c:pt>
                <c:pt idx="22">
                  <c:v>63.958366394042969</c:v>
                </c:pt>
                <c:pt idx="23">
                  <c:v>70.017448425292969</c:v>
                </c:pt>
                <c:pt idx="24">
                  <c:v>62.231586456298828</c:v>
                </c:pt>
                <c:pt idx="25">
                  <c:v>60.427032470703118</c:v>
                </c:pt>
                <c:pt idx="26">
                  <c:v>61.746562957763672</c:v>
                </c:pt>
                <c:pt idx="27">
                  <c:v>61.660255432128913</c:v>
                </c:pt>
                <c:pt idx="28">
                  <c:v>61.037258148193359</c:v>
                </c:pt>
                <c:pt idx="29">
                  <c:v>61.037258148193359</c:v>
                </c:pt>
                <c:pt idx="30">
                  <c:v>62.780147552490227</c:v>
                </c:pt>
                <c:pt idx="31">
                  <c:v>58.588417053222663</c:v>
                </c:pt>
                <c:pt idx="32">
                  <c:v>63.418048858642578</c:v>
                </c:pt>
                <c:pt idx="33">
                  <c:v>63.321697235107422</c:v>
                </c:pt>
                <c:pt idx="34">
                  <c:v>69.208839416503906</c:v>
                </c:pt>
                <c:pt idx="35">
                  <c:v>59.599723815917969</c:v>
                </c:pt>
                <c:pt idx="36">
                  <c:v>61.642173767089837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8-4C5F-9B6C-6A0C12C88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418223"/>
        <c:axId val="1202661071"/>
      </c:barChart>
      <c:catAx>
        <c:axId val="90941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02661071"/>
        <c:crosses val="autoZero"/>
        <c:auto val="1"/>
        <c:lblAlgn val="ctr"/>
        <c:lblOffset val="100"/>
        <c:noMultiLvlLbl val="0"/>
      </c:catAx>
      <c:valAx>
        <c:axId val="12026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94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DIAMETRE_THEORIQUE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EPANET'!$BJ$3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EPANET'!$BJ$4:$BJ$55</c:f>
              <c:numCache>
                <c:formatCode>General</c:formatCode>
                <c:ptCount val="52"/>
                <c:pt idx="0">
                  <c:v>204.52212438525402</c:v>
                </c:pt>
                <c:pt idx="1">
                  <c:v>204.52212438525402</c:v>
                </c:pt>
                <c:pt idx="2">
                  <c:v>204.52523865872314</c:v>
                </c:pt>
                <c:pt idx="3">
                  <c:v>204.52523865872314</c:v>
                </c:pt>
                <c:pt idx="4">
                  <c:v>204.52523865872314</c:v>
                </c:pt>
                <c:pt idx="5">
                  <c:v>204.52523865872314</c:v>
                </c:pt>
                <c:pt idx="6">
                  <c:v>204.52523865872314</c:v>
                </c:pt>
                <c:pt idx="7">
                  <c:v>204.52523865872314</c:v>
                </c:pt>
                <c:pt idx="8">
                  <c:v>204.52523865872314</c:v>
                </c:pt>
                <c:pt idx="9">
                  <c:v>204.52523865872314</c:v>
                </c:pt>
                <c:pt idx="10">
                  <c:v>204.52523865872314</c:v>
                </c:pt>
                <c:pt idx="11">
                  <c:v>204.52523865872314</c:v>
                </c:pt>
                <c:pt idx="12">
                  <c:v>204.52523865872314</c:v>
                </c:pt>
                <c:pt idx="13">
                  <c:v>204.52523865872314</c:v>
                </c:pt>
                <c:pt idx="14">
                  <c:v>204.52523865872314</c:v>
                </c:pt>
                <c:pt idx="15">
                  <c:v>204.52523865872314</c:v>
                </c:pt>
                <c:pt idx="16">
                  <c:v>204.52523865872314</c:v>
                </c:pt>
                <c:pt idx="17">
                  <c:v>204.52523865872314</c:v>
                </c:pt>
                <c:pt idx="18">
                  <c:v>204.52212438525402</c:v>
                </c:pt>
                <c:pt idx="19">
                  <c:v>503.99170956683594</c:v>
                </c:pt>
                <c:pt idx="20">
                  <c:v>503.99170956683594</c:v>
                </c:pt>
                <c:pt idx="21">
                  <c:v>503.99170956683594</c:v>
                </c:pt>
                <c:pt idx="22">
                  <c:v>204.52523865872314</c:v>
                </c:pt>
                <c:pt idx="23">
                  <c:v>204.52523865872314</c:v>
                </c:pt>
                <c:pt idx="24">
                  <c:v>204.52523865872314</c:v>
                </c:pt>
                <c:pt idx="25">
                  <c:v>204.52523865872314</c:v>
                </c:pt>
                <c:pt idx="26">
                  <c:v>204.52523865872314</c:v>
                </c:pt>
                <c:pt idx="27">
                  <c:v>204.52523865872314</c:v>
                </c:pt>
                <c:pt idx="28">
                  <c:v>204.52523865872314</c:v>
                </c:pt>
                <c:pt idx="29">
                  <c:v>204.52523865872314</c:v>
                </c:pt>
                <c:pt idx="30">
                  <c:v>204.52212438525402</c:v>
                </c:pt>
                <c:pt idx="31">
                  <c:v>340.27714444529937</c:v>
                </c:pt>
                <c:pt idx="32">
                  <c:v>340.27714444529937</c:v>
                </c:pt>
                <c:pt idx="33">
                  <c:v>340.27714444529937</c:v>
                </c:pt>
                <c:pt idx="34">
                  <c:v>390.85566756315819</c:v>
                </c:pt>
                <c:pt idx="35">
                  <c:v>390.85566756315819</c:v>
                </c:pt>
                <c:pt idx="36">
                  <c:v>390.85566756315819</c:v>
                </c:pt>
                <c:pt idx="37">
                  <c:v>390.85566756315819</c:v>
                </c:pt>
                <c:pt idx="38">
                  <c:v>390.85566756315819</c:v>
                </c:pt>
                <c:pt idx="39">
                  <c:v>390.85566756315819</c:v>
                </c:pt>
                <c:pt idx="40">
                  <c:v>390.85566756315819</c:v>
                </c:pt>
                <c:pt idx="41">
                  <c:v>390.85566756315819</c:v>
                </c:pt>
                <c:pt idx="42">
                  <c:v>390.85566756315819</c:v>
                </c:pt>
                <c:pt idx="43">
                  <c:v>429.78294032706594</c:v>
                </c:pt>
                <c:pt idx="44">
                  <c:v>405.37786100264873</c:v>
                </c:pt>
                <c:pt idx="45">
                  <c:v>363.98362110556707</c:v>
                </c:pt>
                <c:pt idx="46">
                  <c:v>317.23326224587362</c:v>
                </c:pt>
                <c:pt idx="47">
                  <c:v>336.71322542832195</c:v>
                </c:pt>
                <c:pt idx="48">
                  <c:v>336.71322542832195</c:v>
                </c:pt>
                <c:pt idx="49">
                  <c:v>239.42606534028661</c:v>
                </c:pt>
                <c:pt idx="50">
                  <c:v>234.04501717339394</c:v>
                </c:pt>
                <c:pt idx="51">
                  <c:v>289.95936460307519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1-41EE-ABB5-A6A750B4480C}"/>
            </c:ext>
          </c:extLst>
        </c:ser>
        <c:ser>
          <c:idx val="1"/>
          <c:order val="1"/>
          <c:tx>
            <c:strRef>
              <c:f>'COMPARAISON EPANET'!$BK$3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EPANET'!$BK$4:$BK$55</c:f>
              <c:numCache>
                <c:formatCode>General</c:formatCode>
                <c:ptCount val="52"/>
                <c:pt idx="0">
                  <c:v>156.4</c:v>
                </c:pt>
                <c:pt idx="1">
                  <c:v>252</c:v>
                </c:pt>
                <c:pt idx="2">
                  <c:v>204.2</c:v>
                </c:pt>
                <c:pt idx="3">
                  <c:v>204.2</c:v>
                </c:pt>
                <c:pt idx="4">
                  <c:v>204.2</c:v>
                </c:pt>
                <c:pt idx="5">
                  <c:v>204.2</c:v>
                </c:pt>
                <c:pt idx="6">
                  <c:v>204.2</c:v>
                </c:pt>
                <c:pt idx="7">
                  <c:v>156.4</c:v>
                </c:pt>
                <c:pt idx="8">
                  <c:v>156.4</c:v>
                </c:pt>
                <c:pt idx="9">
                  <c:v>156.4</c:v>
                </c:pt>
                <c:pt idx="10">
                  <c:v>156.4</c:v>
                </c:pt>
                <c:pt idx="11">
                  <c:v>156.4</c:v>
                </c:pt>
                <c:pt idx="12">
                  <c:v>156.4</c:v>
                </c:pt>
                <c:pt idx="13">
                  <c:v>156.4</c:v>
                </c:pt>
                <c:pt idx="14">
                  <c:v>156.4</c:v>
                </c:pt>
                <c:pt idx="15">
                  <c:v>156.4</c:v>
                </c:pt>
                <c:pt idx="16">
                  <c:v>156.4</c:v>
                </c:pt>
                <c:pt idx="17">
                  <c:v>156.4</c:v>
                </c:pt>
                <c:pt idx="18">
                  <c:v>156.4</c:v>
                </c:pt>
                <c:pt idx="19">
                  <c:v>252</c:v>
                </c:pt>
                <c:pt idx="20">
                  <c:v>204.2</c:v>
                </c:pt>
                <c:pt idx="21">
                  <c:v>204.2</c:v>
                </c:pt>
                <c:pt idx="22">
                  <c:v>252</c:v>
                </c:pt>
                <c:pt idx="23">
                  <c:v>252</c:v>
                </c:pt>
                <c:pt idx="24">
                  <c:v>252</c:v>
                </c:pt>
                <c:pt idx="25">
                  <c:v>252</c:v>
                </c:pt>
                <c:pt idx="26">
                  <c:v>252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252</c:v>
                </c:pt>
                <c:pt idx="31">
                  <c:v>252</c:v>
                </c:pt>
                <c:pt idx="32">
                  <c:v>252</c:v>
                </c:pt>
                <c:pt idx="33">
                  <c:v>204.2</c:v>
                </c:pt>
                <c:pt idx="34">
                  <c:v>156.4</c:v>
                </c:pt>
                <c:pt idx="35">
                  <c:v>156.4</c:v>
                </c:pt>
                <c:pt idx="36">
                  <c:v>156.4</c:v>
                </c:pt>
                <c:pt idx="37">
                  <c:v>156.4</c:v>
                </c:pt>
                <c:pt idx="38">
                  <c:v>156.4</c:v>
                </c:pt>
                <c:pt idx="39">
                  <c:v>156.4</c:v>
                </c:pt>
                <c:pt idx="40">
                  <c:v>156.4</c:v>
                </c:pt>
                <c:pt idx="41">
                  <c:v>156.4</c:v>
                </c:pt>
                <c:pt idx="42">
                  <c:v>108.4</c:v>
                </c:pt>
                <c:pt idx="43">
                  <c:v>108.4</c:v>
                </c:pt>
                <c:pt idx="44">
                  <c:v>97.8</c:v>
                </c:pt>
                <c:pt idx="45">
                  <c:v>94.4</c:v>
                </c:pt>
                <c:pt idx="46">
                  <c:v>72.8</c:v>
                </c:pt>
                <c:pt idx="47">
                  <c:v>54.6</c:v>
                </c:pt>
                <c:pt idx="48">
                  <c:v>51.4</c:v>
                </c:pt>
                <c:pt idx="49">
                  <c:v>156.4</c:v>
                </c:pt>
                <c:pt idx="50">
                  <c:v>156.4</c:v>
                </c:pt>
                <c:pt idx="51">
                  <c:v>156.4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1-41EE-ABB5-A6A750B44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620959"/>
        <c:axId val="569621919"/>
      </c:barChart>
      <c:catAx>
        <c:axId val="56962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9621919"/>
        <c:crosses val="autoZero"/>
        <c:auto val="1"/>
        <c:lblAlgn val="ctr"/>
        <c:lblOffset val="100"/>
        <c:noMultiLvlLbl val="0"/>
      </c:catAx>
      <c:valAx>
        <c:axId val="5696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962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EPANET'!$BK$3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EPANET'!$BK$4:$BK$55</c:f>
              <c:numCache>
                <c:formatCode>General</c:formatCode>
                <c:ptCount val="52"/>
                <c:pt idx="0">
                  <c:v>156.4</c:v>
                </c:pt>
                <c:pt idx="1">
                  <c:v>252</c:v>
                </c:pt>
                <c:pt idx="2">
                  <c:v>204.2</c:v>
                </c:pt>
                <c:pt idx="3">
                  <c:v>204.2</c:v>
                </c:pt>
                <c:pt idx="4">
                  <c:v>204.2</c:v>
                </c:pt>
                <c:pt idx="5">
                  <c:v>204.2</c:v>
                </c:pt>
                <c:pt idx="6">
                  <c:v>204.2</c:v>
                </c:pt>
                <c:pt idx="7">
                  <c:v>156.4</c:v>
                </c:pt>
                <c:pt idx="8">
                  <c:v>156.4</c:v>
                </c:pt>
                <c:pt idx="9">
                  <c:v>156.4</c:v>
                </c:pt>
                <c:pt idx="10">
                  <c:v>156.4</c:v>
                </c:pt>
                <c:pt idx="11">
                  <c:v>156.4</c:v>
                </c:pt>
                <c:pt idx="12">
                  <c:v>156.4</c:v>
                </c:pt>
                <c:pt idx="13">
                  <c:v>156.4</c:v>
                </c:pt>
                <c:pt idx="14">
                  <c:v>156.4</c:v>
                </c:pt>
                <c:pt idx="15">
                  <c:v>156.4</c:v>
                </c:pt>
                <c:pt idx="16">
                  <c:v>156.4</c:v>
                </c:pt>
                <c:pt idx="17">
                  <c:v>156.4</c:v>
                </c:pt>
                <c:pt idx="18">
                  <c:v>156.4</c:v>
                </c:pt>
                <c:pt idx="19">
                  <c:v>252</c:v>
                </c:pt>
                <c:pt idx="20">
                  <c:v>204.2</c:v>
                </c:pt>
                <c:pt idx="21">
                  <c:v>204.2</c:v>
                </c:pt>
                <c:pt idx="22">
                  <c:v>252</c:v>
                </c:pt>
                <c:pt idx="23">
                  <c:v>252</c:v>
                </c:pt>
                <c:pt idx="24">
                  <c:v>252</c:v>
                </c:pt>
                <c:pt idx="25">
                  <c:v>252</c:v>
                </c:pt>
                <c:pt idx="26">
                  <c:v>252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252</c:v>
                </c:pt>
                <c:pt idx="31">
                  <c:v>252</c:v>
                </c:pt>
                <c:pt idx="32">
                  <c:v>252</c:v>
                </c:pt>
                <c:pt idx="33">
                  <c:v>204.2</c:v>
                </c:pt>
                <c:pt idx="34">
                  <c:v>156.4</c:v>
                </c:pt>
                <c:pt idx="35">
                  <c:v>156.4</c:v>
                </c:pt>
                <c:pt idx="36">
                  <c:v>156.4</c:v>
                </c:pt>
                <c:pt idx="37">
                  <c:v>156.4</c:v>
                </c:pt>
                <c:pt idx="38">
                  <c:v>156.4</c:v>
                </c:pt>
                <c:pt idx="39">
                  <c:v>156.4</c:v>
                </c:pt>
                <c:pt idx="40">
                  <c:v>156.4</c:v>
                </c:pt>
                <c:pt idx="41">
                  <c:v>156.4</c:v>
                </c:pt>
                <c:pt idx="42">
                  <c:v>108.4</c:v>
                </c:pt>
                <c:pt idx="43">
                  <c:v>108.4</c:v>
                </c:pt>
                <c:pt idx="44">
                  <c:v>97.8</c:v>
                </c:pt>
                <c:pt idx="45">
                  <c:v>94.4</c:v>
                </c:pt>
                <c:pt idx="46">
                  <c:v>72.8</c:v>
                </c:pt>
                <c:pt idx="47">
                  <c:v>54.6</c:v>
                </c:pt>
                <c:pt idx="48">
                  <c:v>51.4</c:v>
                </c:pt>
                <c:pt idx="49">
                  <c:v>156.4</c:v>
                </c:pt>
                <c:pt idx="50">
                  <c:v>156.4</c:v>
                </c:pt>
                <c:pt idx="51">
                  <c:v>156.4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2-4B67-94CA-C557751F52F8}"/>
            </c:ext>
          </c:extLst>
        </c:ser>
        <c:ser>
          <c:idx val="1"/>
          <c:order val="1"/>
          <c:tx>
            <c:strRef>
              <c:f>'COMPARAISON EPANET'!$BL$3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EPANET'!$BL$4:$BL$55</c:f>
              <c:numCache>
                <c:formatCode>General</c:formatCode>
                <c:ptCount val="5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350</c:v>
                </c:pt>
                <c:pt idx="32">
                  <c:v>350</c:v>
                </c:pt>
                <c:pt idx="33">
                  <c:v>350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500</c:v>
                </c:pt>
                <c:pt idx="44">
                  <c:v>450</c:v>
                </c:pt>
                <c:pt idx="45">
                  <c:v>400</c:v>
                </c:pt>
                <c:pt idx="46">
                  <c:v>350</c:v>
                </c:pt>
                <c:pt idx="47">
                  <c:v>350</c:v>
                </c:pt>
                <c:pt idx="48">
                  <c:v>350</c:v>
                </c:pt>
                <c:pt idx="49">
                  <c:v>250</c:v>
                </c:pt>
                <c:pt idx="50">
                  <c:v>250</c:v>
                </c:pt>
                <c:pt idx="51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2-4B67-94CA-C557751F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998399"/>
        <c:axId val="781996479"/>
      </c:barChart>
      <c:catAx>
        <c:axId val="7819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96479"/>
        <c:crosses val="autoZero"/>
        <c:auto val="1"/>
        <c:lblAlgn val="ctr"/>
        <c:lblOffset val="100"/>
        <c:noMultiLvlLbl val="0"/>
      </c:catAx>
      <c:valAx>
        <c:axId val="78199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9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EPANET'!$BN$3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EPANET'!$BN$4:$BN$55</c:f>
              <c:numCache>
                <c:formatCode>General</c:formatCode>
                <c:ptCount val="52"/>
                <c:pt idx="0">
                  <c:v>2.7423581976117752E-2</c:v>
                </c:pt>
                <c:pt idx="1">
                  <c:v>5.9282533295733179E-2</c:v>
                </c:pt>
                <c:pt idx="2">
                  <c:v>2.5814466937594732E-2</c:v>
                </c:pt>
                <c:pt idx="3">
                  <c:v>2.3921677366659139E-2</c:v>
                </c:pt>
                <c:pt idx="4">
                  <c:v>2.3091157934404437E-2</c:v>
                </c:pt>
                <c:pt idx="5">
                  <c:v>2.2554360061775646E-2</c:v>
                </c:pt>
                <c:pt idx="6">
                  <c:v>2.0992442178138816E-2</c:v>
                </c:pt>
                <c:pt idx="7">
                  <c:v>2.0961914069395998E-2</c:v>
                </c:pt>
                <c:pt idx="8">
                  <c:v>2.0193344907406416E-2</c:v>
                </c:pt>
                <c:pt idx="9">
                  <c:v>1.8933798305166713E-2</c:v>
                </c:pt>
                <c:pt idx="10">
                  <c:v>1.871300829602764E-2</c:v>
                </c:pt>
                <c:pt idx="11">
                  <c:v>1.7647608869310459E-2</c:v>
                </c:pt>
                <c:pt idx="12">
                  <c:v>1.7379937385977932E-2</c:v>
                </c:pt>
                <c:pt idx="13">
                  <c:v>1.4993311282905675E-2</c:v>
                </c:pt>
                <c:pt idx="14">
                  <c:v>1.4260196894772731E-2</c:v>
                </c:pt>
                <c:pt idx="15">
                  <c:v>1.3488586483084906E-2</c:v>
                </c:pt>
                <c:pt idx="16">
                  <c:v>1.3194835985450761E-2</c:v>
                </c:pt>
                <c:pt idx="17">
                  <c:v>1.163967905548354E-2</c:v>
                </c:pt>
                <c:pt idx="18">
                  <c:v>9.2653627026286108E-3</c:v>
                </c:pt>
                <c:pt idx="19">
                  <c:v>4.0278430277578207E-2</c:v>
                </c:pt>
                <c:pt idx="20">
                  <c:v>3.6347581583337049E-2</c:v>
                </c:pt>
                <c:pt idx="21">
                  <c:v>3.1526179338179819E-2</c:v>
                </c:pt>
                <c:pt idx="22">
                  <c:v>5.6926136485617146E-2</c:v>
                </c:pt>
                <c:pt idx="23">
                  <c:v>5.7076732049721926E-2</c:v>
                </c:pt>
                <c:pt idx="24">
                  <c:v>5.5989810279985203E-2</c:v>
                </c:pt>
                <c:pt idx="25">
                  <c:v>5.5325845180068216E-2</c:v>
                </c:pt>
                <c:pt idx="26">
                  <c:v>5.414352531667465E-2</c:v>
                </c:pt>
                <c:pt idx="27">
                  <c:v>5.3288224365538421E-2</c:v>
                </c:pt>
                <c:pt idx="28">
                  <c:v>5.1566686166368718E-2</c:v>
                </c:pt>
                <c:pt idx="29">
                  <c:v>5.0764470058797077E-2</c:v>
                </c:pt>
                <c:pt idx="30">
                  <c:v>4.8576797853272291E-2</c:v>
                </c:pt>
                <c:pt idx="31">
                  <c:v>4.5224191290407702E-2</c:v>
                </c:pt>
                <c:pt idx="32">
                  <c:v>4.4475582353763941E-2</c:v>
                </c:pt>
                <c:pt idx="33">
                  <c:v>4.3797946856807699E-2</c:v>
                </c:pt>
                <c:pt idx="34">
                  <c:v>1.5000265543708355E-2</c:v>
                </c:pt>
                <c:pt idx="35">
                  <c:v>1.2998590957586381E-2</c:v>
                </c:pt>
                <c:pt idx="36">
                  <c:v>1.2791367711759967E-2</c:v>
                </c:pt>
                <c:pt idx="37">
                  <c:v>1.031482399744893E-2</c:v>
                </c:pt>
                <c:pt idx="38">
                  <c:v>8.9903760997850114E-3</c:v>
                </c:pt>
                <c:pt idx="39">
                  <c:v>8.2089583080714908E-3</c:v>
                </c:pt>
                <c:pt idx="40">
                  <c:v>7.1716527560649855E-3</c:v>
                </c:pt>
                <c:pt idx="41">
                  <c:v>4.447456650375315E-3</c:v>
                </c:pt>
                <c:pt idx="42">
                  <c:v>4.1994560157712427E-3</c:v>
                </c:pt>
                <c:pt idx="43">
                  <c:v>2.3955468716315258E-3</c:v>
                </c:pt>
                <c:pt idx="44">
                  <c:v>1.5235698901016606E-3</c:v>
                </c:pt>
                <c:pt idx="45">
                  <c:v>5.1529138225554685E-4</c:v>
                </c:pt>
                <c:pt idx="46">
                  <c:v>2.7954308054694227E-3</c:v>
                </c:pt>
                <c:pt idx="47">
                  <c:v>4.271707055219111E-3</c:v>
                </c:pt>
                <c:pt idx="48">
                  <c:v>4.8575364315767448E-3</c:v>
                </c:pt>
                <c:pt idx="49">
                  <c:v>3.9728490816759296E-3</c:v>
                </c:pt>
                <c:pt idx="50">
                  <c:v>8.9717460407450298E-3</c:v>
                </c:pt>
                <c:pt idx="51">
                  <c:v>5.5868056531075501E-3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EF9-B278-8E429C1C8255}"/>
            </c:ext>
          </c:extLst>
        </c:ser>
        <c:ser>
          <c:idx val="1"/>
          <c:order val="1"/>
          <c:tx>
            <c:strRef>
              <c:f>'COMPARAISON EPANET'!$BO$3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EPANET'!$BO$4:$BO$55</c:f>
              <c:numCache>
                <c:formatCode>General</c:formatCode>
                <c:ptCount val="52"/>
                <c:pt idx="0">
                  <c:v>8.0635652542114262E-3</c:v>
                </c:pt>
                <c:pt idx="1">
                  <c:v>6.4305412292480463E-2</c:v>
                </c:pt>
                <c:pt idx="2">
                  <c:v>3.1705240249633788E-2</c:v>
                </c:pt>
                <c:pt idx="3">
                  <c:v>3.0079156875610351E-2</c:v>
                </c:pt>
                <c:pt idx="4">
                  <c:v>2.8550071716308589E-2</c:v>
                </c:pt>
                <c:pt idx="5">
                  <c:v>2.7671417236328121E-2</c:v>
                </c:pt>
                <c:pt idx="6">
                  <c:v>2.6798467636108398E-2</c:v>
                </c:pt>
                <c:pt idx="7">
                  <c:v>2.6159444808959962E-2</c:v>
                </c:pt>
                <c:pt idx="8">
                  <c:v>2.5771469116210942E-2</c:v>
                </c:pt>
                <c:pt idx="9">
                  <c:v>2.5138153076171878E-2</c:v>
                </c:pt>
                <c:pt idx="10">
                  <c:v>2.439643096923828E-2</c:v>
                </c:pt>
                <c:pt idx="11">
                  <c:v>2.3688943862915039E-2</c:v>
                </c:pt>
                <c:pt idx="12">
                  <c:v>2.2941516876220699E-2</c:v>
                </c:pt>
                <c:pt idx="13">
                  <c:v>2.1378194808959961E-2</c:v>
                </c:pt>
                <c:pt idx="14">
                  <c:v>1.9729291915893551E-2</c:v>
                </c:pt>
                <c:pt idx="15">
                  <c:v>1.8941926956176761E-2</c:v>
                </c:pt>
                <c:pt idx="16">
                  <c:v>1.8314315795898442E-2</c:v>
                </c:pt>
                <c:pt idx="17">
                  <c:v>1.748701095581055E-2</c:v>
                </c:pt>
                <c:pt idx="18">
                  <c:v>1.5763935089111329E-2</c:v>
                </c:pt>
                <c:pt idx="19">
                  <c:v>4.6855716705322271E-2</c:v>
                </c:pt>
                <c:pt idx="20">
                  <c:v>4.2576553344726563E-2</c:v>
                </c:pt>
                <c:pt idx="21">
                  <c:v>3.804064178466797E-2</c:v>
                </c:pt>
                <c:pt idx="22">
                  <c:v>6.3329761505126952E-2</c:v>
                </c:pt>
                <c:pt idx="23">
                  <c:v>6.2376930236816411E-2</c:v>
                </c:pt>
                <c:pt idx="24">
                  <c:v>6.1372756958007813E-2</c:v>
                </c:pt>
                <c:pt idx="25">
                  <c:v>6.0362876892089835E-2</c:v>
                </c:pt>
                <c:pt idx="26">
                  <c:v>5.9427165985107423E-2</c:v>
                </c:pt>
                <c:pt idx="27">
                  <c:v>5.8537097930908201E-2</c:v>
                </c:pt>
                <c:pt idx="28">
                  <c:v>5.7179180145263672E-2</c:v>
                </c:pt>
                <c:pt idx="29">
                  <c:v>5.7179180145263672E-2</c:v>
                </c:pt>
                <c:pt idx="30">
                  <c:v>5.5022480010986329E-2</c:v>
                </c:pt>
                <c:pt idx="31">
                  <c:v>5.1448749542236327E-2</c:v>
                </c:pt>
                <c:pt idx="32">
                  <c:v>5.0193531036376957E-2</c:v>
                </c:pt>
                <c:pt idx="33">
                  <c:v>4.8898372650146474E-2</c:v>
                </c:pt>
                <c:pt idx="34">
                  <c:v>2.0083776473999018E-2</c:v>
                </c:pt>
                <c:pt idx="35">
                  <c:v>1.9125244140625001E-2</c:v>
                </c:pt>
                <c:pt idx="36">
                  <c:v>1.8269411087036128E-2</c:v>
                </c:pt>
                <c:pt idx="37">
                  <c:v>1.6403696060180661E-2</c:v>
                </c:pt>
                <c:pt idx="38">
                  <c:v>1.461785984039307E-2</c:v>
                </c:pt>
                <c:pt idx="39">
                  <c:v>1.402448272705078E-2</c:v>
                </c:pt>
                <c:pt idx="40">
                  <c:v>1.264373970031738E-2</c:v>
                </c:pt>
                <c:pt idx="41">
                  <c:v>1.0760909080505369E-2</c:v>
                </c:pt>
                <c:pt idx="42">
                  <c:v>9.3915777206420893E-3</c:v>
                </c:pt>
                <c:pt idx="43">
                  <c:v>8.256173133850098E-3</c:v>
                </c:pt>
                <c:pt idx="44">
                  <c:v>7.3318743705749513E-3</c:v>
                </c:pt>
                <c:pt idx="45">
                  <c:v>5.4946870803833005E-3</c:v>
                </c:pt>
                <c:pt idx="46">
                  <c:v>3.417867422103882E-3</c:v>
                </c:pt>
                <c:pt idx="47">
                  <c:v>2.0257134437561041E-3</c:v>
                </c:pt>
                <c:pt idx="48">
                  <c:v>5.0803762674331667E-4</c:v>
                </c:pt>
                <c:pt idx="49">
                  <c:v>9.0544853210449226E-3</c:v>
                </c:pt>
                <c:pt idx="50">
                  <c:v>2.05305347442627E-2</c:v>
                </c:pt>
                <c:pt idx="51">
                  <c:v>1.1068543434143071E-2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EF9-B278-8E429C1C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31759"/>
        <c:axId val="1190246639"/>
      </c:barChart>
      <c:catAx>
        <c:axId val="11902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6639"/>
        <c:crosses val="autoZero"/>
        <c:auto val="1"/>
        <c:lblAlgn val="ctr"/>
        <c:lblOffset val="100"/>
        <c:noMultiLvlLbl val="0"/>
      </c:catAx>
      <c:valAx>
        <c:axId val="11902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EPANET'!$BP$3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EPANET'!$BP$4:$BP$55</c:f>
              <c:numCache>
                <c:formatCode>General</c:formatCode>
                <c:ptCount val="52"/>
                <c:pt idx="0">
                  <c:v>3.4916789030279581E-2</c:v>
                </c:pt>
                <c:pt idx="1">
                  <c:v>7.5480865704206437E-2</c:v>
                </c:pt>
                <c:pt idx="2">
                  <c:v>3.2868000131204028E-2</c:v>
                </c:pt>
                <c:pt idx="3">
                  <c:v>3.0458025599626529E-2</c:v>
                </c:pt>
                <c:pt idx="4">
                  <c:v>2.9400575415808847E-2</c:v>
                </c:pt>
                <c:pt idx="5">
                  <c:v>2.8717103136848162E-2</c:v>
                </c:pt>
                <c:pt idx="6">
                  <c:v>2.6728407521772694E-2</c:v>
                </c:pt>
                <c:pt idx="7">
                  <c:v>2.6689537926495362E-2</c:v>
                </c:pt>
                <c:pt idx="8">
                  <c:v>2.5710965276586263E-2</c:v>
                </c:pt>
                <c:pt idx="9">
                  <c:v>2.4107260734177863E-2</c:v>
                </c:pt>
                <c:pt idx="10">
                  <c:v>2.3826142163459556E-2</c:v>
                </c:pt>
                <c:pt idx="11">
                  <c:v>2.2469633482425068E-2</c:v>
                </c:pt>
                <c:pt idx="12">
                  <c:v>2.2128823564848178E-2</c:v>
                </c:pt>
                <c:pt idx="13">
                  <c:v>1.9090076831919399E-2</c:v>
                </c:pt>
                <c:pt idx="14">
                  <c:v>1.8156646602134213E-2</c:v>
                </c:pt>
                <c:pt idx="15">
                  <c:v>1.7174201712843895E-2</c:v>
                </c:pt>
                <c:pt idx="16">
                  <c:v>1.6800186962970469E-2</c:v>
                </c:pt>
                <c:pt idx="17">
                  <c:v>1.4820099661467271E-2</c:v>
                </c:pt>
                <c:pt idx="18">
                  <c:v>1.1797026189301009E-2</c:v>
                </c:pt>
                <c:pt idx="19">
                  <c:v>1.0040741293223958E-2</c:v>
                </c:pt>
                <c:pt idx="20">
                  <c:v>9.0608462345117598E-3</c:v>
                </c:pt>
                <c:pt idx="21">
                  <c:v>7.8589510196145317E-3</c:v>
                </c:pt>
                <c:pt idx="22">
                  <c:v>7.2480608102478916E-2</c:v>
                </c:pt>
                <c:pt idx="23">
                  <c:v>7.267235232995882E-2</c:v>
                </c:pt>
                <c:pt idx="24">
                  <c:v>7.1288440550696497E-2</c:v>
                </c:pt>
                <c:pt idx="25">
                  <c:v>7.0443053929158159E-2</c:v>
                </c:pt>
                <c:pt idx="26">
                  <c:v>6.8937677524559593E-2</c:v>
                </c:pt>
                <c:pt idx="27">
                  <c:v>6.7848674530923345E-2</c:v>
                </c:pt>
                <c:pt idx="28">
                  <c:v>6.5656744017968324E-2</c:v>
                </c:pt>
                <c:pt idx="29">
                  <c:v>6.4635330746384584E-2</c:v>
                </c:pt>
                <c:pt idx="30">
                  <c:v>6.1849899983392444E-2</c:v>
                </c:pt>
                <c:pt idx="31">
                  <c:v>2.9378177923272766E-2</c:v>
                </c:pt>
                <c:pt idx="32">
                  <c:v>2.8891872565274309E-2</c:v>
                </c:pt>
                <c:pt idx="33">
                  <c:v>2.8451672406273824E-2</c:v>
                </c:pt>
                <c:pt idx="34">
                  <c:v>7.4605200280381924E-3</c:v>
                </c:pt>
                <c:pt idx="35">
                  <c:v>6.4649687629046429E-3</c:v>
                </c:pt>
                <c:pt idx="36">
                  <c:v>6.3619043757270777E-3</c:v>
                </c:pt>
                <c:pt idx="37">
                  <c:v>5.1301725822403147E-3</c:v>
                </c:pt>
                <c:pt idx="38">
                  <c:v>4.4714462391750604E-3</c:v>
                </c:pt>
                <c:pt idx="39">
                  <c:v>4.0828009136401862E-3</c:v>
                </c:pt>
                <c:pt idx="40">
                  <c:v>3.5668874570823658E-3</c:v>
                </c:pt>
                <c:pt idx="41">
                  <c:v>2.2119834690442334E-3</c:v>
                </c:pt>
                <c:pt idx="42">
                  <c:v>2.0886380725218426E-3</c:v>
                </c:pt>
                <c:pt idx="43">
                  <c:v>8.7785538052939681E-4</c:v>
                </c:pt>
                <c:pt idx="44">
                  <c:v>6.8405075336873259E-4</c:v>
                </c:pt>
                <c:pt idx="45">
                  <c:v>2.5628490818320514E-4</c:v>
                </c:pt>
                <c:pt idx="46">
                  <c:v>1.8159454316808866E-3</c:v>
                </c:pt>
                <c:pt idx="47">
                  <c:v>2.7749522174638592E-3</c:v>
                </c:pt>
                <c:pt idx="48">
                  <c:v>3.1555140176914502E-3</c:v>
                </c:pt>
                <c:pt idx="49">
                  <c:v>5.05838855605457E-3</c:v>
                </c:pt>
                <c:pt idx="50">
                  <c:v>1.14231818443977E-2</c:v>
                </c:pt>
                <c:pt idx="51">
                  <c:v>4.9398207543656179E-3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B-49C0-B9BF-C716CDEBD1E4}"/>
            </c:ext>
          </c:extLst>
        </c:ser>
        <c:ser>
          <c:idx val="1"/>
          <c:order val="1"/>
          <c:tx>
            <c:strRef>
              <c:f>'COMPARAISON EPANET'!$BQ$3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EPANET'!$BQ$4:$BQ$55</c:f>
              <c:numCache>
                <c:formatCode>General</c:formatCode>
                <c:ptCount val="52"/>
                <c:pt idx="0">
                  <c:v>0.41972163319587708</c:v>
                </c:pt>
                <c:pt idx="1">
                  <c:v>1.289300680160522</c:v>
                </c:pt>
                <c:pt idx="2">
                  <c:v>0.96811586618423462</c:v>
                </c:pt>
                <c:pt idx="3">
                  <c:v>0.91846358776092529</c:v>
                </c:pt>
                <c:pt idx="4">
                  <c:v>0.87177318334579468</c:v>
                </c:pt>
                <c:pt idx="5">
                  <c:v>0.84494352340698242</c:v>
                </c:pt>
                <c:pt idx="6">
                  <c:v>0.81828814744949341</c:v>
                </c:pt>
                <c:pt idx="7">
                  <c:v>1.361641526222229</c:v>
                </c:pt>
                <c:pt idx="8">
                  <c:v>1.3414467573165889</c:v>
                </c:pt>
                <c:pt idx="9">
                  <c:v>1.3084815740585329</c:v>
                </c:pt>
                <c:pt idx="10">
                  <c:v>1.2698738574981689</c:v>
                </c:pt>
                <c:pt idx="11">
                  <c:v>1.2330479621887209</c:v>
                </c:pt>
                <c:pt idx="12">
                  <c:v>1.1941431760787959</c:v>
                </c:pt>
                <c:pt idx="13">
                  <c:v>1.112769722938538</c:v>
                </c:pt>
                <c:pt idx="14">
                  <c:v>1.026941657066345</c:v>
                </c:pt>
                <c:pt idx="15">
                  <c:v>0.9859580397605896</c:v>
                </c:pt>
                <c:pt idx="16">
                  <c:v>0.95328986644744873</c:v>
                </c:pt>
                <c:pt idx="17">
                  <c:v>0.91022735834121704</c:v>
                </c:pt>
                <c:pt idx="18">
                  <c:v>0.82053840160369873</c:v>
                </c:pt>
                <c:pt idx="19">
                  <c:v>0.93944048881530762</c:v>
                </c:pt>
                <c:pt idx="20">
                  <c:v>1.30007016658783</c:v>
                </c:pt>
                <c:pt idx="21">
                  <c:v>1.1615666151046751</c:v>
                </c:pt>
                <c:pt idx="22">
                  <c:v>1.2697392702102659</c:v>
                </c:pt>
                <c:pt idx="23">
                  <c:v>1.2506353855133061</c:v>
                </c:pt>
                <c:pt idx="24">
                  <c:v>1.2305020093917849</c:v>
                </c:pt>
                <c:pt idx="25">
                  <c:v>1.210254311561584</c:v>
                </c:pt>
                <c:pt idx="26">
                  <c:v>1.1914936304092409</c:v>
                </c:pt>
                <c:pt idx="27">
                  <c:v>1.173647999763489</c:v>
                </c:pt>
                <c:pt idx="28">
                  <c:v>1.146422266960144</c:v>
                </c:pt>
                <c:pt idx="29">
                  <c:v>1.146422266960144</c:v>
                </c:pt>
                <c:pt idx="30">
                  <c:v>1.1031812429428101</c:v>
                </c:pt>
                <c:pt idx="31">
                  <c:v>1.0315291881561279</c:v>
                </c:pt>
                <c:pt idx="32">
                  <c:v>1.0063624382019041</c:v>
                </c:pt>
                <c:pt idx="33">
                  <c:v>1.4931061267852781</c:v>
                </c:pt>
                <c:pt idx="34">
                  <c:v>1.045393109321594</c:v>
                </c:pt>
                <c:pt idx="35">
                  <c:v>0.99549990892410278</c:v>
                </c:pt>
                <c:pt idx="36">
                  <c:v>0.95095252990722656</c:v>
                </c:pt>
                <c:pt idx="37">
                  <c:v>0.85383903980255127</c:v>
                </c:pt>
                <c:pt idx="38">
                  <c:v>0.76088333129882813</c:v>
                </c:pt>
                <c:pt idx="39">
                  <c:v>0.72999703884124756</c:v>
                </c:pt>
                <c:pt idx="40">
                  <c:v>0.65812718868255615</c:v>
                </c:pt>
                <c:pt idx="41">
                  <c:v>0.5601227879524231</c:v>
                </c:pt>
                <c:pt idx="42">
                  <c:v>1.017624974250793</c:v>
                </c:pt>
                <c:pt idx="43">
                  <c:v>0.89459812641143799</c:v>
                </c:pt>
                <c:pt idx="44">
                  <c:v>0.97598934173583984</c:v>
                </c:pt>
                <c:pt idx="45">
                  <c:v>0.78506708145141602</c:v>
                </c:pt>
                <c:pt idx="46">
                  <c:v>0.82110786437988281</c:v>
                </c:pt>
                <c:pt idx="47">
                  <c:v>0.86516809463500977</c:v>
                </c:pt>
                <c:pt idx="48">
                  <c:v>0.2448371946811676</c:v>
                </c:pt>
                <c:pt idx="49">
                  <c:v>0.4713006317615509</c:v>
                </c:pt>
                <c:pt idx="50">
                  <c:v>1.068647623062134</c:v>
                </c:pt>
                <c:pt idx="51">
                  <c:v>0.57613563537597656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B-49C0-B9BF-C716CDEBD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49519"/>
        <c:axId val="1190250479"/>
      </c:barChart>
      <c:catAx>
        <c:axId val="11902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50479"/>
        <c:crosses val="autoZero"/>
        <c:auto val="1"/>
        <c:lblAlgn val="ctr"/>
        <c:lblOffset val="100"/>
        <c:noMultiLvlLbl val="0"/>
      </c:catAx>
      <c:valAx>
        <c:axId val="1190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PERTE_DE_CHARGE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EPANET'!$BR$3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EPANET'!$BR$4:$BR$55</c:f>
              <c:numCache>
                <c:formatCode>General</c:formatCode>
                <c:ptCount val="52"/>
                <c:pt idx="0">
                  <c:v>0.34011776220006096</c:v>
                </c:pt>
                <c:pt idx="1">
                  <c:v>0.18412084510295368</c:v>
                </c:pt>
                <c:pt idx="2">
                  <c:v>0.14337611160009611</c:v>
                </c:pt>
                <c:pt idx="3">
                  <c:v>0.29132805654913152</c:v>
                </c:pt>
                <c:pt idx="4">
                  <c:v>0.11744638928944044</c:v>
                </c:pt>
                <c:pt idx="5">
                  <c:v>0.11744638928944044</c:v>
                </c:pt>
                <c:pt idx="6">
                  <c:v>0.1159211115064607</c:v>
                </c:pt>
                <c:pt idx="7">
                  <c:v>5.4910000187270859E-2</c:v>
                </c:pt>
                <c:pt idx="8">
                  <c:v>4.8808889055351877E-2</c:v>
                </c:pt>
                <c:pt idx="9">
                  <c:v>0.12049694485539995</c:v>
                </c:pt>
                <c:pt idx="10">
                  <c:v>7.7789166931967052E-2</c:v>
                </c:pt>
                <c:pt idx="11">
                  <c:v>0.11134527815752146</c:v>
                </c:pt>
                <c:pt idx="12">
                  <c:v>8.8466111412825274E-2</c:v>
                </c:pt>
                <c:pt idx="13">
                  <c:v>0.32946000112362517</c:v>
                </c:pt>
                <c:pt idx="14">
                  <c:v>0.11134527815752146</c:v>
                </c:pt>
                <c:pt idx="15">
                  <c:v>9.9143055893683496E-2</c:v>
                </c:pt>
                <c:pt idx="16">
                  <c:v>6.8637500234088572E-2</c:v>
                </c:pt>
                <c:pt idx="17">
                  <c:v>0.15252777829797462</c:v>
                </c:pt>
                <c:pt idx="18">
                  <c:v>0.308088735266423</c:v>
                </c:pt>
                <c:pt idx="19">
                  <c:v>0.13469904721539741</c:v>
                </c:pt>
                <c:pt idx="20">
                  <c:v>0.4738809853842898</c:v>
                </c:pt>
                <c:pt idx="21">
                  <c:v>0.17121384917137866</c:v>
                </c:pt>
                <c:pt idx="22">
                  <c:v>0.16187231665420129</c:v>
                </c:pt>
                <c:pt idx="23">
                  <c:v>0.17603614436144388</c:v>
                </c:pt>
                <c:pt idx="24">
                  <c:v>0.18008295227779894</c:v>
                </c:pt>
                <c:pt idx="25">
                  <c:v>0.17805954831962142</c:v>
                </c:pt>
                <c:pt idx="26">
                  <c:v>0.1537787008214912</c:v>
                </c:pt>
                <c:pt idx="27">
                  <c:v>0.16187231665420129</c:v>
                </c:pt>
                <c:pt idx="28">
                  <c:v>0.31969782539204755</c:v>
                </c:pt>
                <c:pt idx="29">
                  <c:v>0.1416382770724261</c:v>
                </c:pt>
                <c:pt idx="30">
                  <c:v>0.16186447921138786</c:v>
                </c:pt>
                <c:pt idx="31">
                  <c:v>0.13273035727434446</c:v>
                </c:pt>
                <c:pt idx="32">
                  <c:v>0.29669138684853463</c:v>
                </c:pt>
                <c:pt idx="33">
                  <c:v>0.14639377640552698</c:v>
                </c:pt>
                <c:pt idx="34">
                  <c:v>0.16166885526910485</c:v>
                </c:pt>
                <c:pt idx="35">
                  <c:v>0.12422975194362795</c:v>
                </c:pt>
                <c:pt idx="36">
                  <c:v>0.13103686163916922</c:v>
                </c:pt>
                <c:pt idx="37">
                  <c:v>0.42544435597132857</c:v>
                </c:pt>
                <c:pt idx="38">
                  <c:v>0.10721197770477481</c:v>
                </c:pt>
                <c:pt idx="39">
                  <c:v>6.9772874379297897E-2</c:v>
                </c:pt>
                <c:pt idx="40">
                  <c:v>0.34205726220094823</c:v>
                </c:pt>
                <c:pt idx="41">
                  <c:v>0.21952928768120558</c:v>
                </c:pt>
                <c:pt idx="42">
                  <c:v>0.18889729405126993</c:v>
                </c:pt>
                <c:pt idx="43">
                  <c:v>0.10116679388747182</c:v>
                </c:pt>
                <c:pt idx="44">
                  <c:v>0.11235058785450108</c:v>
                </c:pt>
                <c:pt idx="45">
                  <c:v>0.32416997102445538</c:v>
                </c:pt>
                <c:pt idx="46">
                  <c:v>0.17462945274308583</c:v>
                </c:pt>
                <c:pt idx="47">
                  <c:v>0.24028927809755118</c:v>
                </c:pt>
                <c:pt idx="48">
                  <c:v>0.25906187794892238</c:v>
                </c:pt>
                <c:pt idx="49">
                  <c:v>0.50305004365010741</c:v>
                </c:pt>
                <c:pt idx="50">
                  <c:v>0.8821338523934692</c:v>
                </c:pt>
                <c:pt idx="51">
                  <c:v>0.38639724054184493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1-4D19-9212-45CCE18BFA47}"/>
            </c:ext>
          </c:extLst>
        </c:ser>
        <c:ser>
          <c:idx val="1"/>
          <c:order val="1"/>
          <c:tx>
            <c:strRef>
              <c:f>'COMPARAISON EPANET'!$BS$3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EPANET'!$BG$4:$BG$55</c:f>
              <c:strCache>
                <c:ptCount val="52"/>
                <c:pt idx="0">
                  <c:v>N42_N52</c:v>
                </c:pt>
                <c:pt idx="1">
                  <c:v>N42_N72</c:v>
                </c:pt>
                <c:pt idx="2">
                  <c:v>N52_N53</c:v>
                </c:pt>
                <c:pt idx="3">
                  <c:v>N53_N54</c:v>
                </c:pt>
                <c:pt idx="4">
                  <c:v>N54_N55</c:v>
                </c:pt>
                <c:pt idx="5">
                  <c:v>N55_N56</c:v>
                </c:pt>
                <c:pt idx="6">
                  <c:v>N56_N57</c:v>
                </c:pt>
                <c:pt idx="7">
                  <c:v>N57_N58</c:v>
                </c:pt>
                <c:pt idx="8">
                  <c:v>N58_N59</c:v>
                </c:pt>
                <c:pt idx="9">
                  <c:v>N59_N60</c:v>
                </c:pt>
                <c:pt idx="10">
                  <c:v>N60_N61</c:v>
                </c:pt>
                <c:pt idx="11">
                  <c:v>N61_N62</c:v>
                </c:pt>
                <c:pt idx="12">
                  <c:v>N62_N63</c:v>
                </c:pt>
                <c:pt idx="13">
                  <c:v>N63_N64</c:v>
                </c:pt>
                <c:pt idx="14">
                  <c:v>N64_N65</c:v>
                </c:pt>
                <c:pt idx="15">
                  <c:v>N65_N66</c:v>
                </c:pt>
                <c:pt idx="16">
                  <c:v>N66_N67</c:v>
                </c:pt>
                <c:pt idx="17">
                  <c:v>N67_N68</c:v>
                </c:pt>
                <c:pt idx="18">
                  <c:v>N68_N69</c:v>
                </c:pt>
                <c:pt idx="19">
                  <c:v>N69_N70</c:v>
                </c:pt>
                <c:pt idx="20">
                  <c:v>N70_N71</c:v>
                </c:pt>
                <c:pt idx="21">
                  <c:v>N71_N192</c:v>
                </c:pt>
                <c:pt idx="22">
                  <c:v>N72_N73</c:v>
                </c:pt>
                <c:pt idx="23">
                  <c:v>N73_N74</c:v>
                </c:pt>
                <c:pt idx="24">
                  <c:v>N74_N75</c:v>
                </c:pt>
                <c:pt idx="25">
                  <c:v>N75_N76</c:v>
                </c:pt>
                <c:pt idx="26">
                  <c:v>N76_N77</c:v>
                </c:pt>
                <c:pt idx="27">
                  <c:v>N77_N78</c:v>
                </c:pt>
                <c:pt idx="28">
                  <c:v>N78_N79</c:v>
                </c:pt>
                <c:pt idx="29">
                  <c:v>N79_N80</c:v>
                </c:pt>
                <c:pt idx="30">
                  <c:v>N80_N81</c:v>
                </c:pt>
                <c:pt idx="31">
                  <c:v>N81_N82</c:v>
                </c:pt>
                <c:pt idx="32">
                  <c:v>N82_N83</c:v>
                </c:pt>
                <c:pt idx="33">
                  <c:v>N83_N84</c:v>
                </c:pt>
                <c:pt idx="34">
                  <c:v>N84_N85</c:v>
                </c:pt>
                <c:pt idx="35">
                  <c:v>N85_N86</c:v>
                </c:pt>
                <c:pt idx="36">
                  <c:v>N86_N87</c:v>
                </c:pt>
                <c:pt idx="37">
                  <c:v>N87_N88</c:v>
                </c:pt>
                <c:pt idx="38">
                  <c:v>N88_N89</c:v>
                </c:pt>
                <c:pt idx="39">
                  <c:v>N89_N90</c:v>
                </c:pt>
                <c:pt idx="40">
                  <c:v>N90_N91</c:v>
                </c:pt>
                <c:pt idx="41">
                  <c:v>N91_N92</c:v>
                </c:pt>
                <c:pt idx="42">
                  <c:v>N92_N93</c:v>
                </c:pt>
                <c:pt idx="43">
                  <c:v>N93_N94</c:v>
                </c:pt>
                <c:pt idx="44">
                  <c:v>N94_N95</c:v>
                </c:pt>
                <c:pt idx="45">
                  <c:v>N95_N96</c:v>
                </c:pt>
                <c:pt idx="46">
                  <c:v>N96_N97</c:v>
                </c:pt>
                <c:pt idx="47">
                  <c:v>N97_N98</c:v>
                </c:pt>
                <c:pt idx="48">
                  <c:v>N98_N99</c:v>
                </c:pt>
                <c:pt idx="49">
                  <c:v>N194_N99</c:v>
                </c:pt>
                <c:pt idx="50">
                  <c:v>N192_N193</c:v>
                </c:pt>
                <c:pt idx="51">
                  <c:v>N193_N194</c:v>
                </c:pt>
              </c:strCache>
            </c:strRef>
          </c:cat>
          <c:val>
            <c:numRef>
              <c:f>'COMPARAISON EPANET'!$BS$4:$BS$55</c:f>
              <c:numCache>
                <c:formatCode>General</c:formatCode>
                <c:ptCount val="52"/>
                <c:pt idx="0">
                  <c:v>1.068596720695496</c:v>
                </c:pt>
                <c:pt idx="1">
                  <c:v>5.3390045166015616</c:v>
                </c:pt>
                <c:pt idx="2">
                  <c:v>3.984466552734375</c:v>
                </c:pt>
                <c:pt idx="3">
                  <c:v>3.5862553119659419</c:v>
                </c:pt>
                <c:pt idx="4">
                  <c:v>3.2308585643768311</c:v>
                </c:pt>
                <c:pt idx="5">
                  <c:v>3.0351357460021968</c:v>
                </c:pt>
                <c:pt idx="6">
                  <c:v>2.8465826511383061</c:v>
                </c:pt>
                <c:pt idx="7">
                  <c:v>11.24682140350342</c:v>
                </c:pt>
                <c:pt idx="8">
                  <c:v>10.915684700012211</c:v>
                </c:pt>
                <c:pt idx="9">
                  <c:v>10.385706901550289</c:v>
                </c:pt>
                <c:pt idx="10">
                  <c:v>9.7819814682006836</c:v>
                </c:pt>
                <c:pt idx="11">
                  <c:v>9.2228012084960938</c:v>
                </c:pt>
                <c:pt idx="12">
                  <c:v>8.649993896484375</c:v>
                </c:pt>
                <c:pt idx="13">
                  <c:v>7.5112552642822266</c:v>
                </c:pt>
                <c:pt idx="14">
                  <c:v>6.3972806930541992</c:v>
                </c:pt>
                <c:pt idx="15">
                  <c:v>5.8968548774719238</c:v>
                </c:pt>
                <c:pt idx="16">
                  <c:v>5.5125861167907706</c:v>
                </c:pt>
                <c:pt idx="17">
                  <c:v>5.0257749557495117</c:v>
                </c:pt>
                <c:pt idx="18">
                  <c:v>4.0841250419616699</c:v>
                </c:pt>
                <c:pt idx="19">
                  <c:v>2.8346002101898189</c:v>
                </c:pt>
                <c:pt idx="20">
                  <c:v>7.1853809356689453</c:v>
                </c:pt>
                <c:pt idx="21">
                  <c:v>5.7359366416931152</c:v>
                </c:pt>
                <c:pt idx="22">
                  <c:v>5.1782503128051758</c:v>
                </c:pt>
                <c:pt idx="23">
                  <c:v>5.0235886573791504</c:v>
                </c:pt>
                <c:pt idx="24">
                  <c:v>4.8631472587585449</c:v>
                </c:pt>
                <c:pt idx="25">
                  <c:v>4.704409122467041</c:v>
                </c:pt>
                <c:pt idx="26">
                  <c:v>4.55975341796875</c:v>
                </c:pt>
                <c:pt idx="27">
                  <c:v>4.4240975379943848</c:v>
                </c:pt>
                <c:pt idx="28">
                  <c:v>4.221285343170166</c:v>
                </c:pt>
                <c:pt idx="29">
                  <c:v>4.221285343170166</c:v>
                </c:pt>
                <c:pt idx="30">
                  <c:v>3.9088785648345952</c:v>
                </c:pt>
                <c:pt idx="31">
                  <c:v>3.417511940002441</c:v>
                </c:pt>
                <c:pt idx="32">
                  <c:v>3.252838134765625</c:v>
                </c:pt>
                <c:pt idx="33">
                  <c:v>9.477630615234375</c:v>
                </c:pt>
                <c:pt idx="34">
                  <c:v>6.6291894912719727</c:v>
                </c:pt>
                <c:pt idx="35">
                  <c:v>6.0115623474121094</c:v>
                </c:pt>
                <c:pt idx="36">
                  <c:v>5.4855637550354004</c:v>
                </c:pt>
                <c:pt idx="37">
                  <c:v>4.4223670959472656</c:v>
                </c:pt>
                <c:pt idx="38">
                  <c:v>3.5118203163146968</c:v>
                </c:pt>
                <c:pt idx="39">
                  <c:v>3.2325878143310551</c:v>
                </c:pt>
                <c:pt idx="40">
                  <c:v>2.627388477325439</c:v>
                </c:pt>
                <c:pt idx="41">
                  <c:v>1.903107881546021</c:v>
                </c:pt>
                <c:pt idx="42">
                  <c:v>10.240055084228519</c:v>
                </c:pt>
                <c:pt idx="43">
                  <c:v>7.9137349128723136</c:v>
                </c:pt>
                <c:pt idx="44">
                  <c:v>10.804136276245121</c:v>
                </c:pt>
                <c:pt idx="45">
                  <c:v>7.328188419342041</c:v>
                </c:pt>
                <c:pt idx="46">
                  <c:v>11.33439922332764</c:v>
                </c:pt>
                <c:pt idx="47">
                  <c:v>18.464790344238281</c:v>
                </c:pt>
                <c:pt idx="48">
                  <c:v>1.6027151346206669</c:v>
                </c:pt>
                <c:pt idx="49">
                  <c:v>1.3474123477935791</c:v>
                </c:pt>
                <c:pt idx="50">
                  <c:v>6.9274296760559082</c:v>
                </c:pt>
                <c:pt idx="51">
                  <c:v>2.013487577438354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1-4D19-9212-45CCE18B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601327"/>
        <c:axId val="607600847"/>
      </c:barChart>
      <c:catAx>
        <c:axId val="60760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600847"/>
        <c:crosses val="autoZero"/>
        <c:auto val="1"/>
        <c:lblAlgn val="ctr"/>
        <c:lblOffset val="100"/>
        <c:noMultiLvlLbl val="0"/>
      </c:catAx>
      <c:valAx>
        <c:axId val="60760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60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EPANET'!$BT$3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EPANET'!$BI$4:$BI$55</c:f>
              <c:strCache>
                <c:ptCount val="52"/>
                <c:pt idx="0">
                  <c:v>N42</c:v>
                </c:pt>
                <c:pt idx="1">
                  <c:v>N72</c:v>
                </c:pt>
                <c:pt idx="2">
                  <c:v>N52</c:v>
                </c:pt>
                <c:pt idx="3">
                  <c:v>N53</c:v>
                </c:pt>
                <c:pt idx="4">
                  <c:v>N54</c:v>
                </c:pt>
                <c:pt idx="5">
                  <c:v>N55</c:v>
                </c:pt>
                <c:pt idx="6">
                  <c:v>N56</c:v>
                </c:pt>
                <c:pt idx="7">
                  <c:v>N57</c:v>
                </c:pt>
                <c:pt idx="8">
                  <c:v>N58</c:v>
                </c:pt>
                <c:pt idx="9">
                  <c:v>N59</c:v>
                </c:pt>
                <c:pt idx="10">
                  <c:v>N60</c:v>
                </c:pt>
                <c:pt idx="11">
                  <c:v>N61</c:v>
                </c:pt>
                <c:pt idx="12">
                  <c:v>N62</c:v>
                </c:pt>
                <c:pt idx="13">
                  <c:v>N63</c:v>
                </c:pt>
                <c:pt idx="14">
                  <c:v>N64</c:v>
                </c:pt>
                <c:pt idx="15">
                  <c:v>N65</c:v>
                </c:pt>
                <c:pt idx="16">
                  <c:v>N66</c:v>
                </c:pt>
                <c:pt idx="17">
                  <c:v>N67</c:v>
                </c:pt>
                <c:pt idx="18">
                  <c:v>N68</c:v>
                </c:pt>
                <c:pt idx="19">
                  <c:v>N69</c:v>
                </c:pt>
                <c:pt idx="20">
                  <c:v>N70</c:v>
                </c:pt>
                <c:pt idx="21">
                  <c:v>N71</c:v>
                </c:pt>
                <c:pt idx="22">
                  <c:v>N73</c:v>
                </c:pt>
                <c:pt idx="23">
                  <c:v>N74</c:v>
                </c:pt>
                <c:pt idx="24">
                  <c:v>N75</c:v>
                </c:pt>
                <c:pt idx="25">
                  <c:v>N76</c:v>
                </c:pt>
                <c:pt idx="26">
                  <c:v>N77</c:v>
                </c:pt>
                <c:pt idx="27">
                  <c:v>N78</c:v>
                </c:pt>
                <c:pt idx="28">
                  <c:v>N79</c:v>
                </c:pt>
                <c:pt idx="29">
                  <c:v>N79</c:v>
                </c:pt>
                <c:pt idx="30">
                  <c:v>N80</c:v>
                </c:pt>
                <c:pt idx="31">
                  <c:v>N81</c:v>
                </c:pt>
                <c:pt idx="32">
                  <c:v>N82</c:v>
                </c:pt>
                <c:pt idx="33">
                  <c:v>N83</c:v>
                </c:pt>
                <c:pt idx="34">
                  <c:v>N85</c:v>
                </c:pt>
                <c:pt idx="35">
                  <c:v>N86</c:v>
                </c:pt>
                <c:pt idx="36">
                  <c:v>N87</c:v>
                </c:pt>
                <c:pt idx="37">
                  <c:v>N88</c:v>
                </c:pt>
                <c:pt idx="38">
                  <c:v>N89</c:v>
                </c:pt>
                <c:pt idx="39">
                  <c:v>N90</c:v>
                </c:pt>
                <c:pt idx="40">
                  <c:v>N91</c:v>
                </c:pt>
                <c:pt idx="41">
                  <c:v>N92</c:v>
                </c:pt>
                <c:pt idx="42">
                  <c:v>N93</c:v>
                </c:pt>
                <c:pt idx="43">
                  <c:v>N94</c:v>
                </c:pt>
                <c:pt idx="44">
                  <c:v>N95</c:v>
                </c:pt>
                <c:pt idx="45">
                  <c:v>N96</c:v>
                </c:pt>
                <c:pt idx="46">
                  <c:v>N97</c:v>
                </c:pt>
                <c:pt idx="47">
                  <c:v>N98</c:v>
                </c:pt>
                <c:pt idx="48">
                  <c:v>N99</c:v>
                </c:pt>
                <c:pt idx="49">
                  <c:v>N194</c:v>
                </c:pt>
                <c:pt idx="50">
                  <c:v>N192</c:v>
                </c:pt>
                <c:pt idx="51">
                  <c:v>N193</c:v>
                </c:pt>
              </c:strCache>
            </c:strRef>
          </c:cat>
          <c:val>
            <c:numRef>
              <c:f>'COMPARAISON EPANET'!$BT$4:$BT$55</c:f>
              <c:numCache>
                <c:formatCode>General</c:formatCode>
                <c:ptCount val="52"/>
                <c:pt idx="0">
                  <c:v>22.402184920703466</c:v>
                </c:pt>
                <c:pt idx="1">
                  <c:v>28.218064075600513</c:v>
                </c:pt>
                <c:pt idx="2">
                  <c:v>23.074687964000418</c:v>
                </c:pt>
                <c:pt idx="3">
                  <c:v>17.783359907451285</c:v>
                </c:pt>
                <c:pt idx="4">
                  <c:v>17.665913518161844</c:v>
                </c:pt>
                <c:pt idx="5">
                  <c:v>20.548467128872403</c:v>
                </c:pt>
                <c:pt idx="6">
                  <c:v>19.432546017365944</c:v>
                </c:pt>
                <c:pt idx="7">
                  <c:v>12.377636017178673</c:v>
                </c:pt>
                <c:pt idx="8">
                  <c:v>15.328827128123322</c:v>
                </c:pt>
                <c:pt idx="9">
                  <c:v>16.208330183267922</c:v>
                </c:pt>
                <c:pt idx="10">
                  <c:v>17.130541016335954</c:v>
                </c:pt>
                <c:pt idx="11">
                  <c:v>24.019195738178432</c:v>
                </c:pt>
                <c:pt idx="12">
                  <c:v>23.930729626765608</c:v>
                </c:pt>
                <c:pt idx="13">
                  <c:v>17.601269625641983</c:v>
                </c:pt>
                <c:pt idx="14">
                  <c:v>21.489924347484461</c:v>
                </c:pt>
                <c:pt idx="15">
                  <c:v>21.390781291590777</c:v>
                </c:pt>
                <c:pt idx="16">
                  <c:v>19.322143791356687</c:v>
                </c:pt>
                <c:pt idx="17">
                  <c:v>22.169616013058715</c:v>
                </c:pt>
                <c:pt idx="18">
                  <c:v>19.861527277792291</c:v>
                </c:pt>
                <c:pt idx="19">
                  <c:v>21.726828230576892</c:v>
                </c:pt>
                <c:pt idx="20">
                  <c:v>18.252947245192605</c:v>
                </c:pt>
                <c:pt idx="21">
                  <c:v>22.081733396021225</c:v>
                </c:pt>
                <c:pt idx="22">
                  <c:v>18.919861079367024</c:v>
                </c:pt>
                <c:pt idx="23">
                  <c:v>21.743824935005581</c:v>
                </c:pt>
                <c:pt idx="24">
                  <c:v>16.56374198272778</c:v>
                </c:pt>
                <c:pt idx="25">
                  <c:v>19.38568243440816</c:v>
                </c:pt>
                <c:pt idx="26">
                  <c:v>16.23190373358667</c:v>
                </c:pt>
                <c:pt idx="27">
                  <c:v>18.070031416932466</c:v>
                </c:pt>
                <c:pt idx="28">
                  <c:v>13.750333591540418</c:v>
                </c:pt>
                <c:pt idx="29">
                  <c:v>13.608695314467994</c:v>
                </c:pt>
                <c:pt idx="30">
                  <c:v>10.446830835256605</c:v>
                </c:pt>
                <c:pt idx="31">
                  <c:v>12.314100477982262</c:v>
                </c:pt>
                <c:pt idx="32">
                  <c:v>15.017409091133725</c:v>
                </c:pt>
                <c:pt idx="33">
                  <c:v>14.871015314728199</c:v>
                </c:pt>
                <c:pt idx="34">
                  <c:v>15.709346459459095</c:v>
                </c:pt>
                <c:pt idx="35">
                  <c:v>19.585116707515468</c:v>
                </c:pt>
                <c:pt idx="36">
                  <c:v>13.454079845876297</c:v>
                </c:pt>
                <c:pt idx="37">
                  <c:v>14.028635489904968</c:v>
                </c:pt>
                <c:pt idx="38">
                  <c:v>10.921423512200194</c:v>
                </c:pt>
                <c:pt idx="39">
                  <c:v>10.851650637820896</c:v>
                </c:pt>
                <c:pt idx="40">
                  <c:v>15.509593375619946</c:v>
                </c:pt>
                <c:pt idx="41">
                  <c:v>17.290064087938742</c:v>
                </c:pt>
                <c:pt idx="42">
                  <c:v>11.101166793887472</c:v>
                </c:pt>
                <c:pt idx="43">
                  <c:v>10</c:v>
                </c:pt>
                <c:pt idx="44">
                  <c:v>12.8876494121455</c:v>
                </c:pt>
                <c:pt idx="45">
                  <c:v>11.563479441121043</c:v>
                </c:pt>
                <c:pt idx="46">
                  <c:v>15.388849988377958</c:v>
                </c:pt>
                <c:pt idx="47">
                  <c:v>13.148560710280407</c:v>
                </c:pt>
                <c:pt idx="48">
                  <c:v>11.889498832331485</c:v>
                </c:pt>
                <c:pt idx="49">
                  <c:v>16.386448788681378</c:v>
                </c:pt>
                <c:pt idx="50">
                  <c:v>13.504314936287908</c:v>
                </c:pt>
                <c:pt idx="51">
                  <c:v>13.117917695746064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8-4D5C-AAEB-2A5BA0278D19}"/>
            </c:ext>
          </c:extLst>
        </c:ser>
        <c:ser>
          <c:idx val="1"/>
          <c:order val="1"/>
          <c:tx>
            <c:strRef>
              <c:f>'COMPARAISON EPANET'!$BU$3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EPANET'!$BI$4:$BI$55</c:f>
              <c:strCache>
                <c:ptCount val="52"/>
                <c:pt idx="0">
                  <c:v>N42</c:v>
                </c:pt>
                <c:pt idx="1">
                  <c:v>N72</c:v>
                </c:pt>
                <c:pt idx="2">
                  <c:v>N52</c:v>
                </c:pt>
                <c:pt idx="3">
                  <c:v>N53</c:v>
                </c:pt>
                <c:pt idx="4">
                  <c:v>N54</c:v>
                </c:pt>
                <c:pt idx="5">
                  <c:v>N55</c:v>
                </c:pt>
                <c:pt idx="6">
                  <c:v>N56</c:v>
                </c:pt>
                <c:pt idx="7">
                  <c:v>N57</c:v>
                </c:pt>
                <c:pt idx="8">
                  <c:v>N58</c:v>
                </c:pt>
                <c:pt idx="9">
                  <c:v>N59</c:v>
                </c:pt>
                <c:pt idx="10">
                  <c:v>N60</c:v>
                </c:pt>
                <c:pt idx="11">
                  <c:v>N61</c:v>
                </c:pt>
                <c:pt idx="12">
                  <c:v>N62</c:v>
                </c:pt>
                <c:pt idx="13">
                  <c:v>N63</c:v>
                </c:pt>
                <c:pt idx="14">
                  <c:v>N64</c:v>
                </c:pt>
                <c:pt idx="15">
                  <c:v>N65</c:v>
                </c:pt>
                <c:pt idx="16">
                  <c:v>N66</c:v>
                </c:pt>
                <c:pt idx="17">
                  <c:v>N67</c:v>
                </c:pt>
                <c:pt idx="18">
                  <c:v>N68</c:v>
                </c:pt>
                <c:pt idx="19">
                  <c:v>N69</c:v>
                </c:pt>
                <c:pt idx="20">
                  <c:v>N70</c:v>
                </c:pt>
                <c:pt idx="21">
                  <c:v>N71</c:v>
                </c:pt>
                <c:pt idx="22">
                  <c:v>N73</c:v>
                </c:pt>
                <c:pt idx="23">
                  <c:v>N74</c:v>
                </c:pt>
                <c:pt idx="24">
                  <c:v>N75</c:v>
                </c:pt>
                <c:pt idx="25">
                  <c:v>N76</c:v>
                </c:pt>
                <c:pt idx="26">
                  <c:v>N77</c:v>
                </c:pt>
                <c:pt idx="27">
                  <c:v>N78</c:v>
                </c:pt>
                <c:pt idx="28">
                  <c:v>N79</c:v>
                </c:pt>
                <c:pt idx="29">
                  <c:v>N79</c:v>
                </c:pt>
                <c:pt idx="30">
                  <c:v>N80</c:v>
                </c:pt>
                <c:pt idx="31">
                  <c:v>N81</c:v>
                </c:pt>
                <c:pt idx="32">
                  <c:v>N82</c:v>
                </c:pt>
                <c:pt idx="33">
                  <c:v>N83</c:v>
                </c:pt>
                <c:pt idx="34">
                  <c:v>N85</c:v>
                </c:pt>
                <c:pt idx="35">
                  <c:v>N86</c:v>
                </c:pt>
                <c:pt idx="36">
                  <c:v>N87</c:v>
                </c:pt>
                <c:pt idx="37">
                  <c:v>N88</c:v>
                </c:pt>
                <c:pt idx="38">
                  <c:v>N89</c:v>
                </c:pt>
                <c:pt idx="39">
                  <c:v>N90</c:v>
                </c:pt>
                <c:pt idx="40">
                  <c:v>N91</c:v>
                </c:pt>
                <c:pt idx="41">
                  <c:v>N92</c:v>
                </c:pt>
                <c:pt idx="42">
                  <c:v>N93</c:v>
                </c:pt>
                <c:pt idx="43">
                  <c:v>N94</c:v>
                </c:pt>
                <c:pt idx="44">
                  <c:v>N95</c:v>
                </c:pt>
                <c:pt idx="45">
                  <c:v>N96</c:v>
                </c:pt>
                <c:pt idx="46">
                  <c:v>N97</c:v>
                </c:pt>
                <c:pt idx="47">
                  <c:v>N98</c:v>
                </c:pt>
                <c:pt idx="48">
                  <c:v>N99</c:v>
                </c:pt>
                <c:pt idx="49">
                  <c:v>N194</c:v>
                </c:pt>
                <c:pt idx="50">
                  <c:v>N192</c:v>
                </c:pt>
                <c:pt idx="51">
                  <c:v>N193</c:v>
                </c:pt>
              </c:strCache>
            </c:strRef>
          </c:cat>
          <c:val>
            <c:numRef>
              <c:f>'COMPARAISON EPANET'!$BU$4:$BU$55</c:f>
              <c:numCache>
                <c:formatCode>General</c:formatCode>
                <c:ptCount val="52"/>
                <c:pt idx="0">
                  <c:v>67.037513732910156</c:v>
                </c:pt>
                <c:pt idx="1">
                  <c:v>72.551666259765625</c:v>
                </c:pt>
                <c:pt idx="2">
                  <c:v>67.044265747070313</c:v>
                </c:pt>
                <c:pt idx="3">
                  <c:v>61.668533325195313</c:v>
                </c:pt>
                <c:pt idx="4">
                  <c:v>60.982124328613281</c:v>
                </c:pt>
                <c:pt idx="5">
                  <c:v>63.7320556640625</c:v>
                </c:pt>
                <c:pt idx="6">
                  <c:v>62.498046875</c:v>
                </c:pt>
                <c:pt idx="7">
                  <c:v>55.281707763671882</c:v>
                </c:pt>
                <c:pt idx="8">
                  <c:v>57.872322082519531</c:v>
                </c:pt>
                <c:pt idx="9">
                  <c:v>58.517562866210938</c:v>
                </c:pt>
                <c:pt idx="10">
                  <c:v>58.697093963623047</c:v>
                </c:pt>
                <c:pt idx="11">
                  <c:v>65.201148986816406</c:v>
                </c:pt>
                <c:pt idx="12">
                  <c:v>64.526962280273438</c:v>
                </c:pt>
                <c:pt idx="13">
                  <c:v>58.024394989013672</c:v>
                </c:pt>
                <c:pt idx="14">
                  <c:v>60.400459289550781</c:v>
                </c:pt>
                <c:pt idx="15">
                  <c:v>59.932819366455078</c:v>
                </c:pt>
                <c:pt idx="16">
                  <c:v>57.550704956054688</c:v>
                </c:pt>
                <c:pt idx="17">
                  <c:v>60.303188323974609</c:v>
                </c:pt>
                <c:pt idx="18">
                  <c:v>57.798599243164063</c:v>
                </c:pt>
                <c:pt idx="19">
                  <c:v>58.972789764404297</c:v>
                </c:pt>
                <c:pt idx="20">
                  <c:v>55.501964569091797</c:v>
                </c:pt>
                <c:pt idx="21">
                  <c:v>55.304981231689453</c:v>
                </c:pt>
                <c:pt idx="22">
                  <c:v>66.137924194335938</c:v>
                </c:pt>
                <c:pt idx="23">
                  <c:v>68.699363708496094</c:v>
                </c:pt>
                <c:pt idx="24">
                  <c:v>63.266544342041023</c:v>
                </c:pt>
                <c:pt idx="25">
                  <c:v>65.852088928222656</c:v>
                </c:pt>
                <c:pt idx="26">
                  <c:v>62.504634857177727</c:v>
                </c:pt>
                <c:pt idx="27">
                  <c:v>64.151145935058594</c:v>
                </c:pt>
                <c:pt idx="28">
                  <c:v>59.486293792724609</c:v>
                </c:pt>
                <c:pt idx="29">
                  <c:v>59.486293792724609</c:v>
                </c:pt>
                <c:pt idx="30">
                  <c:v>56.202487945556641</c:v>
                </c:pt>
                <c:pt idx="31">
                  <c:v>57.888214111328118</c:v>
                </c:pt>
                <c:pt idx="32">
                  <c:v>60.654457092285163</c:v>
                </c:pt>
                <c:pt idx="33">
                  <c:v>60.158725738525391</c:v>
                </c:pt>
                <c:pt idx="34">
                  <c:v>59.821258544921882</c:v>
                </c:pt>
                <c:pt idx="35">
                  <c:v>63.380611419677727</c:v>
                </c:pt>
                <c:pt idx="36">
                  <c:v>56.957672119140618</c:v>
                </c:pt>
                <c:pt idx="37">
                  <c:v>56.850753784179688</c:v>
                </c:pt>
                <c:pt idx="38">
                  <c:v>53.629859924316413</c:v>
                </c:pt>
                <c:pt idx="39">
                  <c:v>53.497325897216797</c:v>
                </c:pt>
                <c:pt idx="40">
                  <c:v>57.968433380126953</c:v>
                </c:pt>
                <c:pt idx="41">
                  <c:v>59.723121643066413</c:v>
                </c:pt>
                <c:pt idx="42">
                  <c:v>52.585453033447273</c:v>
                </c:pt>
                <c:pt idx="43">
                  <c:v>50.889041900634773</c:v>
                </c:pt>
                <c:pt idx="44">
                  <c:v>53.090618133544922</c:v>
                </c:pt>
                <c:pt idx="45">
                  <c:v>50.271759033203118</c:v>
                </c:pt>
                <c:pt idx="46">
                  <c:v>52.952438354492188</c:v>
                </c:pt>
                <c:pt idx="47">
                  <c:v>48.594482421875</c:v>
                </c:pt>
                <c:pt idx="48">
                  <c:v>47.373466491699219</c:v>
                </c:pt>
                <c:pt idx="49">
                  <c:v>52.620853424072273</c:v>
                </c:pt>
                <c:pt idx="50">
                  <c:v>52.097568511962891</c:v>
                </c:pt>
                <c:pt idx="51">
                  <c:v>50.962139129638672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8-4D5C-AAEB-2A5BA0278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38479"/>
        <c:axId val="1190244719"/>
      </c:barChart>
      <c:catAx>
        <c:axId val="119023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4719"/>
        <c:crosses val="autoZero"/>
        <c:auto val="1"/>
        <c:lblAlgn val="ctr"/>
        <c:lblOffset val="100"/>
        <c:noMultiLvlLbl val="0"/>
      </c:catAx>
      <c:valAx>
        <c:axId val="11902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DIAMETRE_THEORIQUE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EPANET'!$CE$3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EPANET'!$CE$4:$CE$44</c:f>
              <c:numCache>
                <c:formatCode>General</c:formatCode>
                <c:ptCount val="41"/>
                <c:pt idx="0">
                  <c:v>460.62820576799743</c:v>
                </c:pt>
                <c:pt idx="1">
                  <c:v>460.62820576799743</c:v>
                </c:pt>
                <c:pt idx="2">
                  <c:v>325.71332790434337</c:v>
                </c:pt>
                <c:pt idx="3">
                  <c:v>325.71332790434337</c:v>
                </c:pt>
                <c:pt idx="4">
                  <c:v>325.71332790434337</c:v>
                </c:pt>
                <c:pt idx="5">
                  <c:v>325.71332790434337</c:v>
                </c:pt>
                <c:pt idx="6">
                  <c:v>325.71332790434337</c:v>
                </c:pt>
                <c:pt idx="7">
                  <c:v>325.71332790434337</c:v>
                </c:pt>
                <c:pt idx="8">
                  <c:v>325.71332790434337</c:v>
                </c:pt>
                <c:pt idx="9">
                  <c:v>325.71332790434337</c:v>
                </c:pt>
                <c:pt idx="10">
                  <c:v>325.71332790434337</c:v>
                </c:pt>
                <c:pt idx="11">
                  <c:v>325.71332790434337</c:v>
                </c:pt>
                <c:pt idx="12">
                  <c:v>354.24630676955917</c:v>
                </c:pt>
                <c:pt idx="13">
                  <c:v>204.52212438525402</c:v>
                </c:pt>
                <c:pt idx="14">
                  <c:v>460.62820576799743</c:v>
                </c:pt>
                <c:pt idx="15">
                  <c:v>460.62820576799743</c:v>
                </c:pt>
                <c:pt idx="16">
                  <c:v>460.62820576799743</c:v>
                </c:pt>
                <c:pt idx="17">
                  <c:v>460.62820576799743</c:v>
                </c:pt>
                <c:pt idx="18">
                  <c:v>460.62820576799743</c:v>
                </c:pt>
                <c:pt idx="19">
                  <c:v>460.62820576799743</c:v>
                </c:pt>
                <c:pt idx="20">
                  <c:v>460.62820576799743</c:v>
                </c:pt>
                <c:pt idx="21">
                  <c:v>460.62820576799743</c:v>
                </c:pt>
                <c:pt idx="22">
                  <c:v>460.62820576799743</c:v>
                </c:pt>
                <c:pt idx="23">
                  <c:v>204.52523865872314</c:v>
                </c:pt>
                <c:pt idx="24">
                  <c:v>204.52523865872314</c:v>
                </c:pt>
                <c:pt idx="25">
                  <c:v>204.52523865872314</c:v>
                </c:pt>
                <c:pt idx="26">
                  <c:v>204.52523865872314</c:v>
                </c:pt>
                <c:pt idx="27">
                  <c:v>204.52523865872314</c:v>
                </c:pt>
                <c:pt idx="28">
                  <c:v>204.52523865872314</c:v>
                </c:pt>
                <c:pt idx="29">
                  <c:v>204.52523865872314</c:v>
                </c:pt>
                <c:pt idx="30">
                  <c:v>204.52523865872314</c:v>
                </c:pt>
                <c:pt idx="31">
                  <c:v>204.52523865872314</c:v>
                </c:pt>
                <c:pt idx="32">
                  <c:v>204.52523865872314</c:v>
                </c:pt>
                <c:pt idx="33">
                  <c:v>204.52523865872314</c:v>
                </c:pt>
                <c:pt idx="34">
                  <c:v>204.52523865872314</c:v>
                </c:pt>
                <c:pt idx="35">
                  <c:v>204.52523865872314</c:v>
                </c:pt>
                <c:pt idx="36">
                  <c:v>204.52523865872314</c:v>
                </c:pt>
                <c:pt idx="37">
                  <c:v>204.52523865872314</c:v>
                </c:pt>
                <c:pt idx="38">
                  <c:v>204.52523865872314</c:v>
                </c:pt>
                <c:pt idx="39">
                  <c:v>204.52212438525402</c:v>
                </c:pt>
                <c:pt idx="40">
                  <c:v>354.24630676955917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3-449A-BE69-301EF726D582}"/>
            </c:ext>
          </c:extLst>
        </c:ser>
        <c:ser>
          <c:idx val="1"/>
          <c:order val="1"/>
          <c:tx>
            <c:strRef>
              <c:f>'COMPARAISON EPANET'!$CF$3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EPANET'!$CF$4:$CF$44</c:f>
              <c:numCache>
                <c:formatCode>General</c:formatCode>
                <c:ptCount val="41"/>
                <c:pt idx="0">
                  <c:v>394.6</c:v>
                </c:pt>
                <c:pt idx="1">
                  <c:v>394.6</c:v>
                </c:pt>
                <c:pt idx="2">
                  <c:v>394.6</c:v>
                </c:pt>
                <c:pt idx="3">
                  <c:v>394.6</c:v>
                </c:pt>
                <c:pt idx="4">
                  <c:v>394.6</c:v>
                </c:pt>
                <c:pt idx="5">
                  <c:v>394.6</c:v>
                </c:pt>
                <c:pt idx="6">
                  <c:v>394.6</c:v>
                </c:pt>
                <c:pt idx="7">
                  <c:v>394.6</c:v>
                </c:pt>
                <c:pt idx="8">
                  <c:v>394.6</c:v>
                </c:pt>
                <c:pt idx="9">
                  <c:v>394.6</c:v>
                </c:pt>
                <c:pt idx="10">
                  <c:v>394.6</c:v>
                </c:pt>
                <c:pt idx="11">
                  <c:v>394.6</c:v>
                </c:pt>
                <c:pt idx="12">
                  <c:v>156.4</c:v>
                </c:pt>
                <c:pt idx="13">
                  <c:v>156.4</c:v>
                </c:pt>
                <c:pt idx="14">
                  <c:v>252</c:v>
                </c:pt>
                <c:pt idx="15">
                  <c:v>252</c:v>
                </c:pt>
                <c:pt idx="16">
                  <c:v>252</c:v>
                </c:pt>
                <c:pt idx="17">
                  <c:v>252</c:v>
                </c:pt>
                <c:pt idx="18">
                  <c:v>252</c:v>
                </c:pt>
                <c:pt idx="19">
                  <c:v>204.2</c:v>
                </c:pt>
                <c:pt idx="20">
                  <c:v>204.2</c:v>
                </c:pt>
                <c:pt idx="21">
                  <c:v>204.2</c:v>
                </c:pt>
                <c:pt idx="22">
                  <c:v>204.2</c:v>
                </c:pt>
                <c:pt idx="23">
                  <c:v>204.2</c:v>
                </c:pt>
                <c:pt idx="24">
                  <c:v>204.2</c:v>
                </c:pt>
                <c:pt idx="25">
                  <c:v>204.2</c:v>
                </c:pt>
                <c:pt idx="26">
                  <c:v>204.2</c:v>
                </c:pt>
                <c:pt idx="27">
                  <c:v>204.2</c:v>
                </c:pt>
                <c:pt idx="28">
                  <c:v>156.4</c:v>
                </c:pt>
                <c:pt idx="29">
                  <c:v>156.4</c:v>
                </c:pt>
                <c:pt idx="30">
                  <c:v>156.4</c:v>
                </c:pt>
                <c:pt idx="31">
                  <c:v>156.4</c:v>
                </c:pt>
                <c:pt idx="32">
                  <c:v>156.4</c:v>
                </c:pt>
                <c:pt idx="33">
                  <c:v>156.4</c:v>
                </c:pt>
                <c:pt idx="34">
                  <c:v>156.4</c:v>
                </c:pt>
                <c:pt idx="35">
                  <c:v>156.4</c:v>
                </c:pt>
                <c:pt idx="36">
                  <c:v>156.4</c:v>
                </c:pt>
                <c:pt idx="37">
                  <c:v>156.4</c:v>
                </c:pt>
                <c:pt idx="38">
                  <c:v>156.4</c:v>
                </c:pt>
                <c:pt idx="39">
                  <c:v>156.4</c:v>
                </c:pt>
                <c:pt idx="40">
                  <c:v>51.4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3-449A-BE69-301EF726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47599"/>
        <c:axId val="1190235119"/>
      </c:barChart>
      <c:catAx>
        <c:axId val="119024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5119"/>
        <c:crosses val="autoZero"/>
        <c:auto val="1"/>
        <c:lblAlgn val="ctr"/>
        <c:lblOffset val="100"/>
        <c:noMultiLvlLbl val="0"/>
      </c:catAx>
      <c:valAx>
        <c:axId val="119023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EPANET'!$CG$3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EPANET'!$CG$4:$CG$44</c:f>
              <c:numCache>
                <c:formatCode>General</c:formatCode>
                <c:ptCount val="41"/>
                <c:pt idx="0">
                  <c:v>500</c:v>
                </c:pt>
                <c:pt idx="1">
                  <c:v>500</c:v>
                </c:pt>
                <c:pt idx="2">
                  <c:v>350</c:v>
                </c:pt>
                <c:pt idx="3">
                  <c:v>350</c:v>
                </c:pt>
                <c:pt idx="4">
                  <c:v>350</c:v>
                </c:pt>
                <c:pt idx="5">
                  <c:v>350</c:v>
                </c:pt>
                <c:pt idx="6">
                  <c:v>350</c:v>
                </c:pt>
                <c:pt idx="7">
                  <c:v>350</c:v>
                </c:pt>
                <c:pt idx="8">
                  <c:v>350</c:v>
                </c:pt>
                <c:pt idx="9">
                  <c:v>350</c:v>
                </c:pt>
                <c:pt idx="10">
                  <c:v>350</c:v>
                </c:pt>
                <c:pt idx="11">
                  <c:v>350</c:v>
                </c:pt>
                <c:pt idx="12">
                  <c:v>400</c:v>
                </c:pt>
                <c:pt idx="13">
                  <c:v>250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6-4AD4-BADB-834C58DC3556}"/>
            </c:ext>
          </c:extLst>
        </c:ser>
        <c:ser>
          <c:idx val="1"/>
          <c:order val="1"/>
          <c:tx>
            <c:strRef>
              <c:f>'COMPARAISON EPANET'!$CH$3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EPANET'!$CH$4:$CH$44</c:f>
              <c:numCache>
                <c:formatCode>General</c:formatCode>
                <c:ptCount val="4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150</c:v>
                </c:pt>
                <c:pt idx="13">
                  <c:v>150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6-4AD4-BADB-834C58DC3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32719"/>
        <c:axId val="1190243759"/>
      </c:barChart>
      <c:catAx>
        <c:axId val="11902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3759"/>
        <c:crosses val="autoZero"/>
        <c:auto val="1"/>
        <c:lblAlgn val="ctr"/>
        <c:lblOffset val="100"/>
        <c:noMultiLvlLbl val="0"/>
      </c:catAx>
      <c:valAx>
        <c:axId val="119024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EPANET'!$CI$3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EPANET'!$CI$4:$CI$44</c:f>
              <c:numCache>
                <c:formatCode>General</c:formatCode>
                <c:ptCount val="41"/>
                <c:pt idx="0">
                  <c:v>6.5377785544237496E-2</c:v>
                </c:pt>
                <c:pt idx="1">
                  <c:v>5.5659685744731499E-2</c:v>
                </c:pt>
                <c:pt idx="2">
                  <c:v>0.11428186390622889</c:v>
                </c:pt>
                <c:pt idx="3">
                  <c:v>0.11223274732166122</c:v>
                </c:pt>
                <c:pt idx="4">
                  <c:v>0.11064153554303832</c:v>
                </c:pt>
                <c:pt idx="5">
                  <c:v>0.10955382328317079</c:v>
                </c:pt>
                <c:pt idx="6">
                  <c:v>0.10964731281191634</c:v>
                </c:pt>
                <c:pt idx="7">
                  <c:v>0.10824872082911595</c:v>
                </c:pt>
                <c:pt idx="8">
                  <c:v>0.1080760471088543</c:v>
                </c:pt>
                <c:pt idx="9">
                  <c:v>0.10608980681212855</c:v>
                </c:pt>
                <c:pt idx="10">
                  <c:v>0.10592769963615366</c:v>
                </c:pt>
                <c:pt idx="11">
                  <c:v>0.10460403581587409</c:v>
                </c:pt>
                <c:pt idx="12">
                  <c:v>0.10311425987790261</c:v>
                </c:pt>
                <c:pt idx="13">
                  <c:v>2.8096400597175143E-2</c:v>
                </c:pt>
                <c:pt idx="14">
                  <c:v>5.1894014387761714E-2</c:v>
                </c:pt>
                <c:pt idx="15">
                  <c:v>4.9219250936544418E-2</c:v>
                </c:pt>
                <c:pt idx="16">
                  <c:v>4.6299557545420783E-2</c:v>
                </c:pt>
                <c:pt idx="17">
                  <c:v>4.4870044007419126E-2</c:v>
                </c:pt>
                <c:pt idx="18">
                  <c:v>3.9875177688846644E-2</c:v>
                </c:pt>
                <c:pt idx="19">
                  <c:v>3.5987845481947341E-2</c:v>
                </c:pt>
                <c:pt idx="20">
                  <c:v>3.2236718686002766E-2</c:v>
                </c:pt>
                <c:pt idx="21">
                  <c:v>3.0061025927469467E-2</c:v>
                </c:pt>
                <c:pt idx="22">
                  <c:v>2.8968674602108418E-2</c:v>
                </c:pt>
                <c:pt idx="23">
                  <c:v>2.567610066461315E-2</c:v>
                </c:pt>
                <c:pt idx="24">
                  <c:v>2.419857855476026E-2</c:v>
                </c:pt>
                <c:pt idx="25">
                  <c:v>2.2618335351518505E-2</c:v>
                </c:pt>
                <c:pt idx="26">
                  <c:v>2.2609118131915362E-2</c:v>
                </c:pt>
                <c:pt idx="27">
                  <c:v>2.1427061362760701E-2</c:v>
                </c:pt>
                <c:pt idx="28">
                  <c:v>2.0388336538195332E-2</c:v>
                </c:pt>
                <c:pt idx="29">
                  <c:v>1.9596661628583138E-2</c:v>
                </c:pt>
                <c:pt idx="30">
                  <c:v>1.9613566672003892E-2</c:v>
                </c:pt>
                <c:pt idx="31">
                  <c:v>1.9346842143917888E-2</c:v>
                </c:pt>
                <c:pt idx="32">
                  <c:v>1.7954359292195445E-2</c:v>
                </c:pt>
                <c:pt idx="33">
                  <c:v>1.7818206246515533E-2</c:v>
                </c:pt>
                <c:pt idx="34">
                  <c:v>1.5749708194817382E-2</c:v>
                </c:pt>
                <c:pt idx="35">
                  <c:v>1.4314870899545834E-2</c:v>
                </c:pt>
                <c:pt idx="36">
                  <c:v>1.3051364156792495E-2</c:v>
                </c:pt>
                <c:pt idx="37">
                  <c:v>1.173316550602249E-2</c:v>
                </c:pt>
                <c:pt idx="38">
                  <c:v>1.1368146115916826E-2</c:v>
                </c:pt>
                <c:pt idx="39">
                  <c:v>9.5934509300807762E-3</c:v>
                </c:pt>
                <c:pt idx="40">
                  <c:v>8.6925643734511754E-2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48D4-9BF7-73C4779E7B81}"/>
            </c:ext>
          </c:extLst>
        </c:ser>
        <c:ser>
          <c:idx val="1"/>
          <c:order val="1"/>
          <c:tx>
            <c:strRef>
              <c:f>'COMPARAISON EPANET'!$CJ$3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EPANET'!$CJ$4:$CJ$44</c:f>
              <c:numCache>
                <c:formatCode>General</c:formatCode>
                <c:ptCount val="41"/>
                <c:pt idx="0">
                  <c:v>7.1654319763183594E-2</c:v>
                </c:pt>
                <c:pt idx="1">
                  <c:v>7.1654319763183594E-2</c:v>
                </c:pt>
                <c:pt idx="2">
                  <c:v>0.11996421051025391</c:v>
                </c:pt>
                <c:pt idx="3">
                  <c:v>0.11833242034912109</c:v>
                </c:pt>
                <c:pt idx="4">
                  <c:v>0.11696879577636721</c:v>
                </c:pt>
                <c:pt idx="5">
                  <c:v>0.1161072616577148</c:v>
                </c:pt>
                <c:pt idx="6">
                  <c:v>0.1152970657348633</c:v>
                </c:pt>
                <c:pt idx="7">
                  <c:v>0.11441841125488279</c:v>
                </c:pt>
                <c:pt idx="8">
                  <c:v>0.1133800048828125</c:v>
                </c:pt>
                <c:pt idx="9">
                  <c:v>0.112284538269043</c:v>
                </c:pt>
                <c:pt idx="10">
                  <c:v>0.1112689437866211</c:v>
                </c:pt>
                <c:pt idx="11">
                  <c:v>0.10984255981445309</c:v>
                </c:pt>
                <c:pt idx="12">
                  <c:v>8.0635652542114262E-3</c:v>
                </c:pt>
                <c:pt idx="13">
                  <c:v>8.0635652542114262E-3</c:v>
                </c:pt>
                <c:pt idx="14">
                  <c:v>5.8021972656249997E-2</c:v>
                </c:pt>
                <c:pt idx="15">
                  <c:v>5.4912445068359385E-2</c:v>
                </c:pt>
                <c:pt idx="16">
                  <c:v>5.2624523162841795E-2</c:v>
                </c:pt>
                <c:pt idx="17">
                  <c:v>4.9937206268310545E-2</c:v>
                </c:pt>
                <c:pt idx="18">
                  <c:v>4.60460205078125E-2</c:v>
                </c:pt>
                <c:pt idx="19">
                  <c:v>4.1470172882080075E-2</c:v>
                </c:pt>
                <c:pt idx="20">
                  <c:v>3.8354942321777337E-2</c:v>
                </c:pt>
                <c:pt idx="21">
                  <c:v>3.6432170867919923E-2</c:v>
                </c:pt>
                <c:pt idx="22">
                  <c:v>3.4281181335449218E-2</c:v>
                </c:pt>
                <c:pt idx="23">
                  <c:v>3.1705240249633788E-2</c:v>
                </c:pt>
                <c:pt idx="24">
                  <c:v>3.0079156875610351E-2</c:v>
                </c:pt>
                <c:pt idx="25">
                  <c:v>2.8550071716308589E-2</c:v>
                </c:pt>
                <c:pt idx="26">
                  <c:v>2.7671417236328121E-2</c:v>
                </c:pt>
                <c:pt idx="27">
                  <c:v>2.6798467636108398E-2</c:v>
                </c:pt>
                <c:pt idx="28">
                  <c:v>2.6159444808959962E-2</c:v>
                </c:pt>
                <c:pt idx="29">
                  <c:v>2.5771469116210942E-2</c:v>
                </c:pt>
                <c:pt idx="30">
                  <c:v>2.5138153076171878E-2</c:v>
                </c:pt>
                <c:pt idx="31">
                  <c:v>2.439643096923828E-2</c:v>
                </c:pt>
                <c:pt idx="32">
                  <c:v>2.3688943862915039E-2</c:v>
                </c:pt>
                <c:pt idx="33">
                  <c:v>2.2941516876220699E-2</c:v>
                </c:pt>
                <c:pt idx="34">
                  <c:v>2.1378194808959961E-2</c:v>
                </c:pt>
                <c:pt idx="35">
                  <c:v>1.9729291915893551E-2</c:v>
                </c:pt>
                <c:pt idx="36">
                  <c:v>1.8941926956176761E-2</c:v>
                </c:pt>
                <c:pt idx="37">
                  <c:v>1.8314315795898442E-2</c:v>
                </c:pt>
                <c:pt idx="38">
                  <c:v>1.748701095581055E-2</c:v>
                </c:pt>
                <c:pt idx="39">
                  <c:v>1.5763935089111329E-2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4-48D4-9BF7-73C4779E7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18799"/>
        <c:axId val="1190234639"/>
      </c:barChart>
      <c:catAx>
        <c:axId val="119021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4639"/>
        <c:crosses val="autoZero"/>
        <c:auto val="1"/>
        <c:lblAlgn val="ctr"/>
        <c:lblOffset val="100"/>
        <c:noMultiLvlLbl val="0"/>
      </c:catAx>
      <c:valAx>
        <c:axId val="119023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EPANET'!$CK$3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EPANET'!$CK$4:$CK$44</c:f>
              <c:numCache>
                <c:formatCode>General</c:formatCode>
                <c:ptCount val="41"/>
                <c:pt idx="0">
                  <c:v>0.31356904893752557</c:v>
                </c:pt>
                <c:pt idx="1">
                  <c:v>0.34477734290761108</c:v>
                </c:pt>
                <c:pt idx="2">
                  <c:v>0.21413381180980889</c:v>
                </c:pt>
                <c:pt idx="3">
                  <c:v>0.26061246863674414</c:v>
                </c:pt>
                <c:pt idx="4">
                  <c:v>0.13611606642173896</c:v>
                </c:pt>
                <c:pt idx="5">
                  <c:v>0.11453669003780474</c:v>
                </c:pt>
                <c:pt idx="6">
                  <c:v>0.12117649815593834</c:v>
                </c:pt>
                <c:pt idx="7">
                  <c:v>0.13445611439220556</c:v>
                </c:pt>
                <c:pt idx="8">
                  <c:v>0.16765515498287359</c:v>
                </c:pt>
                <c:pt idx="9">
                  <c:v>0.15105563468753958</c:v>
                </c:pt>
                <c:pt idx="10">
                  <c:v>0.14441582656940599</c:v>
                </c:pt>
                <c:pt idx="11">
                  <c:v>0.15603549077613979</c:v>
                </c:pt>
                <c:pt idx="12">
                  <c:v>8.2755896525604014E-2</c:v>
                </c:pt>
                <c:pt idx="13">
                  <c:v>0.18420135475776558</c:v>
                </c:pt>
                <c:pt idx="14">
                  <c:v>0.50527714046805072</c:v>
                </c:pt>
                <c:pt idx="15">
                  <c:v>0.30465239351750117</c:v>
                </c:pt>
                <c:pt idx="16">
                  <c:v>0.29127741038746446</c:v>
                </c:pt>
                <c:pt idx="17">
                  <c:v>0.40868004008445274</c:v>
                </c:pt>
                <c:pt idx="18">
                  <c:v>0.60484645932499004</c:v>
                </c:pt>
                <c:pt idx="19">
                  <c:v>0.58701314848494113</c:v>
                </c:pt>
                <c:pt idx="20">
                  <c:v>0.22440249473728133</c:v>
                </c:pt>
                <c:pt idx="21">
                  <c:v>0.27641631802075711</c:v>
                </c:pt>
                <c:pt idx="22">
                  <c:v>0.28384686420411082</c:v>
                </c:pt>
                <c:pt idx="23">
                  <c:v>7.7651512635117478E-2</c:v>
                </c:pt>
                <c:pt idx="24">
                  <c:v>0.15778126503518553</c:v>
                </c:pt>
                <c:pt idx="25">
                  <c:v>6.3608153967064318E-2</c:v>
                </c:pt>
                <c:pt idx="26">
                  <c:v>6.3608153967064318E-2</c:v>
                </c:pt>
                <c:pt idx="27">
                  <c:v>6.2782074045414138E-2</c:v>
                </c:pt>
                <c:pt idx="28">
                  <c:v>2.9738877179406698E-2</c:v>
                </c:pt>
                <c:pt idx="29">
                  <c:v>2.6434557492805953E-2</c:v>
                </c:pt>
                <c:pt idx="30">
                  <c:v>6.5260313810364706E-2</c:v>
                </c:pt>
                <c:pt idx="31">
                  <c:v>4.2130076004159488E-2</c:v>
                </c:pt>
                <c:pt idx="32">
                  <c:v>6.0303834280463577E-2</c:v>
                </c:pt>
                <c:pt idx="33">
                  <c:v>4.7912635455710791E-2</c:v>
                </c:pt>
                <c:pt idx="34">
                  <c:v>0.1784332630764402</c:v>
                </c:pt>
                <c:pt idx="35">
                  <c:v>6.0303834280463577E-2</c:v>
                </c:pt>
                <c:pt idx="36">
                  <c:v>5.3695194907262093E-2</c:v>
                </c:pt>
                <c:pt idx="37">
                  <c:v>3.7173596474258372E-2</c:v>
                </c:pt>
                <c:pt idx="38">
                  <c:v>8.2607992165018601E-2</c:v>
                </c:pt>
                <c:pt idx="39">
                  <c:v>0.1668550388388729</c:v>
                </c:pt>
                <c:pt idx="40">
                  <c:v>1.0640043839006231E-2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60-403B-9474-CF765D1F87D9}"/>
            </c:ext>
          </c:extLst>
        </c:ser>
        <c:ser>
          <c:idx val="1"/>
          <c:order val="1"/>
          <c:tx>
            <c:strRef>
              <c:f>'COMPARAISON EPANET'!$CL$3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EPANET'!$CL$4:$CL$44</c:f>
              <c:numCache>
                <c:formatCode>General</c:formatCode>
                <c:ptCount val="41"/>
                <c:pt idx="0">
                  <c:v>0.58591687679290771</c:v>
                </c:pt>
                <c:pt idx="1">
                  <c:v>0.58591687679290771</c:v>
                </c:pt>
                <c:pt idx="2">
                  <c:v>0.98094642162322998</c:v>
                </c:pt>
                <c:pt idx="3">
                  <c:v>0.96760332584381104</c:v>
                </c:pt>
                <c:pt idx="4">
                  <c:v>0.95645296573638916</c:v>
                </c:pt>
                <c:pt idx="5">
                  <c:v>0.94940817356109619</c:v>
                </c:pt>
                <c:pt idx="6">
                  <c:v>0.94278323650360107</c:v>
                </c:pt>
                <c:pt idx="7">
                  <c:v>0.93559849262237549</c:v>
                </c:pt>
                <c:pt idx="8">
                  <c:v>0.92710745334625244</c:v>
                </c:pt>
                <c:pt idx="9">
                  <c:v>0.91814982891082764</c:v>
                </c:pt>
                <c:pt idx="10">
                  <c:v>0.90984535217285156</c:v>
                </c:pt>
                <c:pt idx="11">
                  <c:v>0.89818179607391357</c:v>
                </c:pt>
                <c:pt idx="12">
                  <c:v>0.41972163319587708</c:v>
                </c:pt>
                <c:pt idx="13">
                  <c:v>0.41972163319587708</c:v>
                </c:pt>
                <c:pt idx="14">
                  <c:v>1.163319945335388</c:v>
                </c:pt>
                <c:pt idx="15">
                  <c:v>1.100975036621094</c:v>
                </c:pt>
                <c:pt idx="16">
                  <c:v>1.055102944374084</c:v>
                </c:pt>
                <c:pt idx="17">
                  <c:v>1.0012233257293699</c:v>
                </c:pt>
                <c:pt idx="18">
                  <c:v>0.9232063889503479</c:v>
                </c:pt>
                <c:pt idx="19">
                  <c:v>1.266286969184875</c:v>
                </c:pt>
                <c:pt idx="20">
                  <c:v>1.17116379737854</c:v>
                </c:pt>
                <c:pt idx="21">
                  <c:v>1.1124521493911741</c:v>
                </c:pt>
                <c:pt idx="22">
                  <c:v>1.0467720031738279</c:v>
                </c:pt>
                <c:pt idx="23">
                  <c:v>0.96811586618423462</c:v>
                </c:pt>
                <c:pt idx="24">
                  <c:v>0.91846358776092529</c:v>
                </c:pt>
                <c:pt idx="25">
                  <c:v>0.87177318334579468</c:v>
                </c:pt>
                <c:pt idx="26">
                  <c:v>0.84494352340698242</c:v>
                </c:pt>
                <c:pt idx="27">
                  <c:v>0.81828814744949341</c:v>
                </c:pt>
                <c:pt idx="28">
                  <c:v>1.361641526222229</c:v>
                </c:pt>
                <c:pt idx="29">
                  <c:v>1.3414467573165889</c:v>
                </c:pt>
                <c:pt idx="30">
                  <c:v>1.3084815740585329</c:v>
                </c:pt>
                <c:pt idx="31">
                  <c:v>1.2698738574981689</c:v>
                </c:pt>
                <c:pt idx="32">
                  <c:v>1.2330479621887209</c:v>
                </c:pt>
                <c:pt idx="33">
                  <c:v>1.1941431760787959</c:v>
                </c:pt>
                <c:pt idx="34">
                  <c:v>1.112769722938538</c:v>
                </c:pt>
                <c:pt idx="35">
                  <c:v>1.026941657066345</c:v>
                </c:pt>
                <c:pt idx="36">
                  <c:v>0.9859580397605896</c:v>
                </c:pt>
                <c:pt idx="37">
                  <c:v>0.95328986644744873</c:v>
                </c:pt>
                <c:pt idx="38">
                  <c:v>0.91022735834121704</c:v>
                </c:pt>
                <c:pt idx="39">
                  <c:v>0.82053840160369873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60-403B-9474-CF765D1F8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37519"/>
        <c:axId val="1190231279"/>
      </c:barChart>
      <c:catAx>
        <c:axId val="119023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1279"/>
        <c:crosses val="autoZero"/>
        <c:auto val="1"/>
        <c:lblAlgn val="ctr"/>
        <c:lblOffset val="100"/>
        <c:noMultiLvlLbl val="0"/>
      </c:catAx>
      <c:valAx>
        <c:axId val="119023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3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</a:t>
            </a:r>
            <a:r>
              <a:rPr lang="fr-FR" baseline="0"/>
              <a:t>_DE_CHARGE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EPANET'!$CM$3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EPANET'!$CM$4:$CM$44</c:f>
              <c:numCache>
                <c:formatCode>General</c:formatCode>
                <c:ptCount val="41"/>
                <c:pt idx="0">
                  <c:v>2.3957886813551679E-2</c:v>
                </c:pt>
                <c:pt idx="1">
                  <c:v>2.0396659814178562E-2</c:v>
                </c:pt>
                <c:pt idx="2">
                  <c:v>7.4238871618088134E-2</c:v>
                </c:pt>
                <c:pt idx="3">
                  <c:v>7.2907740869494142E-2</c:v>
                </c:pt>
                <c:pt idx="4">
                  <c:v>7.1874070583478292E-2</c:v>
                </c:pt>
                <c:pt idx="5">
                  <c:v>7.1167479633194322E-2</c:v>
                </c:pt>
                <c:pt idx="6">
                  <c:v>7.1228211554121609E-2</c:v>
                </c:pt>
                <c:pt idx="7">
                  <c:v>7.0319669401340476E-2</c:v>
                </c:pt>
                <c:pt idx="8">
                  <c:v>7.0207498478394734E-2</c:v>
                </c:pt>
                <c:pt idx="9">
                  <c:v>6.8917212921691812E-2</c:v>
                </c:pt>
                <c:pt idx="10">
                  <c:v>6.8811906152846616E-2</c:v>
                </c:pt>
                <c:pt idx="11">
                  <c:v>6.7952038234522547E-2</c:v>
                </c:pt>
                <c:pt idx="12">
                  <c:v>5.1284825508845298E-2</c:v>
                </c:pt>
                <c:pt idx="13">
                  <c:v>3.5773448305044031E-2</c:v>
                </c:pt>
                <c:pt idx="14">
                  <c:v>1.9016718181155974E-2</c:v>
                </c:pt>
                <c:pt idx="15">
                  <c:v>1.8036543042401414E-2</c:v>
                </c:pt>
                <c:pt idx="16">
                  <c:v>1.6966612588004425E-2</c:v>
                </c:pt>
                <c:pt idx="17">
                  <c:v>1.6442763037935012E-2</c:v>
                </c:pt>
                <c:pt idx="18">
                  <c:v>1.4612379201697402E-2</c:v>
                </c:pt>
                <c:pt idx="19">
                  <c:v>1.3187854583062986E-2</c:v>
                </c:pt>
                <c:pt idx="20">
                  <c:v>1.1813242848321505E-2</c:v>
                </c:pt>
                <c:pt idx="21">
                  <c:v>1.1015953671025423E-2</c:v>
                </c:pt>
                <c:pt idx="22">
                  <c:v>1.0615658231285801E-2</c:v>
                </c:pt>
                <c:pt idx="23">
                  <c:v>3.2691826720786257E-2</c:v>
                </c:pt>
                <c:pt idx="24">
                  <c:v>3.0810587142301026E-2</c:v>
                </c:pt>
                <c:pt idx="25">
                  <c:v>2.8798559005634657E-2</c:v>
                </c:pt>
                <c:pt idx="26">
                  <c:v>2.8786823277143429E-2</c:v>
                </c:pt>
                <c:pt idx="27">
                  <c:v>2.7281781854533831E-2</c:v>
                </c:pt>
                <c:pt idx="28">
                  <c:v>2.5959236331799109E-2</c:v>
                </c:pt>
                <c:pt idx="29">
                  <c:v>2.4951244530306227E-2</c:v>
                </c:pt>
                <c:pt idx="30">
                  <c:v>2.4972768700094995E-2</c:v>
                </c:pt>
                <c:pt idx="31">
                  <c:v>2.4633164483385071E-2</c:v>
                </c:pt>
                <c:pt idx="32">
                  <c:v>2.2860200251206466E-2</c:v>
                </c:pt>
                <c:pt idx="33">
                  <c:v>2.2686844809310672E-2</c:v>
                </c:pt>
                <c:pt idx="34">
                  <c:v>2.0053151291680945E-2</c:v>
                </c:pt>
                <c:pt idx="35">
                  <c:v>1.8226259707080368E-2</c:v>
                </c:pt>
                <c:pt idx="36">
                  <c:v>1.6617512957167298E-2</c:v>
                </c:pt>
                <c:pt idx="37">
                  <c:v>1.493913030719039E-2</c:v>
                </c:pt>
                <c:pt idx="38">
                  <c:v>1.4474373185112747E-2</c:v>
                </c:pt>
                <c:pt idx="39">
                  <c:v>1.221476109465517E-2</c:v>
                </c:pt>
                <c:pt idx="40">
                  <c:v>4.3233268380601833E-2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2-4B82-BBBE-486B9B4B7B01}"/>
            </c:ext>
          </c:extLst>
        </c:ser>
        <c:ser>
          <c:idx val="1"/>
          <c:order val="1"/>
          <c:tx>
            <c:strRef>
              <c:f>'COMPARAISON EPANET'!$CN$3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EPANET'!$CB$4:$CB$44</c:f>
              <c:strCache>
                <c:ptCount val="41"/>
                <c:pt idx="0">
                  <c:v>N31_N17</c:v>
                </c:pt>
                <c:pt idx="1">
                  <c:v>N17_N43</c:v>
                </c:pt>
                <c:pt idx="2">
                  <c:v>N31_N32</c:v>
                </c:pt>
                <c:pt idx="3">
                  <c:v>N32_N33</c:v>
                </c:pt>
                <c:pt idx="4">
                  <c:v>N33_N34</c:v>
                </c:pt>
                <c:pt idx="5">
                  <c:v>N34_N35</c:v>
                </c:pt>
                <c:pt idx="6">
                  <c:v>N35_N36</c:v>
                </c:pt>
                <c:pt idx="7">
                  <c:v>N36_N37</c:v>
                </c:pt>
                <c:pt idx="8">
                  <c:v>N37_N38</c:v>
                </c:pt>
                <c:pt idx="9">
                  <c:v>N38_N39</c:v>
                </c:pt>
                <c:pt idx="10">
                  <c:v>N39_N40</c:v>
                </c:pt>
                <c:pt idx="11">
                  <c:v>N40_N41</c:v>
                </c:pt>
                <c:pt idx="12">
                  <c:v>N41_N42</c:v>
                </c:pt>
                <c:pt idx="13">
                  <c:v>N42_N52</c:v>
                </c:pt>
                <c:pt idx="14">
                  <c:v>N43_N44</c:v>
                </c:pt>
                <c:pt idx="15">
                  <c:v>N44_N45</c:v>
                </c:pt>
                <c:pt idx="16">
                  <c:v>N45_N46</c:v>
                </c:pt>
                <c:pt idx="17">
                  <c:v>N46_N47</c:v>
                </c:pt>
                <c:pt idx="18">
                  <c:v>N47_N48</c:v>
                </c:pt>
                <c:pt idx="19">
                  <c:v>N48_N49</c:v>
                </c:pt>
                <c:pt idx="20">
                  <c:v>N49_N50</c:v>
                </c:pt>
                <c:pt idx="21">
                  <c:v>N50_N51</c:v>
                </c:pt>
                <c:pt idx="22">
                  <c:v>N51_N69</c:v>
                </c:pt>
                <c:pt idx="23">
                  <c:v>N52_N53</c:v>
                </c:pt>
                <c:pt idx="24">
                  <c:v>N53_N54</c:v>
                </c:pt>
                <c:pt idx="25">
                  <c:v>N54_N55</c:v>
                </c:pt>
                <c:pt idx="26">
                  <c:v>N55_N56</c:v>
                </c:pt>
                <c:pt idx="27">
                  <c:v>N56_N57</c:v>
                </c:pt>
                <c:pt idx="28">
                  <c:v>N57_N58</c:v>
                </c:pt>
                <c:pt idx="29">
                  <c:v>N58_N59</c:v>
                </c:pt>
                <c:pt idx="30">
                  <c:v>N59_N60</c:v>
                </c:pt>
                <c:pt idx="31">
                  <c:v>N60_N61</c:v>
                </c:pt>
                <c:pt idx="32">
                  <c:v>N61_N62</c:v>
                </c:pt>
                <c:pt idx="33">
                  <c:v>N62_N63</c:v>
                </c:pt>
                <c:pt idx="34">
                  <c:v>N63_N64</c:v>
                </c:pt>
                <c:pt idx="35">
                  <c:v>N64_N65</c:v>
                </c:pt>
                <c:pt idx="36">
                  <c:v>N65_N66</c:v>
                </c:pt>
                <c:pt idx="37">
                  <c:v>N66_N67</c:v>
                </c:pt>
                <c:pt idx="38">
                  <c:v>N67_N68</c:v>
                </c:pt>
                <c:pt idx="39">
                  <c:v>N68_N69</c:v>
                </c:pt>
                <c:pt idx="40">
                  <c:v>R2_N41</c:v>
                </c:pt>
              </c:strCache>
            </c:strRef>
          </c:cat>
          <c:val>
            <c:numRef>
              <c:f>'COMPARAISON EPANET'!$CN$4:$CN$44</c:f>
              <c:numCache>
                <c:formatCode>General</c:formatCode>
                <c:ptCount val="41"/>
                <c:pt idx="0">
                  <c:v>0.60648518800735474</c:v>
                </c:pt>
                <c:pt idx="1">
                  <c:v>0.60648518800735474</c:v>
                </c:pt>
                <c:pt idx="2">
                  <c:v>1.6999664306640621</c:v>
                </c:pt>
                <c:pt idx="3">
                  <c:v>1.653968811035156</c:v>
                </c:pt>
                <c:pt idx="4">
                  <c:v>1.616180419921875</c:v>
                </c:pt>
                <c:pt idx="5">
                  <c:v>1.5923531055450439</c:v>
                </c:pt>
                <c:pt idx="6">
                  <c:v>1.570273637771606</c:v>
                </c:pt>
                <c:pt idx="7">
                  <c:v>1.5464029312133789</c:v>
                </c:pt>
                <c:pt idx="8">
                  <c:v>1.5184241533279419</c:v>
                </c:pt>
                <c:pt idx="9">
                  <c:v>1.4892022609710689</c:v>
                </c:pt>
                <c:pt idx="10">
                  <c:v>1.4624549150466919</c:v>
                </c:pt>
                <c:pt idx="11">
                  <c:v>1.4252117872238159</c:v>
                </c:pt>
                <c:pt idx="12">
                  <c:v>1.068596720695496</c:v>
                </c:pt>
                <c:pt idx="13">
                  <c:v>1.068596720695496</c:v>
                </c:pt>
                <c:pt idx="14">
                  <c:v>4.3466272354125977</c:v>
                </c:pt>
                <c:pt idx="15">
                  <c:v>3.8932299613952641</c:v>
                </c:pt>
                <c:pt idx="16">
                  <c:v>3.5755443572998051</c:v>
                </c:pt>
                <c:pt idx="17">
                  <c:v>3.2196974754333501</c:v>
                </c:pt>
                <c:pt idx="18">
                  <c:v>2.7374870777130131</c:v>
                </c:pt>
                <c:pt idx="19">
                  <c:v>6.8167939186096191</c:v>
                </c:pt>
                <c:pt idx="20">
                  <c:v>5.8311276435852051</c:v>
                </c:pt>
                <c:pt idx="21">
                  <c:v>5.2611222267150879</c:v>
                </c:pt>
                <c:pt idx="22">
                  <c:v>4.6582083702087402</c:v>
                </c:pt>
                <c:pt idx="23">
                  <c:v>3.984466552734375</c:v>
                </c:pt>
                <c:pt idx="24">
                  <c:v>3.5862553119659419</c:v>
                </c:pt>
                <c:pt idx="25">
                  <c:v>3.2308585643768311</c:v>
                </c:pt>
                <c:pt idx="26">
                  <c:v>3.0351357460021968</c:v>
                </c:pt>
                <c:pt idx="27">
                  <c:v>2.8465826511383061</c:v>
                </c:pt>
                <c:pt idx="28">
                  <c:v>11.24682140350342</c:v>
                </c:pt>
                <c:pt idx="29">
                  <c:v>10.915684700012211</c:v>
                </c:pt>
                <c:pt idx="30">
                  <c:v>10.385706901550289</c:v>
                </c:pt>
                <c:pt idx="31">
                  <c:v>9.7819814682006836</c:v>
                </c:pt>
                <c:pt idx="32">
                  <c:v>9.2228012084960938</c:v>
                </c:pt>
                <c:pt idx="33">
                  <c:v>8.649993896484375</c:v>
                </c:pt>
                <c:pt idx="34">
                  <c:v>7.5112552642822266</c:v>
                </c:pt>
                <c:pt idx="35">
                  <c:v>6.3972806930541992</c:v>
                </c:pt>
                <c:pt idx="36">
                  <c:v>5.8968548774719238</c:v>
                </c:pt>
                <c:pt idx="37">
                  <c:v>5.5125861167907706</c:v>
                </c:pt>
                <c:pt idx="38">
                  <c:v>5.0257749557495117</c:v>
                </c:pt>
                <c:pt idx="39">
                  <c:v>4.0841250419616699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2-4B82-BBBE-486B9B4B7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25039"/>
        <c:axId val="1190229359"/>
      </c:barChart>
      <c:catAx>
        <c:axId val="11902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29359"/>
        <c:crosses val="autoZero"/>
        <c:auto val="1"/>
        <c:lblAlgn val="ctr"/>
        <c:lblOffset val="100"/>
        <c:noMultiLvlLbl val="0"/>
      </c:catAx>
      <c:valAx>
        <c:axId val="11902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2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EPANET'!$CO$3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EPANET'!$CD$4:$CD$44</c:f>
              <c:strCache>
                <c:ptCount val="41"/>
                <c:pt idx="0">
                  <c:v>N17</c:v>
                </c:pt>
                <c:pt idx="1">
                  <c:v>N17</c:v>
                </c:pt>
                <c:pt idx="2">
                  <c:v>N31</c:v>
                </c:pt>
                <c:pt idx="3">
                  <c:v>N32</c:v>
                </c:pt>
                <c:pt idx="4">
                  <c:v>N33</c:v>
                </c:pt>
                <c:pt idx="5">
                  <c:v>N34</c:v>
                </c:pt>
                <c:pt idx="6">
                  <c:v>N35</c:v>
                </c:pt>
                <c:pt idx="7">
                  <c:v>N36</c:v>
                </c:pt>
                <c:pt idx="8">
                  <c:v>N37</c:v>
                </c:pt>
                <c:pt idx="9">
                  <c:v>N38</c:v>
                </c:pt>
                <c:pt idx="10">
                  <c:v>N39</c:v>
                </c:pt>
                <c:pt idx="11">
                  <c:v>N40</c:v>
                </c:pt>
                <c:pt idx="12">
                  <c:v>N42</c:v>
                </c:pt>
                <c:pt idx="13">
                  <c:v>N42</c:v>
                </c:pt>
                <c:pt idx="14">
                  <c:v>N43</c:v>
                </c:pt>
                <c:pt idx="15">
                  <c:v>N44</c:v>
                </c:pt>
                <c:pt idx="16">
                  <c:v>N45</c:v>
                </c:pt>
                <c:pt idx="17">
                  <c:v>N46</c:v>
                </c:pt>
                <c:pt idx="18">
                  <c:v>N47</c:v>
                </c:pt>
                <c:pt idx="19">
                  <c:v>N48</c:v>
                </c:pt>
                <c:pt idx="20">
                  <c:v>N49</c:v>
                </c:pt>
                <c:pt idx="21">
                  <c:v>N50</c:v>
                </c:pt>
                <c:pt idx="22">
                  <c:v>N51</c:v>
                </c:pt>
                <c:pt idx="23">
                  <c:v>N52</c:v>
                </c:pt>
                <c:pt idx="24">
                  <c:v>N53</c:v>
                </c:pt>
                <c:pt idx="25">
                  <c:v>N54</c:v>
                </c:pt>
                <c:pt idx="26">
                  <c:v>N55</c:v>
                </c:pt>
                <c:pt idx="27">
                  <c:v>N56</c:v>
                </c:pt>
                <c:pt idx="28">
                  <c:v>N57</c:v>
                </c:pt>
                <c:pt idx="29">
                  <c:v>N58</c:v>
                </c:pt>
                <c:pt idx="30">
                  <c:v>N59</c:v>
                </c:pt>
                <c:pt idx="31">
                  <c:v>N60</c:v>
                </c:pt>
                <c:pt idx="32">
                  <c:v>N61</c:v>
                </c:pt>
                <c:pt idx="33">
                  <c:v>N62</c:v>
                </c:pt>
                <c:pt idx="34">
                  <c:v>N63</c:v>
                </c:pt>
                <c:pt idx="35">
                  <c:v>N64</c:v>
                </c:pt>
                <c:pt idx="36">
                  <c:v>N65</c:v>
                </c:pt>
                <c:pt idx="37">
                  <c:v>N66</c:v>
                </c:pt>
                <c:pt idx="38">
                  <c:v>N67</c:v>
                </c:pt>
                <c:pt idx="39">
                  <c:v>N68</c:v>
                </c:pt>
                <c:pt idx="40">
                  <c:v>N41</c:v>
                </c:pt>
              </c:strCache>
            </c:strRef>
          </c:cat>
          <c:val>
            <c:numRef>
              <c:f>'COMPARAISON EPANET'!$CO$4:$CO$44</c:f>
              <c:numCache>
                <c:formatCode>General</c:formatCode>
                <c:ptCount val="41"/>
                <c:pt idx="0">
                  <c:v>19.153510656719984</c:v>
                </c:pt>
                <c:pt idx="1">
                  <c:v>18.808733313812375</c:v>
                </c:pt>
                <c:pt idx="2">
                  <c:v>20.594599502002566</c:v>
                </c:pt>
                <c:pt idx="3">
                  <c:v>17.333987033365823</c:v>
                </c:pt>
                <c:pt idx="4">
                  <c:v>23.197870966944084</c:v>
                </c:pt>
                <c:pt idx="5">
                  <c:v>27.083334276906278</c:v>
                </c:pt>
                <c:pt idx="6">
                  <c:v>21.962157778750338</c:v>
                </c:pt>
                <c:pt idx="7">
                  <c:v>16.827701664358134</c:v>
                </c:pt>
                <c:pt idx="8">
                  <c:v>20.66004650937526</c:v>
                </c:pt>
                <c:pt idx="9">
                  <c:v>19.508990874687722</c:v>
                </c:pt>
                <c:pt idx="10">
                  <c:v>22.364575048118315</c:v>
                </c:pt>
                <c:pt idx="11">
                  <c:v>24.208539557342174</c:v>
                </c:pt>
                <c:pt idx="12">
                  <c:v>23.12578366081657</c:v>
                </c:pt>
                <c:pt idx="13">
                  <c:v>22.941582306058805</c:v>
                </c:pt>
                <c:pt idx="14">
                  <c:v>22.436305165590753</c:v>
                </c:pt>
                <c:pt idx="15">
                  <c:v>17.131652772073252</c:v>
                </c:pt>
                <c:pt idx="16">
                  <c:v>20.840375361685787</c:v>
                </c:pt>
                <c:pt idx="17">
                  <c:v>21.431695321601335</c:v>
                </c:pt>
                <c:pt idx="18">
                  <c:v>18.826848862276346</c:v>
                </c:pt>
                <c:pt idx="19">
                  <c:v>22.239835713791404</c:v>
                </c:pt>
                <c:pt idx="20">
                  <c:v>21.015433219054124</c:v>
                </c:pt>
                <c:pt idx="21">
                  <c:v>16.739016901033366</c:v>
                </c:pt>
                <c:pt idx="22">
                  <c:v>21.455170036829255</c:v>
                </c:pt>
                <c:pt idx="23">
                  <c:v>20.377518524194137</c:v>
                </c:pt>
                <c:pt idx="24">
                  <c:v>15.219737259158952</c:v>
                </c:pt>
                <c:pt idx="25">
                  <c:v>15.156129105191887</c:v>
                </c:pt>
                <c:pt idx="26">
                  <c:v>18.092520951224824</c:v>
                </c:pt>
                <c:pt idx="27">
                  <c:v>17.029738877179412</c:v>
                </c:pt>
                <c:pt idx="28">
                  <c:v>10.000000000000004</c:v>
                </c:pt>
                <c:pt idx="29">
                  <c:v>12.973565442507198</c:v>
                </c:pt>
                <c:pt idx="30">
                  <c:v>13.908305128696833</c:v>
                </c:pt>
                <c:pt idx="31">
                  <c:v>14.866175052692673</c:v>
                </c:pt>
                <c:pt idx="32">
                  <c:v>21.805871218412211</c:v>
                </c:pt>
                <c:pt idx="33">
                  <c:v>21.757958582956498</c:v>
                </c:pt>
                <c:pt idx="34">
                  <c:v>15.579525319880059</c:v>
                </c:pt>
                <c:pt idx="35">
                  <c:v>19.519221485599594</c:v>
                </c:pt>
                <c:pt idx="36">
                  <c:v>19.465526290692335</c:v>
                </c:pt>
                <c:pt idx="37">
                  <c:v>17.428352694218077</c:v>
                </c:pt>
                <c:pt idx="38">
                  <c:v>20.345744702053057</c:v>
                </c:pt>
                <c:pt idx="39">
                  <c:v>18.178889663214186</c:v>
                </c:pt>
                <c:pt idx="40">
                  <c:v>14.168249619375178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B-48A1-AFC8-ABE4A5A00DA7}"/>
            </c:ext>
          </c:extLst>
        </c:ser>
        <c:ser>
          <c:idx val="1"/>
          <c:order val="1"/>
          <c:tx>
            <c:strRef>
              <c:f>'COMPARAISON EPANET'!$CP$3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EPANET'!$CD$4:$CD$44</c:f>
              <c:strCache>
                <c:ptCount val="41"/>
                <c:pt idx="0">
                  <c:v>N17</c:v>
                </c:pt>
                <c:pt idx="1">
                  <c:v>N17</c:v>
                </c:pt>
                <c:pt idx="2">
                  <c:v>N31</c:v>
                </c:pt>
                <c:pt idx="3">
                  <c:v>N32</c:v>
                </c:pt>
                <c:pt idx="4">
                  <c:v>N33</c:v>
                </c:pt>
                <c:pt idx="5">
                  <c:v>N34</c:v>
                </c:pt>
                <c:pt idx="6">
                  <c:v>N35</c:v>
                </c:pt>
                <c:pt idx="7">
                  <c:v>N36</c:v>
                </c:pt>
                <c:pt idx="8">
                  <c:v>N37</c:v>
                </c:pt>
                <c:pt idx="9">
                  <c:v>N38</c:v>
                </c:pt>
                <c:pt idx="10">
                  <c:v>N39</c:v>
                </c:pt>
                <c:pt idx="11">
                  <c:v>N40</c:v>
                </c:pt>
                <c:pt idx="12">
                  <c:v>N42</c:v>
                </c:pt>
                <c:pt idx="13">
                  <c:v>N42</c:v>
                </c:pt>
                <c:pt idx="14">
                  <c:v>N43</c:v>
                </c:pt>
                <c:pt idx="15">
                  <c:v>N44</c:v>
                </c:pt>
                <c:pt idx="16">
                  <c:v>N45</c:v>
                </c:pt>
                <c:pt idx="17">
                  <c:v>N46</c:v>
                </c:pt>
                <c:pt idx="18">
                  <c:v>N47</c:v>
                </c:pt>
                <c:pt idx="19">
                  <c:v>N48</c:v>
                </c:pt>
                <c:pt idx="20">
                  <c:v>N49</c:v>
                </c:pt>
                <c:pt idx="21">
                  <c:v>N50</c:v>
                </c:pt>
                <c:pt idx="22">
                  <c:v>N51</c:v>
                </c:pt>
                <c:pt idx="23">
                  <c:v>N52</c:v>
                </c:pt>
                <c:pt idx="24">
                  <c:v>N53</c:v>
                </c:pt>
                <c:pt idx="25">
                  <c:v>N54</c:v>
                </c:pt>
                <c:pt idx="26">
                  <c:v>N55</c:v>
                </c:pt>
                <c:pt idx="27">
                  <c:v>N56</c:v>
                </c:pt>
                <c:pt idx="28">
                  <c:v>N57</c:v>
                </c:pt>
                <c:pt idx="29">
                  <c:v>N58</c:v>
                </c:pt>
                <c:pt idx="30">
                  <c:v>N59</c:v>
                </c:pt>
                <c:pt idx="31">
                  <c:v>N60</c:v>
                </c:pt>
                <c:pt idx="32">
                  <c:v>N61</c:v>
                </c:pt>
                <c:pt idx="33">
                  <c:v>N62</c:v>
                </c:pt>
                <c:pt idx="34">
                  <c:v>N63</c:v>
                </c:pt>
                <c:pt idx="35">
                  <c:v>N64</c:v>
                </c:pt>
                <c:pt idx="36">
                  <c:v>N65</c:v>
                </c:pt>
                <c:pt idx="37">
                  <c:v>N66</c:v>
                </c:pt>
                <c:pt idx="38">
                  <c:v>N67</c:v>
                </c:pt>
                <c:pt idx="39">
                  <c:v>N68</c:v>
                </c:pt>
                <c:pt idx="40">
                  <c:v>N41</c:v>
                </c:pt>
              </c:strCache>
            </c:strRef>
          </c:cat>
          <c:val>
            <c:numRef>
              <c:f>'COMPARAISON EPANET'!$CP$4:$CP$44</c:f>
              <c:numCache>
                <c:formatCode>General</c:formatCode>
                <c:ptCount val="41"/>
                <c:pt idx="0">
                  <c:v>62.517715454101563</c:v>
                </c:pt>
                <c:pt idx="1">
                  <c:v>62.517715454101563</c:v>
                </c:pt>
                <c:pt idx="2">
                  <c:v>64.645866394042969</c:v>
                </c:pt>
                <c:pt idx="3">
                  <c:v>61.426399230957031</c:v>
                </c:pt>
                <c:pt idx="4">
                  <c:v>67.16705322265625</c:v>
                </c:pt>
                <c:pt idx="5">
                  <c:v>71.033882141113281</c:v>
                </c:pt>
                <c:pt idx="6">
                  <c:v>65.92401123046875</c:v>
                </c:pt>
                <c:pt idx="7">
                  <c:v>60.808753967285163</c:v>
                </c:pt>
                <c:pt idx="8">
                  <c:v>64.683029174804688</c:v>
                </c:pt>
                <c:pt idx="9">
                  <c:v>63.530277252197273</c:v>
                </c:pt>
                <c:pt idx="10">
                  <c:v>66.394905090332031</c:v>
                </c:pt>
                <c:pt idx="11">
                  <c:v>68.267967224121094</c:v>
                </c:pt>
                <c:pt idx="12">
                  <c:v>67.037513732910156</c:v>
                </c:pt>
                <c:pt idx="13">
                  <c:v>67.037513732910156</c:v>
                </c:pt>
                <c:pt idx="14">
                  <c:v>67.390731811523438</c:v>
                </c:pt>
                <c:pt idx="15">
                  <c:v>60.914615631103523</c:v>
                </c:pt>
                <c:pt idx="16">
                  <c:v>64.11572265625</c:v>
                </c:pt>
                <c:pt idx="17">
                  <c:v>64.415992736816406</c:v>
                </c:pt>
                <c:pt idx="18">
                  <c:v>61.530899047851563</c:v>
                </c:pt>
                <c:pt idx="19">
                  <c:v>64.415916442871094</c:v>
                </c:pt>
                <c:pt idx="20">
                  <c:v>60.723968505859382</c:v>
                </c:pt>
                <c:pt idx="21">
                  <c:v>55.840549468994141</c:v>
                </c:pt>
                <c:pt idx="22">
                  <c:v>59.862506866455078</c:v>
                </c:pt>
                <c:pt idx="23">
                  <c:v>67.044265747070313</c:v>
                </c:pt>
                <c:pt idx="24">
                  <c:v>61.668533325195313</c:v>
                </c:pt>
                <c:pt idx="25">
                  <c:v>60.982124328613281</c:v>
                </c:pt>
                <c:pt idx="26">
                  <c:v>63.7320556640625</c:v>
                </c:pt>
                <c:pt idx="27">
                  <c:v>62.498046875</c:v>
                </c:pt>
                <c:pt idx="28">
                  <c:v>55.281707763671882</c:v>
                </c:pt>
                <c:pt idx="29">
                  <c:v>57.872322082519531</c:v>
                </c:pt>
                <c:pt idx="30">
                  <c:v>58.517562866210938</c:v>
                </c:pt>
                <c:pt idx="31">
                  <c:v>58.697093963623047</c:v>
                </c:pt>
                <c:pt idx="32">
                  <c:v>65.201148986816406</c:v>
                </c:pt>
                <c:pt idx="33">
                  <c:v>64.526962280273438</c:v>
                </c:pt>
                <c:pt idx="34">
                  <c:v>58.024394989013672</c:v>
                </c:pt>
                <c:pt idx="35">
                  <c:v>60.400459289550781</c:v>
                </c:pt>
                <c:pt idx="36">
                  <c:v>59.932819366455078</c:v>
                </c:pt>
                <c:pt idx="37">
                  <c:v>57.550704956054688</c:v>
                </c:pt>
                <c:pt idx="38">
                  <c:v>60.303188323974609</c:v>
                </c:pt>
                <c:pt idx="39">
                  <c:v>57.798599243164063</c:v>
                </c:pt>
                <c:pt idx="40">
                  <c:v>63.134281158447273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B-48A1-AFC8-ABE4A5A00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888223"/>
        <c:axId val="1011877663"/>
      </c:barChart>
      <c:catAx>
        <c:axId val="101188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77663"/>
        <c:crosses val="autoZero"/>
        <c:auto val="1"/>
        <c:lblAlgn val="ctr"/>
        <c:lblOffset val="100"/>
        <c:noMultiLvlLbl val="0"/>
      </c:catAx>
      <c:valAx>
        <c:axId val="10118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DIAMETRE_THEORIQUE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EPANET'!$CX$3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EPANET'!$CX$4:$CX$51</c:f>
              <c:numCache>
                <c:formatCode>General</c:formatCode>
                <c:ptCount val="48"/>
                <c:pt idx="0">
                  <c:v>460.62820576799743</c:v>
                </c:pt>
                <c:pt idx="1">
                  <c:v>460.62820576799743</c:v>
                </c:pt>
                <c:pt idx="2">
                  <c:v>460.62820576799743</c:v>
                </c:pt>
                <c:pt idx="3">
                  <c:v>460.62820576799743</c:v>
                </c:pt>
                <c:pt idx="4">
                  <c:v>460.62820576799743</c:v>
                </c:pt>
                <c:pt idx="5">
                  <c:v>325.71332790434337</c:v>
                </c:pt>
                <c:pt idx="6">
                  <c:v>460.62820576799743</c:v>
                </c:pt>
                <c:pt idx="7">
                  <c:v>460.62820576799743</c:v>
                </c:pt>
                <c:pt idx="8">
                  <c:v>460.62820576799743</c:v>
                </c:pt>
                <c:pt idx="9">
                  <c:v>460.62820576799743</c:v>
                </c:pt>
                <c:pt idx="10">
                  <c:v>460.62820576799743</c:v>
                </c:pt>
                <c:pt idx="11">
                  <c:v>460.62820576799743</c:v>
                </c:pt>
                <c:pt idx="12">
                  <c:v>460.62820576799743</c:v>
                </c:pt>
                <c:pt idx="13">
                  <c:v>460.62820576799743</c:v>
                </c:pt>
                <c:pt idx="14">
                  <c:v>460.62820576799743</c:v>
                </c:pt>
                <c:pt idx="15">
                  <c:v>460.62820576799743</c:v>
                </c:pt>
                <c:pt idx="16">
                  <c:v>460.62820576799743</c:v>
                </c:pt>
                <c:pt idx="17">
                  <c:v>460.62820576799743</c:v>
                </c:pt>
                <c:pt idx="18">
                  <c:v>460.62820576799743</c:v>
                </c:pt>
                <c:pt idx="19">
                  <c:v>460.62820576799743</c:v>
                </c:pt>
                <c:pt idx="20">
                  <c:v>325.71332790434337</c:v>
                </c:pt>
                <c:pt idx="21">
                  <c:v>325.71332790434337</c:v>
                </c:pt>
                <c:pt idx="22">
                  <c:v>325.71332790434337</c:v>
                </c:pt>
                <c:pt idx="23">
                  <c:v>325.71332790434337</c:v>
                </c:pt>
                <c:pt idx="24">
                  <c:v>325.71332790434337</c:v>
                </c:pt>
                <c:pt idx="25">
                  <c:v>325.71332790434337</c:v>
                </c:pt>
                <c:pt idx="26">
                  <c:v>325.71332790434337</c:v>
                </c:pt>
                <c:pt idx="27">
                  <c:v>325.71332790434337</c:v>
                </c:pt>
                <c:pt idx="28">
                  <c:v>325.71332790434337</c:v>
                </c:pt>
                <c:pt idx="29">
                  <c:v>325.71332790434337</c:v>
                </c:pt>
                <c:pt idx="30">
                  <c:v>354.24630676955917</c:v>
                </c:pt>
                <c:pt idx="31">
                  <c:v>204.52212438525402</c:v>
                </c:pt>
                <c:pt idx="32">
                  <c:v>325.71332790434337</c:v>
                </c:pt>
                <c:pt idx="33">
                  <c:v>325.71332790434337</c:v>
                </c:pt>
                <c:pt idx="34">
                  <c:v>325.71332790434337</c:v>
                </c:pt>
                <c:pt idx="35">
                  <c:v>325.71332790434337</c:v>
                </c:pt>
                <c:pt idx="36">
                  <c:v>325.71332790434337</c:v>
                </c:pt>
                <c:pt idx="37">
                  <c:v>204.52523865872314</c:v>
                </c:pt>
                <c:pt idx="38">
                  <c:v>204.52523865872314</c:v>
                </c:pt>
                <c:pt idx="39">
                  <c:v>204.52523865872314</c:v>
                </c:pt>
                <c:pt idx="40">
                  <c:v>204.52523865872314</c:v>
                </c:pt>
                <c:pt idx="41">
                  <c:v>204.52523865872314</c:v>
                </c:pt>
                <c:pt idx="42">
                  <c:v>204.52523865872314</c:v>
                </c:pt>
                <c:pt idx="43">
                  <c:v>204.52523865872314</c:v>
                </c:pt>
                <c:pt idx="44">
                  <c:v>204.52523865872314</c:v>
                </c:pt>
                <c:pt idx="45">
                  <c:v>204.52523865872314</c:v>
                </c:pt>
                <c:pt idx="46">
                  <c:v>204.52523865872314</c:v>
                </c:pt>
                <c:pt idx="47">
                  <c:v>204.52212438525402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4-493A-AF9D-F88AB7F47437}"/>
            </c:ext>
          </c:extLst>
        </c:ser>
        <c:ser>
          <c:idx val="1"/>
          <c:order val="1"/>
          <c:tx>
            <c:strRef>
              <c:f>'COMPARAISON EPANET'!$CY$3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EPANET'!$CY$4:$CY$51</c:f>
              <c:numCache>
                <c:formatCode>General</c:formatCode>
                <c:ptCount val="48"/>
                <c:pt idx="0">
                  <c:v>489.4</c:v>
                </c:pt>
                <c:pt idx="1">
                  <c:v>489.4</c:v>
                </c:pt>
                <c:pt idx="2">
                  <c:v>489.4</c:v>
                </c:pt>
                <c:pt idx="3">
                  <c:v>489.4</c:v>
                </c:pt>
                <c:pt idx="4">
                  <c:v>489.4</c:v>
                </c:pt>
                <c:pt idx="5">
                  <c:v>299.8</c:v>
                </c:pt>
                <c:pt idx="6">
                  <c:v>489.4</c:v>
                </c:pt>
                <c:pt idx="7">
                  <c:v>489.4</c:v>
                </c:pt>
                <c:pt idx="8">
                  <c:v>489.4</c:v>
                </c:pt>
                <c:pt idx="9">
                  <c:v>489.4</c:v>
                </c:pt>
                <c:pt idx="10">
                  <c:v>489.4</c:v>
                </c:pt>
                <c:pt idx="11">
                  <c:v>489.4</c:v>
                </c:pt>
                <c:pt idx="12">
                  <c:v>489.4</c:v>
                </c:pt>
                <c:pt idx="13">
                  <c:v>489.4</c:v>
                </c:pt>
                <c:pt idx="14">
                  <c:v>489.4</c:v>
                </c:pt>
                <c:pt idx="15">
                  <c:v>489.4</c:v>
                </c:pt>
                <c:pt idx="16">
                  <c:v>489.4</c:v>
                </c:pt>
                <c:pt idx="17">
                  <c:v>489.4</c:v>
                </c:pt>
                <c:pt idx="18">
                  <c:v>489.4</c:v>
                </c:pt>
                <c:pt idx="19">
                  <c:v>489.4</c:v>
                </c:pt>
                <c:pt idx="20">
                  <c:v>394.6</c:v>
                </c:pt>
                <c:pt idx="21">
                  <c:v>394.6</c:v>
                </c:pt>
                <c:pt idx="22">
                  <c:v>394.6</c:v>
                </c:pt>
                <c:pt idx="23">
                  <c:v>394.6</c:v>
                </c:pt>
                <c:pt idx="24">
                  <c:v>394.6</c:v>
                </c:pt>
                <c:pt idx="25">
                  <c:v>394.6</c:v>
                </c:pt>
                <c:pt idx="26">
                  <c:v>394.6</c:v>
                </c:pt>
                <c:pt idx="27">
                  <c:v>394.6</c:v>
                </c:pt>
                <c:pt idx="28">
                  <c:v>394.6</c:v>
                </c:pt>
                <c:pt idx="29">
                  <c:v>394.6</c:v>
                </c:pt>
                <c:pt idx="30">
                  <c:v>156.4</c:v>
                </c:pt>
                <c:pt idx="31">
                  <c:v>156.4</c:v>
                </c:pt>
                <c:pt idx="32">
                  <c:v>299.8</c:v>
                </c:pt>
                <c:pt idx="33">
                  <c:v>299.8</c:v>
                </c:pt>
                <c:pt idx="34">
                  <c:v>299.8</c:v>
                </c:pt>
                <c:pt idx="35">
                  <c:v>299.8</c:v>
                </c:pt>
                <c:pt idx="36">
                  <c:v>299.8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51.4</c:v>
                </c:pt>
                <c:pt idx="41">
                  <c:v>51.4</c:v>
                </c:pt>
                <c:pt idx="42">
                  <c:v>51.4</c:v>
                </c:pt>
                <c:pt idx="43">
                  <c:v>100</c:v>
                </c:pt>
                <c:pt idx="44">
                  <c:v>51.4</c:v>
                </c:pt>
                <c:pt idx="45">
                  <c:v>100</c:v>
                </c:pt>
                <c:pt idx="46">
                  <c:v>100</c:v>
                </c:pt>
                <c:pt idx="47">
                  <c:v>108.4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4-493A-AF9D-F88AB7F47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130575"/>
        <c:axId val="781999359"/>
      </c:barChart>
      <c:catAx>
        <c:axId val="4921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99359"/>
        <c:crosses val="autoZero"/>
        <c:auto val="1"/>
        <c:lblAlgn val="ctr"/>
        <c:lblOffset val="100"/>
        <c:noMultiLvlLbl val="0"/>
      </c:catAx>
      <c:valAx>
        <c:axId val="7819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1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EPANET'!$CZ$3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EPANET'!$CZ$4:$CZ$51</c:f>
              <c:numCache>
                <c:formatCode>General</c:formatCode>
                <c:ptCount val="4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350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400</c:v>
                </c:pt>
                <c:pt idx="31">
                  <c:v>250</c:v>
                </c:pt>
                <c:pt idx="32">
                  <c:v>350</c:v>
                </c:pt>
                <c:pt idx="33">
                  <c:v>350</c:v>
                </c:pt>
                <c:pt idx="34">
                  <c:v>350</c:v>
                </c:pt>
                <c:pt idx="35">
                  <c:v>350</c:v>
                </c:pt>
                <c:pt idx="36">
                  <c:v>350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9-4CEA-956E-E32927054E53}"/>
            </c:ext>
          </c:extLst>
        </c:ser>
        <c:ser>
          <c:idx val="1"/>
          <c:order val="1"/>
          <c:tx>
            <c:strRef>
              <c:f>'COMPARAISON EPANET'!$DA$3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EPANET'!$DA$4:$DA$51</c:f>
              <c:numCache>
                <c:formatCode>General</c:formatCode>
                <c:ptCount val="4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300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150</c:v>
                </c:pt>
                <c:pt idx="31">
                  <c:v>150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100</c:v>
                </c:pt>
                <c:pt idx="44">
                  <c:v>50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9-4CEA-956E-E3292705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884383"/>
        <c:axId val="1011879583"/>
      </c:barChart>
      <c:catAx>
        <c:axId val="10118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79583"/>
        <c:crosses val="autoZero"/>
        <c:auto val="1"/>
        <c:lblAlgn val="ctr"/>
        <c:lblOffset val="100"/>
        <c:noMultiLvlLbl val="0"/>
      </c:catAx>
      <c:valAx>
        <c:axId val="10118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18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EPANET'!$DB$3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EPANET'!$DB$4:$DB$51</c:f>
              <c:numCache>
                <c:formatCode>General</c:formatCode>
                <c:ptCount val="48"/>
                <c:pt idx="0">
                  <c:v>0.20358511062185727</c:v>
                </c:pt>
                <c:pt idx="1">
                  <c:v>0.11250103723254895</c:v>
                </c:pt>
                <c:pt idx="2">
                  <c:v>0.11074163199615725</c:v>
                </c:pt>
                <c:pt idx="3">
                  <c:v>0.10929918444651684</c:v>
                </c:pt>
                <c:pt idx="4">
                  <c:v>0.10808934592303014</c:v>
                </c:pt>
                <c:pt idx="5">
                  <c:v>7.3346043031527031E-2</c:v>
                </c:pt>
                <c:pt idx="6">
                  <c:v>0.20191568192836887</c:v>
                </c:pt>
                <c:pt idx="7">
                  <c:v>0.20151170661799933</c:v>
                </c:pt>
                <c:pt idx="8">
                  <c:v>0.20050068083648492</c:v>
                </c:pt>
                <c:pt idx="9">
                  <c:v>0.19941061160685536</c:v>
                </c:pt>
                <c:pt idx="10">
                  <c:v>0.19872187209218772</c:v>
                </c:pt>
                <c:pt idx="11">
                  <c:v>0.19784057167390237</c:v>
                </c:pt>
                <c:pt idx="12">
                  <c:v>0.19650390566573375</c:v>
                </c:pt>
                <c:pt idx="13">
                  <c:v>0.19592297460485844</c:v>
                </c:pt>
                <c:pt idx="14">
                  <c:v>0.1947040460749998</c:v>
                </c:pt>
                <c:pt idx="15">
                  <c:v>0.19283186988742035</c:v>
                </c:pt>
                <c:pt idx="16">
                  <c:v>0.19333746688369799</c:v>
                </c:pt>
                <c:pt idx="17">
                  <c:v>0.19100464460512906</c:v>
                </c:pt>
                <c:pt idx="18">
                  <c:v>0.19188175428006549</c:v>
                </c:pt>
                <c:pt idx="19">
                  <c:v>0.18919595698173888</c:v>
                </c:pt>
                <c:pt idx="20">
                  <c:v>0.11492738092712057</c:v>
                </c:pt>
                <c:pt idx="21">
                  <c:v>0.11265888178789435</c:v>
                </c:pt>
                <c:pt idx="22">
                  <c:v>0.11072408370900942</c:v>
                </c:pt>
                <c:pt idx="23">
                  <c:v>0.10974783372471916</c:v>
                </c:pt>
                <c:pt idx="24">
                  <c:v>0.10933901969787044</c:v>
                </c:pt>
                <c:pt idx="25">
                  <c:v>0.10877622031843998</c:v>
                </c:pt>
                <c:pt idx="26">
                  <c:v>0.10688779292319475</c:v>
                </c:pt>
                <c:pt idx="27">
                  <c:v>0.10685680333419756</c:v>
                </c:pt>
                <c:pt idx="28">
                  <c:v>0.10539382343429968</c:v>
                </c:pt>
                <c:pt idx="29">
                  <c:v>0.10387601811623667</c:v>
                </c:pt>
                <c:pt idx="30">
                  <c:v>0.10191419697451586</c:v>
                </c:pt>
                <c:pt idx="31">
                  <c:v>1.9795627454542077E-3</c:v>
                </c:pt>
                <c:pt idx="32">
                  <c:v>7.0133763091527745E-2</c:v>
                </c:pt>
                <c:pt idx="33">
                  <c:v>6.7808844197154716E-2</c:v>
                </c:pt>
                <c:pt idx="34">
                  <c:v>6.6685904906306714E-2</c:v>
                </c:pt>
                <c:pt idx="35">
                  <c:v>6.4212306552556886E-2</c:v>
                </c:pt>
                <c:pt idx="36">
                  <c:v>6.2086070535941118E-2</c:v>
                </c:pt>
                <c:pt idx="37">
                  <c:v>7.5790581407477429E-4</c:v>
                </c:pt>
                <c:pt idx="38">
                  <c:v>1.6875265397991862E-3</c:v>
                </c:pt>
                <c:pt idx="39">
                  <c:v>1.5957880706549475E-3</c:v>
                </c:pt>
                <c:pt idx="40">
                  <c:v>3.8781924199989834E-3</c:v>
                </c:pt>
                <c:pt idx="41">
                  <c:v>6.2940476480171049E-3</c:v>
                </c:pt>
                <c:pt idx="42">
                  <c:v>4.8204183594252655E-3</c:v>
                </c:pt>
                <c:pt idx="43">
                  <c:v>2.7931675626914295E-3</c:v>
                </c:pt>
                <c:pt idx="44">
                  <c:v>3.7213845051180475E-3</c:v>
                </c:pt>
                <c:pt idx="45">
                  <c:v>9.8794479951817143E-7</c:v>
                </c:pt>
                <c:pt idx="46">
                  <c:v>2.3196888687243922E-3</c:v>
                </c:pt>
                <c:pt idx="47">
                  <c:v>4.2142145374784905E-3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9-4A6F-B010-DEAF2B84F270}"/>
            </c:ext>
          </c:extLst>
        </c:ser>
        <c:ser>
          <c:idx val="1"/>
          <c:order val="1"/>
          <c:tx>
            <c:strRef>
              <c:f>'COMPARAISON EPANET'!$DC$3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EPANET'!$DC$4:$DC$51</c:f>
              <c:numCache>
                <c:formatCode>General</c:formatCode>
                <c:ptCount val="48"/>
                <c:pt idx="0">
                  <c:v>0.20916310119628909</c:v>
                </c:pt>
                <c:pt idx="1">
                  <c:v>0.11761656188964839</c:v>
                </c:pt>
                <c:pt idx="2">
                  <c:v>0.1158250274658203</c:v>
                </c:pt>
                <c:pt idx="3">
                  <c:v>0.1146382675170898</c:v>
                </c:pt>
                <c:pt idx="4">
                  <c:v>0.1136740341186523</c:v>
                </c:pt>
                <c:pt idx="5">
                  <c:v>7.9282783508300786E-2</c:v>
                </c:pt>
                <c:pt idx="6">
                  <c:v>0.20831297302246091</c:v>
                </c:pt>
                <c:pt idx="7">
                  <c:v>0.207651123046875</c:v>
                </c:pt>
                <c:pt idx="8">
                  <c:v>0.20692651367187501</c:v>
                </c:pt>
                <c:pt idx="9">
                  <c:v>0.2054373626708984</c:v>
                </c:pt>
                <c:pt idx="10">
                  <c:v>0.20390827941894532</c:v>
                </c:pt>
                <c:pt idx="11">
                  <c:v>0.20296116638183592</c:v>
                </c:pt>
                <c:pt idx="12">
                  <c:v>0.20200834655761718</c:v>
                </c:pt>
                <c:pt idx="13">
                  <c:v>0.20114678955078119</c:v>
                </c:pt>
                <c:pt idx="14">
                  <c:v>0.2002795562744141</c:v>
                </c:pt>
                <c:pt idx="15">
                  <c:v>0.19938948059082032</c:v>
                </c:pt>
                <c:pt idx="16">
                  <c:v>0.198505126953125</c:v>
                </c:pt>
                <c:pt idx="17">
                  <c:v>0.19685621643066409</c:v>
                </c:pt>
                <c:pt idx="18">
                  <c:v>0.19768353271484382</c:v>
                </c:pt>
                <c:pt idx="19">
                  <c:v>0.19499050903320309</c:v>
                </c:pt>
                <c:pt idx="20">
                  <c:v>0.11996421051025391</c:v>
                </c:pt>
                <c:pt idx="21">
                  <c:v>0.11833242034912109</c:v>
                </c:pt>
                <c:pt idx="22">
                  <c:v>0.11696879577636721</c:v>
                </c:pt>
                <c:pt idx="23">
                  <c:v>0.1161072616577148</c:v>
                </c:pt>
                <c:pt idx="24">
                  <c:v>0.1152970657348633</c:v>
                </c:pt>
                <c:pt idx="25">
                  <c:v>0.11441841125488279</c:v>
                </c:pt>
                <c:pt idx="26">
                  <c:v>0.1133800048828125</c:v>
                </c:pt>
                <c:pt idx="27">
                  <c:v>0.112284538269043</c:v>
                </c:pt>
                <c:pt idx="28">
                  <c:v>0.1112689437866211</c:v>
                </c:pt>
                <c:pt idx="29">
                  <c:v>0.10984255981445309</c:v>
                </c:pt>
                <c:pt idx="30">
                  <c:v>8.0635652542114262E-3</c:v>
                </c:pt>
                <c:pt idx="31">
                  <c:v>8.0635652542114262E-3</c:v>
                </c:pt>
                <c:pt idx="32">
                  <c:v>7.6201789855957033E-2</c:v>
                </c:pt>
                <c:pt idx="33">
                  <c:v>7.4381721496582037E-2</c:v>
                </c:pt>
                <c:pt idx="34">
                  <c:v>7.295532989501953E-2</c:v>
                </c:pt>
                <c:pt idx="35">
                  <c:v>7.062176513671875E-2</c:v>
                </c:pt>
                <c:pt idx="36">
                  <c:v>6.8676170349121088E-2</c:v>
                </c:pt>
                <c:pt idx="37">
                  <c:v>6.3918390274047849E-3</c:v>
                </c:pt>
                <c:pt idx="38">
                  <c:v>4.6345300674438478E-3</c:v>
                </c:pt>
                <c:pt idx="39">
                  <c:v>3.761581182479858E-3</c:v>
                </c:pt>
                <c:pt idx="40">
                  <c:v>1.935805678367615E-3</c:v>
                </c:pt>
                <c:pt idx="41">
                  <c:v>2.1272979676723481E-4</c:v>
                </c:pt>
                <c:pt idx="42">
                  <c:v>5.689303874969482E-4</c:v>
                </c:pt>
                <c:pt idx="43">
                  <c:v>3.5129935741424561E-3</c:v>
                </c:pt>
                <c:pt idx="44">
                  <c:v>1.881206631660461E-3</c:v>
                </c:pt>
                <c:pt idx="45">
                  <c:v>5.4757027626037595E-3</c:v>
                </c:pt>
                <c:pt idx="46">
                  <c:v>7.6723389625549315E-3</c:v>
                </c:pt>
                <c:pt idx="47">
                  <c:v>9.4182367324829094E-3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9-4A6F-B010-DEAF2B84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52207"/>
        <c:axId val="636452687"/>
      </c:barChart>
      <c:catAx>
        <c:axId val="63645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452687"/>
        <c:crosses val="autoZero"/>
        <c:auto val="1"/>
        <c:lblAlgn val="ctr"/>
        <c:lblOffset val="100"/>
        <c:noMultiLvlLbl val="0"/>
      </c:catAx>
      <c:valAx>
        <c:axId val="63645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45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EPANET'!$DD$3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EPANET'!$DD$4:$DD$51</c:f>
              <c:numCache>
                <c:formatCode>General</c:formatCode>
                <c:ptCount val="48"/>
                <c:pt idx="0">
                  <c:v>7.4604378178311698E-2</c:v>
                </c:pt>
                <c:pt idx="1">
                  <c:v>4.1226344606010254E-2</c:v>
                </c:pt>
                <c:pt idx="2">
                  <c:v>4.0581605247499541E-2</c:v>
                </c:pt>
                <c:pt idx="3">
                  <c:v>4.0053015989832103E-2</c:v>
                </c:pt>
                <c:pt idx="4">
                  <c:v>3.9609667011779669E-2</c:v>
                </c:pt>
                <c:pt idx="5">
                  <c:v>4.7646470631422015E-2</c:v>
                </c:pt>
                <c:pt idx="6">
                  <c:v>7.399261099548432E-2</c:v>
                </c:pt>
                <c:pt idx="7">
                  <c:v>7.3844573023859328E-2</c:v>
                </c:pt>
                <c:pt idx="8">
                  <c:v>7.3474079575091236E-2</c:v>
                </c:pt>
                <c:pt idx="9">
                  <c:v>7.3074620416219468E-2</c:v>
                </c:pt>
                <c:pt idx="10">
                  <c:v>7.2822229742551536E-2</c:v>
                </c:pt>
                <c:pt idx="11">
                  <c:v>7.249927454463144E-2</c:v>
                </c:pt>
                <c:pt idx="12">
                  <c:v>7.2009449252069993E-2</c:v>
                </c:pt>
                <c:pt idx="13">
                  <c:v>7.1796565311644855E-2</c:v>
                </c:pt>
                <c:pt idx="14">
                  <c:v>7.1349885273325073E-2</c:v>
                </c:pt>
                <c:pt idx="15">
                  <c:v>7.0663820659424906E-2</c:v>
                </c:pt>
                <c:pt idx="16">
                  <c:v>7.0849098204530739E-2</c:v>
                </c:pt>
                <c:pt idx="17">
                  <c:v>6.9994228440423037E-2</c:v>
                </c:pt>
                <c:pt idx="18">
                  <c:v>7.0315647927795835E-2</c:v>
                </c:pt>
                <c:pt idx="19">
                  <c:v>6.9331429402469488E-2</c:v>
                </c:pt>
                <c:pt idx="20">
                  <c:v>7.4658207229210016E-2</c:v>
                </c:pt>
                <c:pt idx="21">
                  <c:v>7.318456293775058E-2</c:v>
                </c:pt>
                <c:pt idx="22">
                  <c:v>7.1927694863712865E-2</c:v>
                </c:pt>
                <c:pt idx="23">
                  <c:v>7.1293511146597849E-2</c:v>
                </c:pt>
                <c:pt idx="24">
                  <c:v>7.1027940643829376E-2</c:v>
                </c:pt>
                <c:pt idx="25">
                  <c:v>7.0662339406256269E-2</c:v>
                </c:pt>
                <c:pt idx="26">
                  <c:v>6.9435594285344321E-2</c:v>
                </c:pt>
                <c:pt idx="27">
                  <c:v>6.9415463076065581E-2</c:v>
                </c:pt>
                <c:pt idx="28">
                  <c:v>6.8465093758870346E-2</c:v>
                </c:pt>
                <c:pt idx="29">
                  <c:v>6.7479109191438125E-2</c:v>
                </c:pt>
                <c:pt idx="30">
                  <c:v>5.0687963186672756E-2</c:v>
                </c:pt>
                <c:pt idx="31">
                  <c:v>2.5204575687968042E-3</c:v>
                </c:pt>
                <c:pt idx="32">
                  <c:v>4.5559734994500285E-2</c:v>
                </c:pt>
                <c:pt idx="33">
                  <c:v>4.4049439752348402E-2</c:v>
                </c:pt>
                <c:pt idx="34">
                  <c:v>4.331996489957058E-2</c:v>
                </c:pt>
                <c:pt idx="35">
                  <c:v>4.1713085694577677E-2</c:v>
                </c:pt>
                <c:pt idx="36">
                  <c:v>4.0331857236518817E-2</c:v>
                </c:pt>
                <c:pt idx="37">
                  <c:v>9.649956536646985E-4</c:v>
                </c:pt>
                <c:pt idx="38">
                  <c:v>2.1486255232624203E-3</c:v>
                </c:pt>
                <c:pt idx="39">
                  <c:v>2.0318204765745092E-3</c:v>
                </c:pt>
                <c:pt idx="40">
                  <c:v>4.9378679512348646E-3</c:v>
                </c:pt>
                <c:pt idx="41">
                  <c:v>8.0138303619027209E-3</c:v>
                </c:pt>
                <c:pt idx="42">
                  <c:v>6.1375472773876451E-3</c:v>
                </c:pt>
                <c:pt idx="43">
                  <c:v>3.5563713958902598E-3</c:v>
                </c:pt>
                <c:pt idx="44">
                  <c:v>4.7382139130809917E-3</c:v>
                </c:pt>
                <c:pt idx="45">
                  <c:v>1.2578903867619882E-6</c:v>
                </c:pt>
                <c:pt idx="46">
                  <c:v>2.9535195991418697E-3</c:v>
                </c:pt>
                <c:pt idx="47">
                  <c:v>5.3657045991154177E-3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B-4610-BDBE-772F4B43449B}"/>
            </c:ext>
          </c:extLst>
        </c:ser>
        <c:ser>
          <c:idx val="1"/>
          <c:order val="1"/>
          <c:tx>
            <c:strRef>
              <c:f>'COMPARAISON EPANET'!$DE$3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EPANET'!$DE$4:$DE$51</c:f>
              <c:numCache>
                <c:formatCode>General</c:formatCode>
                <c:ptCount val="48"/>
                <c:pt idx="0">
                  <c:v>1.111897826194763</c:v>
                </c:pt>
                <c:pt idx="1">
                  <c:v>0.62524229288101196</c:v>
                </c:pt>
                <c:pt idx="2">
                  <c:v>0.6157185435295105</c:v>
                </c:pt>
                <c:pt idx="3">
                  <c:v>0.6094098687171936</c:v>
                </c:pt>
                <c:pt idx="4">
                  <c:v>0.60428404808044434</c:v>
                </c:pt>
                <c:pt idx="5">
                  <c:v>1.1231129169464109</c:v>
                </c:pt>
                <c:pt idx="6">
                  <c:v>1.1073787212371831</c:v>
                </c:pt>
                <c:pt idx="7">
                  <c:v>1.1038602590560911</c:v>
                </c:pt>
                <c:pt idx="8">
                  <c:v>1.100008368492126</c:v>
                </c:pt>
                <c:pt idx="9">
                  <c:v>1.0920921564102171</c:v>
                </c:pt>
                <c:pt idx="10">
                  <c:v>1.0839636325836179</c:v>
                </c:pt>
                <c:pt idx="11">
                  <c:v>1.0789288282394409</c:v>
                </c:pt>
                <c:pt idx="12">
                  <c:v>1.073863625526428</c:v>
                </c:pt>
                <c:pt idx="13">
                  <c:v>1.069283723831177</c:v>
                </c:pt>
                <c:pt idx="14">
                  <c:v>1.064673542976379</c:v>
                </c:pt>
                <c:pt idx="15">
                  <c:v>1.0599420070648189</c:v>
                </c:pt>
                <c:pt idx="16">
                  <c:v>1.055240750312805</c:v>
                </c:pt>
                <c:pt idx="17">
                  <c:v>1.046475291252136</c:v>
                </c:pt>
                <c:pt idx="18">
                  <c:v>1.0508731603622441</c:v>
                </c:pt>
                <c:pt idx="19">
                  <c:v>1.0365573167800901</c:v>
                </c:pt>
                <c:pt idx="20">
                  <c:v>0.98094642162322998</c:v>
                </c:pt>
                <c:pt idx="21">
                  <c:v>0.96760332584381104</c:v>
                </c:pt>
                <c:pt idx="22">
                  <c:v>0.95645296573638916</c:v>
                </c:pt>
                <c:pt idx="23">
                  <c:v>0.94940817356109619</c:v>
                </c:pt>
                <c:pt idx="24">
                  <c:v>0.94278323650360107</c:v>
                </c:pt>
                <c:pt idx="25">
                  <c:v>0.93559849262237549</c:v>
                </c:pt>
                <c:pt idx="26">
                  <c:v>0.92710745334625244</c:v>
                </c:pt>
                <c:pt idx="27">
                  <c:v>0.91814982891082764</c:v>
                </c:pt>
                <c:pt idx="28">
                  <c:v>0.90984535217285156</c:v>
                </c:pt>
                <c:pt idx="29">
                  <c:v>0.89818179607391357</c:v>
                </c:pt>
                <c:pt idx="30">
                  <c:v>0.41972163319587708</c:v>
                </c:pt>
                <c:pt idx="31">
                  <c:v>0.41972163319587708</c:v>
                </c:pt>
                <c:pt idx="32">
                  <c:v>1.0794677734375</c:v>
                </c:pt>
                <c:pt idx="33">
                  <c:v>1.0536848306655879</c:v>
                </c:pt>
                <c:pt idx="34">
                  <c:v>1.033478736877441</c:v>
                </c:pt>
                <c:pt idx="35">
                  <c:v>1.0004216432571409</c:v>
                </c:pt>
                <c:pt idx="36">
                  <c:v>0.97286051511764526</c:v>
                </c:pt>
                <c:pt idx="37">
                  <c:v>0.81382983922958374</c:v>
                </c:pt>
                <c:pt idx="38">
                  <c:v>0.59008347988128662</c:v>
                </c:pt>
                <c:pt idx="39">
                  <c:v>0.47893679141998291</c:v>
                </c:pt>
                <c:pt idx="40">
                  <c:v>0.93291759490966797</c:v>
                </c:pt>
                <c:pt idx="41">
                  <c:v>0.1025203019380569</c:v>
                </c:pt>
                <c:pt idx="42">
                  <c:v>0.27418306469917297</c:v>
                </c:pt>
                <c:pt idx="43">
                  <c:v>0.44728583097457891</c:v>
                </c:pt>
                <c:pt idx="44">
                  <c:v>0.9066048264503479</c:v>
                </c:pt>
                <c:pt idx="45">
                  <c:v>0.69718432426452637</c:v>
                </c:pt>
                <c:pt idx="46">
                  <c:v>0.97686725854873657</c:v>
                </c:pt>
                <c:pt idx="47">
                  <c:v>1.020513653755188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B-4610-BDBE-772F4B434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40399"/>
        <c:axId val="1190240879"/>
      </c:barChart>
      <c:catAx>
        <c:axId val="119024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0879"/>
        <c:crosses val="autoZero"/>
        <c:auto val="1"/>
        <c:lblAlgn val="ctr"/>
        <c:lblOffset val="100"/>
        <c:noMultiLvlLbl val="0"/>
      </c:catAx>
      <c:valAx>
        <c:axId val="119024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024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PERTE_DE_CHARGE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EPANET'!$DF$3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EPANET'!$DF$4:$DF$51</c:f>
              <c:numCache>
                <c:formatCode>General</c:formatCode>
                <c:ptCount val="48"/>
                <c:pt idx="0">
                  <c:v>0.13820815901037856</c:v>
                </c:pt>
                <c:pt idx="1">
                  <c:v>0.26898577183740346</c:v>
                </c:pt>
                <c:pt idx="2">
                  <c:v>0.19765252847720807</c:v>
                </c:pt>
                <c:pt idx="3">
                  <c:v>0.11145819275030529</c:v>
                </c:pt>
                <c:pt idx="4">
                  <c:v>0.13969426824704931</c:v>
                </c:pt>
                <c:pt idx="5">
                  <c:v>0.53450455350975545</c:v>
                </c:pt>
                <c:pt idx="6">
                  <c:v>8.3222117253561281E-2</c:v>
                </c:pt>
                <c:pt idx="7">
                  <c:v>8.9166554200244233E-2</c:v>
                </c:pt>
                <c:pt idx="8">
                  <c:v>9.9569318856939398E-2</c:v>
                </c:pt>
                <c:pt idx="9">
                  <c:v>0.28830519191412302</c:v>
                </c:pt>
                <c:pt idx="10">
                  <c:v>0.10997208351363455</c:v>
                </c:pt>
                <c:pt idx="11">
                  <c:v>0.13672204977370783</c:v>
                </c:pt>
                <c:pt idx="12">
                  <c:v>0.11145819275030529</c:v>
                </c:pt>
                <c:pt idx="13">
                  <c:v>0.11294430198697604</c:v>
                </c:pt>
                <c:pt idx="14">
                  <c:v>0.11294430198697604</c:v>
                </c:pt>
                <c:pt idx="15">
                  <c:v>0.11888873893365898</c:v>
                </c:pt>
                <c:pt idx="16">
                  <c:v>0.11145819275030529</c:v>
                </c:pt>
                <c:pt idx="17">
                  <c:v>0.11294430198697604</c:v>
                </c:pt>
                <c:pt idx="18">
                  <c:v>0.10254153733028086</c:v>
                </c:pt>
                <c:pt idx="19">
                  <c:v>0.37301341840435503</c:v>
                </c:pt>
                <c:pt idx="20">
                  <c:v>0.27254531158613615</c:v>
                </c:pt>
                <c:pt idx="21">
                  <c:v>0.33170243348080136</c:v>
                </c:pt>
                <c:pt idx="22">
                  <c:v>0.1732458569772338</c:v>
                </c:pt>
                <c:pt idx="23">
                  <c:v>0.14578005038328212</c:v>
                </c:pt>
                <c:pt idx="24">
                  <c:v>0.1542310677968057</c:v>
                </c:pt>
                <c:pt idx="25">
                  <c:v>0.17113310262385292</c:v>
                </c:pt>
                <c:pt idx="26">
                  <c:v>0.21338818969147089</c:v>
                </c:pt>
                <c:pt idx="27">
                  <c:v>0.19226064615766192</c:v>
                </c:pt>
                <c:pt idx="28">
                  <c:v>0.18380962874413831</c:v>
                </c:pt>
                <c:pt idx="29">
                  <c:v>0.19859890921780463</c:v>
                </c:pt>
                <c:pt idx="30">
                  <c:v>0.10167689645312228</c:v>
                </c:pt>
                <c:pt idx="31">
                  <c:v>8.9986313765935425E-2</c:v>
                </c:pt>
                <c:pt idx="32">
                  <c:v>0.36186954243828162</c:v>
                </c:pt>
                <c:pt idx="33">
                  <c:v>0.16765515498287359</c:v>
                </c:pt>
                <c:pt idx="34">
                  <c:v>0.24733285240047689</c:v>
                </c:pt>
                <c:pt idx="35">
                  <c:v>0.43158752767868452</c:v>
                </c:pt>
                <c:pt idx="36">
                  <c:v>0.13445611439220556</c:v>
                </c:pt>
                <c:pt idx="37">
                  <c:v>0.35691500121726061</c:v>
                </c:pt>
                <c:pt idx="38">
                  <c:v>0.1128705559405012</c:v>
                </c:pt>
                <c:pt idx="39">
                  <c:v>0.12049694485539995</c:v>
                </c:pt>
                <c:pt idx="40">
                  <c:v>0.36759194569811882</c:v>
                </c:pt>
                <c:pt idx="41">
                  <c:v>9.30419447617645E-2</c:v>
                </c:pt>
                <c:pt idx="42">
                  <c:v>0.1159211115064607</c:v>
                </c:pt>
                <c:pt idx="43">
                  <c:v>0.20133666735332648</c:v>
                </c:pt>
                <c:pt idx="44">
                  <c:v>0.23489277857888088</c:v>
                </c:pt>
                <c:pt idx="45">
                  <c:v>0.32335888999170614</c:v>
                </c:pt>
                <c:pt idx="46">
                  <c:v>0.26387305645549608</c:v>
                </c:pt>
                <c:pt idx="47">
                  <c:v>0.20285050391304088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9-4AF6-A2B4-018B667EF7AB}"/>
            </c:ext>
          </c:extLst>
        </c:ser>
        <c:ser>
          <c:idx val="1"/>
          <c:order val="1"/>
          <c:tx>
            <c:strRef>
              <c:f>'COMPARAISON EPANET'!$DG$3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EPANET'!$CU$4:$CU$51</c:f>
              <c:strCache>
                <c:ptCount val="48"/>
                <c:pt idx="0">
                  <c:v>N3_N18</c:v>
                </c:pt>
                <c:pt idx="1">
                  <c:v>N3_N4</c:v>
                </c:pt>
                <c:pt idx="2">
                  <c:v>N4_N5</c:v>
                </c:pt>
                <c:pt idx="3">
                  <c:v>N5_N6</c:v>
                </c:pt>
                <c:pt idx="4">
                  <c:v>N6_N7</c:v>
                </c:pt>
                <c:pt idx="5">
                  <c:v>N7_N106</c:v>
                </c:pt>
                <c:pt idx="6">
                  <c:v>N18_N19</c:v>
                </c:pt>
                <c:pt idx="7">
                  <c:v>N19_N20</c:v>
                </c:pt>
                <c:pt idx="8">
                  <c:v>N20_N21</c:v>
                </c:pt>
                <c:pt idx="9">
                  <c:v>N21_N22</c:v>
                </c:pt>
                <c:pt idx="10">
                  <c:v>N22_N23</c:v>
                </c:pt>
                <c:pt idx="11">
                  <c:v>N23_N24</c:v>
                </c:pt>
                <c:pt idx="12">
                  <c:v>N24_N25</c:v>
                </c:pt>
                <c:pt idx="13">
                  <c:v>N25_N26</c:v>
                </c:pt>
                <c:pt idx="14">
                  <c:v>N26_N27</c:v>
                </c:pt>
                <c:pt idx="15">
                  <c:v>N27_N28</c:v>
                </c:pt>
                <c:pt idx="16">
                  <c:v>N28_N196</c:v>
                </c:pt>
                <c:pt idx="17">
                  <c:v>N29_N30</c:v>
                </c:pt>
                <c:pt idx="18">
                  <c:v>N196_N29</c:v>
                </c:pt>
                <c:pt idx="19">
                  <c:v>N30_N31</c:v>
                </c:pt>
                <c:pt idx="20">
                  <c:v>N31_N32</c:v>
                </c:pt>
                <c:pt idx="21">
                  <c:v>N32_N33</c:v>
                </c:pt>
                <c:pt idx="22">
                  <c:v>N33_N34</c:v>
                </c:pt>
                <c:pt idx="23">
                  <c:v>N34_N35</c:v>
                </c:pt>
                <c:pt idx="24">
                  <c:v>N35_N36</c:v>
                </c:pt>
                <c:pt idx="25">
                  <c:v>N36_N37</c:v>
                </c:pt>
                <c:pt idx="26">
                  <c:v>N37_N38</c:v>
                </c:pt>
                <c:pt idx="27">
                  <c:v>N38_N39</c:v>
                </c:pt>
                <c:pt idx="28">
                  <c:v>N39_N40</c:v>
                </c:pt>
                <c:pt idx="29">
                  <c:v>N40_N41</c:v>
                </c:pt>
                <c:pt idx="30">
                  <c:v>N41_N42</c:v>
                </c:pt>
                <c:pt idx="31">
                  <c:v>N42_N111</c:v>
                </c:pt>
                <c:pt idx="32">
                  <c:v>N106_N107</c:v>
                </c:pt>
                <c:pt idx="33">
                  <c:v>N107_N108</c:v>
                </c:pt>
                <c:pt idx="34">
                  <c:v>N108_N109</c:v>
                </c:pt>
                <c:pt idx="35">
                  <c:v>N109_N110</c:v>
                </c:pt>
                <c:pt idx="36">
                  <c:v>N110_N121</c:v>
                </c:pt>
                <c:pt idx="37">
                  <c:v>N111_N112</c:v>
                </c:pt>
                <c:pt idx="38">
                  <c:v>N112_N113</c:v>
                </c:pt>
                <c:pt idx="39">
                  <c:v>N113_N114</c:v>
                </c:pt>
                <c:pt idx="40">
                  <c:v>N114_N115</c:v>
                </c:pt>
                <c:pt idx="41">
                  <c:v>N115_N116</c:v>
                </c:pt>
                <c:pt idx="42">
                  <c:v>N116_N195</c:v>
                </c:pt>
                <c:pt idx="43">
                  <c:v>N117_N118</c:v>
                </c:pt>
                <c:pt idx="44">
                  <c:v>N117_N195</c:v>
                </c:pt>
                <c:pt idx="45">
                  <c:v>N118_N119</c:v>
                </c:pt>
                <c:pt idx="46">
                  <c:v>N119_N120</c:v>
                </c:pt>
                <c:pt idx="47">
                  <c:v>N120_N121</c:v>
                </c:pt>
              </c:strCache>
            </c:strRef>
          </c:cat>
          <c:val>
            <c:numRef>
              <c:f>'COMPARAISON EPANET'!$DG$4:$DG$51</c:f>
              <c:numCache>
                <c:formatCode>General</c:formatCode>
                <c:ptCount val="48"/>
                <c:pt idx="0">
                  <c:v>1.6392097473144529</c:v>
                </c:pt>
                <c:pt idx="1">
                  <c:v>0.51831406354904175</c:v>
                </c:pt>
                <c:pt idx="2">
                  <c:v>0.50261640548706055</c:v>
                </c:pt>
                <c:pt idx="3">
                  <c:v>0.49247503280639648</c:v>
                </c:pt>
                <c:pt idx="4">
                  <c:v>0.48410746455192571</c:v>
                </c:pt>
                <c:pt idx="5">
                  <c:v>3.2140364646911621</c:v>
                </c:pt>
                <c:pt idx="6">
                  <c:v>1.6258871555328369</c:v>
                </c:pt>
                <c:pt idx="7">
                  <c:v>1.615462183952332</c:v>
                </c:pt>
                <c:pt idx="8">
                  <c:v>1.60430920124054</c:v>
                </c:pt>
                <c:pt idx="9">
                  <c:v>1.581346750259399</c:v>
                </c:pt>
                <c:pt idx="10">
                  <c:v>1.557793021202087</c:v>
                </c:pt>
                <c:pt idx="11">
                  <c:v>1.5434252023696899</c:v>
                </c:pt>
                <c:pt idx="12">
                  <c:v>1.528945326805115</c:v>
                </c:pt>
                <c:pt idx="13">
                  <c:v>1.516027569770813</c:v>
                </c:pt>
                <c:pt idx="14">
                  <c:v>1.5028266906738279</c:v>
                </c:pt>
                <c:pt idx="15">
                  <c:v>1.4895554780960081</c:v>
                </c:pt>
                <c:pt idx="16">
                  <c:v>1.4764517545700071</c:v>
                </c:pt>
                <c:pt idx="17">
                  <c:v>1.4519786834716799</c:v>
                </c:pt>
                <c:pt idx="18">
                  <c:v>1.464150547981262</c:v>
                </c:pt>
                <c:pt idx="19">
                  <c:v>1.4245868921279909</c:v>
                </c:pt>
                <c:pt idx="20">
                  <c:v>1.6999664306640621</c:v>
                </c:pt>
                <c:pt idx="21">
                  <c:v>1.653968811035156</c:v>
                </c:pt>
                <c:pt idx="22">
                  <c:v>1.616180419921875</c:v>
                </c:pt>
                <c:pt idx="23">
                  <c:v>1.5923531055450439</c:v>
                </c:pt>
                <c:pt idx="24">
                  <c:v>1.570273637771606</c:v>
                </c:pt>
                <c:pt idx="25">
                  <c:v>1.5464029312133789</c:v>
                </c:pt>
                <c:pt idx="26">
                  <c:v>1.5184241533279419</c:v>
                </c:pt>
                <c:pt idx="27">
                  <c:v>1.4892022609710689</c:v>
                </c:pt>
                <c:pt idx="28">
                  <c:v>1.4624549150466919</c:v>
                </c:pt>
                <c:pt idx="29">
                  <c:v>1.4252117872238159</c:v>
                </c:pt>
                <c:pt idx="30">
                  <c:v>1.068596720695496</c:v>
                </c:pt>
                <c:pt idx="31">
                  <c:v>1.068596720695496</c:v>
                </c:pt>
                <c:pt idx="32">
                  <c:v>2.9690921306610112</c:v>
                </c:pt>
                <c:pt idx="33">
                  <c:v>2.8290078639984131</c:v>
                </c:pt>
                <c:pt idx="34">
                  <c:v>2.721466064453125</c:v>
                </c:pt>
                <c:pt idx="35">
                  <c:v>2.5501632690429692</c:v>
                </c:pt>
                <c:pt idx="36">
                  <c:v>2.411648035049438</c:v>
                </c:pt>
                <c:pt idx="37">
                  <c:v>7.292689323425293</c:v>
                </c:pt>
                <c:pt idx="38">
                  <c:v>3.8339500427246089</c:v>
                </c:pt>
                <c:pt idx="39">
                  <c:v>2.5256319046020508</c:v>
                </c:pt>
                <c:pt idx="40">
                  <c:v>23.269832611083981</c:v>
                </c:pt>
                <c:pt idx="41">
                  <c:v>0.28104487061500549</c:v>
                </c:pt>
                <c:pt idx="42">
                  <c:v>2.0100018978118901</c:v>
                </c:pt>
                <c:pt idx="43">
                  <c:v>2.2028639316558838</c:v>
                </c:pt>
                <c:pt idx="44">
                  <c:v>21.975688934326168</c:v>
                </c:pt>
                <c:pt idx="45">
                  <c:v>5.3519940376281738</c:v>
                </c:pt>
                <c:pt idx="46">
                  <c:v>10.507328033447269</c:v>
                </c:pt>
                <c:pt idx="47">
                  <c:v>10.29825019836426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9-4AF6-A2B4-018B667E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716095"/>
        <c:axId val="632719935"/>
      </c:barChart>
      <c:catAx>
        <c:axId val="6327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719935"/>
        <c:crosses val="autoZero"/>
        <c:auto val="1"/>
        <c:lblAlgn val="ctr"/>
        <c:lblOffset val="100"/>
        <c:noMultiLvlLbl val="0"/>
      </c:catAx>
      <c:valAx>
        <c:axId val="63271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7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EPANET'!$DH$3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EPANET'!$CW$4:$CW$51</c:f>
              <c:strCache>
                <c:ptCount val="48"/>
                <c:pt idx="0">
                  <c:v>N3</c:v>
                </c:pt>
                <c:pt idx="1">
                  <c:v>N4</c:v>
                </c:pt>
                <c:pt idx="2">
                  <c:v>N5</c:v>
                </c:pt>
                <c:pt idx="3">
                  <c:v>N6</c:v>
                </c:pt>
                <c:pt idx="4">
                  <c:v>N7</c:v>
                </c:pt>
                <c:pt idx="5">
                  <c:v>N106</c:v>
                </c:pt>
                <c:pt idx="6">
                  <c:v>N18</c:v>
                </c:pt>
                <c:pt idx="7">
                  <c:v>N19</c:v>
                </c:pt>
                <c:pt idx="8">
                  <c:v>N20</c:v>
                </c:pt>
                <c:pt idx="9">
                  <c:v>N21</c:v>
                </c:pt>
                <c:pt idx="10">
                  <c:v>N22</c:v>
                </c:pt>
                <c:pt idx="11">
                  <c:v>N23</c:v>
                </c:pt>
                <c:pt idx="12">
                  <c:v>N24</c:v>
                </c:pt>
                <c:pt idx="13">
                  <c:v>N25</c:v>
                </c:pt>
                <c:pt idx="14">
                  <c:v>N26</c:v>
                </c:pt>
                <c:pt idx="15">
                  <c:v>N27</c:v>
                </c:pt>
                <c:pt idx="16">
                  <c:v>N28</c:v>
                </c:pt>
                <c:pt idx="17">
                  <c:v>N29</c:v>
                </c:pt>
                <c:pt idx="18">
                  <c:v>N196</c:v>
                </c:pt>
                <c:pt idx="19">
                  <c:v>N30</c:v>
                </c:pt>
                <c:pt idx="20">
                  <c:v>N31</c:v>
                </c:pt>
                <c:pt idx="21">
                  <c:v>N32</c:v>
                </c:pt>
                <c:pt idx="22">
                  <c:v>N33</c:v>
                </c:pt>
                <c:pt idx="23">
                  <c:v>N34</c:v>
                </c:pt>
                <c:pt idx="24">
                  <c:v>N35</c:v>
                </c:pt>
                <c:pt idx="25">
                  <c:v>N36</c:v>
                </c:pt>
                <c:pt idx="26">
                  <c:v>N37</c:v>
                </c:pt>
                <c:pt idx="27">
                  <c:v>N38</c:v>
                </c:pt>
                <c:pt idx="28">
                  <c:v>N39</c:v>
                </c:pt>
                <c:pt idx="29">
                  <c:v>N40</c:v>
                </c:pt>
                <c:pt idx="30">
                  <c:v>N42</c:v>
                </c:pt>
                <c:pt idx="31">
                  <c:v>N42</c:v>
                </c:pt>
                <c:pt idx="32">
                  <c:v>N107</c:v>
                </c:pt>
                <c:pt idx="33">
                  <c:v>N108</c:v>
                </c:pt>
                <c:pt idx="34">
                  <c:v>N109</c:v>
                </c:pt>
                <c:pt idx="35">
                  <c:v>N110</c:v>
                </c:pt>
                <c:pt idx="36">
                  <c:v>N121</c:v>
                </c:pt>
                <c:pt idx="37">
                  <c:v>N111</c:v>
                </c:pt>
                <c:pt idx="38">
                  <c:v>N112</c:v>
                </c:pt>
                <c:pt idx="39">
                  <c:v>N113</c:v>
                </c:pt>
                <c:pt idx="40">
                  <c:v>N114</c:v>
                </c:pt>
                <c:pt idx="41">
                  <c:v>N115</c:v>
                </c:pt>
                <c:pt idx="42">
                  <c:v>N116</c:v>
                </c:pt>
                <c:pt idx="43">
                  <c:v>N117</c:v>
                </c:pt>
                <c:pt idx="44">
                  <c:v>N195</c:v>
                </c:pt>
                <c:pt idx="45">
                  <c:v>N118</c:v>
                </c:pt>
                <c:pt idx="46">
                  <c:v>N119</c:v>
                </c:pt>
                <c:pt idx="47">
                  <c:v>N120</c:v>
                </c:pt>
              </c:strCache>
            </c:strRef>
          </c:cat>
          <c:val>
            <c:numRef>
              <c:f>'COMPARAISON EPANET'!$DH$4:$DH$51</c:f>
              <c:numCache>
                <c:formatCode>General</c:formatCode>
                <c:ptCount val="48"/>
                <c:pt idx="0">
                  <c:v>21.713131055137946</c:v>
                </c:pt>
                <c:pt idx="1">
                  <c:v>18.444145283300543</c:v>
                </c:pt>
                <c:pt idx="2">
                  <c:v>15.246492754823334</c:v>
                </c:pt>
                <c:pt idx="3">
                  <c:v>16.135034562073031</c:v>
                </c:pt>
                <c:pt idx="4">
                  <c:v>17.995340293825979</c:v>
                </c:pt>
                <c:pt idx="5">
                  <c:v>19.460835740316224</c:v>
                </c:pt>
                <c:pt idx="6">
                  <c:v>21.377613623062665</c:v>
                </c:pt>
                <c:pt idx="7">
                  <c:v>19.288447068862421</c:v>
                </c:pt>
                <c:pt idx="8">
                  <c:v>11.18887775000548</c:v>
                </c:pt>
                <c:pt idx="9">
                  <c:v>19.900572558091358</c:v>
                </c:pt>
                <c:pt idx="10">
                  <c:v>21.790600474577722</c:v>
                </c:pt>
                <c:pt idx="11">
                  <c:v>20.653878424804013</c:v>
                </c:pt>
                <c:pt idx="12">
                  <c:v>14.542420232053709</c:v>
                </c:pt>
                <c:pt idx="13">
                  <c:v>23.429475930066733</c:v>
                </c:pt>
                <c:pt idx="14">
                  <c:v>19.316531628079758</c:v>
                </c:pt>
                <c:pt idx="15">
                  <c:v>12.197642889146099</c:v>
                </c:pt>
                <c:pt idx="16">
                  <c:v>20.086184696395794</c:v>
                </c:pt>
                <c:pt idx="17">
                  <c:v>15.973240394408817</c:v>
                </c:pt>
                <c:pt idx="18">
                  <c:v>18.870698857078537</c:v>
                </c:pt>
                <c:pt idx="19">
                  <c:v>16.497685438674182</c:v>
                </c:pt>
                <c:pt idx="20">
                  <c:v>16.225140127088046</c:v>
                </c:pt>
                <c:pt idx="21">
                  <c:v>12.893437693607243</c:v>
                </c:pt>
                <c:pt idx="22">
                  <c:v>18.720191836630011</c:v>
                </c:pt>
                <c:pt idx="23">
                  <c:v>22.574411786246728</c:v>
                </c:pt>
                <c:pt idx="24">
                  <c:v>17.420180718449924</c:v>
                </c:pt>
                <c:pt idx="25">
                  <c:v>12.24904761582607</c:v>
                </c:pt>
                <c:pt idx="26">
                  <c:v>16.0356594261346</c:v>
                </c:pt>
                <c:pt idx="27">
                  <c:v>14.843398779976937</c:v>
                </c:pt>
                <c:pt idx="28">
                  <c:v>17.659589151232801</c:v>
                </c:pt>
                <c:pt idx="29">
                  <c:v>19.460990242014994</c:v>
                </c:pt>
                <c:pt idx="30">
                  <c:v>18.359313345561873</c:v>
                </c:pt>
                <c:pt idx="31">
                  <c:v>18.269327031795939</c:v>
                </c:pt>
                <c:pt idx="32">
                  <c:v>19.907457489357654</c:v>
                </c:pt>
                <c:pt idx="33">
                  <c:v>12.739802334374783</c:v>
                </c:pt>
                <c:pt idx="34">
                  <c:v>12.492469481974306</c:v>
                </c:pt>
                <c:pt idx="35">
                  <c:v>12.06088195429562</c:v>
                </c:pt>
                <c:pt idx="36">
                  <c:v>15.926425839903416</c:v>
                </c:pt>
                <c:pt idx="37">
                  <c:v>11.569510838686156</c:v>
                </c:pt>
                <c:pt idx="38">
                  <c:v>18.456640282745653</c:v>
                </c:pt>
                <c:pt idx="39">
                  <c:v>14.336143337890254</c:v>
                </c:pt>
                <c:pt idx="40">
                  <c:v>17.968551392192136</c:v>
                </c:pt>
                <c:pt idx="41">
                  <c:v>13.875509447430371</c:v>
                </c:pt>
                <c:pt idx="42">
                  <c:v>11.75958833592391</c:v>
                </c:pt>
                <c:pt idx="43">
                  <c:v>18.558251668570584</c:v>
                </c:pt>
                <c:pt idx="44">
                  <c:v>16.323358889991702</c:v>
                </c:pt>
                <c:pt idx="45">
                  <c:v>9.9999999999999964</c:v>
                </c:pt>
                <c:pt idx="46">
                  <c:v>17.736126943544498</c:v>
                </c:pt>
                <c:pt idx="47">
                  <c:v>12.533276439631459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D-4FF7-A027-8FD8032987C9}"/>
            </c:ext>
          </c:extLst>
        </c:ser>
        <c:ser>
          <c:idx val="1"/>
          <c:order val="1"/>
          <c:tx>
            <c:strRef>
              <c:f>'COMPARAISON EPANET'!$DI$3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EPANET'!$CW$4:$CW$51</c:f>
              <c:strCache>
                <c:ptCount val="48"/>
                <c:pt idx="0">
                  <c:v>N3</c:v>
                </c:pt>
                <c:pt idx="1">
                  <c:v>N4</c:v>
                </c:pt>
                <c:pt idx="2">
                  <c:v>N5</c:v>
                </c:pt>
                <c:pt idx="3">
                  <c:v>N6</c:v>
                </c:pt>
                <c:pt idx="4">
                  <c:v>N7</c:v>
                </c:pt>
                <c:pt idx="5">
                  <c:v>N106</c:v>
                </c:pt>
                <c:pt idx="6">
                  <c:v>N18</c:v>
                </c:pt>
                <c:pt idx="7">
                  <c:v>N19</c:v>
                </c:pt>
                <c:pt idx="8">
                  <c:v>N20</c:v>
                </c:pt>
                <c:pt idx="9">
                  <c:v>N21</c:v>
                </c:pt>
                <c:pt idx="10">
                  <c:v>N22</c:v>
                </c:pt>
                <c:pt idx="11">
                  <c:v>N23</c:v>
                </c:pt>
                <c:pt idx="12">
                  <c:v>N24</c:v>
                </c:pt>
                <c:pt idx="13">
                  <c:v>N25</c:v>
                </c:pt>
                <c:pt idx="14">
                  <c:v>N26</c:v>
                </c:pt>
                <c:pt idx="15">
                  <c:v>N27</c:v>
                </c:pt>
                <c:pt idx="16">
                  <c:v>N28</c:v>
                </c:pt>
                <c:pt idx="17">
                  <c:v>N29</c:v>
                </c:pt>
                <c:pt idx="18">
                  <c:v>N196</c:v>
                </c:pt>
                <c:pt idx="19">
                  <c:v>N30</c:v>
                </c:pt>
                <c:pt idx="20">
                  <c:v>N31</c:v>
                </c:pt>
                <c:pt idx="21">
                  <c:v>N32</c:v>
                </c:pt>
                <c:pt idx="22">
                  <c:v>N33</c:v>
                </c:pt>
                <c:pt idx="23">
                  <c:v>N34</c:v>
                </c:pt>
                <c:pt idx="24">
                  <c:v>N35</c:v>
                </c:pt>
                <c:pt idx="25">
                  <c:v>N36</c:v>
                </c:pt>
                <c:pt idx="26">
                  <c:v>N37</c:v>
                </c:pt>
                <c:pt idx="27">
                  <c:v>N38</c:v>
                </c:pt>
                <c:pt idx="28">
                  <c:v>N39</c:v>
                </c:pt>
                <c:pt idx="29">
                  <c:v>N40</c:v>
                </c:pt>
                <c:pt idx="30">
                  <c:v>N42</c:v>
                </c:pt>
                <c:pt idx="31">
                  <c:v>N42</c:v>
                </c:pt>
                <c:pt idx="32">
                  <c:v>N107</c:v>
                </c:pt>
                <c:pt idx="33">
                  <c:v>N108</c:v>
                </c:pt>
                <c:pt idx="34">
                  <c:v>N109</c:v>
                </c:pt>
                <c:pt idx="35">
                  <c:v>N110</c:v>
                </c:pt>
                <c:pt idx="36">
                  <c:v>N121</c:v>
                </c:pt>
                <c:pt idx="37">
                  <c:v>N111</c:v>
                </c:pt>
                <c:pt idx="38">
                  <c:v>N112</c:v>
                </c:pt>
                <c:pt idx="39">
                  <c:v>N113</c:v>
                </c:pt>
                <c:pt idx="40">
                  <c:v>N114</c:v>
                </c:pt>
                <c:pt idx="41">
                  <c:v>N115</c:v>
                </c:pt>
                <c:pt idx="42">
                  <c:v>N116</c:v>
                </c:pt>
                <c:pt idx="43">
                  <c:v>N117</c:v>
                </c:pt>
                <c:pt idx="44">
                  <c:v>N195</c:v>
                </c:pt>
                <c:pt idx="45">
                  <c:v>N118</c:v>
                </c:pt>
                <c:pt idx="46">
                  <c:v>N119</c:v>
                </c:pt>
                <c:pt idx="47">
                  <c:v>N120</c:v>
                </c:pt>
              </c:strCache>
            </c:strRef>
          </c:cat>
          <c:val>
            <c:numRef>
              <c:f>'COMPARAISON EPANET'!$DI$4:$DI$51</c:f>
              <c:numCache>
                <c:formatCode>General</c:formatCode>
                <c:ptCount val="48"/>
                <c:pt idx="0">
                  <c:v>68.799537658691406</c:v>
                </c:pt>
                <c:pt idx="1">
                  <c:v>65.705513000488281</c:v>
                </c:pt>
                <c:pt idx="2">
                  <c:v>62.638618469238281</c:v>
                </c:pt>
                <c:pt idx="3">
                  <c:v>63.601482391357422</c:v>
                </c:pt>
                <c:pt idx="4">
                  <c:v>65.5560302734375</c:v>
                </c:pt>
                <c:pt idx="5">
                  <c:v>66.522071838378906</c:v>
                </c:pt>
                <c:pt idx="6">
                  <c:v>69.647087097167969</c:v>
                </c:pt>
                <c:pt idx="7">
                  <c:v>67.556526184082031</c:v>
                </c:pt>
                <c:pt idx="8">
                  <c:v>59.459762573242188</c:v>
                </c:pt>
                <c:pt idx="9">
                  <c:v>68.352752685546875</c:v>
                </c:pt>
                <c:pt idx="10">
                  <c:v>70.045814514160156</c:v>
                </c:pt>
                <c:pt idx="11">
                  <c:v>68.9305419921875</c:v>
                </c:pt>
                <c:pt idx="12">
                  <c:v>62.78839111328125</c:v>
                </c:pt>
                <c:pt idx="13">
                  <c:v>71.674026489257813</c:v>
                </c:pt>
                <c:pt idx="14">
                  <c:v>67.55865478515625</c:v>
                </c:pt>
                <c:pt idx="15">
                  <c:v>60.444290161132813</c:v>
                </c:pt>
                <c:pt idx="16">
                  <c:v>68.324676513671875</c:v>
                </c:pt>
                <c:pt idx="17">
                  <c:v>64.113357543945313</c:v>
                </c:pt>
                <c:pt idx="18">
                  <c:v>67.214385986328125</c:v>
                </c:pt>
                <c:pt idx="19">
                  <c:v>65.00286865234375</c:v>
                </c:pt>
                <c:pt idx="20">
                  <c:v>64.645866394042969</c:v>
                </c:pt>
                <c:pt idx="21">
                  <c:v>61.426399230957031</c:v>
                </c:pt>
                <c:pt idx="22">
                  <c:v>67.16705322265625</c:v>
                </c:pt>
                <c:pt idx="23">
                  <c:v>71.033882141113281</c:v>
                </c:pt>
                <c:pt idx="24">
                  <c:v>65.92401123046875</c:v>
                </c:pt>
                <c:pt idx="25">
                  <c:v>60.808753967285163</c:v>
                </c:pt>
                <c:pt idx="26">
                  <c:v>64.683029174804688</c:v>
                </c:pt>
                <c:pt idx="27">
                  <c:v>63.530277252197273</c:v>
                </c:pt>
                <c:pt idx="28">
                  <c:v>66.394905090332031</c:v>
                </c:pt>
                <c:pt idx="29">
                  <c:v>68.267967224121094</c:v>
                </c:pt>
                <c:pt idx="30">
                  <c:v>67.037513732910156</c:v>
                </c:pt>
                <c:pt idx="31">
                  <c:v>67.037513732910156</c:v>
                </c:pt>
                <c:pt idx="32">
                  <c:v>70.875106811523438</c:v>
                </c:pt>
                <c:pt idx="33">
                  <c:v>63.589942932128913</c:v>
                </c:pt>
                <c:pt idx="34">
                  <c:v>63.184169769287109</c:v>
                </c:pt>
                <c:pt idx="35">
                  <c:v>62.521385192871087</c:v>
                </c:pt>
                <c:pt idx="36">
                  <c:v>66.327003479003906</c:v>
                </c:pt>
                <c:pt idx="37">
                  <c:v>61.974575042724609</c:v>
                </c:pt>
                <c:pt idx="38">
                  <c:v>67.269546508789063</c:v>
                </c:pt>
                <c:pt idx="39">
                  <c:v>62.986598968505859</c:v>
                </c:pt>
                <c:pt idx="40">
                  <c:v>66.785812377929688</c:v>
                </c:pt>
                <c:pt idx="41">
                  <c:v>57.184761047363281</c:v>
                </c:pt>
                <c:pt idx="42">
                  <c:v>55.167701721191413</c:v>
                </c:pt>
                <c:pt idx="43">
                  <c:v>65.715301513671875</c:v>
                </c:pt>
                <c:pt idx="44">
                  <c:v>60.320060729980469</c:v>
                </c:pt>
                <c:pt idx="45">
                  <c:v>58.005420684814453</c:v>
                </c:pt>
                <c:pt idx="46">
                  <c:v>67.141647338867188</c:v>
                </c:pt>
                <c:pt idx="47">
                  <c:v>63.958366394042969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D-4FF7-A027-8FD80329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806015"/>
        <c:axId val="1025804575"/>
      </c:barChart>
      <c:catAx>
        <c:axId val="102580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5804575"/>
        <c:crosses val="autoZero"/>
        <c:auto val="1"/>
        <c:lblAlgn val="ctr"/>
        <c:lblOffset val="100"/>
        <c:noMultiLvlLbl val="0"/>
      </c:catAx>
      <c:valAx>
        <c:axId val="102580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580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EPANET'!$DQ$3</c:f>
              <c:strCache>
                <c:ptCount val="1"/>
                <c:pt idx="0">
                  <c:v>D_CALCULE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EPANET'!$DQ$4:$DQ$36</c:f>
              <c:numCache>
                <c:formatCode>General</c:formatCode>
                <c:ptCount val="33"/>
                <c:pt idx="0">
                  <c:v>650.44815515748121</c:v>
                </c:pt>
                <c:pt idx="1">
                  <c:v>650.44815515748121</c:v>
                </c:pt>
                <c:pt idx="2">
                  <c:v>650.44815515748121</c:v>
                </c:pt>
                <c:pt idx="3">
                  <c:v>460.62820576799743</c:v>
                </c:pt>
                <c:pt idx="4">
                  <c:v>460.62820576799743</c:v>
                </c:pt>
                <c:pt idx="5">
                  <c:v>460.62820576799743</c:v>
                </c:pt>
                <c:pt idx="6">
                  <c:v>460.62820576799743</c:v>
                </c:pt>
                <c:pt idx="7">
                  <c:v>460.62820576799743</c:v>
                </c:pt>
                <c:pt idx="8">
                  <c:v>325.71332790434337</c:v>
                </c:pt>
                <c:pt idx="9">
                  <c:v>325.71332790434337</c:v>
                </c:pt>
                <c:pt idx="10">
                  <c:v>325.71332790434337</c:v>
                </c:pt>
                <c:pt idx="11">
                  <c:v>325.71332790434337</c:v>
                </c:pt>
                <c:pt idx="12">
                  <c:v>325.71332790434337</c:v>
                </c:pt>
                <c:pt idx="13">
                  <c:v>325.71332790434337</c:v>
                </c:pt>
                <c:pt idx="14">
                  <c:v>325.71332790434337</c:v>
                </c:pt>
                <c:pt idx="15">
                  <c:v>325.71332790434337</c:v>
                </c:pt>
                <c:pt idx="16">
                  <c:v>325.71332790434337</c:v>
                </c:pt>
                <c:pt idx="17">
                  <c:v>325.71332790434337</c:v>
                </c:pt>
                <c:pt idx="18">
                  <c:v>460.62820576799743</c:v>
                </c:pt>
                <c:pt idx="19">
                  <c:v>460.62820576799743</c:v>
                </c:pt>
                <c:pt idx="20">
                  <c:v>460.62820576799743</c:v>
                </c:pt>
                <c:pt idx="21">
                  <c:v>460.62820576799743</c:v>
                </c:pt>
                <c:pt idx="22">
                  <c:v>460.62820576799743</c:v>
                </c:pt>
                <c:pt idx="23">
                  <c:v>460.62820576799743</c:v>
                </c:pt>
                <c:pt idx="24">
                  <c:v>460.62820576799743</c:v>
                </c:pt>
                <c:pt idx="25">
                  <c:v>460.62820576799743</c:v>
                </c:pt>
                <c:pt idx="26">
                  <c:v>460.62820576799743</c:v>
                </c:pt>
                <c:pt idx="27">
                  <c:v>460.62820576799743</c:v>
                </c:pt>
                <c:pt idx="28">
                  <c:v>460.62820576799743</c:v>
                </c:pt>
                <c:pt idx="29">
                  <c:v>460.62820576799743</c:v>
                </c:pt>
                <c:pt idx="30">
                  <c:v>460.62820576799743</c:v>
                </c:pt>
                <c:pt idx="31">
                  <c:v>460.62820576799743</c:v>
                </c:pt>
                <c:pt idx="32">
                  <c:v>460.62820576799743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4-46B8-A93A-84CAEDF68754}"/>
            </c:ext>
          </c:extLst>
        </c:ser>
        <c:ser>
          <c:idx val="1"/>
          <c:order val="1"/>
          <c:tx>
            <c:strRef>
              <c:f>'COMPARAISON EPANET'!$DR$3</c:f>
              <c:strCache>
                <c:ptCount val="1"/>
                <c:pt idx="0">
                  <c:v>D_EPANET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EPANET'!$DR$4:$DR$36</c:f>
              <c:numCache>
                <c:formatCode>General</c:formatCode>
                <c:ptCount val="33"/>
                <c:pt idx="0">
                  <c:v>700</c:v>
                </c:pt>
                <c:pt idx="1">
                  <c:v>700</c:v>
                </c:pt>
                <c:pt idx="2">
                  <c:v>489.4</c:v>
                </c:pt>
                <c:pt idx="3">
                  <c:v>489.4</c:v>
                </c:pt>
                <c:pt idx="4">
                  <c:v>489.4</c:v>
                </c:pt>
                <c:pt idx="5">
                  <c:v>489.4</c:v>
                </c:pt>
                <c:pt idx="6">
                  <c:v>489.4</c:v>
                </c:pt>
                <c:pt idx="7">
                  <c:v>489.4</c:v>
                </c:pt>
                <c:pt idx="8">
                  <c:v>489.4</c:v>
                </c:pt>
                <c:pt idx="9">
                  <c:v>204.2</c:v>
                </c:pt>
                <c:pt idx="10">
                  <c:v>204.2</c:v>
                </c:pt>
                <c:pt idx="11">
                  <c:v>204.2</c:v>
                </c:pt>
                <c:pt idx="12">
                  <c:v>204.2</c:v>
                </c:pt>
                <c:pt idx="13">
                  <c:v>204.2</c:v>
                </c:pt>
                <c:pt idx="14">
                  <c:v>156.4</c:v>
                </c:pt>
                <c:pt idx="15">
                  <c:v>156.4</c:v>
                </c:pt>
                <c:pt idx="16">
                  <c:v>156.4</c:v>
                </c:pt>
                <c:pt idx="17">
                  <c:v>94.4</c:v>
                </c:pt>
                <c:pt idx="18">
                  <c:v>394.6</c:v>
                </c:pt>
                <c:pt idx="19">
                  <c:v>489.4</c:v>
                </c:pt>
                <c:pt idx="20">
                  <c:v>489.4</c:v>
                </c:pt>
                <c:pt idx="21">
                  <c:v>489.4</c:v>
                </c:pt>
                <c:pt idx="22">
                  <c:v>489.4</c:v>
                </c:pt>
                <c:pt idx="23">
                  <c:v>489.4</c:v>
                </c:pt>
                <c:pt idx="24">
                  <c:v>489.4</c:v>
                </c:pt>
                <c:pt idx="25">
                  <c:v>489.4</c:v>
                </c:pt>
                <c:pt idx="26">
                  <c:v>489.4</c:v>
                </c:pt>
                <c:pt idx="27">
                  <c:v>489.4</c:v>
                </c:pt>
                <c:pt idx="28">
                  <c:v>489.4</c:v>
                </c:pt>
                <c:pt idx="29">
                  <c:v>489.4</c:v>
                </c:pt>
                <c:pt idx="30">
                  <c:v>489.4</c:v>
                </c:pt>
                <c:pt idx="31">
                  <c:v>489.4</c:v>
                </c:pt>
                <c:pt idx="32">
                  <c:v>489.4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34-46B8-A93A-84CAEDF6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719455"/>
        <c:axId val="631109743"/>
      </c:barChart>
      <c:catAx>
        <c:axId val="63271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1109743"/>
        <c:crosses val="autoZero"/>
        <c:auto val="1"/>
        <c:lblAlgn val="ctr"/>
        <c:lblOffset val="100"/>
        <c:noMultiLvlLbl val="0"/>
      </c:catAx>
      <c:valAx>
        <c:axId val="63110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271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DIAMETRE_NOMINAL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EPANET'!$DS$3</c:f>
              <c:strCache>
                <c:ptCount val="1"/>
                <c:pt idx="0">
                  <c:v>DN_CALCULE(mm)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EPANET'!$DS$4:$DS$36</c:f>
              <c:numCache>
                <c:formatCode>General</c:formatCode>
                <c:ptCount val="3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350</c:v>
                </c:pt>
                <c:pt idx="9">
                  <c:v>350</c:v>
                </c:pt>
                <c:pt idx="10">
                  <c:v>350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C-44F3-A1DD-96876B7F9676}"/>
            </c:ext>
          </c:extLst>
        </c:ser>
        <c:ser>
          <c:idx val="1"/>
          <c:order val="1"/>
          <c:tx>
            <c:strRef>
              <c:f>'COMPARAISON EPANET'!$DT$3</c:f>
              <c:strCache>
                <c:ptCount val="1"/>
                <c:pt idx="0">
                  <c:v>DN_EPANET 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EPANET'!$DT$4:$DT$36</c:f>
              <c:numCache>
                <c:formatCode>General</c:formatCode>
                <c:ptCount val="33"/>
                <c:pt idx="0">
                  <c:v>800</c:v>
                </c:pt>
                <c:pt idx="1">
                  <c:v>800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100</c:v>
                </c:pt>
                <c:pt idx="18">
                  <c:v>400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C-44F3-A1DD-96876B7F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793951"/>
        <c:axId val="490822751"/>
      </c:barChart>
      <c:catAx>
        <c:axId val="4907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0822751"/>
        <c:crosses val="autoZero"/>
        <c:auto val="1"/>
        <c:lblAlgn val="ctr"/>
        <c:lblOffset val="100"/>
        <c:noMultiLvlLbl val="0"/>
      </c:catAx>
      <c:valAx>
        <c:axId val="4908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07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EPANET'!$DU$3</c:f>
              <c:strCache>
                <c:ptCount val="1"/>
                <c:pt idx="0">
                  <c:v>|Q_ri_CALCULER  (m^3/s) 2|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EPANET'!$DU$4:$DU$36</c:f>
              <c:numCache>
                <c:formatCode>General</c:formatCode>
                <c:ptCount val="33"/>
                <c:pt idx="0">
                  <c:v>0.32198880906494448</c:v>
                </c:pt>
                <c:pt idx="1">
                  <c:v>0.32499284472378759</c:v>
                </c:pt>
                <c:pt idx="2">
                  <c:v>0.31882539428588624</c:v>
                </c:pt>
                <c:pt idx="3">
                  <c:v>0.19722380121522018</c:v>
                </c:pt>
                <c:pt idx="4">
                  <c:v>0.10664416378096675</c:v>
                </c:pt>
                <c:pt idx="5">
                  <c:v>0.10682382796361509</c:v>
                </c:pt>
                <c:pt idx="6">
                  <c:v>0.10556686389483461</c:v>
                </c:pt>
                <c:pt idx="7">
                  <c:v>0.10326779764139249</c:v>
                </c:pt>
                <c:pt idx="8">
                  <c:v>2.3857198011229073E-2</c:v>
                </c:pt>
                <c:pt idx="9">
                  <c:v>2.2431506178413399E-2</c:v>
                </c:pt>
                <c:pt idx="10">
                  <c:v>1.7540625804645698E-2</c:v>
                </c:pt>
                <c:pt idx="11">
                  <c:v>1.4797625226010479E-2</c:v>
                </c:pt>
                <c:pt idx="12">
                  <c:v>1.473362840248623E-2</c:v>
                </c:pt>
                <c:pt idx="13">
                  <c:v>8.910694409369516E-3</c:v>
                </c:pt>
                <c:pt idx="14">
                  <c:v>7.1283828025367757E-3</c:v>
                </c:pt>
                <c:pt idx="15">
                  <c:v>1.4524275359280906E-3</c:v>
                </c:pt>
                <c:pt idx="16">
                  <c:v>3.5928728627387593E-4</c:v>
                </c:pt>
                <c:pt idx="17">
                  <c:v>2.384228132612591E-3</c:v>
                </c:pt>
                <c:pt idx="18">
                  <c:v>6.3262624144627813E-2</c:v>
                </c:pt>
                <c:pt idx="19">
                  <c:v>0.19832389366436998</c:v>
                </c:pt>
                <c:pt idx="20">
                  <c:v>0.19890919426423928</c:v>
                </c:pt>
                <c:pt idx="21">
                  <c:v>0.19638140137781473</c:v>
                </c:pt>
                <c:pt idx="22">
                  <c:v>0.19401650420675814</c:v>
                </c:pt>
                <c:pt idx="23">
                  <c:v>0.19356214461411125</c:v>
                </c:pt>
                <c:pt idx="24">
                  <c:v>0.19348136286681875</c:v>
                </c:pt>
                <c:pt idx="25">
                  <c:v>0.19434220140296449</c:v>
                </c:pt>
                <c:pt idx="26">
                  <c:v>0.19316319259177056</c:v>
                </c:pt>
                <c:pt idx="27">
                  <c:v>0.1892810904984645</c:v>
                </c:pt>
                <c:pt idx="28">
                  <c:v>0.18749754345472944</c:v>
                </c:pt>
                <c:pt idx="29">
                  <c:v>0.18703494873323204</c:v>
                </c:pt>
                <c:pt idx="30">
                  <c:v>0.1894049105032844</c:v>
                </c:pt>
                <c:pt idx="31">
                  <c:v>0.18765519608070916</c:v>
                </c:pt>
                <c:pt idx="32">
                  <c:v>0.1859269421591519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9-4450-85B2-ED682D890B61}"/>
            </c:ext>
          </c:extLst>
        </c:ser>
        <c:ser>
          <c:idx val="1"/>
          <c:order val="1"/>
          <c:tx>
            <c:strRef>
              <c:f>'COMPARAISON EPANET'!$DV$3</c:f>
              <c:strCache>
                <c:ptCount val="1"/>
                <c:pt idx="0">
                  <c:v>|Q_ri_EPANET  (m^3/s) 2|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EPANET'!$DV$4:$DV$36</c:f>
              <c:numCache>
                <c:formatCode>General</c:formatCode>
                <c:ptCount val="33"/>
                <c:pt idx="0">
                  <c:v>0.3321200561523438</c:v>
                </c:pt>
                <c:pt idx="1">
                  <c:v>0.33091619873046879</c:v>
                </c:pt>
                <c:pt idx="2">
                  <c:v>0.20916310119628909</c:v>
                </c:pt>
                <c:pt idx="3">
                  <c:v>0.20916310119628909</c:v>
                </c:pt>
                <c:pt idx="4">
                  <c:v>0.11761656188964839</c:v>
                </c:pt>
                <c:pt idx="5">
                  <c:v>0.1158250274658203</c:v>
                </c:pt>
                <c:pt idx="6">
                  <c:v>0.1146382675170898</c:v>
                </c:pt>
                <c:pt idx="7">
                  <c:v>0.1136740341186523</c:v>
                </c:pt>
                <c:pt idx="8">
                  <c:v>0.1136740341186523</c:v>
                </c:pt>
                <c:pt idx="9">
                  <c:v>2.9484477996826169E-2</c:v>
                </c:pt>
                <c:pt idx="10">
                  <c:v>2.7339191436767583E-2</c:v>
                </c:pt>
                <c:pt idx="11">
                  <c:v>2.5216728210449218E-2</c:v>
                </c:pt>
                <c:pt idx="12">
                  <c:v>2.2928802490234379E-2</c:v>
                </c:pt>
                <c:pt idx="13">
                  <c:v>1.8592584609985353E-2</c:v>
                </c:pt>
                <c:pt idx="14">
                  <c:v>1.3583112716674799E-2</c:v>
                </c:pt>
                <c:pt idx="15">
                  <c:v>7.0787868499755857E-3</c:v>
                </c:pt>
                <c:pt idx="16">
                  <c:v>2.8707671165466308E-4</c:v>
                </c:pt>
                <c:pt idx="17">
                  <c:v>5.4791264533996581E-3</c:v>
                </c:pt>
                <c:pt idx="18">
                  <c:v>7.1654319763183594E-2</c:v>
                </c:pt>
                <c:pt idx="19">
                  <c:v>0.20831297302246091</c:v>
                </c:pt>
                <c:pt idx="20">
                  <c:v>0.207651123046875</c:v>
                </c:pt>
                <c:pt idx="21">
                  <c:v>0.20692651367187501</c:v>
                </c:pt>
                <c:pt idx="22">
                  <c:v>0.2054373626708984</c:v>
                </c:pt>
                <c:pt idx="23">
                  <c:v>0.20390827941894532</c:v>
                </c:pt>
                <c:pt idx="24">
                  <c:v>0.20296116638183592</c:v>
                </c:pt>
                <c:pt idx="25">
                  <c:v>0.20200834655761718</c:v>
                </c:pt>
                <c:pt idx="26">
                  <c:v>0.20114678955078119</c:v>
                </c:pt>
                <c:pt idx="27">
                  <c:v>0.2002795562744141</c:v>
                </c:pt>
                <c:pt idx="28">
                  <c:v>0.19938948059082032</c:v>
                </c:pt>
                <c:pt idx="29">
                  <c:v>0.198505126953125</c:v>
                </c:pt>
                <c:pt idx="30">
                  <c:v>0.19685621643066409</c:v>
                </c:pt>
                <c:pt idx="31">
                  <c:v>0.19768353271484382</c:v>
                </c:pt>
                <c:pt idx="32">
                  <c:v>0.19499050903320309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9-4450-85B2-ED682D89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8594335"/>
        <c:axId val="1098594815"/>
      </c:barChart>
      <c:catAx>
        <c:axId val="109859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8594815"/>
        <c:crosses val="autoZero"/>
        <c:auto val="1"/>
        <c:lblAlgn val="ctr"/>
        <c:lblOffset val="100"/>
        <c:noMultiLvlLbl val="0"/>
      </c:catAx>
      <c:valAx>
        <c:axId val="10985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859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VITESSE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EPANET'!$DW$3</c:f>
              <c:strCache>
                <c:ptCount val="1"/>
                <c:pt idx="0">
                  <c:v>V_CALCULE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EPANET'!$DW$4:$DW$36</c:f>
              <c:numCache>
                <c:formatCode>General</c:formatCode>
                <c:ptCount val="33"/>
                <c:pt idx="0">
                  <c:v>5.2291949574447348E-2</c:v>
                </c:pt>
                <c:pt idx="1">
                  <c:v>5.2779813987028162E-2</c:v>
                </c:pt>
                <c:pt idx="2">
                  <c:v>5.1778201514103395E-2</c:v>
                </c:pt>
                <c:pt idx="3">
                  <c:v>7.2273257148721765E-2</c:v>
                </c:pt>
                <c:pt idx="4">
                  <c:v>3.9080075654466209E-2</c:v>
                </c:pt>
                <c:pt idx="5">
                  <c:v>3.9145914136398667E-2</c:v>
                </c:pt>
                <c:pt idx="6">
                  <c:v>3.8685295860055126E-2</c:v>
                </c:pt>
                <c:pt idx="7">
                  <c:v>3.7842796093226036E-2</c:v>
                </c:pt>
                <c:pt idx="8">
                  <c:v>1.5497922415547928E-2</c:v>
                </c:pt>
                <c:pt idx="9">
                  <c:v>1.4571775874656669E-2</c:v>
                </c:pt>
                <c:pt idx="10">
                  <c:v>1.1394601231569866E-2</c:v>
                </c:pt>
                <c:pt idx="11">
                  <c:v>9.6127151050648708E-3</c:v>
                </c:pt>
                <c:pt idx="12">
                  <c:v>9.571141999733997E-3</c:v>
                </c:pt>
                <c:pt idx="13">
                  <c:v>5.7884941291121454E-3</c:v>
                </c:pt>
                <c:pt idx="14">
                  <c:v>4.6306830990815763E-3</c:v>
                </c:pt>
                <c:pt idx="15">
                  <c:v>9.4351437479892682E-4</c:v>
                </c:pt>
                <c:pt idx="16">
                  <c:v>2.3339733714514385E-4</c:v>
                </c:pt>
                <c:pt idx="17">
                  <c:v>1.5488232357716443E-3</c:v>
                </c:pt>
                <c:pt idx="18">
                  <c:v>2.3182779535408194E-2</c:v>
                </c:pt>
                <c:pt idx="19">
                  <c:v>7.2676389346635381E-2</c:v>
                </c:pt>
                <c:pt idx="20">
                  <c:v>7.2890874517811524E-2</c:v>
                </c:pt>
                <c:pt idx="21">
                  <c:v>7.196455718606154E-2</c:v>
                </c:pt>
                <c:pt idx="22">
                  <c:v>7.1097933480804273E-2</c:v>
                </c:pt>
                <c:pt idx="23">
                  <c:v>7.0931432036886136E-2</c:v>
                </c:pt>
                <c:pt idx="24">
                  <c:v>7.0901829321802959E-2</c:v>
                </c:pt>
                <c:pt idx="25">
                  <c:v>7.1217286201261942E-2</c:v>
                </c:pt>
                <c:pt idx="26">
                  <c:v>7.0785234864318883E-2</c:v>
                </c:pt>
                <c:pt idx="27">
                  <c:v>6.9362626836594443E-2</c:v>
                </c:pt>
                <c:pt idx="28">
                  <c:v>6.8709040639926222E-2</c:v>
                </c:pt>
                <c:pt idx="29">
                  <c:v>6.8539521408188364E-2</c:v>
                </c:pt>
                <c:pt idx="30">
                  <c:v>6.9408001051031884E-2</c:v>
                </c:pt>
                <c:pt idx="31">
                  <c:v>6.8766812920489709E-2</c:v>
                </c:pt>
                <c:pt idx="32">
                  <c:v>6.8133489055310317E-2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7-4B9E-9F01-9D7FC95A3F83}"/>
            </c:ext>
          </c:extLst>
        </c:ser>
        <c:ser>
          <c:idx val="1"/>
          <c:order val="1"/>
          <c:tx>
            <c:strRef>
              <c:f>'COMPARAISON EPANET'!$DX$3</c:f>
              <c:strCache>
                <c:ptCount val="1"/>
                <c:pt idx="0">
                  <c:v>V_EPANET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EPANET'!$DX$4:$DX$36</c:f>
              <c:numCache>
                <c:formatCode>General</c:formatCode>
                <c:ptCount val="33"/>
                <c:pt idx="0">
                  <c:v>0.8629920482635498</c:v>
                </c:pt>
                <c:pt idx="1">
                  <c:v>0.85986387729644775</c:v>
                </c:pt>
                <c:pt idx="2">
                  <c:v>1.111897826194763</c:v>
                </c:pt>
                <c:pt idx="3">
                  <c:v>1.111897826194763</c:v>
                </c:pt>
                <c:pt idx="4">
                  <c:v>0.62524229288101196</c:v>
                </c:pt>
                <c:pt idx="5">
                  <c:v>0.6157185435295105</c:v>
                </c:pt>
                <c:pt idx="6">
                  <c:v>0.6094098687171936</c:v>
                </c:pt>
                <c:pt idx="7">
                  <c:v>0.60428404808044434</c:v>
                </c:pt>
                <c:pt idx="8">
                  <c:v>0.60428404808044434</c:v>
                </c:pt>
                <c:pt idx="9">
                  <c:v>0.90030515193939209</c:v>
                </c:pt>
                <c:pt idx="10">
                  <c:v>0.83479905128479004</c:v>
                </c:pt>
                <c:pt idx="11">
                  <c:v>0.76998990774154663</c:v>
                </c:pt>
                <c:pt idx="12">
                  <c:v>0.70012831687927246</c:v>
                </c:pt>
                <c:pt idx="13">
                  <c:v>0.56772243976593018</c:v>
                </c:pt>
                <c:pt idx="14">
                  <c:v>0.70702308416366577</c:v>
                </c:pt>
                <c:pt idx="15">
                  <c:v>0.36846232414245611</c:v>
                </c:pt>
                <c:pt idx="16">
                  <c:v>1.4942808076739309E-2</c:v>
                </c:pt>
                <c:pt idx="17">
                  <c:v>0.78284376859664917</c:v>
                </c:pt>
                <c:pt idx="18">
                  <c:v>0.58591687679290771</c:v>
                </c:pt>
                <c:pt idx="19">
                  <c:v>1.1073787212371831</c:v>
                </c:pt>
                <c:pt idx="20">
                  <c:v>1.1038602590560911</c:v>
                </c:pt>
                <c:pt idx="21">
                  <c:v>1.100008368492126</c:v>
                </c:pt>
                <c:pt idx="22">
                  <c:v>1.0920921564102171</c:v>
                </c:pt>
                <c:pt idx="23">
                  <c:v>1.0839636325836179</c:v>
                </c:pt>
                <c:pt idx="24">
                  <c:v>1.0789288282394409</c:v>
                </c:pt>
                <c:pt idx="25">
                  <c:v>1.073863625526428</c:v>
                </c:pt>
                <c:pt idx="26">
                  <c:v>1.069283723831177</c:v>
                </c:pt>
                <c:pt idx="27">
                  <c:v>1.064673542976379</c:v>
                </c:pt>
                <c:pt idx="28">
                  <c:v>1.0599420070648189</c:v>
                </c:pt>
                <c:pt idx="29">
                  <c:v>1.055240750312805</c:v>
                </c:pt>
                <c:pt idx="30">
                  <c:v>1.046475291252136</c:v>
                </c:pt>
                <c:pt idx="31">
                  <c:v>1.0508731603622441</c:v>
                </c:pt>
                <c:pt idx="32">
                  <c:v>1.0365573167800901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7-4B9E-9F01-9D7FC95A3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803135"/>
        <c:axId val="1025804095"/>
      </c:barChart>
      <c:catAx>
        <c:axId val="102580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5804095"/>
        <c:crosses val="autoZero"/>
        <c:auto val="1"/>
        <c:lblAlgn val="ctr"/>
        <c:lblOffset val="100"/>
        <c:noMultiLvlLbl val="0"/>
      </c:catAx>
      <c:valAx>
        <c:axId val="102580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580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PERTE_DE_CHARGE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EPANET'!$DY$3</c:f>
              <c:strCache>
                <c:ptCount val="1"/>
                <c:pt idx="0">
                  <c:v>|ΔH_i_CALCULER (m)|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EPANET'!$DY$4:$DY$36</c:f>
              <c:numCache>
                <c:formatCode>General</c:formatCode>
                <c:ptCount val="33"/>
                <c:pt idx="0">
                  <c:v>0.3321200561523438</c:v>
                </c:pt>
                <c:pt idx="1">
                  <c:v>0.33091619873046879</c:v>
                </c:pt>
                <c:pt idx="2">
                  <c:v>0.32929580688476562</c:v>
                </c:pt>
                <c:pt idx="3">
                  <c:v>0.20916310119628909</c:v>
                </c:pt>
                <c:pt idx="4">
                  <c:v>0.11761656188964839</c:v>
                </c:pt>
                <c:pt idx="5">
                  <c:v>0.1158250274658203</c:v>
                </c:pt>
                <c:pt idx="6">
                  <c:v>0.1146382675170898</c:v>
                </c:pt>
                <c:pt idx="7">
                  <c:v>0.1136740341186523</c:v>
                </c:pt>
                <c:pt idx="8">
                  <c:v>3.1258901596069338E-2</c:v>
                </c:pt>
                <c:pt idx="9">
                  <c:v>2.9484477996826169E-2</c:v>
                </c:pt>
                <c:pt idx="10">
                  <c:v>2.7339191436767583E-2</c:v>
                </c:pt>
                <c:pt idx="11">
                  <c:v>2.5216728210449218E-2</c:v>
                </c:pt>
                <c:pt idx="12">
                  <c:v>2.2928802490234379E-2</c:v>
                </c:pt>
                <c:pt idx="13">
                  <c:v>1.8592584609985353E-2</c:v>
                </c:pt>
                <c:pt idx="14">
                  <c:v>1.3583112716674799E-2</c:v>
                </c:pt>
                <c:pt idx="15">
                  <c:v>7.0787868499755857E-3</c:v>
                </c:pt>
                <c:pt idx="16">
                  <c:v>2.8707671165466308E-4</c:v>
                </c:pt>
                <c:pt idx="17">
                  <c:v>5.4791264533996581E-3</c:v>
                </c:pt>
                <c:pt idx="18">
                  <c:v>7.1654319763183594E-2</c:v>
                </c:pt>
                <c:pt idx="19">
                  <c:v>0.20831297302246091</c:v>
                </c:pt>
                <c:pt idx="20">
                  <c:v>0.207651123046875</c:v>
                </c:pt>
                <c:pt idx="21">
                  <c:v>0.20692651367187501</c:v>
                </c:pt>
                <c:pt idx="22">
                  <c:v>0.2054373626708984</c:v>
                </c:pt>
                <c:pt idx="23">
                  <c:v>0.20390827941894532</c:v>
                </c:pt>
                <c:pt idx="24">
                  <c:v>0.20296116638183592</c:v>
                </c:pt>
                <c:pt idx="25">
                  <c:v>0.20200834655761718</c:v>
                </c:pt>
                <c:pt idx="26">
                  <c:v>0.20114678955078119</c:v>
                </c:pt>
                <c:pt idx="27">
                  <c:v>0.2002795562744141</c:v>
                </c:pt>
                <c:pt idx="28">
                  <c:v>0.19938948059082032</c:v>
                </c:pt>
                <c:pt idx="29">
                  <c:v>0.198505126953125</c:v>
                </c:pt>
                <c:pt idx="30">
                  <c:v>0.19685621643066409</c:v>
                </c:pt>
                <c:pt idx="31">
                  <c:v>0.19768353271484382</c:v>
                </c:pt>
                <c:pt idx="32">
                  <c:v>0.19499050903320311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9-4A41-86D6-6C0331168B2F}"/>
            </c:ext>
          </c:extLst>
        </c:ser>
        <c:ser>
          <c:idx val="1"/>
          <c:order val="1"/>
          <c:tx>
            <c:strRef>
              <c:f>'COMPARAISON EPANET'!$DZ$3</c:f>
              <c:strCache>
                <c:ptCount val="1"/>
                <c:pt idx="0">
                  <c:v>|ΔH_i_EPANET (m)|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EPANET'!$DN$4:$DN$36</c:f>
              <c:strCache>
                <c:ptCount val="33"/>
                <c:pt idx="0">
                  <c:v>R3_N1</c:v>
                </c:pt>
                <c:pt idx="1">
                  <c:v>N1_N2</c:v>
                </c:pt>
                <c:pt idx="2">
                  <c:v>N2_N3</c:v>
                </c:pt>
                <c:pt idx="3">
                  <c:v>N3_N18</c:v>
                </c:pt>
                <c:pt idx="4">
                  <c:v>N3_N4</c:v>
                </c:pt>
                <c:pt idx="5">
                  <c:v>N4_N5</c:v>
                </c:pt>
                <c:pt idx="6">
                  <c:v>N5_N6</c:v>
                </c:pt>
                <c:pt idx="7">
                  <c:v>N6_N7</c:v>
                </c:pt>
                <c:pt idx="8">
                  <c:v>N7_N8</c:v>
                </c:pt>
                <c:pt idx="9">
                  <c:v>N8_N9</c:v>
                </c:pt>
                <c:pt idx="10">
                  <c:v>N9_N10</c:v>
                </c:pt>
                <c:pt idx="11">
                  <c:v>N10_N11</c:v>
                </c:pt>
                <c:pt idx="12">
                  <c:v>N11_N12</c:v>
                </c:pt>
                <c:pt idx="13">
                  <c:v>N12_N13</c:v>
                </c:pt>
                <c:pt idx="14">
                  <c:v>N13_N14</c:v>
                </c:pt>
                <c:pt idx="15">
                  <c:v>N14_N15</c:v>
                </c:pt>
                <c:pt idx="16">
                  <c:v>N15_N16</c:v>
                </c:pt>
                <c:pt idx="17">
                  <c:v>N16_N17</c:v>
                </c:pt>
                <c:pt idx="18">
                  <c:v>N31_N17</c:v>
                </c:pt>
                <c:pt idx="19">
                  <c:v>N18_N19</c:v>
                </c:pt>
                <c:pt idx="20">
                  <c:v>N19_N20</c:v>
                </c:pt>
                <c:pt idx="21">
                  <c:v>N20_N21</c:v>
                </c:pt>
                <c:pt idx="22">
                  <c:v>N21_N22</c:v>
                </c:pt>
                <c:pt idx="23">
                  <c:v>N22_N23</c:v>
                </c:pt>
                <c:pt idx="24">
                  <c:v>N23_N24</c:v>
                </c:pt>
                <c:pt idx="25">
                  <c:v>N24_N25</c:v>
                </c:pt>
                <c:pt idx="26">
                  <c:v>N25_N26</c:v>
                </c:pt>
                <c:pt idx="27">
                  <c:v>N26_N27</c:v>
                </c:pt>
                <c:pt idx="28">
                  <c:v>N27_N28</c:v>
                </c:pt>
                <c:pt idx="29">
                  <c:v>N28_N196</c:v>
                </c:pt>
                <c:pt idx="30">
                  <c:v>N29_N30</c:v>
                </c:pt>
                <c:pt idx="31">
                  <c:v>N196_N29</c:v>
                </c:pt>
                <c:pt idx="32">
                  <c:v>N30_N31</c:v>
                </c:pt>
              </c:strCache>
            </c:strRef>
          </c:cat>
          <c:val>
            <c:numRef>
              <c:f>'COMPARAISON EPANET'!$DZ$4:$DZ$36</c:f>
              <c:numCache>
                <c:formatCode>General</c:formatCode>
                <c:ptCount val="33"/>
                <c:pt idx="0">
                  <c:v>0.61288028955459595</c:v>
                </c:pt>
                <c:pt idx="1">
                  <c:v>0.60834449529647827</c:v>
                </c:pt>
                <c:pt idx="2">
                  <c:v>1.6392097473144529</c:v>
                </c:pt>
                <c:pt idx="3">
                  <c:v>1.6392097473144529</c:v>
                </c:pt>
                <c:pt idx="4">
                  <c:v>0.51831406354904175</c:v>
                </c:pt>
                <c:pt idx="5">
                  <c:v>0.50261640548706055</c:v>
                </c:pt>
                <c:pt idx="6">
                  <c:v>0.49247503280639648</c:v>
                </c:pt>
                <c:pt idx="7">
                  <c:v>0.48410746455192571</c:v>
                </c:pt>
                <c:pt idx="8">
                  <c:v>0.48410746455192571</c:v>
                </c:pt>
                <c:pt idx="9">
                  <c:v>3.4458379745483398</c:v>
                </c:pt>
                <c:pt idx="10">
                  <c:v>2.962649822235107</c:v>
                </c:pt>
                <c:pt idx="11">
                  <c:v>2.520509004592896</c:v>
                </c:pt>
                <c:pt idx="12">
                  <c:v>2.0838885307312012</c:v>
                </c:pt>
                <c:pt idx="13">
                  <c:v>1.370203018188477</c:v>
                </c:pt>
                <c:pt idx="14">
                  <c:v>3.0322895050048828</c:v>
                </c:pt>
                <c:pt idx="15">
                  <c:v>0.82355314493179321</c:v>
                </c:pt>
                <c:pt idx="16">
                  <c:v>1.3604548294097189E-3</c:v>
                </c:pt>
                <c:pt idx="17">
                  <c:v>7.2867250442504883</c:v>
                </c:pt>
                <c:pt idx="18">
                  <c:v>0.60648518800735474</c:v>
                </c:pt>
                <c:pt idx="19">
                  <c:v>1.6258871555328369</c:v>
                </c:pt>
                <c:pt idx="20">
                  <c:v>1.615462183952332</c:v>
                </c:pt>
                <c:pt idx="21">
                  <c:v>1.60430920124054</c:v>
                </c:pt>
                <c:pt idx="22">
                  <c:v>1.581346750259399</c:v>
                </c:pt>
                <c:pt idx="23">
                  <c:v>1.557793021202087</c:v>
                </c:pt>
                <c:pt idx="24">
                  <c:v>1.5434252023696899</c:v>
                </c:pt>
                <c:pt idx="25">
                  <c:v>1.528945326805115</c:v>
                </c:pt>
                <c:pt idx="26">
                  <c:v>1.516027569770813</c:v>
                </c:pt>
                <c:pt idx="27">
                  <c:v>1.5028266906738279</c:v>
                </c:pt>
                <c:pt idx="28">
                  <c:v>1.4895554780960081</c:v>
                </c:pt>
                <c:pt idx="29">
                  <c:v>1.4764517545700071</c:v>
                </c:pt>
                <c:pt idx="30">
                  <c:v>1.4519786834716799</c:v>
                </c:pt>
                <c:pt idx="31">
                  <c:v>1.464150547981262</c:v>
                </c:pt>
                <c:pt idx="32">
                  <c:v>1.4245868921279909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9-4A41-86D6-6C0331168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66880"/>
        <c:axId val="160895680"/>
      </c:barChart>
      <c:catAx>
        <c:axId val="1608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895680"/>
        <c:crosses val="autoZero"/>
        <c:auto val="1"/>
        <c:lblAlgn val="ctr"/>
        <c:lblOffset val="100"/>
        <c:noMultiLvlLbl val="0"/>
      </c:catAx>
      <c:valAx>
        <c:axId val="1608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8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'COMPARAISON EPANET'!$EA$3</c:f>
              <c:strCache>
                <c:ptCount val="1"/>
                <c:pt idx="0">
                  <c:v>P_CALCULE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'COMPARAISON EPANET'!$DP$4:$DP$36</c:f>
              <c:strCache>
                <c:ptCount val="33"/>
                <c:pt idx="0">
                  <c:v>N1</c:v>
                </c:pt>
                <c:pt idx="1">
                  <c:v>N2</c:v>
                </c:pt>
                <c:pt idx="2">
                  <c:v>N3</c:v>
                </c:pt>
                <c:pt idx="3">
                  <c:v>N3</c:v>
                </c:pt>
                <c:pt idx="4">
                  <c:v>N4</c:v>
                </c:pt>
                <c:pt idx="5">
                  <c:v>N5</c:v>
                </c:pt>
                <c:pt idx="6">
                  <c:v>N6</c:v>
                </c:pt>
                <c:pt idx="7">
                  <c:v>N7</c:v>
                </c:pt>
                <c:pt idx="8">
                  <c:v>N7</c:v>
                </c:pt>
                <c:pt idx="9">
                  <c:v>N8</c:v>
                </c:pt>
                <c:pt idx="10">
                  <c:v>N9</c:v>
                </c:pt>
                <c:pt idx="11">
                  <c:v>N10</c:v>
                </c:pt>
                <c:pt idx="12">
                  <c:v>N11</c:v>
                </c:pt>
                <c:pt idx="13">
                  <c:v>N12</c:v>
                </c:pt>
                <c:pt idx="14">
                  <c:v>N13</c:v>
                </c:pt>
                <c:pt idx="15">
                  <c:v>N14</c:v>
                </c:pt>
                <c:pt idx="16">
                  <c:v>N15</c:v>
                </c:pt>
                <c:pt idx="17">
                  <c:v>N16</c:v>
                </c:pt>
                <c:pt idx="18">
                  <c:v>N17</c:v>
                </c:pt>
                <c:pt idx="19">
                  <c:v>N18</c:v>
                </c:pt>
                <c:pt idx="20">
                  <c:v>N19</c:v>
                </c:pt>
                <c:pt idx="21">
                  <c:v>N20</c:v>
                </c:pt>
                <c:pt idx="22">
                  <c:v>N21</c:v>
                </c:pt>
                <c:pt idx="23">
                  <c:v>N22</c:v>
                </c:pt>
                <c:pt idx="24">
                  <c:v>N23</c:v>
                </c:pt>
                <c:pt idx="25">
                  <c:v>N24</c:v>
                </c:pt>
                <c:pt idx="26">
                  <c:v>N25</c:v>
                </c:pt>
                <c:pt idx="27">
                  <c:v>N26</c:v>
                </c:pt>
                <c:pt idx="28">
                  <c:v>N27</c:v>
                </c:pt>
                <c:pt idx="29">
                  <c:v>N28</c:v>
                </c:pt>
                <c:pt idx="30">
                  <c:v>N29</c:v>
                </c:pt>
                <c:pt idx="31">
                  <c:v>N196</c:v>
                </c:pt>
                <c:pt idx="32">
                  <c:v>N30</c:v>
                </c:pt>
              </c:strCache>
            </c:strRef>
          </c:cat>
          <c:val>
            <c:numRef>
              <c:f>'COMPARAISON EPANET'!$EA$4:$EA$36</c:f>
              <c:numCache>
                <c:formatCode>General</c:formatCode>
                <c:ptCount val="33"/>
                <c:pt idx="0">
                  <c:v>22.206922716379164</c:v>
                </c:pt>
                <c:pt idx="1">
                  <c:v>17.876006517648698</c:v>
                </c:pt>
                <c:pt idx="2">
                  <c:v>20.546710710763932</c:v>
                </c:pt>
                <c:pt idx="3">
                  <c:v>20.337547609567643</c:v>
                </c:pt>
                <c:pt idx="4">
                  <c:v>17.219931047677992</c:v>
                </c:pt>
                <c:pt idx="5">
                  <c:v>14.104106020212173</c:v>
                </c:pt>
                <c:pt idx="6">
                  <c:v>14.989467752695084</c:v>
                </c:pt>
                <c:pt idx="7">
                  <c:v>16.875793718576432</c:v>
                </c:pt>
                <c:pt idx="8">
                  <c:v>16.84453481698036</c:v>
                </c:pt>
                <c:pt idx="9">
                  <c:v>15.815050338983536</c:v>
                </c:pt>
                <c:pt idx="10">
                  <c:v>17.787711147546769</c:v>
                </c:pt>
                <c:pt idx="11">
                  <c:v>16.762494419336321</c:v>
                </c:pt>
                <c:pt idx="12">
                  <c:v>15.739565616846084</c:v>
                </c:pt>
                <c:pt idx="13">
                  <c:v>18.720973032236099</c:v>
                </c:pt>
                <c:pt idx="14">
                  <c:v>19.707389919519425</c:v>
                </c:pt>
                <c:pt idx="15">
                  <c:v>17.700311132669448</c:v>
                </c:pt>
                <c:pt idx="16">
                  <c:v>23.700024055957794</c:v>
                </c:pt>
                <c:pt idx="17">
                  <c:v>24.694544929504396</c:v>
                </c:pt>
                <c:pt idx="18">
                  <c:v>15.62289060974121</c:v>
                </c:pt>
                <c:pt idx="19">
                  <c:v>20.41457763671875</c:v>
                </c:pt>
                <c:pt idx="20">
                  <c:v>18.206926513671874</c:v>
                </c:pt>
                <c:pt idx="21">
                  <c:v>10</c:v>
                </c:pt>
                <c:pt idx="22">
                  <c:v>18.794562637329101</c:v>
                </c:pt>
                <c:pt idx="23">
                  <c:v>20.590654357910154</c:v>
                </c:pt>
                <c:pt idx="24">
                  <c:v>19.387693191528321</c:v>
                </c:pt>
                <c:pt idx="25">
                  <c:v>13.185684844970702</c:v>
                </c:pt>
                <c:pt idx="26">
                  <c:v>21.984538055419922</c:v>
                </c:pt>
                <c:pt idx="27">
                  <c:v>17.784258499145508</c:v>
                </c:pt>
                <c:pt idx="28">
                  <c:v>10.584869018554686</c:v>
                </c:pt>
                <c:pt idx="29">
                  <c:v>18.386363891601562</c:v>
                </c:pt>
                <c:pt idx="30">
                  <c:v>14.189507675170898</c:v>
                </c:pt>
                <c:pt idx="31">
                  <c:v>16.991824142456053</c:v>
                </c:pt>
                <c:pt idx="32">
                  <c:v>14.796833633422851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E-4D9C-9ECD-3318D0D53740}"/>
            </c:ext>
          </c:extLst>
        </c:ser>
        <c:ser>
          <c:idx val="1"/>
          <c:order val="1"/>
          <c:tx>
            <c:strRef>
              <c:f>'COMPARAISON EPANET'!$EB$3</c:f>
              <c:strCache>
                <c:ptCount val="1"/>
                <c:pt idx="0">
                  <c:v>P_EPANET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'COMPARAISON EPANET'!$DP$4:$DP$36</c:f>
              <c:strCache>
                <c:ptCount val="33"/>
                <c:pt idx="0">
                  <c:v>N1</c:v>
                </c:pt>
                <c:pt idx="1">
                  <c:v>N2</c:v>
                </c:pt>
                <c:pt idx="2">
                  <c:v>N3</c:v>
                </c:pt>
                <c:pt idx="3">
                  <c:v>N3</c:v>
                </c:pt>
                <c:pt idx="4">
                  <c:v>N4</c:v>
                </c:pt>
                <c:pt idx="5">
                  <c:v>N5</c:v>
                </c:pt>
                <c:pt idx="6">
                  <c:v>N6</c:v>
                </c:pt>
                <c:pt idx="7">
                  <c:v>N7</c:v>
                </c:pt>
                <c:pt idx="8">
                  <c:v>N7</c:v>
                </c:pt>
                <c:pt idx="9">
                  <c:v>N8</c:v>
                </c:pt>
                <c:pt idx="10">
                  <c:v>N9</c:v>
                </c:pt>
                <c:pt idx="11">
                  <c:v>N10</c:v>
                </c:pt>
                <c:pt idx="12">
                  <c:v>N11</c:v>
                </c:pt>
                <c:pt idx="13">
                  <c:v>N12</c:v>
                </c:pt>
                <c:pt idx="14">
                  <c:v>N13</c:v>
                </c:pt>
                <c:pt idx="15">
                  <c:v>N14</c:v>
                </c:pt>
                <c:pt idx="16">
                  <c:v>N15</c:v>
                </c:pt>
                <c:pt idx="17">
                  <c:v>N16</c:v>
                </c:pt>
                <c:pt idx="18">
                  <c:v>N17</c:v>
                </c:pt>
                <c:pt idx="19">
                  <c:v>N18</c:v>
                </c:pt>
                <c:pt idx="20">
                  <c:v>N19</c:v>
                </c:pt>
                <c:pt idx="21">
                  <c:v>N20</c:v>
                </c:pt>
                <c:pt idx="22">
                  <c:v>N21</c:v>
                </c:pt>
                <c:pt idx="23">
                  <c:v>N22</c:v>
                </c:pt>
                <c:pt idx="24">
                  <c:v>N23</c:v>
                </c:pt>
                <c:pt idx="25">
                  <c:v>N24</c:v>
                </c:pt>
                <c:pt idx="26">
                  <c:v>N25</c:v>
                </c:pt>
                <c:pt idx="27">
                  <c:v>N26</c:v>
                </c:pt>
                <c:pt idx="28">
                  <c:v>N27</c:v>
                </c:pt>
                <c:pt idx="29">
                  <c:v>N28</c:v>
                </c:pt>
                <c:pt idx="30">
                  <c:v>N29</c:v>
                </c:pt>
                <c:pt idx="31">
                  <c:v>N196</c:v>
                </c:pt>
                <c:pt idx="32">
                  <c:v>N30</c:v>
                </c:pt>
              </c:strCache>
            </c:strRef>
          </c:cat>
          <c:val>
            <c:numRef>
              <c:f>'COMPARAISON EPANET'!$EB$4:$EB$36</c:f>
              <c:numCache>
                <c:formatCode>General</c:formatCode>
                <c:ptCount val="33"/>
                <c:pt idx="0">
                  <c:v>69.97137451171875</c:v>
                </c:pt>
                <c:pt idx="1">
                  <c:v>65.900077819824219</c:v>
                </c:pt>
                <c:pt idx="2">
                  <c:v>68.799537658691406</c:v>
                </c:pt>
                <c:pt idx="3">
                  <c:v>68.799537658691406</c:v>
                </c:pt>
                <c:pt idx="4">
                  <c:v>65.705513000488281</c:v>
                </c:pt>
                <c:pt idx="5">
                  <c:v>62.638618469238281</c:v>
                </c:pt>
                <c:pt idx="6">
                  <c:v>63.601482391357422</c:v>
                </c:pt>
                <c:pt idx="7">
                  <c:v>65.5560302734375</c:v>
                </c:pt>
                <c:pt idx="8">
                  <c:v>65.5560302734375</c:v>
                </c:pt>
                <c:pt idx="9">
                  <c:v>64.040130615234375</c:v>
                </c:pt>
                <c:pt idx="10">
                  <c:v>65.427810668945313</c:v>
                </c:pt>
                <c:pt idx="11">
                  <c:v>63.841499328613281</c:v>
                </c:pt>
                <c:pt idx="12">
                  <c:v>62.402931213378913</c:v>
                </c:pt>
                <c:pt idx="13">
                  <c:v>64.929473876953125</c:v>
                </c:pt>
                <c:pt idx="14">
                  <c:v>65.199150085449219</c:v>
                </c:pt>
                <c:pt idx="15">
                  <c:v>62.1527099609375</c:v>
                </c:pt>
                <c:pt idx="16">
                  <c:v>67.498146057128906</c:v>
                </c:pt>
                <c:pt idx="17">
                  <c:v>68.498825073242188</c:v>
                </c:pt>
                <c:pt idx="18">
                  <c:v>62.517715454101563</c:v>
                </c:pt>
                <c:pt idx="19">
                  <c:v>69.647087097167969</c:v>
                </c:pt>
                <c:pt idx="20">
                  <c:v>67.556526184082031</c:v>
                </c:pt>
                <c:pt idx="21">
                  <c:v>59.459762573242188</c:v>
                </c:pt>
                <c:pt idx="22">
                  <c:v>68.352752685546875</c:v>
                </c:pt>
                <c:pt idx="23">
                  <c:v>70.045814514160156</c:v>
                </c:pt>
                <c:pt idx="24">
                  <c:v>68.9305419921875</c:v>
                </c:pt>
                <c:pt idx="25">
                  <c:v>62.78839111328125</c:v>
                </c:pt>
                <c:pt idx="26">
                  <c:v>71.674026489257813</c:v>
                </c:pt>
                <c:pt idx="27">
                  <c:v>67.55865478515625</c:v>
                </c:pt>
                <c:pt idx="28">
                  <c:v>60.444290161132813</c:v>
                </c:pt>
                <c:pt idx="29">
                  <c:v>68.324676513671875</c:v>
                </c:pt>
                <c:pt idx="30">
                  <c:v>64.113357543945313</c:v>
                </c:pt>
                <c:pt idx="31">
                  <c:v>67.214385986328125</c:v>
                </c:pt>
                <c:pt idx="32">
                  <c:v>65.00286865234375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E-4D9C-9ECD-3318D0D53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98560"/>
        <c:axId val="160897120"/>
      </c:barChart>
      <c:catAx>
        <c:axId val="16089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897120"/>
        <c:crosses val="autoZero"/>
        <c:auto val="1"/>
        <c:lblAlgn val="ctr"/>
        <c:lblOffset val="100"/>
        <c:noMultiLvlLbl val="0"/>
      </c:catAx>
      <c:valAx>
        <c:axId val="1608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89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713153</xdr:colOff>
      <xdr:row>12</xdr:row>
      <xdr:rowOff>117229</xdr:rowOff>
    </xdr:from>
    <xdr:to>
      <xdr:col>61</xdr:col>
      <xdr:colOff>46080</xdr:colOff>
      <xdr:row>35</xdr:row>
      <xdr:rowOff>68383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E250567-AEC1-4C95-84E7-8E9E46C8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6553" y="2123829"/>
          <a:ext cx="10712127" cy="4516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1</xdr:row>
      <xdr:rowOff>114300</xdr:rowOff>
    </xdr:from>
    <xdr:to>
      <xdr:col>2</xdr:col>
      <xdr:colOff>549067</xdr:colOff>
      <xdr:row>7</xdr:row>
      <xdr:rowOff>57019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226A616-715D-A508-E5E9-5B317BAE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298450"/>
          <a:ext cx="1666667" cy="10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412750</xdr:colOff>
      <xdr:row>17</xdr:row>
      <xdr:rowOff>177800</xdr:rowOff>
    </xdr:from>
    <xdr:to>
      <xdr:col>3</xdr:col>
      <xdr:colOff>234950</xdr:colOff>
      <xdr:row>21</xdr:row>
      <xdr:rowOff>166974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3974BB64-395E-9A54-4C11-4294BC99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" y="3308350"/>
          <a:ext cx="2108200" cy="72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6350</xdr:rowOff>
    </xdr:from>
    <xdr:to>
      <xdr:col>5</xdr:col>
      <xdr:colOff>241300</xdr:colOff>
      <xdr:row>15</xdr:row>
      <xdr:rowOff>142448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75F7EA93-470C-C9B4-B634-AA682758B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3700"/>
          <a:ext cx="4051300" cy="124099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21</xdr:row>
      <xdr:rowOff>120650</xdr:rowOff>
    </xdr:from>
    <xdr:to>
      <xdr:col>3</xdr:col>
      <xdr:colOff>428065</xdr:colOff>
      <xdr:row>26</xdr:row>
      <xdr:rowOff>152400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B64A903-1E37-371C-CDB5-AC25FF04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1" y="3987800"/>
          <a:ext cx="2409264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27</xdr:row>
      <xdr:rowOff>120650</xdr:rowOff>
    </xdr:from>
    <xdr:to>
      <xdr:col>3</xdr:col>
      <xdr:colOff>660401</xdr:colOff>
      <xdr:row>33</xdr:row>
      <xdr:rowOff>56330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30BFA509-07EC-CB2B-2E6A-526182D8D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1" y="5092700"/>
          <a:ext cx="2940050" cy="10405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34</xdr:row>
      <xdr:rowOff>158751</xdr:rowOff>
    </xdr:from>
    <xdr:to>
      <xdr:col>4</xdr:col>
      <xdr:colOff>6350</xdr:colOff>
      <xdr:row>38</xdr:row>
      <xdr:rowOff>54681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F568CA14-A92B-18B3-E502-13BEB726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" y="6419851"/>
          <a:ext cx="2990850" cy="632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</xdr:row>
      <xdr:rowOff>19050</xdr:rowOff>
    </xdr:from>
    <xdr:to>
      <xdr:col>3</xdr:col>
      <xdr:colOff>3714750</xdr:colOff>
      <xdr:row>4</xdr:row>
      <xdr:rowOff>12700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52826748-1D30-9A44-E669-E219D538F090}"/>
            </a:ext>
          </a:extLst>
        </xdr:cNvPr>
        <xdr:cNvSpPr txBox="1"/>
      </xdr:nvSpPr>
      <xdr:spPr>
        <a:xfrm>
          <a:off x="622300" y="203200"/>
          <a:ext cx="6997700" cy="54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Puissance_max_groupe = (2 * 9.81 * Qadd(m^3/s) * HMT(m)) / (Rendement_pompe_NP% * Rendement_moteur_NM% * Facteur_puissance_Cos_phi)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473074</xdr:colOff>
      <xdr:row>73</xdr:row>
      <xdr:rowOff>180974</xdr:rowOff>
    </xdr:from>
    <xdr:to>
      <xdr:col>8</xdr:col>
      <xdr:colOff>222250</xdr:colOff>
      <xdr:row>98</xdr:row>
      <xdr:rowOff>165100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908833E-BB04-9DA0-E19A-9D9812852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504824</xdr:colOff>
      <xdr:row>99</xdr:row>
      <xdr:rowOff>98424</xdr:rowOff>
    </xdr:from>
    <xdr:to>
      <xdr:col>8</xdr:col>
      <xdr:colOff>215899</xdr:colOff>
      <xdr:row>123</xdr:row>
      <xdr:rowOff>139699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126FA28-53B2-CA85-9282-224079173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403224</xdr:colOff>
      <xdr:row>74</xdr:row>
      <xdr:rowOff>9524</xdr:rowOff>
    </xdr:from>
    <xdr:to>
      <xdr:col>13</xdr:col>
      <xdr:colOff>1073149</xdr:colOff>
      <xdr:row>98</xdr:row>
      <xdr:rowOff>171449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7F77FB4-CD12-3CE9-41F8-F3B6B2019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422274</xdr:colOff>
      <xdr:row>99</xdr:row>
      <xdr:rowOff>123824</xdr:rowOff>
    </xdr:from>
    <xdr:to>
      <xdr:col>13</xdr:col>
      <xdr:colOff>1143000</xdr:colOff>
      <xdr:row>123</xdr:row>
      <xdr:rowOff>139700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F009673-5194-A1F9-49D3-79A700EFF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504824</xdr:colOff>
      <xdr:row>124</xdr:row>
      <xdr:rowOff>111124</xdr:rowOff>
    </xdr:from>
    <xdr:to>
      <xdr:col>8</xdr:col>
      <xdr:colOff>203199</xdr:colOff>
      <xdr:row>147</xdr:row>
      <xdr:rowOff>184149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70757D01-3F6A-91A4-D99D-17FC5CA8F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412750</xdr:colOff>
      <xdr:row>124</xdr:row>
      <xdr:rowOff>123824</xdr:rowOff>
    </xdr:from>
    <xdr:to>
      <xdr:col>13</xdr:col>
      <xdr:colOff>1098550</xdr:colOff>
      <xdr:row>148</xdr:row>
      <xdr:rowOff>44449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EBABE5AD-45AE-152B-566D-4E0B7239F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193675</xdr:colOff>
      <xdr:row>74</xdr:row>
      <xdr:rowOff>66675</xdr:rowOff>
    </xdr:from>
    <xdr:to>
      <xdr:col>25</xdr:col>
      <xdr:colOff>876301</xdr:colOff>
      <xdr:row>97</xdr:row>
      <xdr:rowOff>133351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8AC59DAE-6D48-CF70-3A6F-576688EA9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196850</xdr:colOff>
      <xdr:row>98</xdr:row>
      <xdr:rowOff>79374</xdr:rowOff>
    </xdr:from>
    <xdr:to>
      <xdr:col>25</xdr:col>
      <xdr:colOff>895350</xdr:colOff>
      <xdr:row>119</xdr:row>
      <xdr:rowOff>19049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37D34603-33CD-3C57-5B44-EF1C3A84B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120650</xdr:colOff>
      <xdr:row>74</xdr:row>
      <xdr:rowOff>41274</xdr:rowOff>
    </xdr:from>
    <xdr:to>
      <xdr:col>32</xdr:col>
      <xdr:colOff>285750</xdr:colOff>
      <xdr:row>97</xdr:row>
      <xdr:rowOff>139700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CAE040EE-BE90-2694-4780-9D14CB9A6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98</xdr:row>
      <xdr:rowOff>73024</xdr:rowOff>
    </xdr:from>
    <xdr:to>
      <xdr:col>32</xdr:col>
      <xdr:colOff>311150</xdr:colOff>
      <xdr:row>118</xdr:row>
      <xdr:rowOff>44450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AACD0427-8AF2-A394-C433-0909F3D37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184150</xdr:colOff>
      <xdr:row>120</xdr:row>
      <xdr:rowOff>47624</xdr:rowOff>
    </xdr:from>
    <xdr:to>
      <xdr:col>25</xdr:col>
      <xdr:colOff>895350</xdr:colOff>
      <xdr:row>142</xdr:row>
      <xdr:rowOff>152399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D369AB0D-0A4C-EE70-3273-666E60A57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120650</xdr:colOff>
      <xdr:row>120</xdr:row>
      <xdr:rowOff>9524</xdr:rowOff>
    </xdr:from>
    <xdr:to>
      <xdr:col>32</xdr:col>
      <xdr:colOff>368300</xdr:colOff>
      <xdr:row>142</xdr:row>
      <xdr:rowOff>158749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A7AF26F3-359F-3D40-EE70-857940133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330200</xdr:colOff>
      <xdr:row>40</xdr:row>
      <xdr:rowOff>130175</xdr:rowOff>
    </xdr:from>
    <xdr:to>
      <xdr:col>45</xdr:col>
      <xdr:colOff>0</xdr:colOff>
      <xdr:row>63</xdr:row>
      <xdr:rowOff>114301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1D704B08-617E-3DC7-0798-EECF31D70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336550</xdr:colOff>
      <xdr:row>66</xdr:row>
      <xdr:rowOff>79374</xdr:rowOff>
    </xdr:from>
    <xdr:to>
      <xdr:col>45</xdr:col>
      <xdr:colOff>12700</xdr:colOff>
      <xdr:row>88</xdr:row>
      <xdr:rowOff>57150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639B62A5-1C23-2E33-231E-1EE37CF47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311150</xdr:colOff>
      <xdr:row>90</xdr:row>
      <xdr:rowOff>41275</xdr:rowOff>
    </xdr:from>
    <xdr:to>
      <xdr:col>45</xdr:col>
      <xdr:colOff>25400</xdr:colOff>
      <xdr:row>112</xdr:row>
      <xdr:rowOff>158751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4885120B-D0A9-203F-896A-46BD92856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45</xdr:col>
      <xdr:colOff>552450</xdr:colOff>
      <xdr:row>40</xdr:row>
      <xdr:rowOff>104775</xdr:rowOff>
    </xdr:from>
    <xdr:to>
      <xdr:col>51</xdr:col>
      <xdr:colOff>501650</xdr:colOff>
      <xdr:row>63</xdr:row>
      <xdr:rowOff>31751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7D9F0AD2-5C53-3585-FB3C-2593B2F30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508000</xdr:colOff>
      <xdr:row>66</xdr:row>
      <xdr:rowOff>41274</xdr:rowOff>
    </xdr:from>
    <xdr:to>
      <xdr:col>51</xdr:col>
      <xdr:colOff>577850</xdr:colOff>
      <xdr:row>88</xdr:row>
      <xdr:rowOff>76199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3F604E47-9EE0-613D-6A51-D3BEB48D5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45</xdr:col>
      <xdr:colOff>514350</xdr:colOff>
      <xdr:row>90</xdr:row>
      <xdr:rowOff>28574</xdr:rowOff>
    </xdr:from>
    <xdr:to>
      <xdr:col>51</xdr:col>
      <xdr:colOff>488950</xdr:colOff>
      <xdr:row>112</xdr:row>
      <xdr:rowOff>146049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F13E119B-3A97-2274-8EA8-4687AC9D1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171450</xdr:colOff>
      <xdr:row>56</xdr:row>
      <xdr:rowOff>98424</xdr:rowOff>
    </xdr:from>
    <xdr:to>
      <xdr:col>65</xdr:col>
      <xdr:colOff>641350</xdr:colOff>
      <xdr:row>79</xdr:row>
      <xdr:rowOff>120649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7C0C22D6-356E-253D-3076-FE3939780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177800</xdr:colOff>
      <xdr:row>80</xdr:row>
      <xdr:rowOff>85724</xdr:rowOff>
    </xdr:from>
    <xdr:to>
      <xdr:col>65</xdr:col>
      <xdr:colOff>673100</xdr:colOff>
      <xdr:row>103</xdr:row>
      <xdr:rowOff>165100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691C8F22-C62E-B8B1-369E-2D64294CF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184150</xdr:colOff>
      <xdr:row>104</xdr:row>
      <xdr:rowOff>155574</xdr:rowOff>
    </xdr:from>
    <xdr:to>
      <xdr:col>65</xdr:col>
      <xdr:colOff>673100</xdr:colOff>
      <xdr:row>125</xdr:row>
      <xdr:rowOff>50799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DB9635D0-943A-5A3F-16D0-155C6A400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66</xdr:col>
      <xdr:colOff>279400</xdr:colOff>
      <xdr:row>56</xdr:row>
      <xdr:rowOff>85724</xdr:rowOff>
    </xdr:from>
    <xdr:to>
      <xdr:col>72</xdr:col>
      <xdr:colOff>12700</xdr:colOff>
      <xdr:row>79</xdr:row>
      <xdr:rowOff>114299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0F7949F0-3E0A-C72F-FBD0-05197134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66</xdr:col>
      <xdr:colOff>311150</xdr:colOff>
      <xdr:row>79</xdr:row>
      <xdr:rowOff>174624</xdr:rowOff>
    </xdr:from>
    <xdr:to>
      <xdr:col>71</xdr:col>
      <xdr:colOff>908050</xdr:colOff>
      <xdr:row>103</xdr:row>
      <xdr:rowOff>177799</xdr:rowOff>
    </xdr:to>
    <xdr:graphicFrame macro="">
      <xdr:nvGraphicFramePr>
        <xdr:cNvPr id="30" name="Graphique 29">
          <a:extLst>
            <a:ext uri="{FF2B5EF4-FFF2-40B4-BE49-F238E27FC236}">
              <a16:creationId xmlns:a16="http://schemas.microsoft.com/office/drawing/2014/main" id="{FE9715F9-E375-4BDE-E89D-7CF99CBE6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66</xdr:col>
      <xdr:colOff>285750</xdr:colOff>
      <xdr:row>104</xdr:row>
      <xdr:rowOff>149224</xdr:rowOff>
    </xdr:from>
    <xdr:to>
      <xdr:col>71</xdr:col>
      <xdr:colOff>895350</xdr:colOff>
      <xdr:row>125</xdr:row>
      <xdr:rowOff>69849</xdr:rowOff>
    </xdr:to>
    <xdr:graphicFrame macro="">
      <xdr:nvGraphicFramePr>
        <xdr:cNvPr id="31" name="Graphique 30">
          <a:extLst>
            <a:ext uri="{FF2B5EF4-FFF2-40B4-BE49-F238E27FC236}">
              <a16:creationId xmlns:a16="http://schemas.microsoft.com/office/drawing/2014/main" id="{5490D17B-F757-5BD5-FE59-B1FFD524E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79</xdr:col>
      <xdr:colOff>63500</xdr:colOff>
      <xdr:row>45</xdr:row>
      <xdr:rowOff>9524</xdr:rowOff>
    </xdr:from>
    <xdr:to>
      <xdr:col>86</xdr:col>
      <xdr:colOff>736600</xdr:colOff>
      <xdr:row>67</xdr:row>
      <xdr:rowOff>114299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7F8C5FCE-958F-B2E3-6BBC-63D1BBCE5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79</xdr:col>
      <xdr:colOff>57150</xdr:colOff>
      <xdr:row>70</xdr:row>
      <xdr:rowOff>104774</xdr:rowOff>
    </xdr:from>
    <xdr:to>
      <xdr:col>86</xdr:col>
      <xdr:colOff>742950</xdr:colOff>
      <xdr:row>91</xdr:row>
      <xdr:rowOff>19049</xdr:rowOff>
    </xdr:to>
    <xdr:graphicFrame macro="">
      <xdr:nvGraphicFramePr>
        <xdr:cNvPr id="33" name="Graphique 32">
          <a:extLst>
            <a:ext uri="{FF2B5EF4-FFF2-40B4-BE49-F238E27FC236}">
              <a16:creationId xmlns:a16="http://schemas.microsoft.com/office/drawing/2014/main" id="{22D07908-7656-2327-4A59-8E4044B8A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79</xdr:col>
      <xdr:colOff>76200</xdr:colOff>
      <xdr:row>93</xdr:row>
      <xdr:rowOff>136524</xdr:rowOff>
    </xdr:from>
    <xdr:to>
      <xdr:col>86</xdr:col>
      <xdr:colOff>800100</xdr:colOff>
      <xdr:row>115</xdr:row>
      <xdr:rowOff>88899</xdr:rowOff>
    </xdr:to>
    <xdr:graphicFrame macro="">
      <xdr:nvGraphicFramePr>
        <xdr:cNvPr id="34" name="Graphique 33">
          <a:extLst>
            <a:ext uri="{FF2B5EF4-FFF2-40B4-BE49-F238E27FC236}">
              <a16:creationId xmlns:a16="http://schemas.microsoft.com/office/drawing/2014/main" id="{4A8C640E-4FE7-3347-47C0-4BCBD45DA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86</xdr:col>
      <xdr:colOff>1047750</xdr:colOff>
      <xdr:row>44</xdr:row>
      <xdr:rowOff>168274</xdr:rowOff>
    </xdr:from>
    <xdr:to>
      <xdr:col>93</xdr:col>
      <xdr:colOff>615950</xdr:colOff>
      <xdr:row>67</xdr:row>
      <xdr:rowOff>63499</xdr:rowOff>
    </xdr:to>
    <xdr:graphicFrame macro="">
      <xdr:nvGraphicFramePr>
        <xdr:cNvPr id="35" name="Graphique 34">
          <a:extLst>
            <a:ext uri="{FF2B5EF4-FFF2-40B4-BE49-F238E27FC236}">
              <a16:creationId xmlns:a16="http://schemas.microsoft.com/office/drawing/2014/main" id="{A3EE6528-9FEA-4091-B525-4FC1A9807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87</xdr:col>
      <xdr:colOff>31750</xdr:colOff>
      <xdr:row>70</xdr:row>
      <xdr:rowOff>79374</xdr:rowOff>
    </xdr:from>
    <xdr:to>
      <xdr:col>93</xdr:col>
      <xdr:colOff>679450</xdr:colOff>
      <xdr:row>91</xdr:row>
      <xdr:rowOff>12699</xdr:rowOff>
    </xdr:to>
    <xdr:graphicFrame macro="">
      <xdr:nvGraphicFramePr>
        <xdr:cNvPr id="37" name="Graphique 36">
          <a:extLst>
            <a:ext uri="{FF2B5EF4-FFF2-40B4-BE49-F238E27FC236}">
              <a16:creationId xmlns:a16="http://schemas.microsoft.com/office/drawing/2014/main" id="{7BEBF081-D529-6980-84AB-D4A828520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87</xdr:col>
      <xdr:colOff>44450</xdr:colOff>
      <xdr:row>93</xdr:row>
      <xdr:rowOff>85724</xdr:rowOff>
    </xdr:from>
    <xdr:to>
      <xdr:col>93</xdr:col>
      <xdr:colOff>692150</xdr:colOff>
      <xdr:row>115</xdr:row>
      <xdr:rowOff>101599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D0AAA886-5787-47BC-603A-BD5FD6CC4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97</xdr:col>
      <xdr:colOff>184150</xdr:colOff>
      <xdr:row>51</xdr:row>
      <xdr:rowOff>155574</xdr:rowOff>
    </xdr:from>
    <xdr:to>
      <xdr:col>105</xdr:col>
      <xdr:colOff>520700</xdr:colOff>
      <xdr:row>76</xdr:row>
      <xdr:rowOff>101599</xdr:rowOff>
    </xdr:to>
    <xdr:graphicFrame macro="">
      <xdr:nvGraphicFramePr>
        <xdr:cNvPr id="39" name="Graphique 38">
          <a:extLst>
            <a:ext uri="{FF2B5EF4-FFF2-40B4-BE49-F238E27FC236}">
              <a16:creationId xmlns:a16="http://schemas.microsoft.com/office/drawing/2014/main" id="{02E58352-4470-82E1-E4DC-DB6E56E4D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97</xdr:col>
      <xdr:colOff>196850</xdr:colOff>
      <xdr:row>77</xdr:row>
      <xdr:rowOff>130174</xdr:rowOff>
    </xdr:from>
    <xdr:to>
      <xdr:col>105</xdr:col>
      <xdr:colOff>508000</xdr:colOff>
      <xdr:row>100</xdr:row>
      <xdr:rowOff>133349</xdr:rowOff>
    </xdr:to>
    <xdr:graphicFrame macro="">
      <xdr:nvGraphicFramePr>
        <xdr:cNvPr id="40" name="Graphique 39">
          <a:extLst>
            <a:ext uri="{FF2B5EF4-FFF2-40B4-BE49-F238E27FC236}">
              <a16:creationId xmlns:a16="http://schemas.microsoft.com/office/drawing/2014/main" id="{766D03D8-9253-8297-0C0E-515329B3B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97</xdr:col>
      <xdr:colOff>215900</xdr:colOff>
      <xdr:row>103</xdr:row>
      <xdr:rowOff>66674</xdr:rowOff>
    </xdr:from>
    <xdr:to>
      <xdr:col>105</xdr:col>
      <xdr:colOff>571500</xdr:colOff>
      <xdr:row>125</xdr:row>
      <xdr:rowOff>101599</xdr:rowOff>
    </xdr:to>
    <xdr:graphicFrame macro="">
      <xdr:nvGraphicFramePr>
        <xdr:cNvPr id="41" name="Graphique 40">
          <a:extLst>
            <a:ext uri="{FF2B5EF4-FFF2-40B4-BE49-F238E27FC236}">
              <a16:creationId xmlns:a16="http://schemas.microsoft.com/office/drawing/2014/main" id="{7736368A-F5E9-84B3-498C-716681AA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106</xdr:col>
      <xdr:colOff>292100</xdr:colOff>
      <xdr:row>51</xdr:row>
      <xdr:rowOff>111124</xdr:rowOff>
    </xdr:from>
    <xdr:to>
      <xdr:col>112</xdr:col>
      <xdr:colOff>857250</xdr:colOff>
      <xdr:row>76</xdr:row>
      <xdr:rowOff>44449</xdr:rowOff>
    </xdr:to>
    <xdr:graphicFrame macro="">
      <xdr:nvGraphicFramePr>
        <xdr:cNvPr id="42" name="Graphique 41">
          <a:extLst>
            <a:ext uri="{FF2B5EF4-FFF2-40B4-BE49-F238E27FC236}">
              <a16:creationId xmlns:a16="http://schemas.microsoft.com/office/drawing/2014/main" id="{7F03AD3D-671B-89A3-D544-A1B11BD59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106</xdr:col>
      <xdr:colOff>266700</xdr:colOff>
      <xdr:row>77</xdr:row>
      <xdr:rowOff>130174</xdr:rowOff>
    </xdr:from>
    <xdr:to>
      <xdr:col>112</xdr:col>
      <xdr:colOff>876300</xdr:colOff>
      <xdr:row>100</xdr:row>
      <xdr:rowOff>152399</xdr:rowOff>
    </xdr:to>
    <xdr:graphicFrame macro="">
      <xdr:nvGraphicFramePr>
        <xdr:cNvPr id="43" name="Graphique 42">
          <a:extLst>
            <a:ext uri="{FF2B5EF4-FFF2-40B4-BE49-F238E27FC236}">
              <a16:creationId xmlns:a16="http://schemas.microsoft.com/office/drawing/2014/main" id="{56DDD153-F51F-503E-04C3-BF303FE7C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106</xdr:col>
      <xdr:colOff>234950</xdr:colOff>
      <xdr:row>102</xdr:row>
      <xdr:rowOff>174624</xdr:rowOff>
    </xdr:from>
    <xdr:to>
      <xdr:col>113</xdr:col>
      <xdr:colOff>44450</xdr:colOff>
      <xdr:row>125</xdr:row>
      <xdr:rowOff>107949</xdr:rowOff>
    </xdr:to>
    <xdr:graphicFrame macro="">
      <xdr:nvGraphicFramePr>
        <xdr:cNvPr id="44" name="Graphique 43">
          <a:extLst>
            <a:ext uri="{FF2B5EF4-FFF2-40B4-BE49-F238E27FC236}">
              <a16:creationId xmlns:a16="http://schemas.microsoft.com/office/drawing/2014/main" id="{F1A632B0-5196-D03D-74DA-27FB90677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115</xdr:col>
      <xdr:colOff>673100</xdr:colOff>
      <xdr:row>36</xdr:row>
      <xdr:rowOff>174624</xdr:rowOff>
    </xdr:from>
    <xdr:to>
      <xdr:col>124</xdr:col>
      <xdr:colOff>730250</xdr:colOff>
      <xdr:row>58</xdr:row>
      <xdr:rowOff>120650</xdr:rowOff>
    </xdr:to>
    <xdr:graphicFrame macro="">
      <xdr:nvGraphicFramePr>
        <xdr:cNvPr id="45" name="Graphique 44">
          <a:extLst>
            <a:ext uri="{FF2B5EF4-FFF2-40B4-BE49-F238E27FC236}">
              <a16:creationId xmlns:a16="http://schemas.microsoft.com/office/drawing/2014/main" id="{33BEF3F2-4E00-0BFA-C3DA-5D16E72A1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115</xdr:col>
      <xdr:colOff>679450</xdr:colOff>
      <xdr:row>59</xdr:row>
      <xdr:rowOff>66674</xdr:rowOff>
    </xdr:from>
    <xdr:to>
      <xdr:col>124</xdr:col>
      <xdr:colOff>717550</xdr:colOff>
      <xdr:row>80</xdr:row>
      <xdr:rowOff>171449</xdr:rowOff>
    </xdr:to>
    <xdr:graphicFrame macro="">
      <xdr:nvGraphicFramePr>
        <xdr:cNvPr id="46" name="Graphique 45">
          <a:extLst>
            <a:ext uri="{FF2B5EF4-FFF2-40B4-BE49-F238E27FC236}">
              <a16:creationId xmlns:a16="http://schemas.microsoft.com/office/drawing/2014/main" id="{15A9C63A-9E4F-9E77-C739-3C4687CF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115</xdr:col>
      <xdr:colOff>698500</xdr:colOff>
      <xdr:row>82</xdr:row>
      <xdr:rowOff>168274</xdr:rowOff>
    </xdr:from>
    <xdr:to>
      <xdr:col>124</xdr:col>
      <xdr:colOff>730250</xdr:colOff>
      <xdr:row>103</xdr:row>
      <xdr:rowOff>6349</xdr:rowOff>
    </xdr:to>
    <xdr:graphicFrame macro="">
      <xdr:nvGraphicFramePr>
        <xdr:cNvPr id="47" name="Graphique 46">
          <a:extLst>
            <a:ext uri="{FF2B5EF4-FFF2-40B4-BE49-F238E27FC236}">
              <a16:creationId xmlns:a16="http://schemas.microsoft.com/office/drawing/2014/main" id="{427C5FAE-712A-92E8-8352-E572483DC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124</xdr:col>
      <xdr:colOff>1682750</xdr:colOff>
      <xdr:row>36</xdr:row>
      <xdr:rowOff>142874</xdr:rowOff>
    </xdr:from>
    <xdr:to>
      <xdr:col>131</xdr:col>
      <xdr:colOff>190500</xdr:colOff>
      <xdr:row>58</xdr:row>
      <xdr:rowOff>177799</xdr:rowOff>
    </xdr:to>
    <xdr:graphicFrame macro="">
      <xdr:nvGraphicFramePr>
        <xdr:cNvPr id="48" name="Graphique 47">
          <a:extLst>
            <a:ext uri="{FF2B5EF4-FFF2-40B4-BE49-F238E27FC236}">
              <a16:creationId xmlns:a16="http://schemas.microsoft.com/office/drawing/2014/main" id="{EC76BEE7-389C-12CE-9403-6ADA20B13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124</xdr:col>
      <xdr:colOff>1708150</xdr:colOff>
      <xdr:row>59</xdr:row>
      <xdr:rowOff>92074</xdr:rowOff>
    </xdr:from>
    <xdr:to>
      <xdr:col>131</xdr:col>
      <xdr:colOff>196850</xdr:colOff>
      <xdr:row>80</xdr:row>
      <xdr:rowOff>146049</xdr:rowOff>
    </xdr:to>
    <xdr:graphicFrame macro="">
      <xdr:nvGraphicFramePr>
        <xdr:cNvPr id="49" name="Graphique 48">
          <a:extLst>
            <a:ext uri="{FF2B5EF4-FFF2-40B4-BE49-F238E27FC236}">
              <a16:creationId xmlns:a16="http://schemas.microsoft.com/office/drawing/2014/main" id="{F03941C8-EC88-52D8-B620-753E2695C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124</xdr:col>
      <xdr:colOff>1676400</xdr:colOff>
      <xdr:row>82</xdr:row>
      <xdr:rowOff>104774</xdr:rowOff>
    </xdr:from>
    <xdr:to>
      <xdr:col>131</xdr:col>
      <xdr:colOff>215900</xdr:colOff>
      <xdr:row>102</xdr:row>
      <xdr:rowOff>101599</xdr:rowOff>
    </xdr:to>
    <xdr:graphicFrame macro="">
      <xdr:nvGraphicFramePr>
        <xdr:cNvPr id="50" name="Graphique 49">
          <a:extLst>
            <a:ext uri="{FF2B5EF4-FFF2-40B4-BE49-F238E27FC236}">
              <a16:creationId xmlns:a16="http://schemas.microsoft.com/office/drawing/2014/main" id="{9E70B9F3-8380-9CE0-99F7-6B905BEEE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20D169-91DC-4342-97C1-71F8C2BED7B9}" name="Tableau3" displayName="Tableau3" ref="D12:J31" headerRowCount="0" totalsRowShown="0" headerRowDxfId="196" dataDxfId="195">
  <tableColumns count="7">
    <tableColumn id="1" xr3:uid="{F4A06B6B-C481-4B0B-A985-015E023EEC8E}" name="Colonne1" headerRowDxfId="194" dataDxfId="193"/>
    <tableColumn id="2" xr3:uid="{2FADF895-4BC5-40EB-9CE8-15847EB84D0E}" name="Colonne2" dataDxfId="192"/>
    <tableColumn id="3" xr3:uid="{27F1BF6E-B7EE-4F7D-8785-B23D931697B7}" name="Colonne3" dataDxfId="191"/>
    <tableColumn id="4" xr3:uid="{67C9C69D-6030-47C4-AE9E-A047C9A57CFF}" name="Colonne4" dataDxfId="190"/>
    <tableColumn id="5" xr3:uid="{80F3A01D-F47C-484C-8911-FB05336B53BD}" name="Colonne5" dataDxfId="189"/>
    <tableColumn id="6" xr3:uid="{F2673BFF-5843-410B-ADCD-4A9E3A4C6A3A}" name="Colonne6" dataDxfId="188"/>
    <tableColumn id="7" xr3:uid="{B39EAB5F-3851-4FDA-9908-14629EE2530A}" name="Colonne7" dataDxfId="187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DDCF86-77F9-4B77-BB7C-524E92828925}" name="Tableau12" displayName="Tableau12" ref="C4:Q8" totalsRowShown="0" headerRowDxfId="186" dataDxfId="184" headerRowBorderDxfId="185" tableBorderDxfId="183">
  <autoFilter ref="C4:Q8" xr:uid="{68DDCF86-77F9-4B77-BB7C-524E92828925}"/>
  <tableColumns count="15">
    <tableColumn id="1" xr3:uid="{5F4E3B99-C0EE-47EA-B1C5-6A952575A65B}" name="Approches" dataDxfId="182"/>
    <tableColumn id="2" xr3:uid="{D3423EC7-B286-4083-BEA9-F6CB5A740ED1}" name="Qadd (m3/h)" dataDxfId="181"/>
    <tableColumn id="3" xr3:uid="{4C7C389C-CAF1-482E-9B24-6A33E6B2583D}" name="Qadd (m3/s)" dataDxfId="180">
      <calculatedColumnFormula>D5/3600</calculatedColumnFormula>
    </tableColumn>
    <tableColumn id="4" xr3:uid="{9144FBEF-39E7-465D-B6A2-89E3D4CB8C91}" name="Dth (m)" dataDxfId="179"/>
    <tableColumn id="5" xr3:uid="{935DEF96-0753-4B64-852F-0B922983E1D4}" name="Dth (mm)" dataDxfId="178">
      <calculatedColumnFormula>F5*1000</calculatedColumnFormula>
    </tableColumn>
    <tableColumn id="6" xr3:uid="{1D0E1947-C1A9-403D-99CA-77E5D2E4F900}" name="DN (mm)" dataDxfId="177"/>
    <tableColumn id="7" xr3:uid="{4947650F-DC0A-44ED-83EC-943E69E43BC8}" name="Dint (mm)" dataDxfId="176"/>
    <tableColumn id="8" xr3:uid="{5978EACE-8C7C-4BF6-B19B-058666E200F8}" name="U (m/s)" dataDxfId="175">
      <calculatedColumnFormula>(4*E5)/(PI()*(I5/1000)^2)</calculatedColumnFormula>
    </tableColumn>
    <tableColumn id="9" xr3:uid="{BEB30631-9A06-4E53-B192-E0446EBE1A84}" name="condition de Flamant" dataDxfId="174">
      <calculatedColumnFormula>0.6+F5</calculatedColumnFormula>
    </tableColumn>
    <tableColumn id="10" xr3:uid="{195672E1-B6A0-4D52-BB88-39A2A2BEA736}" name="GLS" dataDxfId="173">
      <calculatedColumnFormula>(I5/50)^0.5</calculatedColumnFormula>
    </tableColumn>
    <tableColumn id="11" xr3:uid="{3312B0B8-D0B1-4731-8276-6579AC01DBA9}" name="Vérification de flamant" dataDxfId="172">
      <calculatedColumnFormula>IF(J5&lt;=K5,"Vérifiée","Non vérifiée")</calculatedColumnFormula>
    </tableColumn>
    <tableColumn id="12" xr3:uid="{43B04C63-36CC-4ABE-82FC-E115646F29CD}" name="Vérification de GLS" dataDxfId="171">
      <calculatedColumnFormula>IF(J5&lt;=L5,"Vérifiée","Nonvérifiée")</calculatedColumnFormula>
    </tableColumn>
    <tableColumn id="13" xr3:uid="{8F4ED1AF-8BB8-44F9-A724-977FA9307D08}" name="Longueur " dataDxfId="170">
      <calculatedColumnFormula>PIPE!J6</calculatedColumnFormula>
    </tableColumn>
    <tableColumn id="14" xr3:uid="{8D9EBFD1-D64E-4303-9DE8-7F6B5BBCCF4E}" name="Ks" dataDxfId="169"/>
    <tableColumn id="15" xr3:uid="{DB597B38-39B2-412E-8F2E-EDE840377F47}" name="ΔH (m)" dataDxfId="168">
      <calculatedColumnFormula>(10.29*(E5^2)*O5)/((P5^2)*((I5*0.001)^(16/3)))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24A46C-8E4F-41BF-91CA-71811304F7BA}" name="Tableau124" displayName="Tableau124" ref="C13:Q17" totalsRowShown="0" headerRowDxfId="167" dataDxfId="165" headerRowBorderDxfId="166" tableBorderDxfId="164">
  <autoFilter ref="C13:Q17" xr:uid="{6D24A46C-8E4F-41BF-91CA-71811304F7BA}"/>
  <tableColumns count="15">
    <tableColumn id="1" xr3:uid="{10F7E3F3-F1DC-40D0-85BC-51E968A0C4F4}" name="Approches" dataDxfId="163"/>
    <tableColumn id="2" xr3:uid="{6892CD83-BD7E-49FE-84DF-254F3DB0D4E2}" name="Qadd (m3/h)" dataDxfId="162"/>
    <tableColumn id="3" xr3:uid="{315060B1-CF8C-4F37-A574-5F651936A2D0}" name="Qadd (m3/s)" dataDxfId="161">
      <calculatedColumnFormula>D14/3600</calculatedColumnFormula>
    </tableColumn>
    <tableColumn id="4" xr3:uid="{179164D7-7261-43B2-B4BF-E434B8AE0333}" name="Dth (m)" dataDxfId="160"/>
    <tableColumn id="5" xr3:uid="{86F6DA21-7C93-40AC-94AB-8DAF8AA2CC54}" name="Dth (mm)" dataDxfId="159">
      <calculatedColumnFormula>F14*1000</calculatedColumnFormula>
    </tableColumn>
    <tableColumn id="6" xr3:uid="{A0E76E47-DF73-4CA2-A843-7B92F2864031}" name="DN (mm)" dataDxfId="158">
      <calculatedColumnFormula>H5</calculatedColumnFormula>
    </tableColumn>
    <tableColumn id="7" xr3:uid="{A8588CF4-6463-42CC-9ADE-215C9C829B6A}" name="Dint (mm)" dataDxfId="157">
      <calculatedColumnFormula>I5</calculatedColumnFormula>
    </tableColumn>
    <tableColumn id="8" xr3:uid="{48E9BC99-AC81-41E7-878C-EA01101E71EA}" name="U (m/s)" dataDxfId="156">
      <calculatedColumnFormula>(4*E14)/(PI()*(I14/1000)^2)</calculatedColumnFormula>
    </tableColumn>
    <tableColumn id="9" xr3:uid="{93699DC3-A3AC-434C-82C2-90874880C861}" name="condition de Flamant" dataDxfId="155">
      <calculatedColumnFormula>0.6+F14</calculatedColumnFormula>
    </tableColumn>
    <tableColumn id="10" xr3:uid="{C2B92AE4-5E19-43D1-B5D5-DDA55414EED9}" name="GLS" dataDxfId="154">
      <calculatedColumnFormula>(I14/50)^0.5</calculatedColumnFormula>
    </tableColumn>
    <tableColumn id="11" xr3:uid="{69907DF5-9005-4981-970A-828EFF0009C5}" name="Vérification de flamant" dataDxfId="153">
      <calculatedColumnFormula>IF(J14&lt;=K14,"Vérifiée","Non vérifiée")</calculatedColumnFormula>
    </tableColumn>
    <tableColumn id="12" xr3:uid="{D10E34AA-A299-4992-B603-074F3A6BBC6E}" name="Vérification de GLS" dataDxfId="152">
      <calculatedColumnFormula>IF(J14&lt;=L14,"Vérifiée","Nonvérifiée")</calculatedColumnFormula>
    </tableColumn>
    <tableColumn id="13" xr3:uid="{780B0548-704A-47FC-8E03-33102A94CA2B}" name="Longueur " dataDxfId="151">
      <calculatedColumnFormula>PIPE!J15</calculatedColumnFormula>
    </tableColumn>
    <tableColumn id="14" xr3:uid="{AF45E0E0-E2A3-4EB0-B374-01E39F77D53E}" name="Ks" dataDxfId="150"/>
    <tableColumn id="15" xr3:uid="{C55E617C-7F7F-4DA6-B595-CA918D2F7B0E}" name="ΔH (m)" dataDxfId="149">
      <calculatedColumnFormula>(10.29*(E14^2)*O14)/((P14^2)*((I14*0.001)^(16/3)))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AD16AD-3AF0-4C86-95BA-3224E640CFDF}" name="Tableau1245" displayName="Tableau1245" ref="C23:Q27" totalsRowShown="0" headerRowDxfId="148" dataDxfId="146" headerRowBorderDxfId="147" tableBorderDxfId="145">
  <autoFilter ref="C23:Q27" xr:uid="{C8AD16AD-3AF0-4C86-95BA-3224E640CFDF}"/>
  <tableColumns count="15">
    <tableColumn id="1" xr3:uid="{1920DF16-6A54-4CFF-BD6B-013106CE14DE}" name="Approches" dataDxfId="144"/>
    <tableColumn id="2" xr3:uid="{2C37BE0F-7317-47F1-81D1-D433EC5AA5A1}" name="Qadd (m3/h)" dataDxfId="143"/>
    <tableColumn id="3" xr3:uid="{2BDB0ED3-9A68-41F0-8842-CC3FEB26F109}" name="Qadd (m3/s)" dataDxfId="142">
      <calculatedColumnFormula>D24/3600</calculatedColumnFormula>
    </tableColumn>
    <tableColumn id="4" xr3:uid="{61384CC0-E90E-48CE-A948-5CEB6C4364AE}" name="Dth (m)" dataDxfId="141"/>
    <tableColumn id="5" xr3:uid="{DCD381C7-902D-44D1-8C94-B4933074750C}" name="Dth (mm)" dataDxfId="140">
      <calculatedColumnFormula>F24*1000</calculatedColumnFormula>
    </tableColumn>
    <tableColumn id="6" xr3:uid="{71A304AB-97A0-42BC-B3CF-ACA79C0B3622}" name="DN (mm)" dataDxfId="139">
      <calculatedColumnFormula>H14</calculatedColumnFormula>
    </tableColumn>
    <tableColumn id="7" xr3:uid="{DB4B2049-4ADE-4FDD-8A7F-B6EBCD3331E1}" name="Dint (mm)" dataDxfId="138">
      <calculatedColumnFormula>I14</calculatedColumnFormula>
    </tableColumn>
    <tableColumn id="8" xr3:uid="{A0187962-323E-4857-B7F1-EEE2D91BA315}" name="U (m/s)" dataDxfId="137">
      <calculatedColumnFormula>(4*E24)/(PI()*(I24/1000)^2)</calculatedColumnFormula>
    </tableColumn>
    <tableColumn id="9" xr3:uid="{694949DB-7802-4B3F-8A65-62502D54691E}" name="condition de Flamant" dataDxfId="136">
      <calculatedColumnFormula>0.6+F24</calculatedColumnFormula>
    </tableColumn>
    <tableColumn id="10" xr3:uid="{FF0356ED-109D-4732-B02D-F278B35093E3}" name="GLS" dataDxfId="135">
      <calculatedColumnFormula>(I24/50)^0.5</calculatedColumnFormula>
    </tableColumn>
    <tableColumn id="11" xr3:uid="{5936B93D-EFA0-438C-BC6B-C4BBC76785A6}" name="Vérification de flamant" dataDxfId="134">
      <calculatedColumnFormula>IF(J24&lt;=K24,"Vérifiée","Non vérifiée")</calculatedColumnFormula>
    </tableColumn>
    <tableColumn id="12" xr3:uid="{1C6E9059-D119-46DC-B17F-5257714469C4}" name="Vérification de GLS" dataDxfId="133">
      <calculatedColumnFormula>IF(J24&lt;=L24,"Vérifiée","Nonvérifiée")</calculatedColumnFormula>
    </tableColumn>
    <tableColumn id="13" xr3:uid="{6D6707A1-BD8D-4480-9472-822EA704F1C3}" name="Longueur " dataDxfId="132">
      <calculatedColumnFormula>PIPE!J25</calculatedColumnFormula>
    </tableColumn>
    <tableColumn id="14" xr3:uid="{3E901E36-FB24-42CC-9A97-9ED017B97938}" name="Ks" dataDxfId="131"/>
    <tableColumn id="15" xr3:uid="{B1D0AB23-A003-48F3-A724-7825E13B5939}" name="ΔH (m)" dataDxfId="130">
      <calculatedColumnFormula>(10.29*(E24^2)*O24)/((P24^2)*((I24*0.001)^(16/3)))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390EB4-C0AF-48CE-A43B-14B045D9A0F6}" name="Tableau1246" displayName="Tableau1246" ref="C34:Q38" totalsRowShown="0" headerRowDxfId="129" dataDxfId="127" headerRowBorderDxfId="128" tableBorderDxfId="126">
  <autoFilter ref="C34:Q38" xr:uid="{D8390EB4-C0AF-48CE-A43B-14B045D9A0F6}"/>
  <tableColumns count="15">
    <tableColumn id="1" xr3:uid="{4A977BF7-D3AE-430F-8226-620EBA669BDC}" name="Approches" dataDxfId="125"/>
    <tableColumn id="2" xr3:uid="{EE077A7A-1701-4B6E-8F13-3ED9F124414F}" name="Qadd (m3/h)" dataDxfId="124">
      <calculatedColumnFormula>8*2</calculatedColumnFormula>
    </tableColumn>
    <tableColumn id="3" xr3:uid="{D7AC1297-2BF2-41F3-B77D-7000B0924639}" name="Qadd (m3/s)" dataDxfId="123">
      <calculatedColumnFormula>D35/3600</calculatedColumnFormula>
    </tableColumn>
    <tableColumn id="4" xr3:uid="{0FEC64E2-A572-4AD4-81B6-99FAAFCC9376}" name="Dth (m)" dataDxfId="122"/>
    <tableColumn id="5" xr3:uid="{E5D32DF1-DBE0-43F0-8749-5D0DC9EB1DB5}" name="Dth (mm)" dataDxfId="121">
      <calculatedColumnFormula>F35*1000</calculatedColumnFormula>
    </tableColumn>
    <tableColumn id="6" xr3:uid="{F2CCEB0D-2C27-4354-B143-2AA6FEEE2BA1}" name="DN (mm)" dataDxfId="120"/>
    <tableColumn id="7" xr3:uid="{9DA7AC85-9F3C-44FA-92CC-302BE2D3B49B}" name="Dint (mm)" dataDxfId="119"/>
    <tableColumn id="8" xr3:uid="{122A17BA-7A6C-415F-AEBE-68DECFDC3E6E}" name="U (m/s)" dataDxfId="118">
      <calculatedColumnFormula>(4*E35)/(PI()*(I35/1000)^2)</calculatedColumnFormula>
    </tableColumn>
    <tableColumn id="9" xr3:uid="{949143CF-8822-40EB-829C-09ACDB7EBD41}" name="condition de Flamant" dataDxfId="117">
      <calculatedColumnFormula>0.6+F35</calculatedColumnFormula>
    </tableColumn>
    <tableColumn id="10" xr3:uid="{5323CA5A-5BB7-4B3A-A8A8-1E2AEDEA1CC3}" name="GLS" dataDxfId="116">
      <calculatedColumnFormula>(I35/50)^0.5</calculatedColumnFormula>
    </tableColumn>
    <tableColumn id="11" xr3:uid="{027622F1-6FA4-412A-AD4B-AD0DFE51318D}" name="Vérification de flamant" dataDxfId="115">
      <calculatedColumnFormula>IF(J35&lt;=K35,"Vérifiée","Non vérifiée")</calculatedColumnFormula>
    </tableColumn>
    <tableColumn id="12" xr3:uid="{C99EE324-9A5C-48E3-8477-770701168624}" name="Vérification de GLS" dataDxfId="114">
      <calculatedColumnFormula>IF(J35&lt;=L35,"Vérifiée","Nonvérifiée")</calculatedColumnFormula>
    </tableColumn>
    <tableColumn id="13" xr3:uid="{B80C7B40-E0FA-4290-91B1-5D1A377483DE}" name="Longueur " dataDxfId="113">
      <calculatedColumnFormula>PIPE!J36</calculatedColumnFormula>
    </tableColumn>
    <tableColumn id="14" xr3:uid="{EFCA86DD-71D9-48A9-9A3B-86F23700C39C}" name="Ks" dataDxfId="112"/>
    <tableColumn id="15" xr3:uid="{EC739449-53D1-4EA9-B731-D9546F9C7855}" name="ΔH (m)" dataDxfId="111">
      <calculatedColumnFormula>(10.29*(E35^2)*O35)/((P35^2)*((I35*0.001)^(16/3)))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54736B-85F4-46D0-B4B5-63D59429133C}" name="Tableau1247" displayName="Tableau1247" ref="C44:Q48" totalsRowShown="0" headerRowDxfId="110" dataDxfId="108" headerRowBorderDxfId="109" tableBorderDxfId="107">
  <autoFilter ref="C44:Q48" xr:uid="{BC54736B-85F4-46D0-B4B5-63D59429133C}"/>
  <tableColumns count="15">
    <tableColumn id="1" xr3:uid="{B26AF744-D248-45DD-8741-8805CE2CAC96}" name="Approches" dataDxfId="106"/>
    <tableColumn id="2" xr3:uid="{D83E3E6F-DAF4-4B7E-94BC-12D6F0785086}" name="Qadd (m3/h)" dataDxfId="105">
      <calculatedColumnFormula>8*3</calculatedColumnFormula>
    </tableColumn>
    <tableColumn id="3" xr3:uid="{C39F16F5-B4A5-455A-AA5C-F786A4839016}" name="Qadd (m3/s)" dataDxfId="104">
      <calculatedColumnFormula>D45/3600</calculatedColumnFormula>
    </tableColumn>
    <tableColumn id="4" xr3:uid="{76D88EEB-582A-4292-9294-FEB4EE8BAAFF}" name="Dth (m)" dataDxfId="103"/>
    <tableColumn id="5" xr3:uid="{6D24552C-4810-4160-A873-8E9A6249715E}" name="Dth (mm)" dataDxfId="102">
      <calculatedColumnFormula>F45*1000</calculatedColumnFormula>
    </tableColumn>
    <tableColumn id="6" xr3:uid="{85DDA0E9-5D22-444C-9C86-3AA4702DC6AE}" name="DN (mm)" dataDxfId="101"/>
    <tableColumn id="7" xr3:uid="{A318D37D-17A3-4F88-922C-FF524294C5C3}" name="Dint (mm)" dataDxfId="100"/>
    <tableColumn id="8" xr3:uid="{CA45F456-F001-480A-9512-16B9B7AAD083}" name="U (m/s)" dataDxfId="99">
      <calculatedColumnFormula>(4*E45)/(PI()*(I45/1000)^2)</calculatedColumnFormula>
    </tableColumn>
    <tableColumn id="9" xr3:uid="{82E1464A-5E2B-4AF7-AB38-38604C741617}" name="condition de Flamant" dataDxfId="98">
      <calculatedColumnFormula>0.6+F45</calculatedColumnFormula>
    </tableColumn>
    <tableColumn id="10" xr3:uid="{5891BF70-C72B-4F88-9DFE-19E09C92C7FA}" name="GLS" dataDxfId="97">
      <calculatedColumnFormula>(I45/50)^0.5</calculatedColumnFormula>
    </tableColumn>
    <tableColumn id="11" xr3:uid="{6A7CDFA6-D5D7-44C3-872F-A8562F0D08C7}" name="Vérification de flamant" dataDxfId="96">
      <calculatedColumnFormula>IF(J45&lt;=K45,"Vérifiée","Non vérifiée")</calculatedColumnFormula>
    </tableColumn>
    <tableColumn id="12" xr3:uid="{C5164386-82BC-4337-9209-A7EDFCE37C53}" name="Vérification de GLS" dataDxfId="95">
      <calculatedColumnFormula>IF(J45&lt;=L45,"Vérifiée","Nonvérifiée")</calculatedColumnFormula>
    </tableColumn>
    <tableColumn id="13" xr3:uid="{9E27FE20-B1C9-4FA2-A730-1A9B4128CD79}" name="Longueur " dataDxfId="94">
      <calculatedColumnFormula>PIPE!J46</calculatedColumnFormula>
    </tableColumn>
    <tableColumn id="14" xr3:uid="{0EF8E454-4CA8-4DC2-AB22-4633615D0E0F}" name="Ks" dataDxfId="93"/>
    <tableColumn id="15" xr3:uid="{91ADD885-C4B6-4FD6-B68B-7F6E4742E27C}" name="ΔH (m)" dataDxfId="92">
      <calculatedColumnFormula>(10.29*(E45^2)*O45)/((P45^2)*((I45*0.001)^(16/3)))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359339-A324-4361-A29F-36AF50727B27}" name="Tableau7" displayName="Tableau7" ref="V15:Z58" totalsRowShown="0" headerRowDxfId="91" dataDxfId="89" headerRowBorderDxfId="90" tableBorderDxfId="88" totalsRowBorderDxfId="87">
  <autoFilter ref="V15:Z58" xr:uid="{88359339-A324-4361-A29F-36AF50727B27}"/>
  <sortState xmlns:xlrd2="http://schemas.microsoft.com/office/spreadsheetml/2017/richdata2" ref="V16:Z58">
    <sortCondition ref="W15:W58"/>
  </sortState>
  <tableColumns count="5">
    <tableColumn id="1" xr3:uid="{D43B17CA-B550-4172-9AE0-7AEE4788038D}" name="NAME" dataDxfId="86"/>
    <tableColumn id="2" xr3:uid="{9C4186DD-CA69-4883-8164-2584E7E229CA}" name="ID_MIN" dataDxfId="85"/>
    <tableColumn id="3" xr3:uid="{4D949B69-AFB7-45A1-9F3B-638F39448DAF}" name="ID_MAX" dataDxfId="84"/>
    <tableColumn id="4" xr3:uid="{E80800C1-C203-4A79-86F5-12AC708A2154}" name="FLOW" dataDxfId="83"/>
    <tableColumn id="5" xr3:uid="{267998CE-38AE-4E71-B98A-77C67F71EAEA}" name="LENGTH" dataDxfId="8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F50021-4DBB-45F1-8888-6D256DC5CB3B}" name="Tableau911" displayName="Tableau911" ref="M6:R34" totalsRowShown="0">
  <autoFilter ref="M6:R34" xr:uid="{DCF50021-4DBB-45F1-8888-6D256DC5CB3B}"/>
  <tableColumns count="6">
    <tableColumn id="1" xr3:uid="{F1A2E89A-144C-4555-917C-A1932ADC82F6}" name="D_théo_min (mm)"/>
    <tableColumn id="2" xr3:uid="{8340D8E3-B5C2-44A1-B1BE-C550A26F376C}" name="Diamètre Nominal (DN)"/>
    <tableColumn id="3" xr3:uid="{DDB39033-F1AC-4E56-89C3-798954255C25}" name="Pouce"/>
    <tableColumn id="4" xr3:uid="{8512A3B3-DD5A-4995-A2A9-EA902801B1B1}" name="Diamètre Extérieur Moyen (mm)"/>
    <tableColumn id="5" xr3:uid="{3836986D-2611-4285-A860-8D7F950CF826}" name="Diamètre Intérieur Approximatif (mm)"/>
    <tableColumn id="6" xr3:uid="{6F069EDF-991E-4E44-B127-16335C791062}" name="épaisseur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D11:S42"/>
  <sheetViews>
    <sheetView topLeftCell="D25" zoomScale="130" zoomScaleNormal="130" workbookViewId="0">
      <selection activeCell="D42" sqref="D36:J42"/>
    </sheetView>
  </sheetViews>
  <sheetFormatPr baseColWidth="10" defaultColWidth="9.140625" defaultRowHeight="15" x14ac:dyDescent="0.25"/>
  <cols>
    <col min="4" max="4" width="54.42578125" customWidth="1"/>
    <col min="6" max="6" width="9.5703125" bestFit="1" customWidth="1"/>
    <col min="7" max="10" width="10.85546875" bestFit="1" customWidth="1"/>
    <col min="13" max="13" width="13.7109375" bestFit="1" customWidth="1"/>
  </cols>
  <sheetData>
    <row r="11" spans="4:19" ht="16.5" thickBot="1" x14ac:dyDescent="0.3">
      <c r="D11" s="1"/>
      <c r="E11" s="2"/>
      <c r="F11" s="195" t="s">
        <v>0</v>
      </c>
      <c r="G11" s="196"/>
      <c r="H11" s="196"/>
      <c r="I11" s="196"/>
      <c r="J11" s="197"/>
    </row>
    <row r="12" spans="4:19" ht="16.5" thickBot="1" x14ac:dyDescent="0.3">
      <c r="D12" s="3" t="s">
        <v>1</v>
      </c>
      <c r="E12" s="4" t="s">
        <v>2</v>
      </c>
      <c r="F12" s="4">
        <v>2025</v>
      </c>
      <c r="G12" s="4">
        <v>2030</v>
      </c>
      <c r="H12" s="4">
        <v>2035</v>
      </c>
      <c r="I12" s="4">
        <v>2040</v>
      </c>
      <c r="J12" s="4">
        <v>2045</v>
      </c>
      <c r="N12" s="201" t="s">
        <v>31</v>
      </c>
      <c r="O12" s="201"/>
      <c r="P12" s="188"/>
      <c r="Q12" s="188" t="s">
        <v>32</v>
      </c>
      <c r="R12" s="189"/>
      <c r="S12" s="202"/>
    </row>
    <row r="13" spans="4:19" ht="15.75" thickBot="1" x14ac:dyDescent="0.3">
      <c r="D13" s="5" t="s">
        <v>3</v>
      </c>
      <c r="E13" s="6"/>
      <c r="F13" s="6"/>
      <c r="G13" s="6">
        <v>5</v>
      </c>
      <c r="H13" s="6">
        <v>10</v>
      </c>
      <c r="I13" s="6">
        <v>15</v>
      </c>
      <c r="J13" s="6">
        <v>20</v>
      </c>
      <c r="N13" s="185" t="s">
        <v>33</v>
      </c>
      <c r="O13" s="186"/>
      <c r="P13" s="203"/>
      <c r="Q13" s="185">
        <v>5839</v>
      </c>
      <c r="R13" s="186"/>
      <c r="S13" s="187"/>
    </row>
    <row r="14" spans="4:19" ht="15.75" thickBot="1" x14ac:dyDescent="0.3">
      <c r="D14" s="5" t="s">
        <v>4</v>
      </c>
      <c r="E14" s="6" t="s">
        <v>5</v>
      </c>
      <c r="F14" s="7">
        <f>Q21</f>
        <v>84520</v>
      </c>
      <c r="G14" s="7">
        <f>F14*(1+0.037)^G13</f>
        <v>101356.88859698981</v>
      </c>
      <c r="H14" s="7">
        <f>F14*(1+0.037)^H13</f>
        <v>121547.78592123286</v>
      </c>
      <c r="I14" s="7">
        <f>F14*(1+0.037)^I13</f>
        <v>145760.83053512976</v>
      </c>
      <c r="J14" s="7">
        <f>F14*(1+0.037)^J13</f>
        <v>174797.25819159791</v>
      </c>
      <c r="N14" s="185" t="s">
        <v>34</v>
      </c>
      <c r="O14" s="186"/>
      <c r="P14" s="203"/>
      <c r="Q14" s="185">
        <v>11492</v>
      </c>
      <c r="R14" s="186"/>
      <c r="S14" s="187"/>
    </row>
    <row r="15" spans="4:19" ht="15.75" thickBot="1" x14ac:dyDescent="0.3">
      <c r="D15" s="5" t="s">
        <v>6</v>
      </c>
      <c r="E15" s="6" t="s">
        <v>7</v>
      </c>
      <c r="F15" s="8">
        <v>70</v>
      </c>
      <c r="G15" s="7">
        <v>80</v>
      </c>
      <c r="H15" s="7">
        <v>100</v>
      </c>
      <c r="I15" s="7">
        <v>100</v>
      </c>
      <c r="J15" s="7">
        <v>100</v>
      </c>
      <c r="N15" s="185" t="s">
        <v>35</v>
      </c>
      <c r="O15" s="186"/>
      <c r="P15" s="203"/>
      <c r="Q15" s="185">
        <v>15097</v>
      </c>
      <c r="R15" s="186"/>
      <c r="S15" s="187"/>
    </row>
    <row r="16" spans="4:19" ht="15.75" thickBot="1" x14ac:dyDescent="0.3">
      <c r="D16" s="5" t="s">
        <v>8</v>
      </c>
      <c r="E16" s="6" t="s">
        <v>5</v>
      </c>
      <c r="F16" s="7">
        <f>ROUND((F14*F15)/100,0)</f>
        <v>59164</v>
      </c>
      <c r="G16" s="7">
        <f>ROUND((G14*G15)/100,0)</f>
        <v>81086</v>
      </c>
      <c r="H16" s="7">
        <f>ROUND((H14*H15)/100,0)</f>
        <v>121548</v>
      </c>
      <c r="I16" s="7">
        <f>ROUND((I14*I15)/100,0)</f>
        <v>145761</v>
      </c>
      <c r="J16" s="7">
        <f>ROUND((J14*J15)/100,0)</f>
        <v>174797</v>
      </c>
      <c r="N16" s="185" t="s">
        <v>36</v>
      </c>
      <c r="O16" s="186"/>
      <c r="P16" s="203"/>
      <c r="Q16" s="185">
        <v>16203</v>
      </c>
      <c r="R16" s="186"/>
      <c r="S16" s="187"/>
    </row>
    <row r="17" spans="4:19" ht="15.75" thickBot="1" x14ac:dyDescent="0.3">
      <c r="D17" s="9" t="s">
        <v>9</v>
      </c>
      <c r="E17" s="10" t="s">
        <v>7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N17" s="185" t="s">
        <v>37</v>
      </c>
      <c r="O17" s="186"/>
      <c r="P17" s="203"/>
      <c r="Q17" s="185">
        <v>1566</v>
      </c>
      <c r="R17" s="186"/>
      <c r="S17" s="187"/>
    </row>
    <row r="18" spans="4:19" ht="15.75" thickBot="1" x14ac:dyDescent="0.3">
      <c r="D18" s="5" t="s">
        <v>10</v>
      </c>
      <c r="E18" s="6" t="s">
        <v>5</v>
      </c>
      <c r="F18" s="7">
        <f>ROUND(F16*(F17/100),0)</f>
        <v>0</v>
      </c>
      <c r="G18" s="7">
        <f>ROUND(G16*(G17/100),0)</f>
        <v>0</v>
      </c>
      <c r="H18" s="7">
        <f>ROUND(H16*(H17/100),0)</f>
        <v>0</v>
      </c>
      <c r="I18" s="7">
        <f>ROUND(I16*(I17/100),0)</f>
        <v>0</v>
      </c>
      <c r="J18" s="7">
        <f>ROUND(J16*(J17/100),0)</f>
        <v>0</v>
      </c>
      <c r="N18" s="183" t="s">
        <v>38</v>
      </c>
      <c r="O18" s="184"/>
      <c r="P18" s="184"/>
      <c r="Q18" s="185">
        <v>889</v>
      </c>
      <c r="R18" s="186"/>
      <c r="S18" s="187"/>
    </row>
    <row r="19" spans="4:19" ht="30.75" thickBot="1" x14ac:dyDescent="0.3">
      <c r="D19" s="5" t="s">
        <v>11</v>
      </c>
      <c r="E19" s="6" t="s">
        <v>5</v>
      </c>
      <c r="F19" s="7">
        <v>250</v>
      </c>
      <c r="G19" s="7">
        <v>250</v>
      </c>
      <c r="H19" s="7">
        <v>250</v>
      </c>
      <c r="I19" s="7">
        <v>250</v>
      </c>
      <c r="J19" s="7">
        <v>250</v>
      </c>
      <c r="N19" s="183" t="s">
        <v>39</v>
      </c>
      <c r="O19" s="184"/>
      <c r="P19" s="184"/>
      <c r="Q19" s="185">
        <v>19051</v>
      </c>
      <c r="R19" s="186"/>
      <c r="S19" s="187"/>
    </row>
    <row r="20" spans="4:19" ht="15.75" thickBot="1" x14ac:dyDescent="0.3">
      <c r="D20" s="5" t="s">
        <v>12</v>
      </c>
      <c r="E20" s="6"/>
      <c r="F20" s="7">
        <f>ROUND(F18/F19,0)</f>
        <v>0</v>
      </c>
      <c r="G20" s="7">
        <f>ROUND(G18/G19,0)</f>
        <v>0</v>
      </c>
      <c r="H20" s="7">
        <f>ROUND(H18/H19,0)</f>
        <v>0</v>
      </c>
      <c r="I20" s="7">
        <f>ROUND(I18/I19,0)</f>
        <v>0</v>
      </c>
      <c r="J20" s="7">
        <f>ROUND(J18/J19,0)</f>
        <v>0</v>
      </c>
      <c r="N20" s="188" t="s">
        <v>40</v>
      </c>
      <c r="O20" s="189"/>
      <c r="P20" s="189"/>
      <c r="Q20" s="190">
        <v>14383</v>
      </c>
      <c r="R20" s="191"/>
      <c r="S20" s="192"/>
    </row>
    <row r="21" spans="4:19" ht="16.5" thickBot="1" x14ac:dyDescent="0.3">
      <c r="D21" s="11" t="s">
        <v>13</v>
      </c>
      <c r="E21" s="12" t="s">
        <v>14</v>
      </c>
      <c r="F21" s="12">
        <v>20</v>
      </c>
      <c r="G21" s="12">
        <v>20</v>
      </c>
      <c r="H21" s="12">
        <v>20</v>
      </c>
      <c r="I21" s="12">
        <v>20</v>
      </c>
      <c r="J21" s="12">
        <v>20</v>
      </c>
      <c r="N21" s="193" t="s">
        <v>41</v>
      </c>
      <c r="O21" s="193"/>
      <c r="P21" s="193"/>
      <c r="Q21" s="194">
        <f>+SUM(Q13:S20)</f>
        <v>84520</v>
      </c>
      <c r="R21" s="194"/>
      <c r="S21" s="194"/>
    </row>
    <row r="22" spans="4:19" x14ac:dyDescent="0.25">
      <c r="D22" s="11" t="s">
        <v>15</v>
      </c>
      <c r="E22" s="12" t="s">
        <v>16</v>
      </c>
      <c r="F22" s="12">
        <f>F21*10^(-3)*F18</f>
        <v>0</v>
      </c>
      <c r="G22" s="12">
        <f>G21*10^(-3)*G18</f>
        <v>0</v>
      </c>
      <c r="H22" s="12">
        <f>H21*10^(-3)*H18</f>
        <v>0</v>
      </c>
      <c r="I22" s="12">
        <f>I21*10^(-3)*I18</f>
        <v>0</v>
      </c>
      <c r="J22" s="12">
        <f>J21*10^(-3)*J18</f>
        <v>0</v>
      </c>
    </row>
    <row r="23" spans="4:19" x14ac:dyDescent="0.25">
      <c r="D23" s="9" t="s">
        <v>17</v>
      </c>
      <c r="E23" s="10" t="s">
        <v>7</v>
      </c>
      <c r="F23" s="8">
        <v>100</v>
      </c>
      <c r="G23" s="8">
        <v>100</v>
      </c>
      <c r="H23" s="8">
        <v>100</v>
      </c>
      <c r="I23" s="8">
        <v>100</v>
      </c>
      <c r="J23" s="8">
        <v>100</v>
      </c>
    </row>
    <row r="24" spans="4:19" x14ac:dyDescent="0.25">
      <c r="D24" s="5" t="s">
        <v>18</v>
      </c>
      <c r="E24" s="6" t="s">
        <v>5</v>
      </c>
      <c r="F24" s="7">
        <f>ROUND((F14*F23)/100,0)</f>
        <v>84520</v>
      </c>
      <c r="G24" s="7">
        <f>ROUND((G14*G23)/100,0)</f>
        <v>101357</v>
      </c>
      <c r="H24" s="7">
        <f>ROUND((H14*H23)/100,0)</f>
        <v>121548</v>
      </c>
      <c r="I24" s="7">
        <f>ROUND((I14*I23)/100,0)</f>
        <v>145761</v>
      </c>
      <c r="J24" s="7">
        <f>ROUND((J14*J23)/100,0)</f>
        <v>174797</v>
      </c>
    </row>
    <row r="25" spans="4:19" ht="30" x14ac:dyDescent="0.25">
      <c r="D25" s="5" t="s">
        <v>19</v>
      </c>
      <c r="E25" s="6" t="s">
        <v>5</v>
      </c>
      <c r="F25" s="7">
        <v>15</v>
      </c>
      <c r="G25" s="7">
        <v>15</v>
      </c>
      <c r="H25" s="7">
        <v>15</v>
      </c>
      <c r="I25" s="7">
        <v>15</v>
      </c>
      <c r="J25" s="7">
        <v>15</v>
      </c>
    </row>
    <row r="26" spans="4:19" x14ac:dyDescent="0.25">
      <c r="D26" s="5" t="s">
        <v>20</v>
      </c>
      <c r="E26" s="6"/>
      <c r="F26" s="7">
        <f>ROUND(F24/F25,0)</f>
        <v>5635</v>
      </c>
      <c r="G26" s="7">
        <f>ROUND(G24/G25,0)</f>
        <v>6757</v>
      </c>
      <c r="H26" s="7">
        <f>ROUND(H24/H25,0)</f>
        <v>8103</v>
      </c>
      <c r="I26" s="7">
        <f>ROUND(I24/I25,0)</f>
        <v>9717</v>
      </c>
      <c r="J26" s="7">
        <f>ROUND(J24/J25,0)</f>
        <v>11653</v>
      </c>
    </row>
    <row r="27" spans="4:19" x14ac:dyDescent="0.25">
      <c r="D27" s="11" t="s">
        <v>21</v>
      </c>
      <c r="E27" s="12" t="s">
        <v>14</v>
      </c>
      <c r="F27" s="12">
        <v>60</v>
      </c>
      <c r="G27" s="12">
        <v>60</v>
      </c>
      <c r="H27" s="12">
        <v>60</v>
      </c>
      <c r="I27" s="12">
        <v>60</v>
      </c>
      <c r="J27" s="12">
        <v>60</v>
      </c>
    </row>
    <row r="28" spans="4:19" x14ac:dyDescent="0.25">
      <c r="D28" s="11" t="s">
        <v>22</v>
      </c>
      <c r="E28" s="12" t="s">
        <v>16</v>
      </c>
      <c r="F28" s="12">
        <f>F27*10^(-3)*F24</f>
        <v>5071.2</v>
      </c>
      <c r="G28" s="12">
        <f>G27*10^(-3)*G24</f>
        <v>6081.42</v>
      </c>
      <c r="H28" s="12">
        <f>H27*10^(-3)*H24</f>
        <v>7292.88</v>
      </c>
      <c r="I28" s="12">
        <f>I27*10^(-3)*I24</f>
        <v>8745.66</v>
      </c>
      <c r="J28" s="12">
        <f>J27*10^(-3)*J24</f>
        <v>10487.82</v>
      </c>
    </row>
    <row r="29" spans="4:19" x14ac:dyDescent="0.25">
      <c r="D29" s="11" t="s">
        <v>23</v>
      </c>
      <c r="E29" s="12" t="s">
        <v>16</v>
      </c>
      <c r="F29" s="12">
        <f>F28+F22</f>
        <v>5071.2</v>
      </c>
      <c r="G29" s="12">
        <f>G28+G22</f>
        <v>6081.42</v>
      </c>
      <c r="H29" s="12">
        <f>H28+H22</f>
        <v>7292.88</v>
      </c>
      <c r="I29" s="12">
        <f>I28+I22</f>
        <v>8745.66</v>
      </c>
      <c r="J29" s="12">
        <f>J28+J22</f>
        <v>10487.82</v>
      </c>
    </row>
    <row r="30" spans="4:19" x14ac:dyDescent="0.25">
      <c r="D30" s="11" t="s">
        <v>24</v>
      </c>
      <c r="E30" s="12" t="s">
        <v>16</v>
      </c>
      <c r="F30" s="12">
        <f>F29*0.1</f>
        <v>507.12</v>
      </c>
      <c r="G30" s="12">
        <f>G29*0.1</f>
        <v>608.14200000000005</v>
      </c>
      <c r="H30" s="12">
        <f>H29*0.1</f>
        <v>729.28800000000001</v>
      </c>
      <c r="I30" s="12">
        <f>I29*0.1</f>
        <v>874.56600000000003</v>
      </c>
      <c r="J30" s="12">
        <f>J29*0.1</f>
        <v>1048.7819999999999</v>
      </c>
    </row>
    <row r="31" spans="4:19" x14ac:dyDescent="0.25">
      <c r="D31" s="13" t="s">
        <v>25</v>
      </c>
      <c r="E31" s="14" t="s">
        <v>16</v>
      </c>
      <c r="F31" s="15">
        <f>F30+F29</f>
        <v>5578.32</v>
      </c>
      <c r="G31" s="15">
        <f t="shared" ref="G31:J31" si="0">G30+G29</f>
        <v>6689.5619999999999</v>
      </c>
      <c r="H31" s="15">
        <f t="shared" si="0"/>
        <v>8022.1679999999997</v>
      </c>
      <c r="I31" s="15">
        <f t="shared" si="0"/>
        <v>9620.2260000000006</v>
      </c>
      <c r="J31" s="15">
        <f t="shared" si="0"/>
        <v>11536.601999999999</v>
      </c>
    </row>
    <row r="32" spans="4:19" ht="15.75" x14ac:dyDescent="0.25">
      <c r="D32" s="16"/>
      <c r="E32" s="17"/>
      <c r="F32" s="18"/>
      <c r="G32" s="18"/>
      <c r="H32" s="18"/>
      <c r="I32" s="18"/>
      <c r="J32" s="18"/>
    </row>
    <row r="33" spans="4:10" ht="15.75" x14ac:dyDescent="0.25">
      <c r="D33" s="19"/>
      <c r="E33" s="20"/>
      <c r="F33" s="18"/>
      <c r="G33" s="18"/>
      <c r="H33" s="18"/>
      <c r="I33" s="18"/>
      <c r="J33" s="18"/>
    </row>
    <row r="34" spans="4:10" ht="15.75" x14ac:dyDescent="0.25">
      <c r="D34" s="19"/>
      <c r="E34" s="20"/>
      <c r="F34" s="18"/>
      <c r="G34" s="18"/>
      <c r="H34" s="18"/>
      <c r="I34" s="18"/>
      <c r="J34" s="18"/>
    </row>
    <row r="35" spans="4:10" ht="15.75" x14ac:dyDescent="0.25">
      <c r="D35" s="19"/>
      <c r="E35" s="20"/>
      <c r="F35" s="18"/>
      <c r="G35" s="18"/>
      <c r="H35" s="18"/>
      <c r="I35" s="18"/>
      <c r="J35" s="18"/>
    </row>
    <row r="36" spans="4:10" ht="15.75" x14ac:dyDescent="0.25">
      <c r="D36" s="21"/>
      <c r="E36" s="22"/>
      <c r="F36" s="198" t="s">
        <v>0</v>
      </c>
      <c r="G36" s="199"/>
      <c r="H36" s="199"/>
      <c r="I36" s="199"/>
      <c r="J36" s="200"/>
    </row>
    <row r="37" spans="4:10" ht="15.75" x14ac:dyDescent="0.25">
      <c r="D37" s="23" t="s">
        <v>1</v>
      </c>
      <c r="E37" s="24" t="s">
        <v>26</v>
      </c>
      <c r="F37" s="24">
        <v>2021</v>
      </c>
      <c r="G37" s="24">
        <v>2026</v>
      </c>
      <c r="H37" s="24">
        <v>2031</v>
      </c>
      <c r="I37" s="24">
        <v>2036</v>
      </c>
      <c r="J37" s="24">
        <v>2041</v>
      </c>
    </row>
    <row r="38" spans="4:10" x14ac:dyDescent="0.25">
      <c r="D38" s="25" t="s">
        <v>25</v>
      </c>
      <c r="E38" s="26" t="s">
        <v>16</v>
      </c>
      <c r="F38" s="27">
        <f>F29+F30</f>
        <v>5578.32</v>
      </c>
      <c r="G38" s="27">
        <f>G29+G30</f>
        <v>6689.5619999999999</v>
      </c>
      <c r="H38" s="27">
        <f>H29+H30</f>
        <v>8022.1679999999997</v>
      </c>
      <c r="I38" s="27">
        <f>I29+I30</f>
        <v>9620.2260000000006</v>
      </c>
      <c r="J38" s="28">
        <f>J29+J30</f>
        <v>11536.601999999999</v>
      </c>
    </row>
    <row r="39" spans="4:10" x14ac:dyDescent="0.25">
      <c r="D39" s="29" t="s">
        <v>27</v>
      </c>
      <c r="E39" s="30"/>
      <c r="F39" s="30">
        <v>1.5</v>
      </c>
      <c r="G39" s="30">
        <v>1.5</v>
      </c>
      <c r="H39" s="30">
        <v>1.5</v>
      </c>
      <c r="I39" s="30">
        <v>1.5</v>
      </c>
      <c r="J39" s="31">
        <v>1.5</v>
      </c>
    </row>
    <row r="40" spans="4:10" x14ac:dyDescent="0.25">
      <c r="D40" s="32" t="s">
        <v>28</v>
      </c>
      <c r="E40" s="33" t="s">
        <v>16</v>
      </c>
      <c r="F40" s="33">
        <f>F38*F39</f>
        <v>8367.48</v>
      </c>
      <c r="G40" s="33">
        <f>G38*G39</f>
        <v>10034.343000000001</v>
      </c>
      <c r="H40" s="33">
        <f>H38*H39</f>
        <v>12033.252</v>
      </c>
      <c r="I40" s="33">
        <f>I38*I39</f>
        <v>14430.339</v>
      </c>
      <c r="J40" s="34">
        <f>J38*J39</f>
        <v>17304.902999999998</v>
      </c>
    </row>
    <row r="41" spans="4:10" x14ac:dyDescent="0.25">
      <c r="D41" s="35" t="s">
        <v>29</v>
      </c>
      <c r="E41" s="36" t="s">
        <v>7</v>
      </c>
      <c r="F41" s="37">
        <v>95</v>
      </c>
      <c r="G41" s="37">
        <v>95</v>
      </c>
      <c r="H41" s="37">
        <v>95</v>
      </c>
      <c r="I41" s="37">
        <v>95</v>
      </c>
      <c r="J41" s="38">
        <v>95</v>
      </c>
    </row>
    <row r="42" spans="4:10" x14ac:dyDescent="0.25">
      <c r="D42" s="25" t="s">
        <v>30</v>
      </c>
      <c r="E42" s="26" t="s">
        <v>16</v>
      </c>
      <c r="F42" s="27">
        <f>F40/(F41/100)</f>
        <v>8807.8736842105263</v>
      </c>
      <c r="G42" s="27">
        <f>G40/(G41/100)</f>
        <v>10562.466315789476</v>
      </c>
      <c r="H42" s="27">
        <f>H40/(H41/100)</f>
        <v>12666.58105263158</v>
      </c>
      <c r="I42" s="27">
        <f>I40/(I41/100)</f>
        <v>15189.830526315791</v>
      </c>
      <c r="J42" s="28">
        <f>J40/(J41/100)</f>
        <v>18215.687368421051</v>
      </c>
    </row>
  </sheetData>
  <mergeCells count="22">
    <mergeCell ref="F11:J11"/>
    <mergeCell ref="F36:J36"/>
    <mergeCell ref="N12:P12"/>
    <mergeCell ref="Q12:S12"/>
    <mergeCell ref="N13:P13"/>
    <mergeCell ref="Q13:S13"/>
    <mergeCell ref="N14:P14"/>
    <mergeCell ref="Q14:S14"/>
    <mergeCell ref="N15:P15"/>
    <mergeCell ref="Q15:S15"/>
    <mergeCell ref="N16:P16"/>
    <mergeCell ref="Q16:S16"/>
    <mergeCell ref="N17:P17"/>
    <mergeCell ref="Q17:S17"/>
    <mergeCell ref="N18:P18"/>
    <mergeCell ref="Q18:S18"/>
    <mergeCell ref="N19:P19"/>
    <mergeCell ref="Q19:S19"/>
    <mergeCell ref="N20:P20"/>
    <mergeCell ref="Q20:S20"/>
    <mergeCell ref="N21:P21"/>
    <mergeCell ref="Q21:S2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C1B6-86C8-4E5B-9232-EC6088FBCBC9}">
  <dimension ref="G12:K17"/>
  <sheetViews>
    <sheetView workbookViewId="0">
      <selection activeCell="H31" sqref="H31"/>
    </sheetView>
  </sheetViews>
  <sheetFormatPr baseColWidth="10" defaultRowHeight="15" x14ac:dyDescent="0.25"/>
  <cols>
    <col min="7" max="7" width="26.5703125" bestFit="1" customWidth="1"/>
    <col min="8" max="10" width="14.42578125" bestFit="1" customWidth="1"/>
    <col min="11" max="11" width="29.42578125" customWidth="1"/>
  </cols>
  <sheetData>
    <row r="12" spans="7:11" x14ac:dyDescent="0.25">
      <c r="G12" t="s">
        <v>1446</v>
      </c>
      <c r="H12" t="s">
        <v>1447</v>
      </c>
      <c r="I12" t="s">
        <v>1448</v>
      </c>
      <c r="J12" t="s">
        <v>1449</v>
      </c>
      <c r="K12" t="s">
        <v>994</v>
      </c>
    </row>
    <row r="13" spans="7:11" x14ac:dyDescent="0.25">
      <c r="G13" t="s">
        <v>1450</v>
      </c>
      <c r="H13" t="s">
        <v>1092</v>
      </c>
      <c r="I13" t="s">
        <v>1092</v>
      </c>
      <c r="J13" t="s">
        <v>1092</v>
      </c>
      <c r="K13" t="s">
        <v>1451</v>
      </c>
    </row>
    <row r="14" spans="7:11" x14ac:dyDescent="0.25">
      <c r="G14" t="s">
        <v>1452</v>
      </c>
      <c r="H14">
        <v>1.2248591</v>
      </c>
      <c r="I14">
        <v>1.2267108499999999</v>
      </c>
      <c r="J14">
        <v>1.2139310400000001</v>
      </c>
      <c r="K14" t="s">
        <v>1457</v>
      </c>
    </row>
    <row r="15" spans="7:11" x14ac:dyDescent="0.25">
      <c r="G15" t="s">
        <v>1453</v>
      </c>
      <c r="H15">
        <v>6.2628832000000001</v>
      </c>
      <c r="I15">
        <v>6.2688812</v>
      </c>
      <c r="J15">
        <v>6.2477893399999997</v>
      </c>
      <c r="K15" t="s">
        <v>1457</v>
      </c>
    </row>
    <row r="16" spans="7:11" x14ac:dyDescent="0.25">
      <c r="G16" t="s">
        <v>1454</v>
      </c>
      <c r="H16">
        <v>13</v>
      </c>
      <c r="I16">
        <v>16</v>
      </c>
      <c r="J16">
        <v>11</v>
      </c>
      <c r="K16" t="s">
        <v>942</v>
      </c>
    </row>
    <row r="17" spans="7:11" x14ac:dyDescent="0.25">
      <c r="G17" t="s">
        <v>1455</v>
      </c>
      <c r="H17">
        <v>8</v>
      </c>
      <c r="I17">
        <v>8</v>
      </c>
      <c r="J17">
        <v>8</v>
      </c>
      <c r="K17" t="s">
        <v>1456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7C971-5E3A-4FCF-AD41-60648CA30542}">
  <sheetPr codeName="Feuil2"/>
  <dimension ref="B9:AB30"/>
  <sheetViews>
    <sheetView workbookViewId="0">
      <selection activeCell="Q19" sqref="Q19:U30"/>
    </sheetView>
  </sheetViews>
  <sheetFormatPr baseColWidth="10" defaultRowHeight="15" x14ac:dyDescent="0.25"/>
  <cols>
    <col min="2" max="2" width="22.85546875" bestFit="1" customWidth="1"/>
    <col min="3" max="3" width="18.42578125" bestFit="1" customWidth="1"/>
    <col min="4" max="4" width="22.7109375" customWidth="1"/>
    <col min="12" max="12" width="19.7109375" customWidth="1"/>
  </cols>
  <sheetData>
    <row r="9" spans="2:28" ht="90" x14ac:dyDescent="0.25">
      <c r="B9" s="84" t="s">
        <v>392</v>
      </c>
      <c r="C9" s="23" t="s">
        <v>42</v>
      </c>
      <c r="D9" s="23" t="s">
        <v>43</v>
      </c>
      <c r="E9" s="39" t="s">
        <v>44</v>
      </c>
      <c r="F9" s="23" t="s">
        <v>45</v>
      </c>
      <c r="G9" s="39" t="s">
        <v>46</v>
      </c>
      <c r="H9" s="39" t="s">
        <v>47</v>
      </c>
      <c r="I9" s="39" t="s">
        <v>48</v>
      </c>
      <c r="J9" s="39" t="s">
        <v>49</v>
      </c>
      <c r="K9" s="23" t="s">
        <v>50</v>
      </c>
      <c r="L9" s="23" t="s">
        <v>51</v>
      </c>
      <c r="M9" s="39" t="s">
        <v>390</v>
      </c>
      <c r="Q9" t="s">
        <v>392</v>
      </c>
      <c r="R9" t="s">
        <v>42</v>
      </c>
      <c r="S9" t="s">
        <v>43</v>
      </c>
      <c r="T9" t="s">
        <v>44</v>
      </c>
      <c r="U9" t="s">
        <v>45</v>
      </c>
      <c r="V9" t="s">
        <v>46</v>
      </c>
      <c r="W9" t="s">
        <v>47</v>
      </c>
      <c r="X9" t="s">
        <v>48</v>
      </c>
      <c r="Y9" t="s">
        <v>49</v>
      </c>
      <c r="Z9" t="s">
        <v>50</v>
      </c>
      <c r="AA9" t="s">
        <v>51</v>
      </c>
      <c r="AB9" t="s">
        <v>390</v>
      </c>
    </row>
    <row r="10" spans="2:28" ht="15.75" customHeight="1" x14ac:dyDescent="0.25">
      <c r="B10" s="205" t="s">
        <v>389</v>
      </c>
      <c r="C10" s="40" t="s">
        <v>52</v>
      </c>
      <c r="D10" s="41">
        <v>20</v>
      </c>
      <c r="E10" s="204">
        <f>'BESOIN SELON ETAT'!J42</f>
        <v>18215.687368421051</v>
      </c>
      <c r="F10" s="41">
        <v>0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207">
        <f>30%*E10</f>
        <v>5464.7062105263149</v>
      </c>
      <c r="Q10" t="s">
        <v>389</v>
      </c>
      <c r="R10" t="s">
        <v>52</v>
      </c>
      <c r="S10">
        <v>20</v>
      </c>
      <c r="T10">
        <v>18215.687368421051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5464.7062105263149</v>
      </c>
    </row>
    <row r="11" spans="2:28" ht="15.75" x14ac:dyDescent="0.25">
      <c r="B11" s="206"/>
      <c r="C11" s="40" t="s">
        <v>53</v>
      </c>
      <c r="D11" s="41">
        <v>60</v>
      </c>
      <c r="E11" s="204"/>
      <c r="F11" s="41">
        <v>100</v>
      </c>
      <c r="G11" s="42">
        <f>(F11/100)*E10</f>
        <v>18215.687368421051</v>
      </c>
      <c r="H11" s="42">
        <v>24</v>
      </c>
      <c r="I11" s="42">
        <f>G11/H11</f>
        <v>758.98697368421051</v>
      </c>
      <c r="J11" s="42">
        <f>1.5+(2.5/(I11^0.5))</f>
        <v>1.5907450297879087</v>
      </c>
      <c r="K11" s="42">
        <f>J11*I11</f>
        <v>1207.354756061924</v>
      </c>
      <c r="L11" s="43">
        <f>(K11*10^3)/3600</f>
        <v>335.37632112831221</v>
      </c>
      <c r="M11" s="207"/>
      <c r="R11" t="s">
        <v>53</v>
      </c>
      <c r="S11">
        <v>60</v>
      </c>
      <c r="U11">
        <v>100</v>
      </c>
      <c r="V11">
        <v>18215.687368421051</v>
      </c>
      <c r="W11">
        <v>24</v>
      </c>
      <c r="X11">
        <v>758.98697368421051</v>
      </c>
      <c r="Y11">
        <v>1.5907450297879087</v>
      </c>
      <c r="Z11">
        <v>1207.354756061924</v>
      </c>
      <c r="AA11">
        <v>335.37632112831221</v>
      </c>
    </row>
    <row r="12" spans="2:28" ht="30" x14ac:dyDescent="0.25">
      <c r="B12" s="85" t="s">
        <v>391</v>
      </c>
      <c r="C12" s="86" t="s">
        <v>393</v>
      </c>
      <c r="D12" s="83"/>
      <c r="E12" s="83">
        <v>666.7</v>
      </c>
      <c r="F12" s="41">
        <v>100</v>
      </c>
      <c r="G12" s="42">
        <f>(F12/100)*E12</f>
        <v>666.7</v>
      </c>
      <c r="H12" s="42">
        <v>24</v>
      </c>
      <c r="I12" s="42">
        <f>G12/H12</f>
        <v>27.779166666666669</v>
      </c>
      <c r="J12" s="42">
        <f>1.5+(2.5/(I12^0.5))</f>
        <v>1.9743297909287079</v>
      </c>
      <c r="K12" s="42">
        <f>J12*I12</f>
        <v>54.845236317173736</v>
      </c>
      <c r="L12" s="43">
        <f>(K12*10^3)/3600</f>
        <v>15.234787865881595</v>
      </c>
      <c r="M12" s="87">
        <f>30%*E12</f>
        <v>200.01000000000002</v>
      </c>
      <c r="Q12" t="s">
        <v>391</v>
      </c>
      <c r="R12" t="s">
        <v>393</v>
      </c>
      <c r="T12">
        <v>666.7</v>
      </c>
      <c r="U12">
        <v>100</v>
      </c>
      <c r="V12">
        <v>666.7</v>
      </c>
      <c r="W12">
        <v>24</v>
      </c>
      <c r="X12">
        <v>27.779166666666669</v>
      </c>
      <c r="Y12">
        <v>1.9743297909287079</v>
      </c>
      <c r="Z12">
        <v>54.845236317173736</v>
      </c>
      <c r="AA12">
        <v>15.234787865881595</v>
      </c>
      <c r="AB12">
        <v>200.01000000000002</v>
      </c>
    </row>
    <row r="13" spans="2:28" ht="15.75" x14ac:dyDescent="0.25">
      <c r="B13" s="40" t="s">
        <v>54</v>
      </c>
      <c r="C13" s="208"/>
      <c r="D13" s="209"/>
      <c r="E13" s="209"/>
      <c r="F13" s="209"/>
      <c r="G13" s="209"/>
      <c r="H13" s="210"/>
      <c r="I13" s="42">
        <f>I11+I10</f>
        <v>758.98697368421051</v>
      </c>
      <c r="J13" s="42"/>
      <c r="K13" s="42">
        <f>K11+K10</f>
        <v>1207.354756061924</v>
      </c>
      <c r="L13" s="43">
        <f>L12+L11</f>
        <v>350.61110899419378</v>
      </c>
      <c r="M13" s="87">
        <f>M12+M10</f>
        <v>5664.7162105263151</v>
      </c>
      <c r="Q13" t="s">
        <v>54</v>
      </c>
      <c r="X13">
        <v>758.98697368421051</v>
      </c>
      <c r="Z13">
        <v>1207.354756061924</v>
      </c>
      <c r="AA13">
        <v>350.61110899419378</v>
      </c>
      <c r="AB13">
        <v>5664.7162105263151</v>
      </c>
    </row>
    <row r="19" spans="17:21" x14ac:dyDescent="0.25">
      <c r="Q19" t="s">
        <v>392</v>
      </c>
      <c r="R19" t="s">
        <v>389</v>
      </c>
      <c r="T19" t="s">
        <v>391</v>
      </c>
      <c r="U19" t="s">
        <v>54</v>
      </c>
    </row>
    <row r="20" spans="17:21" x14ac:dyDescent="0.25">
      <c r="Q20" t="s">
        <v>42</v>
      </c>
      <c r="R20" t="s">
        <v>52</v>
      </c>
      <c r="S20" t="s">
        <v>53</v>
      </c>
      <c r="T20" t="s">
        <v>393</v>
      </c>
    </row>
    <row r="21" spans="17:21" x14ac:dyDescent="0.25">
      <c r="Q21" t="s">
        <v>43</v>
      </c>
      <c r="R21">
        <v>20</v>
      </c>
      <c r="S21">
        <v>60</v>
      </c>
    </row>
    <row r="22" spans="17:21" x14ac:dyDescent="0.25">
      <c r="Q22" t="s">
        <v>44</v>
      </c>
      <c r="R22">
        <v>18215.687368421051</v>
      </c>
      <c r="T22">
        <v>666.7</v>
      </c>
    </row>
    <row r="23" spans="17:21" x14ac:dyDescent="0.25">
      <c r="Q23" t="s">
        <v>45</v>
      </c>
      <c r="R23">
        <v>0</v>
      </c>
      <c r="S23">
        <v>100</v>
      </c>
      <c r="T23">
        <v>100</v>
      </c>
    </row>
    <row r="24" spans="17:21" x14ac:dyDescent="0.25">
      <c r="Q24" t="s">
        <v>46</v>
      </c>
      <c r="R24">
        <v>0</v>
      </c>
      <c r="S24">
        <v>18215.687368421051</v>
      </c>
      <c r="T24">
        <v>666.7</v>
      </c>
    </row>
    <row r="25" spans="17:21" x14ac:dyDescent="0.25">
      <c r="Q25" t="s">
        <v>47</v>
      </c>
      <c r="R25">
        <v>0</v>
      </c>
      <c r="S25">
        <v>24</v>
      </c>
      <c r="T25">
        <v>24</v>
      </c>
    </row>
    <row r="26" spans="17:21" x14ac:dyDescent="0.25">
      <c r="Q26" t="s">
        <v>48</v>
      </c>
      <c r="R26">
        <v>0</v>
      </c>
      <c r="S26">
        <v>758.98697368421051</v>
      </c>
      <c r="T26">
        <v>27.779166666666669</v>
      </c>
      <c r="U26">
        <v>758.98697368421051</v>
      </c>
    </row>
    <row r="27" spans="17:21" x14ac:dyDescent="0.25">
      <c r="Q27" t="s">
        <v>49</v>
      </c>
      <c r="R27">
        <v>0</v>
      </c>
      <c r="S27">
        <v>1.5907450297879087</v>
      </c>
      <c r="T27">
        <v>1.9743297909287079</v>
      </c>
    </row>
    <row r="28" spans="17:21" x14ac:dyDescent="0.25">
      <c r="Q28" t="s">
        <v>50</v>
      </c>
      <c r="R28">
        <v>0</v>
      </c>
      <c r="S28">
        <v>1207.354756061924</v>
      </c>
      <c r="T28">
        <v>54.845236317173736</v>
      </c>
      <c r="U28">
        <v>1207.354756061924</v>
      </c>
    </row>
    <row r="29" spans="17:21" x14ac:dyDescent="0.25">
      <c r="Q29" t="s">
        <v>51</v>
      </c>
      <c r="R29">
        <v>0</v>
      </c>
      <c r="S29">
        <v>335.37632112831221</v>
      </c>
      <c r="T29">
        <v>15.234787865881595</v>
      </c>
      <c r="U29">
        <v>350.61110899419378</v>
      </c>
    </row>
    <row r="30" spans="17:21" x14ac:dyDescent="0.25">
      <c r="Q30" t="s">
        <v>390</v>
      </c>
      <c r="R30">
        <v>5464.7062105263149</v>
      </c>
      <c r="T30">
        <v>200.01000000000002</v>
      </c>
      <c r="U30">
        <v>5664.7162105263151</v>
      </c>
    </row>
  </sheetData>
  <mergeCells count="4">
    <mergeCell ref="E10:E11"/>
    <mergeCell ref="B10:B11"/>
    <mergeCell ref="M10:M11"/>
    <mergeCell ref="C13:H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BBE9-F097-43A5-AFC0-71191FD8D9A4}">
  <sheetPr codeName="Feuil3"/>
  <dimension ref="C3:U48"/>
  <sheetViews>
    <sheetView workbookViewId="0">
      <selection activeCell="B23" sqref="A1:XFD1048576"/>
    </sheetView>
  </sheetViews>
  <sheetFormatPr baseColWidth="10" defaultRowHeight="15" x14ac:dyDescent="0.25"/>
  <cols>
    <col min="13" max="13" width="15.7109375" customWidth="1"/>
    <col min="14" max="14" width="16.28515625" customWidth="1"/>
  </cols>
  <sheetData>
    <row r="3" spans="3:21" x14ac:dyDescent="0.25">
      <c r="C3" s="211" t="s">
        <v>955</v>
      </c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</row>
    <row r="4" spans="3:21" ht="48" thickBot="1" x14ac:dyDescent="0.3">
      <c r="C4" s="44" t="s">
        <v>55</v>
      </c>
      <c r="D4" s="45" t="s">
        <v>56</v>
      </c>
      <c r="E4" s="45" t="s">
        <v>57</v>
      </c>
      <c r="F4" s="45" t="s">
        <v>58</v>
      </c>
      <c r="G4" s="45" t="s">
        <v>59</v>
      </c>
      <c r="H4" s="45" t="s">
        <v>60</v>
      </c>
      <c r="I4" s="45" t="s">
        <v>61</v>
      </c>
      <c r="J4" s="45" t="s">
        <v>62</v>
      </c>
      <c r="K4" s="46" t="s">
        <v>63</v>
      </c>
      <c r="L4" s="46" t="s">
        <v>64</v>
      </c>
      <c r="M4" s="46" t="s">
        <v>65</v>
      </c>
      <c r="N4" s="46" t="s">
        <v>66</v>
      </c>
      <c r="O4" s="45" t="s">
        <v>67</v>
      </c>
      <c r="P4" s="45" t="s">
        <v>68</v>
      </c>
      <c r="Q4" s="47" t="s">
        <v>69</v>
      </c>
    </row>
    <row r="5" spans="3:21" ht="17.25" thickTop="1" thickBot="1" x14ac:dyDescent="0.3">
      <c r="C5" s="48" t="s">
        <v>70</v>
      </c>
      <c r="D5" s="49">
        <v>8</v>
      </c>
      <c r="E5" s="50">
        <f>D5/3600</f>
        <v>2.2222222222222222E-3</v>
      </c>
      <c r="F5" s="51">
        <f>1.5*SQRT(E5)</f>
        <v>7.0710678118654752E-2</v>
      </c>
      <c r="G5" s="51">
        <f>F5*1000</f>
        <v>70.710678118654755</v>
      </c>
      <c r="H5" s="41">
        <v>80</v>
      </c>
      <c r="I5" s="41">
        <v>77</v>
      </c>
      <c r="J5" s="42">
        <f>(4*E5)/(PI()*(I5/1000)^2)</f>
        <v>0.47721727281541299</v>
      </c>
      <c r="K5" s="42">
        <f>0.6+F5</f>
        <v>0.6707106781186547</v>
      </c>
      <c r="L5" s="42">
        <f>(I5/50)^0.5</f>
        <v>1.2409673645990857</v>
      </c>
      <c r="M5" s="41" t="str">
        <f>IF(J5&lt;=K5,"Vérifiée","Non vérifiée")</f>
        <v>Vérifiée</v>
      </c>
      <c r="N5" s="41" t="str">
        <f>IF(J5&lt;=L5,"Vérifiée","Nonvérifiée")</f>
        <v>Vérifiée</v>
      </c>
      <c r="O5" s="52">
        <v>99</v>
      </c>
      <c r="P5" s="41">
        <v>120</v>
      </c>
      <c r="Q5" s="53">
        <f>(10.29*(E5^2)*O5)/((P5^2)*((I5*0.001)^(16/3)))</f>
        <v>0.30337457583396571</v>
      </c>
    </row>
    <row r="6" spans="3:21" ht="17.25" thickTop="1" thickBot="1" x14ac:dyDescent="0.3">
      <c r="C6" s="48" t="s">
        <v>71</v>
      </c>
      <c r="D6" s="49">
        <v>8</v>
      </c>
      <c r="E6" s="50">
        <f>D6/3600</f>
        <v>2.2222222222222222E-3</v>
      </c>
      <c r="F6" s="51">
        <f>0.8*E6^(1/3)</f>
        <v>0.10439647043116973</v>
      </c>
      <c r="G6" s="51">
        <f>F6*1000</f>
        <v>104.39647043116973</v>
      </c>
      <c r="H6" s="41">
        <v>125</v>
      </c>
      <c r="I6" s="41">
        <v>125</v>
      </c>
      <c r="J6" s="42">
        <f>(4*E6)/(PI()*(I6/1000)^2)</f>
        <v>0.18108295747344536</v>
      </c>
      <c r="K6" s="42">
        <f>0.6+F6</f>
        <v>0.70439647043116971</v>
      </c>
      <c r="L6" s="42">
        <f>(I6/50)^0.5</f>
        <v>1.5811388300841898</v>
      </c>
      <c r="M6" s="41" t="str">
        <f>IF(J6&lt;=K6,"Vérifiée","Non vérifiée")</f>
        <v>Vérifiée</v>
      </c>
      <c r="N6" s="41" t="str">
        <f>IF(J6&lt;=L6,"Vérifiée","Nonvérifiée")</f>
        <v>Vérifiée</v>
      </c>
      <c r="O6" s="52">
        <v>99</v>
      </c>
      <c r="P6" s="41">
        <v>120</v>
      </c>
      <c r="Q6" s="53">
        <f>(10.29*(E6^2)*O6)/((P6^2)*((I6*0.001)^(16/3)))</f>
        <v>2.2895122962962911E-2</v>
      </c>
      <c r="T6" t="s">
        <v>1010</v>
      </c>
      <c r="U6" s="61">
        <f>O5+O14+O24</f>
        <v>2639</v>
      </c>
    </row>
    <row r="7" spans="3:21" ht="17.25" thickTop="1" thickBot="1" x14ac:dyDescent="0.3">
      <c r="C7" s="48" t="s">
        <v>72</v>
      </c>
      <c r="D7" s="49">
        <v>8</v>
      </c>
      <c r="E7" s="50">
        <f>D7/3600</f>
        <v>2.2222222222222222E-3</v>
      </c>
      <c r="F7" s="51">
        <f>(1+0.02*16)*SQRT(E7)</f>
        <v>6.2225396744416184E-2</v>
      </c>
      <c r="G7" s="51">
        <f>F7*1000</f>
        <v>62.225396744416187</v>
      </c>
      <c r="H7" s="41">
        <v>65</v>
      </c>
      <c r="I7" s="41">
        <v>67</v>
      </c>
      <c r="J7" s="42">
        <f>(4*E7)/(PI()*(I7/1000)^2)</f>
        <v>0.63030100479451623</v>
      </c>
      <c r="K7" s="42">
        <f>0.6+F7</f>
        <v>0.66222539674441616</v>
      </c>
      <c r="L7" s="42">
        <f>(I7/50)^0.5</f>
        <v>1.1575836902790226</v>
      </c>
      <c r="M7" s="41" t="str">
        <f>IF(J7&lt;=K7,"Vérifiée","Non vérifiée")</f>
        <v>Vérifiée</v>
      </c>
      <c r="N7" s="41" t="str">
        <f>IF(J7&lt;=L7,"Vérifiée","Nonvérifiée")</f>
        <v>Vérifiée</v>
      </c>
      <c r="O7" s="52">
        <v>99</v>
      </c>
      <c r="P7" s="41">
        <v>120</v>
      </c>
      <c r="Q7" s="53">
        <f>(10.29*(E7^2)*O7)/((P7^2)*((I7*0.001)^(16/3)))</f>
        <v>0.63708508135284225</v>
      </c>
      <c r="T7" t="s">
        <v>1011</v>
      </c>
      <c r="U7" s="61">
        <f>O35</f>
        <v>264</v>
      </c>
    </row>
    <row r="8" spans="3:21" ht="16.5" thickTop="1" x14ac:dyDescent="0.25">
      <c r="C8" s="54" t="s">
        <v>73</v>
      </c>
      <c r="D8" s="49">
        <v>8</v>
      </c>
      <c r="E8" s="55">
        <f>D8/3600</f>
        <v>2.2222222222222222E-3</v>
      </c>
      <c r="F8" s="56">
        <f>1.27*SQRT(E8)</f>
        <v>5.9868374140461027E-2</v>
      </c>
      <c r="G8" s="56">
        <f>F8*1000</f>
        <v>59.868374140461029</v>
      </c>
      <c r="H8" s="57">
        <v>65</v>
      </c>
      <c r="I8" s="41">
        <v>67</v>
      </c>
      <c r="J8" s="58">
        <f>(4*E8)/(PI()*(I8/1000)^2)</f>
        <v>0.63030100479451623</v>
      </c>
      <c r="K8" s="58">
        <f>0.6+F8</f>
        <v>0.65986837414046096</v>
      </c>
      <c r="L8" s="58">
        <f>(I8/50)^0.5</f>
        <v>1.1575836902790226</v>
      </c>
      <c r="M8" s="57" t="str">
        <f>IF(J8&lt;=K8,"Vérifiée","Non vérifiée")</f>
        <v>Vérifiée</v>
      </c>
      <c r="N8" s="57" t="str">
        <f>IF(J8&lt;=L8,"Vérifiée","Nonvérifiée")</f>
        <v>Vérifiée</v>
      </c>
      <c r="O8" s="52">
        <v>99</v>
      </c>
      <c r="P8" s="57">
        <v>120</v>
      </c>
      <c r="Q8" s="59">
        <f>(10.29*(E8^2)*O8)/((P8^2)*((I8*0.001)^(16/3)))</f>
        <v>0.63708508135284225</v>
      </c>
      <c r="T8" t="s">
        <v>1012</v>
      </c>
      <c r="U8">
        <f>P45</f>
        <v>120</v>
      </c>
    </row>
    <row r="12" spans="3:21" x14ac:dyDescent="0.25">
      <c r="C12" s="212" t="s">
        <v>956</v>
      </c>
      <c r="D12" s="212"/>
      <c r="E12" s="212"/>
      <c r="F12" s="212"/>
      <c r="G12" s="212"/>
      <c r="H12" s="212"/>
      <c r="I12" s="212"/>
      <c r="J12" s="212"/>
      <c r="K12" s="212"/>
      <c r="L12" s="212"/>
      <c r="M12" s="212"/>
      <c r="N12" s="212"/>
      <c r="O12" s="212"/>
      <c r="P12" s="212"/>
      <c r="Q12" s="212"/>
    </row>
    <row r="13" spans="3:21" ht="48" thickBot="1" x14ac:dyDescent="0.3">
      <c r="C13" s="44" t="s">
        <v>55</v>
      </c>
      <c r="D13" s="45" t="s">
        <v>56</v>
      </c>
      <c r="E13" s="45" t="s">
        <v>57</v>
      </c>
      <c r="F13" s="45" t="s">
        <v>58</v>
      </c>
      <c r="G13" s="45" t="s">
        <v>59</v>
      </c>
      <c r="H13" s="45" t="s">
        <v>60</v>
      </c>
      <c r="I13" s="45" t="s">
        <v>61</v>
      </c>
      <c r="J13" s="45" t="s">
        <v>62</v>
      </c>
      <c r="K13" s="46" t="s">
        <v>63</v>
      </c>
      <c r="L13" s="46" t="s">
        <v>64</v>
      </c>
      <c r="M13" s="46" t="s">
        <v>65</v>
      </c>
      <c r="N13" s="46" t="s">
        <v>66</v>
      </c>
      <c r="O13" s="45" t="s">
        <v>67</v>
      </c>
      <c r="P13" s="45" t="s">
        <v>68</v>
      </c>
      <c r="Q13" s="47" t="s">
        <v>69</v>
      </c>
    </row>
    <row r="14" spans="3:21" ht="17.25" thickTop="1" thickBot="1" x14ac:dyDescent="0.3">
      <c r="C14" s="48" t="s">
        <v>70</v>
      </c>
      <c r="D14" s="49">
        <v>8</v>
      </c>
      <c r="E14" s="50">
        <f>D14/3600</f>
        <v>2.2222222222222222E-3</v>
      </c>
      <c r="F14" s="51">
        <f>1.5*SQRT(E14)</f>
        <v>7.0710678118654752E-2</v>
      </c>
      <c r="G14" s="51">
        <f>F14*1000</f>
        <v>70.710678118654755</v>
      </c>
      <c r="H14" s="41">
        <f>H5</f>
        <v>80</v>
      </c>
      <c r="I14" s="41">
        <f>I5</f>
        <v>77</v>
      </c>
      <c r="J14" s="42">
        <f>(4*E14)/(PI()*(I14/1000)^2)</f>
        <v>0.47721727281541299</v>
      </c>
      <c r="K14" s="42">
        <f>0.6+F14</f>
        <v>0.6707106781186547</v>
      </c>
      <c r="L14" s="42">
        <f>(I14/50)^0.5</f>
        <v>1.2409673645990857</v>
      </c>
      <c r="M14" s="41" t="str">
        <f>IF(J14&lt;=K14,"Vérifiée","Non vérifiée")</f>
        <v>Vérifiée</v>
      </c>
      <c r="N14" s="41" t="str">
        <f>IF(J14&lt;=L14,"Vérifiée","Nonvérifiée")</f>
        <v>Vérifiée</v>
      </c>
      <c r="O14" s="52">
        <v>692</v>
      </c>
      <c r="P14" s="41">
        <v>120</v>
      </c>
      <c r="Q14" s="53">
        <f>(10.29*(E14^2)*O14)/((P14^2)*((I14*0.001)^(16/3)))</f>
        <v>2.120557641182871</v>
      </c>
    </row>
    <row r="15" spans="3:21" ht="17.25" thickTop="1" thickBot="1" x14ac:dyDescent="0.3">
      <c r="C15" s="48" t="s">
        <v>71</v>
      </c>
      <c r="D15" s="49">
        <v>8</v>
      </c>
      <c r="E15" s="50">
        <f>D15/3600</f>
        <v>2.2222222222222222E-3</v>
      </c>
      <c r="F15" s="51">
        <f>0.8*E15^(1/3)</f>
        <v>0.10439647043116973</v>
      </c>
      <c r="G15" s="51">
        <f>F15*1000</f>
        <v>104.39647043116973</v>
      </c>
      <c r="H15" s="41">
        <f t="shared" ref="H15:H17" si="0">H6</f>
        <v>125</v>
      </c>
      <c r="I15" s="41">
        <f t="shared" ref="I15:I17" si="1">I6</f>
        <v>125</v>
      </c>
      <c r="J15" s="42">
        <f>(4*E15)/(PI()*(I15/1000)^2)</f>
        <v>0.18108295747344536</v>
      </c>
      <c r="K15" s="42">
        <f>0.6+F15</f>
        <v>0.70439647043116971</v>
      </c>
      <c r="L15" s="42">
        <f>(I15/50)^0.5</f>
        <v>1.5811388300841898</v>
      </c>
      <c r="M15" s="41" t="str">
        <f>IF(J15&lt;=K15,"Vérifiée","Non vérifiée")</f>
        <v>Vérifiée</v>
      </c>
      <c r="N15" s="41" t="str">
        <f>IF(J15&lt;=L15,"Vérifiée","Nonvérifiée")</f>
        <v>Vérifiée</v>
      </c>
      <c r="O15" s="52">
        <v>692</v>
      </c>
      <c r="P15" s="41">
        <v>120</v>
      </c>
      <c r="Q15" s="53">
        <f>(10.29*(E15^2)*O15)/((P15^2)*((I15*0.001)^(16/3)))</f>
        <v>0.1600345968724276</v>
      </c>
    </row>
    <row r="16" spans="3:21" ht="17.25" thickTop="1" thickBot="1" x14ac:dyDescent="0.3">
      <c r="C16" s="48" t="s">
        <v>72</v>
      </c>
      <c r="D16" s="49">
        <v>8</v>
      </c>
      <c r="E16" s="50">
        <f>D16/3600</f>
        <v>2.2222222222222222E-3</v>
      </c>
      <c r="F16" s="51">
        <f>(1+0.02*16)*SQRT(E16)</f>
        <v>6.2225396744416184E-2</v>
      </c>
      <c r="G16" s="51">
        <f>F16*1000</f>
        <v>62.225396744416187</v>
      </c>
      <c r="H16" s="41">
        <f t="shared" si="0"/>
        <v>65</v>
      </c>
      <c r="I16" s="41">
        <f t="shared" si="1"/>
        <v>67</v>
      </c>
      <c r="J16" s="42">
        <f>(4*E16)/(PI()*(I16/1000)^2)</f>
        <v>0.63030100479451623</v>
      </c>
      <c r="K16" s="42">
        <f>0.6+F16</f>
        <v>0.66222539674441616</v>
      </c>
      <c r="L16" s="42">
        <f>(I16/50)^0.5</f>
        <v>1.1575836902790226</v>
      </c>
      <c r="M16" s="41" t="str">
        <f>IF(J16&lt;=K16,"Vérifiée","Non vérifiée")</f>
        <v>Vérifiée</v>
      </c>
      <c r="N16" s="41" t="str">
        <f>IF(J16&lt;=L16,"Vérifiée","Nonvérifiée")</f>
        <v>Vérifiée</v>
      </c>
      <c r="O16" s="52">
        <v>692</v>
      </c>
      <c r="P16" s="41">
        <v>120</v>
      </c>
      <c r="Q16" s="53">
        <f>(10.29*(E16^2)*O16)/((P16^2)*((I16*0.001)^(16/3)))</f>
        <v>4.4531603666279471</v>
      </c>
    </row>
    <row r="17" spans="3:17" ht="16.5" thickTop="1" x14ac:dyDescent="0.25">
      <c r="C17" s="54" t="s">
        <v>73</v>
      </c>
      <c r="D17" s="49">
        <v>8</v>
      </c>
      <c r="E17" s="55">
        <f>D17/3600</f>
        <v>2.2222222222222222E-3</v>
      </c>
      <c r="F17" s="56">
        <f>1.27*SQRT(E17)</f>
        <v>5.9868374140461027E-2</v>
      </c>
      <c r="G17" s="56">
        <f>F17*1000</f>
        <v>59.868374140461029</v>
      </c>
      <c r="H17" s="41">
        <f t="shared" si="0"/>
        <v>65</v>
      </c>
      <c r="I17" s="41">
        <f t="shared" si="1"/>
        <v>67</v>
      </c>
      <c r="J17" s="58">
        <f>(4*E17)/(PI()*(I17/1000)^2)</f>
        <v>0.63030100479451623</v>
      </c>
      <c r="K17" s="58">
        <f>0.6+F17</f>
        <v>0.65986837414046096</v>
      </c>
      <c r="L17" s="58">
        <f>(I17/50)^0.5</f>
        <v>1.1575836902790226</v>
      </c>
      <c r="M17" s="57" t="str">
        <f>IF(J17&lt;=K17,"Vérifiée","Non vérifiée")</f>
        <v>Vérifiée</v>
      </c>
      <c r="N17" s="57" t="str">
        <f>IF(J17&lt;=L17,"Vérifiée","Nonvérifiée")</f>
        <v>Vérifiée</v>
      </c>
      <c r="O17" s="52">
        <v>692</v>
      </c>
      <c r="P17" s="57">
        <v>120</v>
      </c>
      <c r="Q17" s="59">
        <f>(10.29*(E17^2)*O17)/((P17^2)*((I17*0.001)^(16/3)))</f>
        <v>4.4531603666279471</v>
      </c>
    </row>
    <row r="22" spans="3:17" x14ac:dyDescent="0.25">
      <c r="C22" s="212" t="s">
        <v>957</v>
      </c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</row>
    <row r="23" spans="3:17" ht="48" thickBot="1" x14ac:dyDescent="0.3">
      <c r="C23" s="44" t="s">
        <v>55</v>
      </c>
      <c r="D23" s="45" t="s">
        <v>56</v>
      </c>
      <c r="E23" s="45" t="s">
        <v>57</v>
      </c>
      <c r="F23" s="45" t="s">
        <v>58</v>
      </c>
      <c r="G23" s="45" t="s">
        <v>59</v>
      </c>
      <c r="H23" s="45" t="s">
        <v>60</v>
      </c>
      <c r="I23" s="45" t="s">
        <v>61</v>
      </c>
      <c r="J23" s="45" t="s">
        <v>62</v>
      </c>
      <c r="K23" s="46" t="s">
        <v>63</v>
      </c>
      <c r="L23" s="46" t="s">
        <v>64</v>
      </c>
      <c r="M23" s="46" t="s">
        <v>65</v>
      </c>
      <c r="N23" s="46" t="s">
        <v>66</v>
      </c>
      <c r="O23" s="45" t="s">
        <v>67</v>
      </c>
      <c r="P23" s="45" t="s">
        <v>68</v>
      </c>
      <c r="Q23" s="47" t="s">
        <v>69</v>
      </c>
    </row>
    <row r="24" spans="3:17" ht="17.25" thickTop="1" thickBot="1" x14ac:dyDescent="0.3">
      <c r="C24" s="48" t="s">
        <v>70</v>
      </c>
      <c r="D24" s="49">
        <v>8</v>
      </c>
      <c r="E24" s="50">
        <f>D24/3600</f>
        <v>2.2222222222222222E-3</v>
      </c>
      <c r="F24" s="51">
        <f>1.5*SQRT(E24)</f>
        <v>7.0710678118654752E-2</v>
      </c>
      <c r="G24" s="51">
        <f>F24*1000</f>
        <v>70.710678118654755</v>
      </c>
      <c r="H24" s="41">
        <f>H14</f>
        <v>80</v>
      </c>
      <c r="I24" s="41">
        <f>I14</f>
        <v>77</v>
      </c>
      <c r="J24" s="42">
        <f>(4*E24)/(PI()*(I24/1000)^2)</f>
        <v>0.47721727281541299</v>
      </c>
      <c r="K24" s="42">
        <f>0.6+F24</f>
        <v>0.6707106781186547</v>
      </c>
      <c r="L24" s="42">
        <f>(I24/50)^0.5</f>
        <v>1.2409673645990857</v>
      </c>
      <c r="M24" s="41" t="str">
        <f>IF(J24&lt;=K24,"Vérifiée","Non vérifiée")</f>
        <v>Vérifiée</v>
      </c>
      <c r="N24" s="41" t="str">
        <f>IF(J24&lt;=L24,"Vérifiée","Nonvérifiée")</f>
        <v>Vérifiée</v>
      </c>
      <c r="O24" s="52">
        <v>1848</v>
      </c>
      <c r="P24" s="41">
        <v>120</v>
      </c>
      <c r="Q24" s="53">
        <f>(10.29*(E24^2)*O24)/((P24^2)*((I24*0.001)^(16/3)))</f>
        <v>5.6629920822340267</v>
      </c>
    </row>
    <row r="25" spans="3:17" ht="17.25" thickTop="1" thickBot="1" x14ac:dyDescent="0.3">
      <c r="C25" s="48" t="s">
        <v>71</v>
      </c>
      <c r="D25" s="49">
        <v>8</v>
      </c>
      <c r="E25" s="50">
        <f>D25/3600</f>
        <v>2.2222222222222222E-3</v>
      </c>
      <c r="F25" s="51">
        <f>0.8*E25^(1/3)</f>
        <v>0.10439647043116973</v>
      </c>
      <c r="G25" s="51">
        <f>F25*1000</f>
        <v>104.39647043116973</v>
      </c>
      <c r="H25" s="41">
        <f t="shared" ref="H25:I27" si="2">H15</f>
        <v>125</v>
      </c>
      <c r="I25" s="41">
        <f t="shared" si="2"/>
        <v>125</v>
      </c>
      <c r="J25" s="42">
        <f>(4*E25)/(PI()*(I25/1000)^2)</f>
        <v>0.18108295747344536</v>
      </c>
      <c r="K25" s="42">
        <f>0.6+F25</f>
        <v>0.70439647043116971</v>
      </c>
      <c r="L25" s="42">
        <f>(I25/50)^0.5</f>
        <v>1.5811388300841898</v>
      </c>
      <c r="M25" s="41" t="str">
        <f>IF(J25&lt;=K25,"Vérifiée","Non vérifiée")</f>
        <v>Vérifiée</v>
      </c>
      <c r="N25" s="41" t="str">
        <f>IF(J25&lt;=L25,"Vérifiée","Nonvérifiée")</f>
        <v>Vérifiée</v>
      </c>
      <c r="O25" s="52">
        <v>1848</v>
      </c>
      <c r="P25" s="41">
        <v>120</v>
      </c>
      <c r="Q25" s="53">
        <f>(10.29*(E25^2)*O25)/((P25^2)*((I25*0.001)^(16/3)))</f>
        <v>0.42737562864197437</v>
      </c>
    </row>
    <row r="26" spans="3:17" ht="17.25" thickTop="1" thickBot="1" x14ac:dyDescent="0.3">
      <c r="C26" s="48" t="s">
        <v>72</v>
      </c>
      <c r="D26" s="49">
        <v>8</v>
      </c>
      <c r="E26" s="50">
        <f>D26/3600</f>
        <v>2.2222222222222222E-3</v>
      </c>
      <c r="F26" s="51">
        <f>(1+0.02*16)*SQRT(E26)</f>
        <v>6.2225396744416184E-2</v>
      </c>
      <c r="G26" s="51">
        <f>F26*1000</f>
        <v>62.225396744416187</v>
      </c>
      <c r="H26" s="41">
        <f t="shared" si="2"/>
        <v>65</v>
      </c>
      <c r="I26" s="41">
        <f t="shared" si="2"/>
        <v>67</v>
      </c>
      <c r="J26" s="42">
        <f>(4*E26)/(PI()*(I26/1000)^2)</f>
        <v>0.63030100479451623</v>
      </c>
      <c r="K26" s="42">
        <f>0.6+F26</f>
        <v>0.66222539674441616</v>
      </c>
      <c r="L26" s="42">
        <f>(I26/50)^0.5</f>
        <v>1.1575836902790226</v>
      </c>
      <c r="M26" s="41" t="str">
        <f>IF(J26&lt;=K26,"Vérifiée","Non vérifiée")</f>
        <v>Vérifiée</v>
      </c>
      <c r="N26" s="41" t="str">
        <f>IF(J26&lt;=L26,"Vérifiée","Nonvérifiée")</f>
        <v>Vérifiée</v>
      </c>
      <c r="O26" s="52">
        <v>1848</v>
      </c>
      <c r="P26" s="41">
        <v>120</v>
      </c>
      <c r="Q26" s="53">
        <f>(10.29*(E26^2)*O26)/((P26^2)*((I26*0.001)^(16/3)))</f>
        <v>11.892254851919722</v>
      </c>
    </row>
    <row r="27" spans="3:17" ht="16.5" thickTop="1" x14ac:dyDescent="0.25">
      <c r="C27" s="54" t="s">
        <v>73</v>
      </c>
      <c r="D27" s="49">
        <v>8</v>
      </c>
      <c r="E27" s="55">
        <f>D27/3600</f>
        <v>2.2222222222222222E-3</v>
      </c>
      <c r="F27" s="56">
        <f>1.27*SQRT(E27)</f>
        <v>5.9868374140461027E-2</v>
      </c>
      <c r="G27" s="56">
        <f>F27*1000</f>
        <v>59.868374140461029</v>
      </c>
      <c r="H27" s="41">
        <f t="shared" si="2"/>
        <v>65</v>
      </c>
      <c r="I27" s="41">
        <f t="shared" si="2"/>
        <v>67</v>
      </c>
      <c r="J27" s="58">
        <f>(4*E27)/(PI()*(I27/1000)^2)</f>
        <v>0.63030100479451623</v>
      </c>
      <c r="K27" s="58">
        <f>0.6+F27</f>
        <v>0.65986837414046096</v>
      </c>
      <c r="L27" s="58">
        <f>(I27/50)^0.5</f>
        <v>1.1575836902790226</v>
      </c>
      <c r="M27" s="57" t="str">
        <f>IF(J27&lt;=K27,"Vérifiée","Non vérifiée")</f>
        <v>Vérifiée</v>
      </c>
      <c r="N27" s="57" t="str">
        <f>IF(J27&lt;=L27,"Vérifiée","Nonvérifiée")</f>
        <v>Vérifiée</v>
      </c>
      <c r="O27" s="52">
        <v>1848</v>
      </c>
      <c r="P27" s="57">
        <v>120</v>
      </c>
      <c r="Q27" s="59">
        <f>(10.29*(E27^2)*O27)/((P27^2)*((I27*0.001)^(16/3)))</f>
        <v>11.892254851919722</v>
      </c>
    </row>
    <row r="33" spans="3:17" x14ac:dyDescent="0.25">
      <c r="C33" s="212" t="s">
        <v>177</v>
      </c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</row>
    <row r="34" spans="3:17" ht="48" thickBot="1" x14ac:dyDescent="0.3">
      <c r="C34" s="44" t="s">
        <v>55</v>
      </c>
      <c r="D34" s="45" t="s">
        <v>56</v>
      </c>
      <c r="E34" s="45" t="s">
        <v>57</v>
      </c>
      <c r="F34" s="45" t="s">
        <v>58</v>
      </c>
      <c r="G34" s="45" t="s">
        <v>59</v>
      </c>
      <c r="H34" s="45" t="s">
        <v>60</v>
      </c>
      <c r="I34" s="45" t="s">
        <v>61</v>
      </c>
      <c r="J34" s="45" t="s">
        <v>62</v>
      </c>
      <c r="K34" s="46" t="s">
        <v>63</v>
      </c>
      <c r="L34" s="46" t="s">
        <v>64</v>
      </c>
      <c r="M34" s="46" t="s">
        <v>65</v>
      </c>
      <c r="N34" s="46" t="s">
        <v>66</v>
      </c>
      <c r="O34" s="45" t="s">
        <v>67</v>
      </c>
      <c r="P34" s="45" t="s">
        <v>68</v>
      </c>
      <c r="Q34" s="47" t="s">
        <v>69</v>
      </c>
    </row>
    <row r="35" spans="3:17" ht="17.25" thickTop="1" thickBot="1" x14ac:dyDescent="0.3">
      <c r="C35" s="48" t="s">
        <v>70</v>
      </c>
      <c r="D35" s="49">
        <f>8*2</f>
        <v>16</v>
      </c>
      <c r="E35" s="50">
        <f>D35/3600</f>
        <v>4.4444444444444444E-3</v>
      </c>
      <c r="F35" s="51">
        <f>1.5*SQRT(E35)</f>
        <v>0.1</v>
      </c>
      <c r="G35" s="51">
        <f>F35*1000</f>
        <v>100</v>
      </c>
      <c r="H35" s="41">
        <v>125</v>
      </c>
      <c r="I35" s="41">
        <v>125</v>
      </c>
      <c r="J35" s="42">
        <f>(4*E35)/(PI()*(I35/1000)^2)</f>
        <v>0.36216591494689071</v>
      </c>
      <c r="K35" s="42">
        <f>0.6+F35</f>
        <v>0.7</v>
      </c>
      <c r="L35" s="42">
        <f>(I35/50)^0.5</f>
        <v>1.5811388300841898</v>
      </c>
      <c r="M35" s="41" t="str">
        <f>IF(J35&lt;=K35,"Vérifiée","Non vérifiée")</f>
        <v>Vérifiée</v>
      </c>
      <c r="N35" s="41" t="str">
        <f>IF(J35&lt;=L35,"Vérifiée","Nonvérifiée")</f>
        <v>Vérifiée</v>
      </c>
      <c r="O35" s="52">
        <v>264</v>
      </c>
      <c r="P35" s="41">
        <v>120</v>
      </c>
      <c r="Q35" s="53">
        <f>(10.29*(E35^2)*O35)/((P35^2)*((I35*0.001)^(16/3)))</f>
        <v>0.24421464493827102</v>
      </c>
    </row>
    <row r="36" spans="3:17" ht="17.25" thickTop="1" thickBot="1" x14ac:dyDescent="0.3">
      <c r="C36" s="48" t="s">
        <v>71</v>
      </c>
      <c r="D36" s="49">
        <f t="shared" ref="D36:D38" si="3">8*2</f>
        <v>16</v>
      </c>
      <c r="E36" s="50">
        <f>D36/3600</f>
        <v>4.4444444444444444E-3</v>
      </c>
      <c r="F36" s="51">
        <f>0.8*E36^(1/3)</f>
        <v>0.13153131063095841</v>
      </c>
      <c r="G36" s="51">
        <f>F36*1000</f>
        <v>131.53131063095842</v>
      </c>
      <c r="H36" s="41">
        <v>150</v>
      </c>
      <c r="I36" s="41">
        <v>146</v>
      </c>
      <c r="J36" s="42">
        <f>(4*E36)/(PI()*(I36/1000)^2)</f>
        <v>0.26547393605954062</v>
      </c>
      <c r="K36" s="42">
        <f>0.6+F36</f>
        <v>0.73153131063095844</v>
      </c>
      <c r="L36" s="42">
        <f>(I36/50)^0.5</f>
        <v>1.7088007490635062</v>
      </c>
      <c r="M36" s="41" t="str">
        <f>IF(J36&lt;=K36,"Vérifiée","Non vérifiée")</f>
        <v>Vérifiée</v>
      </c>
      <c r="N36" s="41" t="str">
        <f>IF(J36&lt;=L36,"Vérifiée","Nonvérifiée")</f>
        <v>Vérifiée</v>
      </c>
      <c r="O36" s="52">
        <v>264</v>
      </c>
      <c r="P36" s="41">
        <v>120</v>
      </c>
      <c r="Q36" s="53">
        <f>(10.29*(E36^2)*O36)/((P36^2)*((I36*0.001)^(16/3)))</f>
        <v>0.10667841206024022</v>
      </c>
    </row>
    <row r="37" spans="3:17" ht="17.25" thickTop="1" thickBot="1" x14ac:dyDescent="0.3">
      <c r="C37" s="48" t="s">
        <v>72</v>
      </c>
      <c r="D37" s="49">
        <f t="shared" si="3"/>
        <v>16</v>
      </c>
      <c r="E37" s="50">
        <f>D37/3600</f>
        <v>4.4444444444444444E-3</v>
      </c>
      <c r="F37" s="51">
        <f>(1+0.02*16)*SQRT(E37)</f>
        <v>8.8000000000000009E-2</v>
      </c>
      <c r="G37" s="51">
        <f>F37*1000</f>
        <v>88.000000000000014</v>
      </c>
      <c r="H37" s="41">
        <v>100</v>
      </c>
      <c r="I37" s="41">
        <v>100</v>
      </c>
      <c r="J37" s="42">
        <f>(4*E37)/(PI()*(I37/1000)^2)</f>
        <v>0.56588424210451671</v>
      </c>
      <c r="K37" s="42">
        <f>0.6+F37</f>
        <v>0.68799999999999994</v>
      </c>
      <c r="L37" s="42">
        <f>(I37/50)^0.5</f>
        <v>1.4142135623730951</v>
      </c>
      <c r="M37" s="41" t="str">
        <f>IF(J37&lt;=K37,"Vérifiée","Non vérifiée")</f>
        <v>Vérifiée</v>
      </c>
      <c r="N37" s="41" t="str">
        <f>IF(J37&lt;=L37,"Vérifiée","Nonvérifiée")</f>
        <v>Vérifiée</v>
      </c>
      <c r="O37" s="52">
        <v>264</v>
      </c>
      <c r="P37" s="41">
        <v>120</v>
      </c>
      <c r="Q37" s="53">
        <f>(10.29*(E37^2)*O37)/((P37^2)*((I37*0.001)^(16/3)))</f>
        <v>0.80283279856694101</v>
      </c>
    </row>
    <row r="38" spans="3:17" ht="16.5" thickTop="1" x14ac:dyDescent="0.25">
      <c r="C38" s="54" t="s">
        <v>73</v>
      </c>
      <c r="D38" s="49">
        <f t="shared" si="3"/>
        <v>16</v>
      </c>
      <c r="E38" s="55">
        <f>D38/3600</f>
        <v>4.4444444444444444E-3</v>
      </c>
      <c r="F38" s="56">
        <f>1.27*SQRT(E38)</f>
        <v>8.4666666666666668E-2</v>
      </c>
      <c r="G38" s="56">
        <f>F38*1000</f>
        <v>84.666666666666671</v>
      </c>
      <c r="H38" s="57">
        <v>100</v>
      </c>
      <c r="I38" s="57">
        <v>100</v>
      </c>
      <c r="J38" s="58">
        <f>(4*E38)/(PI()*(I38/1000)^2)</f>
        <v>0.56588424210451671</v>
      </c>
      <c r="K38" s="58">
        <f>0.6+F38</f>
        <v>0.68466666666666665</v>
      </c>
      <c r="L38" s="58">
        <f>(I38/50)^0.5</f>
        <v>1.4142135623730951</v>
      </c>
      <c r="M38" s="57" t="str">
        <f>IF(J38&lt;=K38,"Vérifiée","Non vérifiée")</f>
        <v>Vérifiée</v>
      </c>
      <c r="N38" s="57" t="str">
        <f>IF(J38&lt;=L38,"Vérifiée","Nonvérifiée")</f>
        <v>Vérifiée</v>
      </c>
      <c r="O38" s="52">
        <v>264</v>
      </c>
      <c r="P38" s="57">
        <v>120</v>
      </c>
      <c r="Q38" s="59">
        <f>(10.29*(E38^2)*O38)/((P38^2)*((I38*0.001)^(16/3)))</f>
        <v>0.80283279856694101</v>
      </c>
    </row>
    <row r="43" spans="3:17" x14ac:dyDescent="0.25">
      <c r="C43" s="212" t="s">
        <v>958</v>
      </c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</row>
    <row r="44" spans="3:17" ht="48" thickBot="1" x14ac:dyDescent="0.3">
      <c r="C44" s="44" t="s">
        <v>55</v>
      </c>
      <c r="D44" s="45" t="s">
        <v>56</v>
      </c>
      <c r="E44" s="45" t="s">
        <v>57</v>
      </c>
      <c r="F44" s="45" t="s">
        <v>58</v>
      </c>
      <c r="G44" s="45" t="s">
        <v>59</v>
      </c>
      <c r="H44" s="45" t="s">
        <v>60</v>
      </c>
      <c r="I44" s="45" t="s">
        <v>61</v>
      </c>
      <c r="J44" s="45" t="s">
        <v>62</v>
      </c>
      <c r="K44" s="46" t="s">
        <v>63</v>
      </c>
      <c r="L44" s="46" t="s">
        <v>64</v>
      </c>
      <c r="M44" s="46" t="s">
        <v>65</v>
      </c>
      <c r="N44" s="46" t="s">
        <v>66</v>
      </c>
      <c r="O44" s="45" t="s">
        <v>67</v>
      </c>
      <c r="P44" s="45" t="s">
        <v>68</v>
      </c>
      <c r="Q44" s="47" t="s">
        <v>69</v>
      </c>
    </row>
    <row r="45" spans="3:17" ht="17.25" thickTop="1" thickBot="1" x14ac:dyDescent="0.3">
      <c r="C45" s="48" t="s">
        <v>70</v>
      </c>
      <c r="D45" s="49">
        <f>8*3</f>
        <v>24</v>
      </c>
      <c r="E45" s="50">
        <f>D45/3600</f>
        <v>6.6666666666666671E-3</v>
      </c>
      <c r="F45" s="51">
        <f>1.5*SQRT(E45)</f>
        <v>0.12247448713915891</v>
      </c>
      <c r="G45" s="51">
        <f>F45*1000</f>
        <v>122.47448713915891</v>
      </c>
      <c r="H45" s="41">
        <v>130</v>
      </c>
      <c r="I45" s="41">
        <v>131.80000000000001</v>
      </c>
      <c r="J45" s="42">
        <f>(4*E45)/(PI()*(I45/1000)^2)</f>
        <v>0.48863890151582456</v>
      </c>
      <c r="K45" s="42">
        <f>0.6+F45</f>
        <v>0.72247448713915885</v>
      </c>
      <c r="L45" s="42">
        <f>(I45/50)^0.5</f>
        <v>1.6235762994081924</v>
      </c>
      <c r="M45" s="41" t="str">
        <f>IF(J45&lt;=K45,"Vérifiée","Non vérifiée")</f>
        <v>Vérifiée</v>
      </c>
      <c r="N45" s="41" t="str">
        <f>IF(J45&lt;=L45,"Vérifiée","Nonvérifiée")</f>
        <v>Vérifiée</v>
      </c>
      <c r="O45" s="52">
        <v>2600</v>
      </c>
      <c r="P45" s="41">
        <v>120</v>
      </c>
      <c r="Q45" s="53">
        <f>(10.29*(E45^2)*O45)/((P45^2)*((I45*0.001)^(16/3)))</f>
        <v>4.0796996491645929</v>
      </c>
    </row>
    <row r="46" spans="3:17" ht="17.25" thickTop="1" thickBot="1" x14ac:dyDescent="0.3">
      <c r="C46" s="48" t="s">
        <v>71</v>
      </c>
      <c r="D46" s="49">
        <f t="shared" ref="D46:D48" si="4">8*3</f>
        <v>24</v>
      </c>
      <c r="E46" s="50">
        <f>D46/3600</f>
        <v>6.6666666666666671E-3</v>
      </c>
      <c r="F46" s="51">
        <f>0.8*E46^(1/3)</f>
        <v>0.1505657646209646</v>
      </c>
      <c r="G46" s="51">
        <f>F46*1000</f>
        <v>150.56576462096461</v>
      </c>
      <c r="H46" s="41">
        <v>160</v>
      </c>
      <c r="I46" s="41">
        <v>150.6</v>
      </c>
      <c r="J46" s="42">
        <f>(4*E46)/(PI()*(I46/1000)^2)</f>
        <v>0.37425612431053801</v>
      </c>
      <c r="K46" s="42">
        <f>0.6+F46</f>
        <v>0.75056576462096458</v>
      </c>
      <c r="L46" s="42">
        <f>(I46/50)^0.5</f>
        <v>1.735511451993331</v>
      </c>
      <c r="M46" s="41" t="str">
        <f>IF(J46&lt;=K46,"Vérifiée","Non vérifiée")</f>
        <v>Vérifiée</v>
      </c>
      <c r="N46" s="41" t="str">
        <f>IF(J46&lt;=L46,"Vérifiée","Nonvérifiée")</f>
        <v>Vérifiée</v>
      </c>
      <c r="O46" s="52">
        <v>2600</v>
      </c>
      <c r="P46" s="41">
        <v>120</v>
      </c>
      <c r="Q46" s="53">
        <f>(10.29*(E46^2)*O46)/((P46^2)*((I46*0.001)^(16/3)))</f>
        <v>2.0034439461105742</v>
      </c>
    </row>
    <row r="47" spans="3:17" ht="17.25" thickTop="1" thickBot="1" x14ac:dyDescent="0.3">
      <c r="C47" s="48" t="s">
        <v>72</v>
      </c>
      <c r="D47" s="49">
        <f t="shared" si="4"/>
        <v>24</v>
      </c>
      <c r="E47" s="50">
        <f>D47/3600</f>
        <v>6.6666666666666671E-3</v>
      </c>
      <c r="F47" s="51">
        <f>(1+0.02*16)*SQRT(E47)</f>
        <v>0.10777754868245985</v>
      </c>
      <c r="G47" s="51">
        <f>F47*1000</f>
        <v>107.77754868245985</v>
      </c>
      <c r="H47" s="41">
        <v>125</v>
      </c>
      <c r="I47" s="41">
        <v>125</v>
      </c>
      <c r="J47" s="42">
        <f>(4*E47)/(PI()*(I47/1000)^2)</f>
        <v>0.54324887242033615</v>
      </c>
      <c r="K47" s="42">
        <f>0.6+F47</f>
        <v>0.70777754868245979</v>
      </c>
      <c r="L47" s="42">
        <f>(I47/50)^0.5</f>
        <v>1.5811388300841898</v>
      </c>
      <c r="M47" s="41" t="str">
        <f>IF(J47&lt;=K47,"Vérifiée","Non vérifiée")</f>
        <v>Vérifiée</v>
      </c>
      <c r="N47" s="41" t="str">
        <f>IF(J47&lt;=L47,"Vérifiée","Nonvérifiée")</f>
        <v>Vérifiée</v>
      </c>
      <c r="O47" s="52">
        <v>2600</v>
      </c>
      <c r="P47" s="41">
        <v>120</v>
      </c>
      <c r="Q47" s="53">
        <f>(10.29*(E47^2)*O47)/((P47^2)*((I47*0.001)^(16/3)))</f>
        <v>5.4115745185185071</v>
      </c>
    </row>
    <row r="48" spans="3:17" ht="16.5" thickTop="1" x14ac:dyDescent="0.25">
      <c r="C48" s="54" t="s">
        <v>73</v>
      </c>
      <c r="D48" s="49">
        <f t="shared" si="4"/>
        <v>24</v>
      </c>
      <c r="E48" s="55">
        <f>D48/3600</f>
        <v>6.6666666666666671E-3</v>
      </c>
      <c r="F48" s="56">
        <f>1.27*SQRT(E48)</f>
        <v>0.10369506577782121</v>
      </c>
      <c r="G48" s="56">
        <f>F48*1000</f>
        <v>103.69506577782121</v>
      </c>
      <c r="H48" s="57">
        <v>130</v>
      </c>
      <c r="I48" s="57">
        <v>125</v>
      </c>
      <c r="J48" s="58">
        <f>(4*E48)/(PI()*(I48/1000)^2)</f>
        <v>0.54324887242033615</v>
      </c>
      <c r="K48" s="58">
        <f>0.6+F48</f>
        <v>0.70369506577782115</v>
      </c>
      <c r="L48" s="58">
        <f>(I48/50)^0.5</f>
        <v>1.5811388300841898</v>
      </c>
      <c r="M48" s="57" t="str">
        <f>IF(J48&lt;=K48,"Vérifiée","Non vérifiée")</f>
        <v>Vérifiée</v>
      </c>
      <c r="N48" s="57" t="str">
        <f>IF(J48&lt;=L48,"Vérifiée","Nonvérifiée")</f>
        <v>Vérifiée</v>
      </c>
      <c r="O48" s="52">
        <v>2600</v>
      </c>
      <c r="P48" s="57">
        <v>120</v>
      </c>
      <c r="Q48" s="59">
        <f>(10.29*(E48^2)*O48)/((P48^2)*((I48*0.001)^(16/3)))</f>
        <v>5.4115745185185071</v>
      </c>
    </row>
  </sheetData>
  <mergeCells count="5">
    <mergeCell ref="C3:Q3"/>
    <mergeCell ref="C12:Q12"/>
    <mergeCell ref="C22:Q22"/>
    <mergeCell ref="C33:Q33"/>
    <mergeCell ref="C43:Q43"/>
  </mergeCells>
  <pageMargins left="0.7" right="0.7" top="0.75" bottom="0.75" header="0.3" footer="0.3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6245-2236-43E4-A909-4F7B921C222F}">
  <sheetPr codeName="Feuil4"/>
  <dimension ref="D5:K32"/>
  <sheetViews>
    <sheetView workbookViewId="0">
      <selection activeCell="I20" sqref="I20"/>
    </sheetView>
  </sheetViews>
  <sheetFormatPr baseColWidth="10" defaultRowHeight="15" x14ac:dyDescent="0.25"/>
  <cols>
    <col min="4" max="4" width="3" bestFit="1" customWidth="1"/>
    <col min="5" max="5" width="7.42578125" bestFit="1" customWidth="1"/>
    <col min="6" max="6" width="13.7109375" customWidth="1"/>
    <col min="9" max="9" width="12.140625" bestFit="1" customWidth="1"/>
  </cols>
  <sheetData>
    <row r="5" spans="4:11" ht="30" x14ac:dyDescent="0.25">
      <c r="D5" s="60" t="s">
        <v>74</v>
      </c>
      <c r="E5" s="60" t="s">
        <v>75</v>
      </c>
      <c r="F5" s="60" t="s">
        <v>76</v>
      </c>
      <c r="I5" s="69" t="s">
        <v>76</v>
      </c>
      <c r="J5" s="69" t="s">
        <v>75</v>
      </c>
      <c r="K5" s="70"/>
    </row>
    <row r="6" spans="4:11" x14ac:dyDescent="0.25">
      <c r="D6" s="60">
        <v>1</v>
      </c>
      <c r="E6" s="60">
        <v>34</v>
      </c>
      <c r="F6" s="60" t="s">
        <v>77</v>
      </c>
      <c r="I6" s="63" t="s">
        <v>78</v>
      </c>
      <c r="J6" s="63">
        <f>SUM(E10:E11)</f>
        <v>99</v>
      </c>
    </row>
    <row r="7" spans="4:11" x14ac:dyDescent="0.25">
      <c r="D7" s="60">
        <v>2</v>
      </c>
      <c r="E7" s="60">
        <v>322</v>
      </c>
      <c r="F7" s="60" t="s">
        <v>77</v>
      </c>
      <c r="I7" s="63" t="s">
        <v>77</v>
      </c>
      <c r="J7" s="63">
        <f>SUM(E6:E9)</f>
        <v>692</v>
      </c>
    </row>
    <row r="8" spans="4:11" x14ac:dyDescent="0.25">
      <c r="D8" s="60">
        <v>3</v>
      </c>
      <c r="E8" s="60">
        <v>152</v>
      </c>
      <c r="F8" s="60" t="s">
        <v>77</v>
      </c>
      <c r="I8" s="63" t="s">
        <v>81</v>
      </c>
      <c r="J8" s="63">
        <f>SUM(E26:E32)</f>
        <v>1848</v>
      </c>
    </row>
    <row r="9" spans="4:11" x14ac:dyDescent="0.25">
      <c r="D9" s="60">
        <v>4</v>
      </c>
      <c r="E9" s="60">
        <v>184</v>
      </c>
      <c r="F9" s="60" t="s">
        <v>77</v>
      </c>
      <c r="I9" s="63" t="s">
        <v>79</v>
      </c>
      <c r="J9" s="63">
        <f>SUM(E12)</f>
        <v>264</v>
      </c>
    </row>
    <row r="10" spans="4:11" x14ac:dyDescent="0.25">
      <c r="D10" s="60">
        <v>5</v>
      </c>
      <c r="E10" s="60">
        <v>32</v>
      </c>
      <c r="F10" s="60" t="s">
        <v>78</v>
      </c>
      <c r="I10" s="63" t="s">
        <v>82</v>
      </c>
      <c r="J10" s="63">
        <f>SUM(E13:E25)</f>
        <v>2818</v>
      </c>
    </row>
    <row r="11" spans="4:11" x14ac:dyDescent="0.25">
      <c r="D11" s="60">
        <v>6</v>
      </c>
      <c r="E11" s="60">
        <v>67</v>
      </c>
      <c r="F11" s="60" t="s">
        <v>78</v>
      </c>
    </row>
    <row r="12" spans="4:11" x14ac:dyDescent="0.25">
      <c r="D12" s="60">
        <v>7</v>
      </c>
      <c r="E12" s="60">
        <v>264</v>
      </c>
      <c r="F12" s="60" t="s">
        <v>79</v>
      </c>
    </row>
    <row r="13" spans="4:11" x14ac:dyDescent="0.25">
      <c r="D13" s="60">
        <v>8</v>
      </c>
      <c r="E13" s="60">
        <v>25</v>
      </c>
      <c r="F13" s="60" t="s">
        <v>80</v>
      </c>
    </row>
    <row r="14" spans="4:11" x14ac:dyDescent="0.25">
      <c r="D14" s="60">
        <v>9</v>
      </c>
      <c r="E14" s="60">
        <v>72</v>
      </c>
      <c r="F14" s="60" t="s">
        <v>80</v>
      </c>
    </row>
    <row r="15" spans="4:11" x14ac:dyDescent="0.25">
      <c r="D15" s="60">
        <v>10</v>
      </c>
      <c r="E15" s="60">
        <v>61</v>
      </c>
      <c r="F15" s="60" t="s">
        <v>80</v>
      </c>
    </row>
    <row r="16" spans="4:11" x14ac:dyDescent="0.25">
      <c r="D16" s="60">
        <v>11</v>
      </c>
      <c r="E16" s="60">
        <v>74</v>
      </c>
      <c r="F16" s="60" t="s">
        <v>80</v>
      </c>
    </row>
    <row r="17" spans="4:6" x14ac:dyDescent="0.25">
      <c r="D17" s="60">
        <v>12</v>
      </c>
      <c r="E17" s="60">
        <v>154</v>
      </c>
      <c r="F17" s="60" t="s">
        <v>80</v>
      </c>
    </row>
    <row r="18" spans="4:6" x14ac:dyDescent="0.25">
      <c r="D18" s="60">
        <v>13</v>
      </c>
      <c r="E18" s="60">
        <v>275</v>
      </c>
      <c r="F18" s="60" t="s">
        <v>80</v>
      </c>
    </row>
    <row r="19" spans="4:6" x14ac:dyDescent="0.25">
      <c r="D19" s="60">
        <v>14</v>
      </c>
      <c r="E19" s="60">
        <v>223</v>
      </c>
      <c r="F19" s="60" t="s">
        <v>80</v>
      </c>
    </row>
    <row r="20" spans="4:6" x14ac:dyDescent="0.25">
      <c r="D20" s="60">
        <v>15</v>
      </c>
      <c r="E20" s="60">
        <v>213</v>
      </c>
      <c r="F20" s="60" t="s">
        <v>80</v>
      </c>
    </row>
    <row r="21" spans="4:6" x14ac:dyDescent="0.25">
      <c r="D21" s="60">
        <v>16</v>
      </c>
      <c r="E21" s="60">
        <v>86</v>
      </c>
      <c r="F21" s="60" t="s">
        <v>80</v>
      </c>
    </row>
    <row r="22" spans="4:6" x14ac:dyDescent="0.25">
      <c r="D22" s="60">
        <v>17</v>
      </c>
      <c r="E22" s="60">
        <v>110</v>
      </c>
      <c r="F22" s="60" t="s">
        <v>80</v>
      </c>
    </row>
    <row r="23" spans="4:6" x14ac:dyDescent="0.25">
      <c r="D23" s="60">
        <v>18</v>
      </c>
      <c r="E23" s="60">
        <v>226</v>
      </c>
      <c r="F23" s="60" t="s">
        <v>80</v>
      </c>
    </row>
    <row r="24" spans="4:6" x14ac:dyDescent="0.25">
      <c r="D24" s="60">
        <v>19</v>
      </c>
      <c r="E24" s="60">
        <v>357</v>
      </c>
      <c r="F24" s="60" t="s">
        <v>80</v>
      </c>
    </row>
    <row r="25" spans="4:6" x14ac:dyDescent="0.25">
      <c r="D25" s="60">
        <v>20</v>
      </c>
      <c r="E25" s="60">
        <v>942</v>
      </c>
      <c r="F25" s="60" t="s">
        <v>80</v>
      </c>
    </row>
    <row r="26" spans="4:6" x14ac:dyDescent="0.25">
      <c r="D26" s="60">
        <v>21</v>
      </c>
      <c r="E26" s="60">
        <v>25</v>
      </c>
      <c r="F26" s="60" t="s">
        <v>81</v>
      </c>
    </row>
    <row r="27" spans="4:6" x14ac:dyDescent="0.25">
      <c r="D27" s="60">
        <v>22</v>
      </c>
      <c r="E27" s="60">
        <v>51</v>
      </c>
      <c r="F27" s="60" t="s">
        <v>81</v>
      </c>
    </row>
    <row r="28" spans="4:6" x14ac:dyDescent="0.25">
      <c r="D28" s="60">
        <v>23</v>
      </c>
      <c r="E28" s="60">
        <v>133</v>
      </c>
      <c r="F28" s="60" t="s">
        <v>81</v>
      </c>
    </row>
    <row r="29" spans="4:6" x14ac:dyDescent="0.25">
      <c r="D29" s="60">
        <v>24</v>
      </c>
      <c r="E29" s="60">
        <v>578</v>
      </c>
      <c r="F29" s="60" t="s">
        <v>81</v>
      </c>
    </row>
    <row r="30" spans="4:6" x14ac:dyDescent="0.25">
      <c r="D30" s="60">
        <v>25</v>
      </c>
      <c r="E30" s="60">
        <v>591</v>
      </c>
      <c r="F30" s="60" t="s">
        <v>81</v>
      </c>
    </row>
    <row r="31" spans="4:6" x14ac:dyDescent="0.25">
      <c r="D31" s="60">
        <v>26</v>
      </c>
      <c r="E31" s="60">
        <v>294</v>
      </c>
      <c r="F31" s="60" t="s">
        <v>81</v>
      </c>
    </row>
    <row r="32" spans="4:6" x14ac:dyDescent="0.25">
      <c r="D32" s="60">
        <v>27</v>
      </c>
      <c r="E32" s="60">
        <v>176</v>
      </c>
      <c r="F32" s="60" t="s">
        <v>81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C99C0-19F1-4387-83E7-DCA7C386A8C7}">
  <sheetPr codeName="Feuil5"/>
  <dimension ref="G11:X28"/>
  <sheetViews>
    <sheetView workbookViewId="0">
      <selection activeCell="I28" sqref="I28"/>
    </sheetView>
  </sheetViews>
  <sheetFormatPr baseColWidth="10" defaultRowHeight="15" x14ac:dyDescent="0.25"/>
  <cols>
    <col min="6" max="6" width="9.42578125" customWidth="1"/>
    <col min="7" max="7" width="20.85546875" customWidth="1"/>
    <col min="8" max="8" width="10.42578125" bestFit="1" customWidth="1"/>
    <col min="9" max="9" width="10.7109375" customWidth="1"/>
    <col min="10" max="10" width="12.5703125" customWidth="1"/>
    <col min="17" max="17" width="16.42578125" bestFit="1" customWidth="1"/>
    <col min="18" max="18" width="13.28515625" bestFit="1" customWidth="1"/>
    <col min="23" max="23" width="9.140625" customWidth="1"/>
    <col min="24" max="24" width="12.140625" customWidth="1"/>
    <col min="25" max="25" width="11" customWidth="1"/>
    <col min="26" max="26" width="11.42578125" customWidth="1"/>
    <col min="27" max="27" width="23.5703125" customWidth="1"/>
    <col min="28" max="28" width="8.5703125" bestFit="1" customWidth="1"/>
    <col min="29" max="29" width="7.28515625" bestFit="1" customWidth="1"/>
    <col min="30" max="30" width="7.42578125" bestFit="1" customWidth="1"/>
    <col min="31" max="31" width="19.5703125" bestFit="1" customWidth="1"/>
    <col min="32" max="32" width="24.28515625" bestFit="1" customWidth="1"/>
    <col min="33" max="33" width="11.28515625" bestFit="1" customWidth="1"/>
    <col min="34" max="34" width="17.28515625" bestFit="1" customWidth="1"/>
    <col min="35" max="37" width="10.42578125" bestFit="1" customWidth="1"/>
  </cols>
  <sheetData>
    <row r="11" spans="7:18" x14ac:dyDescent="0.25">
      <c r="G11" s="215" t="s">
        <v>91</v>
      </c>
      <c r="H11" s="215"/>
      <c r="I11" s="215"/>
      <c r="J11" s="215"/>
      <c r="L11" s="214" t="s">
        <v>95</v>
      </c>
      <c r="M11" s="214"/>
      <c r="N11" s="214"/>
      <c r="O11" s="214"/>
      <c r="P11" s="214"/>
      <c r="Q11" s="214"/>
      <c r="R11" s="214"/>
    </row>
    <row r="12" spans="7:18" x14ac:dyDescent="0.25">
      <c r="G12" s="66" t="s">
        <v>76</v>
      </c>
      <c r="H12" s="66" t="s">
        <v>88</v>
      </c>
      <c r="I12" s="66" t="s">
        <v>89</v>
      </c>
      <c r="J12" s="66" t="s">
        <v>90</v>
      </c>
    </row>
    <row r="13" spans="7:18" x14ac:dyDescent="0.25">
      <c r="G13" s="66" t="s">
        <v>87</v>
      </c>
      <c r="H13" s="66">
        <v>1.22485914</v>
      </c>
      <c r="I13" s="66">
        <v>1.2267108499999999</v>
      </c>
      <c r="J13" s="66">
        <v>1.2139310400000001</v>
      </c>
      <c r="L13" s="63"/>
      <c r="M13" s="63"/>
      <c r="N13" s="63" t="s">
        <v>96</v>
      </c>
      <c r="O13" s="63" t="s">
        <v>97</v>
      </c>
      <c r="P13" s="63" t="s">
        <v>60</v>
      </c>
      <c r="Q13" s="64" t="s">
        <v>86</v>
      </c>
      <c r="R13" s="63" t="s">
        <v>95</v>
      </c>
    </row>
    <row r="14" spans="7:18" x14ac:dyDescent="0.25">
      <c r="G14" s="66" t="s">
        <v>83</v>
      </c>
      <c r="H14" s="66">
        <v>6.2628831800000002</v>
      </c>
      <c r="I14" s="66">
        <v>6.2688812</v>
      </c>
      <c r="J14" s="66">
        <v>6.2477893399999997</v>
      </c>
      <c r="L14" s="213" t="s">
        <v>78</v>
      </c>
      <c r="M14" s="63" t="str">
        <f>ADUCTION!C3</f>
        <v>SA1_N11</v>
      </c>
      <c r="N14" s="63">
        <f>ADUCTION!I5</f>
        <v>77</v>
      </c>
      <c r="O14" s="63">
        <f>N14/1000</f>
        <v>7.6999999999999999E-2</v>
      </c>
      <c r="P14" s="63">
        <f>ADUCTION!H5</f>
        <v>80</v>
      </c>
      <c r="Q14" s="65">
        <f>ADUCTION!O5</f>
        <v>99</v>
      </c>
      <c r="R14" s="63">
        <f>1.05*(4^(10/3)*H17^2*Q14/(PI()^2*H24^2*O14^(16/3)))</f>
        <v>0.31865445809942761</v>
      </c>
    </row>
    <row r="15" spans="7:18" x14ac:dyDescent="0.25">
      <c r="G15" s="66" t="s">
        <v>99</v>
      </c>
      <c r="H15" s="67">
        <v>12.873933792114199</v>
      </c>
      <c r="I15" s="67">
        <v>16.252962112426701</v>
      </c>
      <c r="J15" s="67">
        <v>10.9656152725219</v>
      </c>
      <c r="L15" s="213"/>
      <c r="M15" s="63" t="str">
        <f>ADUCTION!C33</f>
        <v>N11_N12</v>
      </c>
      <c r="N15" s="63">
        <f>ADUCTION!I35</f>
        <v>125</v>
      </c>
      <c r="O15" s="63">
        <f>N15/1000</f>
        <v>0.125</v>
      </c>
      <c r="P15" s="63">
        <f>ADUCTION!H35</f>
        <v>125</v>
      </c>
      <c r="Q15" s="65">
        <f>ADUCTION!O35</f>
        <v>264</v>
      </c>
      <c r="R15" s="63">
        <f>1.05*(4^(10/3)*H17^2*Q15/(PI()^2*H24^2*O15^(16/3)))</f>
        <v>6.4128713759899203E-2</v>
      </c>
    </row>
    <row r="16" spans="7:18" x14ac:dyDescent="0.25">
      <c r="G16" s="66" t="s">
        <v>84</v>
      </c>
      <c r="H16" s="66">
        <v>8</v>
      </c>
      <c r="I16" s="66">
        <v>8</v>
      </c>
      <c r="J16" s="66">
        <v>8</v>
      </c>
      <c r="L16" s="213"/>
      <c r="M16" s="63" t="str">
        <f>ADUCTION!C43</f>
        <v>N12_R</v>
      </c>
      <c r="N16" s="63">
        <f>ADUCTION!I45</f>
        <v>131.80000000000001</v>
      </c>
      <c r="O16" s="63">
        <f>N16/1000</f>
        <v>0.1318</v>
      </c>
      <c r="P16" s="63">
        <f>ADUCTION!H45</f>
        <v>130</v>
      </c>
      <c r="Q16" s="65">
        <f>ADUCTION!O45</f>
        <v>2600</v>
      </c>
      <c r="R16" s="63">
        <f>1.05*(4^(10/3)*H17^2*Q16/(PI()^2*H24^2*O16^(16/3)))</f>
        <v>0.47613104373594012</v>
      </c>
    </row>
    <row r="17" spans="7:24" x14ac:dyDescent="0.25">
      <c r="G17" s="66" t="s">
        <v>98</v>
      </c>
      <c r="H17" s="63">
        <f>H16/3600</f>
        <v>2.2222222222222222E-3</v>
      </c>
      <c r="I17" s="63">
        <f t="shared" ref="I17:J17" si="0">I16/3600</f>
        <v>2.2222222222222222E-3</v>
      </c>
      <c r="J17" s="63">
        <f t="shared" si="0"/>
        <v>2.2222222222222222E-3</v>
      </c>
      <c r="L17" s="213" t="s">
        <v>77</v>
      </c>
      <c r="M17" s="63" t="s">
        <v>956</v>
      </c>
      <c r="N17" s="63">
        <f>ADUCTION!I14</f>
        <v>77</v>
      </c>
      <c r="O17" s="63">
        <f>N17/1000</f>
        <v>7.6999999999999999E-2</v>
      </c>
      <c r="P17" s="63">
        <f>ADUCTION!H14</f>
        <v>80</v>
      </c>
      <c r="Q17" s="65">
        <f>ADUCTION!O14</f>
        <v>692</v>
      </c>
      <c r="R17" s="63">
        <f>1.05*(4^(10/3)*I17^2*Q17/(PI()^2*I24^2*O17^(16/3)))</f>
        <v>2.2273624747959988</v>
      </c>
    </row>
    <row r="18" spans="7:24" ht="30" x14ac:dyDescent="0.25">
      <c r="G18" s="66" t="s">
        <v>85</v>
      </c>
      <c r="H18" s="66">
        <v>12</v>
      </c>
      <c r="I18" s="66">
        <v>12</v>
      </c>
      <c r="J18" s="66">
        <v>12</v>
      </c>
      <c r="L18" s="213"/>
      <c r="M18" s="63" t="str">
        <f>M15</f>
        <v>N11_N12</v>
      </c>
      <c r="N18" s="63">
        <v>125</v>
      </c>
      <c r="O18" s="63">
        <v>0.125</v>
      </c>
      <c r="P18" s="63">
        <v>125</v>
      </c>
      <c r="Q18" s="63">
        <v>264</v>
      </c>
      <c r="R18" s="63">
        <v>6.4128713759899203E-2</v>
      </c>
    </row>
    <row r="19" spans="7:24" x14ac:dyDescent="0.25">
      <c r="G19" s="64" t="s">
        <v>86</v>
      </c>
      <c r="H19" s="66">
        <v>3182</v>
      </c>
      <c r="I19" s="68">
        <v>3774.473</v>
      </c>
      <c r="J19" s="68">
        <v>4665.7610000000004</v>
      </c>
      <c r="L19" s="213"/>
      <c r="M19" s="63" t="str">
        <f>M16</f>
        <v>N12_R</v>
      </c>
      <c r="N19" s="63">
        <v>131.80000000000001</v>
      </c>
      <c r="O19" s="63">
        <v>0.1318</v>
      </c>
      <c r="P19" s="63">
        <v>130</v>
      </c>
      <c r="Q19" s="63">
        <v>2818</v>
      </c>
      <c r="R19" s="63">
        <v>0.51605280047995361</v>
      </c>
    </row>
    <row r="20" spans="7:24" x14ac:dyDescent="0.25">
      <c r="G20" s="63" t="s">
        <v>85</v>
      </c>
      <c r="H20" s="63">
        <f>H18*H16</f>
        <v>96</v>
      </c>
      <c r="I20" s="63">
        <f>I18*I16</f>
        <v>96</v>
      </c>
      <c r="J20" s="63">
        <f>J18*J16</f>
        <v>96</v>
      </c>
      <c r="L20" s="213" t="s">
        <v>81</v>
      </c>
      <c r="M20" s="63" t="s">
        <v>957</v>
      </c>
      <c r="N20" s="63">
        <f>ADUCTION!I24</f>
        <v>77</v>
      </c>
      <c r="O20" s="63">
        <f>N20/1000</f>
        <v>7.6999999999999999E-2</v>
      </c>
      <c r="P20" s="63">
        <f>ADUCTION!H24</f>
        <v>80</v>
      </c>
      <c r="Q20" s="65">
        <f>ADUCTION!O24</f>
        <v>1848</v>
      </c>
      <c r="R20" s="63">
        <f>1.05*(4^(10/3)*J17^2*Q20/(PI()^2*J24^2*O20^(16/3)))</f>
        <v>5.9482165511893159</v>
      </c>
    </row>
    <row r="21" spans="7:24" x14ac:dyDescent="0.25">
      <c r="G21" s="63" t="s">
        <v>93</v>
      </c>
      <c r="H21" s="63">
        <v>15</v>
      </c>
      <c r="I21" s="63">
        <v>15</v>
      </c>
      <c r="J21" s="63">
        <v>15</v>
      </c>
      <c r="L21" s="213"/>
      <c r="M21" s="63" t="str">
        <f>M19</f>
        <v>N12_R</v>
      </c>
      <c r="N21" s="63">
        <v>131.80000000000001</v>
      </c>
      <c r="O21" s="63">
        <v>0.1318</v>
      </c>
      <c r="P21" s="63">
        <v>130</v>
      </c>
      <c r="Q21" s="63">
        <v>2818</v>
      </c>
      <c r="R21" s="63">
        <v>0.51605280047995405</v>
      </c>
    </row>
    <row r="22" spans="7:24" x14ac:dyDescent="0.25">
      <c r="G22" s="63" t="s">
        <v>94</v>
      </c>
      <c r="H22" s="63">
        <v>70</v>
      </c>
      <c r="I22" s="63">
        <v>70</v>
      </c>
      <c r="J22" s="63">
        <v>70</v>
      </c>
    </row>
    <row r="23" spans="7:24" x14ac:dyDescent="0.25">
      <c r="G23" s="63" t="s">
        <v>92</v>
      </c>
      <c r="H23" s="63">
        <v>55</v>
      </c>
      <c r="I23" s="63">
        <v>55</v>
      </c>
      <c r="J23" s="63">
        <v>55</v>
      </c>
    </row>
    <row r="24" spans="7:24" x14ac:dyDescent="0.25">
      <c r="G24" s="63" t="s">
        <v>68</v>
      </c>
      <c r="H24" s="63">
        <v>120</v>
      </c>
      <c r="I24" s="63">
        <v>120</v>
      </c>
      <c r="J24" s="63">
        <v>120</v>
      </c>
    </row>
    <row r="25" spans="7:24" x14ac:dyDescent="0.25">
      <c r="G25" s="63" t="s">
        <v>95</v>
      </c>
      <c r="H25" s="63">
        <f>SUM(R14:R16)</f>
        <v>0.85891421559526693</v>
      </c>
      <c r="I25" s="63">
        <f>SUM(R17:R19)</f>
        <v>2.8075439890358518</v>
      </c>
      <c r="J25" s="63">
        <f>SUM(R20:R21)</f>
        <v>6.4642693516692695</v>
      </c>
    </row>
    <row r="26" spans="7:24" x14ac:dyDescent="0.25">
      <c r="G26" s="63" t="s">
        <v>100</v>
      </c>
      <c r="H26" s="63">
        <f>RESERVOIR!$E$34</f>
        <v>117</v>
      </c>
      <c r="I26" s="63">
        <f>RESERVOIR!$E$34</f>
        <v>117</v>
      </c>
      <c r="J26" s="63">
        <f>RESERVOIR!$E$34</f>
        <v>117</v>
      </c>
    </row>
    <row r="27" spans="7:24" x14ac:dyDescent="0.25">
      <c r="G27" s="63" t="s">
        <v>101</v>
      </c>
      <c r="H27" s="65">
        <f>(H23-H15)+H26</f>
        <v>159.1260662078858</v>
      </c>
      <c r="I27" s="65">
        <f>(I23-I15)+I26</f>
        <v>155.7470378875733</v>
      </c>
      <c r="J27" s="65">
        <f>(J23-J15)+J26</f>
        <v>161.03438472747808</v>
      </c>
      <c r="X27" s="62"/>
    </row>
    <row r="28" spans="7:24" x14ac:dyDescent="0.25">
      <c r="G28" s="63" t="s">
        <v>924</v>
      </c>
      <c r="H28" s="65">
        <f>H27+H25</f>
        <v>159.98498042348106</v>
      </c>
      <c r="I28" s="65">
        <f t="shared" ref="I28:J28" si="1">I27+I25</f>
        <v>158.55458187660915</v>
      </c>
      <c r="J28" s="65">
        <f t="shared" si="1"/>
        <v>167.49865407914734</v>
      </c>
    </row>
  </sheetData>
  <mergeCells count="5">
    <mergeCell ref="L14:L16"/>
    <mergeCell ref="L17:L19"/>
    <mergeCell ref="L20:L21"/>
    <mergeCell ref="L11:R11"/>
    <mergeCell ref="G11:J11"/>
  </mergeCells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35AE8-372B-4FB1-B73E-1309BC6C96D6}">
  <dimension ref="F3:AY38"/>
  <sheetViews>
    <sheetView zoomScaleNormal="100" workbookViewId="0">
      <selection activeCell="D7" sqref="D7"/>
    </sheetView>
  </sheetViews>
  <sheetFormatPr baseColWidth="10" defaultColWidth="10.85546875" defaultRowHeight="15.75" x14ac:dyDescent="0.25"/>
  <cols>
    <col min="1" max="5" width="10.85546875" style="113"/>
    <col min="6" max="6" width="60.5703125" style="113" bestFit="1" customWidth="1"/>
    <col min="7" max="7" width="10.85546875" style="113"/>
    <col min="8" max="8" width="14" style="113" bestFit="1" customWidth="1"/>
    <col min="9" max="12" width="10.85546875" style="113"/>
    <col min="13" max="13" width="58.7109375" style="113" bestFit="1" customWidth="1"/>
    <col min="14" max="14" width="7.140625" style="113" bestFit="1" customWidth="1"/>
    <col min="15" max="19" width="10.85546875" style="113"/>
    <col min="20" max="20" width="58.7109375" style="113" bestFit="1" customWidth="1"/>
    <col min="21" max="26" width="10.85546875" style="113"/>
    <col min="27" max="27" width="58.7109375" style="113" bestFit="1" customWidth="1"/>
    <col min="28" max="33" width="10.85546875" style="113"/>
    <col min="34" max="34" width="58.7109375" style="113" bestFit="1" customWidth="1"/>
    <col min="35" max="35" width="10.85546875" style="113"/>
    <col min="36" max="36" width="11.42578125" style="113" bestFit="1" customWidth="1"/>
    <col min="37" max="16384" width="10.85546875" style="113"/>
  </cols>
  <sheetData>
    <row r="3" spans="6:49" x14ac:dyDescent="0.25">
      <c r="F3" s="217" t="str">
        <f>FORAGE_POMPE!M14</f>
        <v>SA1_N11</v>
      </c>
      <c r="G3" s="217"/>
      <c r="H3" s="217"/>
      <c r="M3" s="217" t="str">
        <f>FORAGE_POMPE!M15</f>
        <v>N11_N12</v>
      </c>
      <c r="N3" s="217"/>
      <c r="O3" s="217"/>
      <c r="T3" s="217" t="str">
        <f>ADUCTION!C12</f>
        <v>SA2_N11</v>
      </c>
      <c r="U3" s="217"/>
      <c r="V3" s="217"/>
      <c r="AA3" s="217" t="str">
        <f>FORAGE_POMPE!M16</f>
        <v>N12_R</v>
      </c>
      <c r="AB3" s="217"/>
      <c r="AC3" s="217"/>
      <c r="AH3" s="217" t="str">
        <f>ADUCTION!C22</f>
        <v>SA3_N12</v>
      </c>
      <c r="AI3" s="217"/>
      <c r="AJ3" s="217"/>
    </row>
    <row r="4" spans="6:49" x14ac:dyDescent="0.25">
      <c r="F4" s="112" t="s">
        <v>925</v>
      </c>
      <c r="G4" s="112" t="s">
        <v>2</v>
      </c>
      <c r="H4" s="112" t="s">
        <v>926</v>
      </c>
      <c r="M4" s="112" t="s">
        <v>925</v>
      </c>
      <c r="N4" s="112" t="s">
        <v>2</v>
      </c>
      <c r="O4" s="112" t="s">
        <v>926</v>
      </c>
      <c r="T4" s="112" t="s">
        <v>925</v>
      </c>
      <c r="U4" s="112" t="s">
        <v>2</v>
      </c>
      <c r="V4" s="112" t="s">
        <v>926</v>
      </c>
      <c r="AA4" s="112" t="s">
        <v>925</v>
      </c>
      <c r="AB4" s="112" t="s">
        <v>2</v>
      </c>
      <c r="AC4" s="112" t="s">
        <v>926</v>
      </c>
      <c r="AH4" s="112" t="s">
        <v>925</v>
      </c>
      <c r="AI4" s="112" t="s">
        <v>2</v>
      </c>
      <c r="AJ4" s="112" t="s">
        <v>926</v>
      </c>
    </row>
    <row r="5" spans="6:49" ht="18.75" x14ac:dyDescent="0.25">
      <c r="F5" s="112" t="s">
        <v>927</v>
      </c>
      <c r="G5" s="112" t="s">
        <v>928</v>
      </c>
      <c r="H5" s="114">
        <f>Tableau12[[#This Row],[Qadd (m3/s)]]</f>
        <v>2.2222222222222222E-3</v>
      </c>
      <c r="M5" s="112" t="s">
        <v>927</v>
      </c>
      <c r="N5" s="112" t="s">
        <v>928</v>
      </c>
      <c r="O5" s="114">
        <f>ADUCTION!E35</f>
        <v>4.4444444444444444E-3</v>
      </c>
      <c r="T5" s="112" t="s">
        <v>927</v>
      </c>
      <c r="U5" s="112" t="s">
        <v>928</v>
      </c>
      <c r="V5" s="114">
        <f>ADUCTION!E14</f>
        <v>2.2222222222222222E-3</v>
      </c>
      <c r="AA5" s="112" t="s">
        <v>927</v>
      </c>
      <c r="AB5" s="112" t="s">
        <v>928</v>
      </c>
      <c r="AC5" s="114">
        <f>ADUCTION!E45</f>
        <v>6.6666666666666671E-3</v>
      </c>
      <c r="AH5" s="112" t="s">
        <v>927</v>
      </c>
      <c r="AI5" s="112" t="s">
        <v>928</v>
      </c>
      <c r="AJ5" s="114">
        <f>ADUCTION!E24</f>
        <v>2.2222222222222222E-3</v>
      </c>
    </row>
    <row r="6" spans="6:49" x14ac:dyDescent="0.25">
      <c r="F6" s="112" t="s">
        <v>929</v>
      </c>
      <c r="G6" s="112" t="s">
        <v>930</v>
      </c>
      <c r="H6" s="115">
        <f>ADUCTION!O5</f>
        <v>99</v>
      </c>
      <c r="M6" s="112" t="s">
        <v>929</v>
      </c>
      <c r="N6" s="112" t="s">
        <v>930</v>
      </c>
      <c r="O6" s="115">
        <f>ADUCTION!O35</f>
        <v>264</v>
      </c>
      <c r="T6" s="112" t="s">
        <v>929</v>
      </c>
      <c r="U6" s="112" t="s">
        <v>930</v>
      </c>
      <c r="V6" s="115">
        <f>ADUCTION!O14</f>
        <v>692</v>
      </c>
      <c r="AA6" s="112" t="s">
        <v>929</v>
      </c>
      <c r="AB6" s="112" t="s">
        <v>930</v>
      </c>
      <c r="AC6" s="115">
        <f>ADUCTION!O45</f>
        <v>2600</v>
      </c>
      <c r="AH6" s="112" t="s">
        <v>929</v>
      </c>
      <c r="AI6" s="112" t="s">
        <v>930</v>
      </c>
      <c r="AJ6" s="115">
        <f>ADUCTION!O24</f>
        <v>1848</v>
      </c>
    </row>
    <row r="7" spans="6:49" x14ac:dyDescent="0.25">
      <c r="F7" s="112" t="s">
        <v>931</v>
      </c>
      <c r="G7" s="112" t="s">
        <v>932</v>
      </c>
      <c r="H7" s="112">
        <v>100</v>
      </c>
      <c r="M7" s="112" t="s">
        <v>931</v>
      </c>
      <c r="N7" s="112" t="s">
        <v>932</v>
      </c>
      <c r="O7" s="112">
        <v>100</v>
      </c>
      <c r="T7" s="112" t="s">
        <v>931</v>
      </c>
      <c r="U7" s="112" t="s">
        <v>932</v>
      </c>
      <c r="V7" s="112">
        <v>100</v>
      </c>
      <c r="AA7" s="112" t="s">
        <v>931</v>
      </c>
      <c r="AB7" s="112" t="s">
        <v>932</v>
      </c>
      <c r="AC7" s="112">
        <v>100</v>
      </c>
      <c r="AH7" s="112" t="s">
        <v>931</v>
      </c>
      <c r="AI7" s="112" t="s">
        <v>932</v>
      </c>
      <c r="AJ7" s="112">
        <v>100</v>
      </c>
    </row>
    <row r="8" spans="6:49" x14ac:dyDescent="0.25">
      <c r="F8" s="112" t="s">
        <v>933</v>
      </c>
      <c r="G8" s="112" t="s">
        <v>932</v>
      </c>
      <c r="H8" s="112">
        <v>100</v>
      </c>
      <c r="M8" s="112" t="s">
        <v>933</v>
      </c>
      <c r="N8" s="112" t="s">
        <v>932</v>
      </c>
      <c r="O8" s="112">
        <v>100</v>
      </c>
      <c r="T8" s="112" t="s">
        <v>933</v>
      </c>
      <c r="U8" s="112" t="s">
        <v>932</v>
      </c>
      <c r="V8" s="112">
        <v>100</v>
      </c>
      <c r="AA8" s="112" t="s">
        <v>933</v>
      </c>
      <c r="AB8" s="112" t="s">
        <v>932</v>
      </c>
      <c r="AC8" s="112">
        <v>100</v>
      </c>
      <c r="AH8" s="112" t="s">
        <v>933</v>
      </c>
      <c r="AI8" s="112" t="s">
        <v>932</v>
      </c>
      <c r="AJ8" s="112">
        <v>100</v>
      </c>
    </row>
    <row r="9" spans="6:49" x14ac:dyDescent="0.25">
      <c r="F9" s="116" t="s">
        <v>934</v>
      </c>
      <c r="G9" s="112" t="s">
        <v>932</v>
      </c>
      <c r="H9" s="112">
        <f>1.2*H8</f>
        <v>120</v>
      </c>
      <c r="M9" s="116" t="s">
        <v>934</v>
      </c>
      <c r="N9" s="112" t="s">
        <v>932</v>
      </c>
      <c r="O9" s="112">
        <f>1.2*O8</f>
        <v>120</v>
      </c>
      <c r="T9" s="116" t="s">
        <v>934</v>
      </c>
      <c r="U9" s="112" t="s">
        <v>932</v>
      </c>
      <c r="V9" s="112">
        <f>1.2*V8</f>
        <v>120</v>
      </c>
      <c r="AA9" s="116" t="s">
        <v>934</v>
      </c>
      <c r="AB9" s="112" t="s">
        <v>932</v>
      </c>
      <c r="AC9" s="112">
        <f>1.2*AC8</f>
        <v>120</v>
      </c>
      <c r="AH9" s="116" t="s">
        <v>934</v>
      </c>
      <c r="AI9" s="112" t="s">
        <v>932</v>
      </c>
      <c r="AJ9" s="112">
        <f>1.2*AJ8</f>
        <v>120</v>
      </c>
    </row>
    <row r="10" spans="6:49" x14ac:dyDescent="0.25">
      <c r="F10" s="116" t="s">
        <v>935</v>
      </c>
      <c r="G10" s="112" t="s">
        <v>932</v>
      </c>
      <c r="H10" s="112">
        <v>10.33</v>
      </c>
      <c r="M10" s="116" t="s">
        <v>935</v>
      </c>
      <c r="N10" s="112" t="s">
        <v>932</v>
      </c>
      <c r="O10" s="112">
        <v>10.33</v>
      </c>
      <c r="T10" s="116" t="s">
        <v>935</v>
      </c>
      <c r="U10" s="112" t="s">
        <v>932</v>
      </c>
      <c r="V10" s="112">
        <v>10.33</v>
      </c>
      <c r="AA10" s="116" t="s">
        <v>935</v>
      </c>
      <c r="AB10" s="112" t="s">
        <v>932</v>
      </c>
      <c r="AC10" s="112">
        <v>10.33</v>
      </c>
      <c r="AH10" s="116" t="s">
        <v>935</v>
      </c>
      <c r="AI10" s="112" t="s">
        <v>932</v>
      </c>
      <c r="AJ10" s="112">
        <v>10.33</v>
      </c>
    </row>
    <row r="11" spans="6:49" x14ac:dyDescent="0.25">
      <c r="F11" s="112" t="s">
        <v>321</v>
      </c>
      <c r="G11" s="112" t="s">
        <v>936</v>
      </c>
      <c r="H11" s="112">
        <f>ADUCTION!H5</f>
        <v>80</v>
      </c>
      <c r="M11" s="112" t="s">
        <v>321</v>
      </c>
      <c r="N11" s="112" t="s">
        <v>936</v>
      </c>
      <c r="O11" s="112">
        <f>ADUCTION!H35</f>
        <v>125</v>
      </c>
      <c r="T11" s="112" t="s">
        <v>321</v>
      </c>
      <c r="U11" s="112" t="s">
        <v>936</v>
      </c>
      <c r="V11" s="112">
        <f>ADUCTION!H14</f>
        <v>80</v>
      </c>
      <c r="AA11" s="112" t="s">
        <v>321</v>
      </c>
      <c r="AB11" s="112" t="s">
        <v>936</v>
      </c>
      <c r="AC11" s="112">
        <f>ADUCTION!H45</f>
        <v>130</v>
      </c>
      <c r="AH11" s="112" t="s">
        <v>321</v>
      </c>
      <c r="AI11" s="112" t="s">
        <v>936</v>
      </c>
      <c r="AJ11" s="112">
        <f>ADUCTION!H24</f>
        <v>80</v>
      </c>
      <c r="AW11" s="117"/>
    </row>
    <row r="12" spans="6:49" x14ac:dyDescent="0.25">
      <c r="F12" s="112" t="s">
        <v>937</v>
      </c>
      <c r="G12" s="112" t="s">
        <v>936</v>
      </c>
      <c r="H12" s="112">
        <f>ADUCTION!I5</f>
        <v>77</v>
      </c>
      <c r="M12" s="112" t="s">
        <v>937</v>
      </c>
      <c r="N12" s="112" t="s">
        <v>936</v>
      </c>
      <c r="O12" s="112">
        <f>ADUCTION!I35</f>
        <v>125</v>
      </c>
      <c r="T12" s="112" t="s">
        <v>937</v>
      </c>
      <c r="U12" s="112" t="s">
        <v>936</v>
      </c>
      <c r="V12" s="112">
        <f>ADUCTION!I14</f>
        <v>77</v>
      </c>
      <c r="AA12" s="112" t="s">
        <v>937</v>
      </c>
      <c r="AB12" s="112" t="s">
        <v>936</v>
      </c>
      <c r="AC12" s="112">
        <f>ADUCTION!I45</f>
        <v>131.80000000000001</v>
      </c>
      <c r="AH12" s="112" t="s">
        <v>937</v>
      </c>
      <c r="AI12" s="112" t="s">
        <v>936</v>
      </c>
      <c r="AJ12" s="112">
        <f>ADUCTION!I24</f>
        <v>77</v>
      </c>
    </row>
    <row r="13" spans="6:49" x14ac:dyDescent="0.25">
      <c r="F13" s="112" t="s">
        <v>938</v>
      </c>
      <c r="G13" s="112" t="s">
        <v>936</v>
      </c>
      <c r="H13" s="112">
        <f>INDEX(REF_TABLE!$I$7:$I$32,MATCH(Coup_belier!H11,REF_TABLE!$D$7:$D$32,0))</f>
        <v>12</v>
      </c>
      <c r="M13" s="112" t="s">
        <v>938</v>
      </c>
      <c r="N13" s="112" t="s">
        <v>936</v>
      </c>
      <c r="O13" s="112">
        <f>INDEX(REF_TABLE!$I$7:$I$32,MATCH(Coup_belier!O11,REF_TABLE!$D$7:$D$32,0))</f>
        <v>15</v>
      </c>
      <c r="T13" s="112" t="s">
        <v>938</v>
      </c>
      <c r="U13" s="112" t="s">
        <v>936</v>
      </c>
      <c r="V13" s="112">
        <f>INDEX(REF_TABLE!$I$7:$I$32,MATCH(Coup_belier!V11,REF_TABLE!$D$7:$D$32,0))</f>
        <v>12</v>
      </c>
      <c r="AA13" s="112" t="s">
        <v>938</v>
      </c>
      <c r="AB13" s="112" t="s">
        <v>936</v>
      </c>
      <c r="AC13" s="112">
        <v>3</v>
      </c>
      <c r="AH13" s="112" t="s">
        <v>938</v>
      </c>
      <c r="AI13" s="112" t="s">
        <v>936</v>
      </c>
      <c r="AJ13" s="112">
        <v>3</v>
      </c>
    </row>
    <row r="14" spans="6:49" x14ac:dyDescent="0.25">
      <c r="F14" s="112" t="s">
        <v>939</v>
      </c>
      <c r="G14" s="112" t="s">
        <v>940</v>
      </c>
      <c r="H14" s="118">
        <f>ADUCTION!J5</f>
        <v>0.47721727281541299</v>
      </c>
      <c r="M14" s="112" t="s">
        <v>939</v>
      </c>
      <c r="N14" s="112" t="s">
        <v>940</v>
      </c>
      <c r="O14" s="118">
        <f>ADUCTION!J35</f>
        <v>0.36216591494689071</v>
      </c>
      <c r="T14" s="112" t="s">
        <v>939</v>
      </c>
      <c r="U14" s="112" t="s">
        <v>940</v>
      </c>
      <c r="V14" s="118">
        <f>Tableau124[[#This Row],[U (m/s)]]</f>
        <v>0.47721727281541299</v>
      </c>
      <c r="AA14" s="112" t="s">
        <v>939</v>
      </c>
      <c r="AB14" s="112" t="s">
        <v>940</v>
      </c>
      <c r="AC14" s="118">
        <f>ADUCTION!J45</f>
        <v>0.48863890151582456</v>
      </c>
      <c r="AH14" s="112" t="s">
        <v>939</v>
      </c>
      <c r="AI14" s="112" t="s">
        <v>940</v>
      </c>
      <c r="AJ14" s="118">
        <f>ADUCTION!J24</f>
        <v>0.47721727281541299</v>
      </c>
    </row>
    <row r="15" spans="6:49" x14ac:dyDescent="0.25">
      <c r="F15" s="112" t="s">
        <v>941</v>
      </c>
      <c r="G15" s="112" t="s">
        <v>942</v>
      </c>
      <c r="H15" s="118">
        <f>FORAGE_POMPE!R14+ADUCTION!Q5</f>
        <v>0.62202903393339337</v>
      </c>
      <c r="M15" s="112" t="s">
        <v>941</v>
      </c>
      <c r="N15" s="112" t="s">
        <v>942</v>
      </c>
      <c r="O15" s="118">
        <f>ADUCTION!Q35</f>
        <v>0.24421464493827102</v>
      </c>
      <c r="T15" s="112" t="s">
        <v>941</v>
      </c>
      <c r="U15" s="112" t="s">
        <v>942</v>
      </c>
      <c r="V15" s="118">
        <f>FORAGE_POMPE!R17+ADUCTION!Q14</f>
        <v>4.3479201159788694</v>
      </c>
      <c r="AA15" s="112" t="s">
        <v>941</v>
      </c>
      <c r="AB15" s="112" t="s">
        <v>942</v>
      </c>
      <c r="AC15" s="118">
        <f>ADUCTION!Q45</f>
        <v>4.0796996491645929</v>
      </c>
      <c r="AH15" s="112" t="s">
        <v>941</v>
      </c>
      <c r="AI15" s="112" t="s">
        <v>942</v>
      </c>
      <c r="AJ15" s="118">
        <f>FORAGE_POMPE!R20+ADUCTION!Q24</f>
        <v>11.611208633423342</v>
      </c>
    </row>
    <row r="16" spans="6:49" x14ac:dyDescent="0.25">
      <c r="F16" s="112" t="s">
        <v>943</v>
      </c>
      <c r="G16" s="112" t="s">
        <v>942</v>
      </c>
      <c r="H16" s="115">
        <f>FORAGE_POMPE!H15</f>
        <v>12.873933792114199</v>
      </c>
      <c r="M16" s="112" t="s">
        <v>979</v>
      </c>
      <c r="N16" s="112" t="s">
        <v>942</v>
      </c>
      <c r="O16" s="115">
        <v>13</v>
      </c>
      <c r="T16" s="112" t="s">
        <v>943</v>
      </c>
      <c r="U16" s="112" t="s">
        <v>942</v>
      </c>
      <c r="V16" s="115">
        <f>FORAGE_POMPE!I15</f>
        <v>16.252962112426701</v>
      </c>
      <c r="AA16" s="112" t="s">
        <v>978</v>
      </c>
      <c r="AB16" s="112" t="s">
        <v>942</v>
      </c>
      <c r="AC16" s="115">
        <v>13</v>
      </c>
      <c r="AH16" s="112" t="s">
        <v>943</v>
      </c>
      <c r="AI16" s="112" t="s">
        <v>942</v>
      </c>
      <c r="AJ16" s="115">
        <f>FORAGE_POMPE!J15</f>
        <v>10.9656152725219</v>
      </c>
    </row>
    <row r="17" spans="6:37" x14ac:dyDescent="0.25">
      <c r="F17" s="112" t="s">
        <v>944</v>
      </c>
      <c r="G17" s="112" t="s">
        <v>942</v>
      </c>
      <c r="H17" s="112">
        <f>FORAGE_POMPE!H23</f>
        <v>55</v>
      </c>
      <c r="M17" s="112" t="s">
        <v>944</v>
      </c>
      <c r="N17" s="112" t="s">
        <v>942</v>
      </c>
      <c r="O17" s="112">
        <f>FORAGE_POMPE!H23</f>
        <v>55</v>
      </c>
      <c r="T17" s="112" t="s">
        <v>944</v>
      </c>
      <c r="U17" s="112" t="s">
        <v>942</v>
      </c>
      <c r="V17" s="112">
        <v>55</v>
      </c>
      <c r="AA17" s="112" t="s">
        <v>944</v>
      </c>
      <c r="AB17" s="112" t="s">
        <v>942</v>
      </c>
      <c r="AC17" s="112">
        <v>55</v>
      </c>
      <c r="AH17" s="112" t="s">
        <v>944</v>
      </c>
      <c r="AI17" s="112" t="s">
        <v>942</v>
      </c>
      <c r="AJ17" s="112">
        <v>55</v>
      </c>
    </row>
    <row r="18" spans="6:37" x14ac:dyDescent="0.25">
      <c r="F18" s="112" t="s">
        <v>977</v>
      </c>
      <c r="G18" s="112" t="s">
        <v>942</v>
      </c>
      <c r="H18" s="112">
        <f>RESERVOIR!E34</f>
        <v>117</v>
      </c>
      <c r="M18" s="112" t="s">
        <v>977</v>
      </c>
      <c r="N18" s="112" t="s">
        <v>942</v>
      </c>
      <c r="O18" s="112">
        <f>H18</f>
        <v>117</v>
      </c>
      <c r="T18" s="112" t="s">
        <v>977</v>
      </c>
      <c r="U18" s="112" t="s">
        <v>942</v>
      </c>
      <c r="V18" s="112">
        <f>FORAGE_POMPE!I26</f>
        <v>117</v>
      </c>
      <c r="AA18" s="112" t="s">
        <v>977</v>
      </c>
      <c r="AB18" s="112" t="s">
        <v>942</v>
      </c>
      <c r="AC18" s="115">
        <f>RESERVOIR!E34</f>
        <v>117</v>
      </c>
      <c r="AH18" s="112" t="s">
        <v>977</v>
      </c>
      <c r="AI18" s="112" t="s">
        <v>942</v>
      </c>
      <c r="AJ18" s="115">
        <f>AC18</f>
        <v>117</v>
      </c>
    </row>
    <row r="19" spans="6:37" x14ac:dyDescent="0.25">
      <c r="F19" s="112" t="s">
        <v>945</v>
      </c>
      <c r="G19" s="112" t="s">
        <v>942</v>
      </c>
      <c r="H19" s="115">
        <f>FORAGE_POMPE!H27</f>
        <v>159.1260662078858</v>
      </c>
      <c r="M19" s="112" t="s">
        <v>945</v>
      </c>
      <c r="N19" s="112" t="s">
        <v>942</v>
      </c>
      <c r="O19" s="112">
        <f>RESERVOIR!F29+RESERVOIR!E33-1</f>
        <v>106</v>
      </c>
      <c r="T19" s="112" t="s">
        <v>945</v>
      </c>
      <c r="U19" s="112" t="s">
        <v>942</v>
      </c>
      <c r="V19" s="115">
        <f>FORAGE_POMPE!I27</f>
        <v>155.7470378875733</v>
      </c>
      <c r="AA19" s="112" t="s">
        <v>945</v>
      </c>
      <c r="AB19" s="112" t="s">
        <v>942</v>
      </c>
      <c r="AC19" s="115">
        <f>(RESERVOIR!E33+RESERVOIR!E29)-(Coup_belier!AC16-RESERVOIR!E22)</f>
        <v>104</v>
      </c>
      <c r="AH19" s="112" t="s">
        <v>945</v>
      </c>
      <c r="AI19" s="112" t="s">
        <v>942</v>
      </c>
      <c r="AJ19" s="115">
        <f>FORAGE_POMPE!J27</f>
        <v>161.03438472747808</v>
      </c>
    </row>
    <row r="20" spans="6:37" x14ac:dyDescent="0.25">
      <c r="F20" s="112" t="s">
        <v>946</v>
      </c>
      <c r="G20" s="112" t="s">
        <v>942</v>
      </c>
      <c r="H20" s="118">
        <f>H19+H15</f>
        <v>159.74809524181919</v>
      </c>
      <c r="M20" s="112" t="s">
        <v>946</v>
      </c>
      <c r="N20" s="112" t="s">
        <v>942</v>
      </c>
      <c r="O20" s="118">
        <f>O19+O15</f>
        <v>106.24421464493827</v>
      </c>
      <c r="T20" s="112" t="s">
        <v>946</v>
      </c>
      <c r="U20" s="112" t="s">
        <v>942</v>
      </c>
      <c r="V20" s="118">
        <f>V19+V15</f>
        <v>160.09495800355216</v>
      </c>
      <c r="AA20" s="112" t="s">
        <v>946</v>
      </c>
      <c r="AB20" s="112" t="s">
        <v>942</v>
      </c>
      <c r="AC20" s="118">
        <f>AC19+AC15</f>
        <v>108.0796996491646</v>
      </c>
      <c r="AH20" s="112" t="s">
        <v>946</v>
      </c>
      <c r="AI20" s="112" t="s">
        <v>942</v>
      </c>
      <c r="AJ20" s="118">
        <f>FORAGE_POMPE!J28</f>
        <v>167.49865407914734</v>
      </c>
    </row>
    <row r="21" spans="6:37" x14ac:dyDescent="0.25">
      <c r="F21" s="112" t="s">
        <v>947</v>
      </c>
      <c r="G21" s="112"/>
      <c r="H21" s="112">
        <v>33</v>
      </c>
      <c r="M21" s="112" t="s">
        <v>947</v>
      </c>
      <c r="N21" s="112"/>
      <c r="O21" s="112">
        <v>33</v>
      </c>
      <c r="T21" s="112" t="s">
        <v>947</v>
      </c>
      <c r="U21" s="112"/>
      <c r="V21" s="112">
        <v>33</v>
      </c>
      <c r="AA21" s="112" t="s">
        <v>947</v>
      </c>
      <c r="AB21" s="112"/>
      <c r="AC21" s="112">
        <v>33</v>
      </c>
      <c r="AH21" s="112" t="s">
        <v>947</v>
      </c>
      <c r="AI21" s="112"/>
      <c r="AJ21" s="112">
        <v>33</v>
      </c>
    </row>
    <row r="22" spans="6:37" ht="18.75" x14ac:dyDescent="0.25">
      <c r="F22" s="112" t="s">
        <v>948</v>
      </c>
      <c r="G22" s="112" t="s">
        <v>949</v>
      </c>
      <c r="H22" s="112">
        <v>9.81</v>
      </c>
      <c r="M22" s="112" t="s">
        <v>948</v>
      </c>
      <c r="N22" s="112" t="s">
        <v>949</v>
      </c>
      <c r="O22" s="112">
        <v>9.81</v>
      </c>
      <c r="T22" s="112" t="s">
        <v>948</v>
      </c>
      <c r="U22" s="112" t="s">
        <v>949</v>
      </c>
      <c r="V22" s="112">
        <v>9.81</v>
      </c>
      <c r="AA22" s="112" t="s">
        <v>948</v>
      </c>
      <c r="AB22" s="112" t="s">
        <v>949</v>
      </c>
      <c r="AC22" s="112">
        <v>9.81</v>
      </c>
      <c r="AH22" s="112" t="s">
        <v>948</v>
      </c>
      <c r="AI22" s="112" t="s">
        <v>949</v>
      </c>
      <c r="AJ22" s="112">
        <v>9.81</v>
      </c>
    </row>
    <row r="23" spans="6:37" x14ac:dyDescent="0.25">
      <c r="F23" s="116" t="s">
        <v>950</v>
      </c>
      <c r="G23" s="112" t="s">
        <v>940</v>
      </c>
      <c r="H23" s="118">
        <f>9900 / SQRT(48.3 + (H21*H12/H13))</f>
        <v>613.91290896689327</v>
      </c>
      <c r="M23" s="116" t="s">
        <v>950</v>
      </c>
      <c r="N23" s="112" t="s">
        <v>940</v>
      </c>
      <c r="O23" s="118">
        <f>9900 / SQRT(48.3 + (O21*O12/O13))</f>
        <v>550.59510025909481</v>
      </c>
      <c r="T23" s="116" t="s">
        <v>950</v>
      </c>
      <c r="U23" s="112" t="s">
        <v>940</v>
      </c>
      <c r="V23" s="118">
        <f>9900 / SQRT(48.3 + (V21*V12/V13))</f>
        <v>613.91290896689327</v>
      </c>
      <c r="AA23" s="116" t="s">
        <v>950</v>
      </c>
      <c r="AB23" s="112" t="s">
        <v>940</v>
      </c>
      <c r="AC23" s="118">
        <f>9900 / SQRT(48.3 + (AC21*AC12/AC13))</f>
        <v>255.77894551225017</v>
      </c>
      <c r="AH23" s="116" t="s">
        <v>950</v>
      </c>
      <c r="AI23" s="112" t="s">
        <v>940</v>
      </c>
      <c r="AJ23" s="118">
        <f>9900 / SQRT(48.3 + (AJ21*AJ12/AJ13))</f>
        <v>330.86505628210125</v>
      </c>
    </row>
    <row r="24" spans="6:37" x14ac:dyDescent="0.25">
      <c r="F24" s="112" t="s">
        <v>951</v>
      </c>
      <c r="G24" s="112" t="s">
        <v>932</v>
      </c>
      <c r="H24" s="118">
        <f>(H23*H14)/H22</f>
        <v>29.864408171596097</v>
      </c>
      <c r="M24" s="112" t="s">
        <v>951</v>
      </c>
      <c r="N24" s="112" t="s">
        <v>932</v>
      </c>
      <c r="O24" s="118">
        <f>(O23*O14)/O22</f>
        <v>20.326888710561683</v>
      </c>
      <c r="T24" s="112" t="s">
        <v>951</v>
      </c>
      <c r="U24" s="112" t="s">
        <v>932</v>
      </c>
      <c r="V24" s="118">
        <f>(V23*V14)/V22</f>
        <v>29.864408171596097</v>
      </c>
      <c r="AA24" s="112" t="s">
        <v>951</v>
      </c>
      <c r="AB24" s="112" t="s">
        <v>932</v>
      </c>
      <c r="AC24" s="118">
        <f>(AC23*AC14)/AC22</f>
        <v>12.740422320691321</v>
      </c>
      <c r="AH24" s="112" t="s">
        <v>951</v>
      </c>
      <c r="AI24" s="112" t="s">
        <v>932</v>
      </c>
      <c r="AJ24" s="118">
        <f>(AJ23*AJ14)/AJ22</f>
        <v>16.095261960128692</v>
      </c>
    </row>
    <row r="25" spans="6:37" x14ac:dyDescent="0.25">
      <c r="F25" s="116" t="s">
        <v>952</v>
      </c>
      <c r="G25" s="112" t="s">
        <v>932</v>
      </c>
      <c r="H25" s="118">
        <f>H20+H24-H17</f>
        <v>134.61250341341528</v>
      </c>
      <c r="I25" s="113" t="str">
        <f>IF(H25&lt;H9,"Vérifié","Non Vérifié")</f>
        <v>Non Vérifié</v>
      </c>
      <c r="M25" s="116" t="s">
        <v>952</v>
      </c>
      <c r="N25" s="112" t="s">
        <v>932</v>
      </c>
      <c r="O25" s="118">
        <f>O20+O24-O17</f>
        <v>71.571103355499957</v>
      </c>
      <c r="P25" s="113" t="str">
        <f>IF(O25&lt;O9,"Vérifié","Non Vérifié")</f>
        <v>Vérifié</v>
      </c>
      <c r="T25" s="116" t="s">
        <v>952</v>
      </c>
      <c r="U25" s="112" t="s">
        <v>932</v>
      </c>
      <c r="V25" s="118">
        <f>V20+V24-V17</f>
        <v>134.95936617514826</v>
      </c>
      <c r="W25" s="113" t="str">
        <f>IF(V25&lt;V9,"Vérifié","Non Vérifié")</f>
        <v>Non Vérifié</v>
      </c>
      <c r="AA25" s="116" t="s">
        <v>952</v>
      </c>
      <c r="AB25" s="112" t="s">
        <v>932</v>
      </c>
      <c r="AC25" s="118">
        <f>AC20+AC24-AC17</f>
        <v>65.820121969855919</v>
      </c>
      <c r="AD25" s="113" t="str">
        <f>IF(AC25&lt;AC9,"Vérifié","Non Vérifié")</f>
        <v>Vérifié</v>
      </c>
      <c r="AH25" s="116" t="s">
        <v>952</v>
      </c>
      <c r="AI25" s="112" t="s">
        <v>932</v>
      </c>
      <c r="AJ25" s="118">
        <f>AJ20+AJ24-AJ17</f>
        <v>128.59391603927602</v>
      </c>
      <c r="AK25" s="113" t="str">
        <f>IF(AJ25&lt;AJ9,"Vérifié","Non Vérifié")</f>
        <v>Non Vérifié</v>
      </c>
    </row>
    <row r="26" spans="6:37" x14ac:dyDescent="0.25">
      <c r="F26" s="116" t="s">
        <v>953</v>
      </c>
      <c r="G26" s="112" t="s">
        <v>932</v>
      </c>
      <c r="H26" s="118">
        <f>H20-H24-H17</f>
        <v>74.88368707022309</v>
      </c>
      <c r="I26" s="113" t="str">
        <f>IF(H26&gt;H10,"Vérifié","Non Vérifié")</f>
        <v>Vérifié</v>
      </c>
      <c r="M26" s="116" t="s">
        <v>953</v>
      </c>
      <c r="N26" s="112" t="s">
        <v>932</v>
      </c>
      <c r="O26" s="118">
        <f>O20-O24-O17</f>
        <v>30.917325934376578</v>
      </c>
      <c r="P26" s="113" t="str">
        <f>IF(O26&gt;O10,"Vérifié","Non Vérifié")</f>
        <v>Vérifié</v>
      </c>
      <c r="T26" s="116" t="s">
        <v>953</v>
      </c>
      <c r="U26" s="112" t="s">
        <v>932</v>
      </c>
      <c r="V26" s="118">
        <f>V20-V24-V17</f>
        <v>75.230549831956068</v>
      </c>
      <c r="W26" s="113" t="str">
        <f>IF(V26&gt;V10,"Vérifié","Non Vérifié")</f>
        <v>Vérifié</v>
      </c>
      <c r="AA26" s="116" t="s">
        <v>953</v>
      </c>
      <c r="AB26" s="112" t="s">
        <v>932</v>
      </c>
      <c r="AC26" s="118">
        <f>AC20-AC24-AC17</f>
        <v>40.339277328473273</v>
      </c>
      <c r="AD26" s="113" t="str">
        <f>IF(AC26&gt;AC10,"Vérifié","Non Vérifié")</f>
        <v>Vérifié</v>
      </c>
      <c r="AH26" s="116" t="s">
        <v>953</v>
      </c>
      <c r="AI26" s="112" t="s">
        <v>932</v>
      </c>
      <c r="AJ26" s="118">
        <f>AJ20-AJ24-AJ17</f>
        <v>96.403392119018662</v>
      </c>
      <c r="AK26" s="113" t="str">
        <f>IF(AJ26&gt;AJ10,"Vérifié","Non Vérifié")</f>
        <v>Vérifié</v>
      </c>
    </row>
    <row r="38" spans="49:51" ht="26.25" x14ac:dyDescent="0.4">
      <c r="AW38" s="216" t="s">
        <v>954</v>
      </c>
      <c r="AX38" s="216"/>
      <c r="AY38" s="216"/>
    </row>
  </sheetData>
  <mergeCells count="6">
    <mergeCell ref="AW38:AY38"/>
    <mergeCell ref="F3:H3"/>
    <mergeCell ref="M3:O3"/>
    <mergeCell ref="T3:V3"/>
    <mergeCell ref="AA3:AC3"/>
    <mergeCell ref="AH3:AJ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29846-86AB-48CD-9504-B614AAB7B1F4}">
  <sheetPr codeName="Feuil16"/>
  <dimension ref="A1:I197"/>
  <sheetViews>
    <sheetView workbookViewId="0">
      <selection activeCell="AK27" sqref="AK27"/>
    </sheetView>
  </sheetViews>
  <sheetFormatPr baseColWidth="10" defaultColWidth="10.85546875" defaultRowHeight="12.75" x14ac:dyDescent="0.2"/>
  <cols>
    <col min="1" max="6" width="10.85546875" style="108"/>
    <col min="7" max="7" width="12.7109375" style="108" bestFit="1" customWidth="1"/>
    <col min="8" max="8" width="12.28515625" style="108" bestFit="1" customWidth="1"/>
    <col min="9" max="9" width="12.42578125" style="108" bestFit="1" customWidth="1"/>
    <col min="10" max="16384" width="10.85546875" style="108"/>
  </cols>
  <sheetData>
    <row r="1" spans="1:9" ht="15" customHeight="1" x14ac:dyDescent="0.2">
      <c r="A1" s="109" t="s">
        <v>74</v>
      </c>
      <c r="B1" s="109" t="s">
        <v>573</v>
      </c>
      <c r="C1" s="109" t="s">
        <v>574</v>
      </c>
      <c r="D1" s="109" t="s">
        <v>575</v>
      </c>
      <c r="E1" s="109" t="s">
        <v>576</v>
      </c>
      <c r="F1" s="109" t="s">
        <v>577</v>
      </c>
      <c r="G1" s="109" t="s">
        <v>578</v>
      </c>
      <c r="H1" s="109" t="s">
        <v>579</v>
      </c>
      <c r="I1" s="109" t="s">
        <v>580</v>
      </c>
    </row>
    <row r="2" spans="1:9" ht="15" customHeight="1" x14ac:dyDescent="0.2">
      <c r="A2" s="109">
        <v>1</v>
      </c>
      <c r="B2" s="109" t="s">
        <v>581</v>
      </c>
      <c r="C2" s="109">
        <v>12</v>
      </c>
      <c r="D2" s="109">
        <v>1.2038708125751589</v>
      </c>
      <c r="E2" s="109" t="s">
        <v>581</v>
      </c>
      <c r="F2" s="109">
        <v>12</v>
      </c>
      <c r="G2" s="109">
        <v>1.203870892524719</v>
      </c>
      <c r="H2" s="109">
        <v>81.97137451171875</v>
      </c>
      <c r="I2" s="109">
        <v>69.97137451171875</v>
      </c>
    </row>
    <row r="3" spans="1:9" ht="15" customHeight="1" x14ac:dyDescent="0.2">
      <c r="A3" s="109">
        <v>2</v>
      </c>
      <c r="B3" s="109" t="s">
        <v>582</v>
      </c>
      <c r="C3" s="109">
        <v>16</v>
      </c>
      <c r="D3" s="109">
        <v>1.6203758804329149</v>
      </c>
      <c r="E3" s="109" t="s">
        <v>582</v>
      </c>
      <c r="F3" s="109">
        <v>16</v>
      </c>
      <c r="G3" s="109">
        <v>1.620375871658325</v>
      </c>
      <c r="H3" s="109">
        <v>81.900077819824219</v>
      </c>
      <c r="I3" s="109">
        <v>65.900077819824219</v>
      </c>
    </row>
    <row r="4" spans="1:9" ht="15" customHeight="1" x14ac:dyDescent="0.2">
      <c r="A4" s="109">
        <v>3</v>
      </c>
      <c r="B4" s="109" t="s">
        <v>583</v>
      </c>
      <c r="C4" s="109">
        <v>13</v>
      </c>
      <c r="D4" s="109">
        <v>2.5161470537708301</v>
      </c>
      <c r="E4" s="109" t="s">
        <v>583</v>
      </c>
      <c r="F4" s="109">
        <v>13</v>
      </c>
      <c r="G4" s="109">
        <v>2.516147136688232</v>
      </c>
      <c r="H4" s="109">
        <v>81.799537658691406</v>
      </c>
      <c r="I4" s="109">
        <v>68.799537658691406</v>
      </c>
    </row>
    <row r="5" spans="1:9" ht="15" customHeight="1" x14ac:dyDescent="0.2">
      <c r="A5" s="109">
        <v>4</v>
      </c>
      <c r="B5" s="109" t="s">
        <v>584</v>
      </c>
      <c r="C5" s="109">
        <v>16</v>
      </c>
      <c r="D5" s="109">
        <v>1.7915423466758289</v>
      </c>
      <c r="E5" s="109" t="s">
        <v>584</v>
      </c>
      <c r="F5" s="109">
        <v>16</v>
      </c>
      <c r="G5" s="109">
        <v>1.7915424108505249</v>
      </c>
      <c r="H5" s="109">
        <v>81.705513000488281</v>
      </c>
      <c r="I5" s="109">
        <v>65.705513000488281</v>
      </c>
    </row>
    <row r="6" spans="1:9" ht="15" customHeight="1" x14ac:dyDescent="0.2">
      <c r="A6" s="109">
        <v>5</v>
      </c>
      <c r="B6" s="109" t="s">
        <v>585</v>
      </c>
      <c r="C6" s="109">
        <v>19</v>
      </c>
      <c r="D6" s="109">
        <v>1.186754165950868</v>
      </c>
      <c r="E6" s="109" t="s">
        <v>585</v>
      </c>
      <c r="F6" s="109">
        <v>19</v>
      </c>
      <c r="G6" s="109">
        <v>1.1867542266845701</v>
      </c>
      <c r="H6" s="109">
        <v>81.638618469238281</v>
      </c>
      <c r="I6" s="109">
        <v>62.638618469238281</v>
      </c>
    </row>
    <row r="7" spans="1:9" ht="15" customHeight="1" x14ac:dyDescent="0.2">
      <c r="A7" s="109">
        <v>6</v>
      </c>
      <c r="B7" s="109" t="s">
        <v>586</v>
      </c>
      <c r="C7" s="109">
        <v>18</v>
      </c>
      <c r="D7" s="109">
        <v>0.96423775983507987</v>
      </c>
      <c r="E7" s="109" t="s">
        <v>586</v>
      </c>
      <c r="F7" s="109">
        <v>18</v>
      </c>
      <c r="G7" s="109">
        <v>0.96423780918121338</v>
      </c>
      <c r="H7" s="109">
        <v>81.601486206054688</v>
      </c>
      <c r="I7" s="109">
        <v>63.601482391357422</v>
      </c>
    </row>
    <row r="8" spans="1:9" ht="15" customHeight="1" x14ac:dyDescent="0.2">
      <c r="A8" s="109">
        <v>7</v>
      </c>
      <c r="B8" s="109" t="s">
        <v>587</v>
      </c>
      <c r="C8" s="109">
        <v>16</v>
      </c>
      <c r="D8" s="109">
        <v>3.132346332245318</v>
      </c>
      <c r="E8" s="109" t="s">
        <v>587</v>
      </c>
      <c r="F8" s="109">
        <v>16</v>
      </c>
      <c r="G8" s="109">
        <v>3.132346391677856</v>
      </c>
      <c r="H8" s="109">
        <v>81.5560302734375</v>
      </c>
      <c r="I8" s="109">
        <v>65.5560302734375</v>
      </c>
    </row>
    <row r="9" spans="1:9" ht="15" customHeight="1" x14ac:dyDescent="0.2">
      <c r="A9" s="109">
        <v>8</v>
      </c>
      <c r="B9" s="109" t="s">
        <v>588</v>
      </c>
      <c r="C9" s="109">
        <v>17</v>
      </c>
      <c r="D9" s="109">
        <v>1.774425700051538</v>
      </c>
      <c r="E9" s="109" t="s">
        <v>588</v>
      </c>
      <c r="F9" s="109">
        <v>17</v>
      </c>
      <c r="G9" s="109">
        <v>1.774425745010376</v>
      </c>
      <c r="H9" s="109">
        <v>81.040130615234375</v>
      </c>
      <c r="I9" s="109">
        <v>64.040130615234375</v>
      </c>
    </row>
    <row r="10" spans="1:9" ht="15" customHeight="1" x14ac:dyDescent="0.2">
      <c r="A10" s="109">
        <v>9</v>
      </c>
      <c r="B10" s="109" t="s">
        <v>589</v>
      </c>
      <c r="C10" s="109">
        <v>15</v>
      </c>
      <c r="D10" s="109">
        <v>2.1452863769111841</v>
      </c>
      <c r="E10" s="109" t="s">
        <v>589</v>
      </c>
      <c r="F10" s="109">
        <v>15</v>
      </c>
      <c r="G10" s="109">
        <v>2.1452863216400151</v>
      </c>
      <c r="H10" s="109">
        <v>80.427810668945313</v>
      </c>
      <c r="I10" s="109">
        <v>65.427810668945313</v>
      </c>
    </row>
    <row r="11" spans="1:9" ht="15" customHeight="1" x14ac:dyDescent="0.2">
      <c r="A11" s="109">
        <v>10</v>
      </c>
      <c r="B11" s="109" t="s">
        <v>590</v>
      </c>
      <c r="C11" s="109">
        <v>16</v>
      </c>
      <c r="D11" s="109">
        <v>2.1224641814121279</v>
      </c>
      <c r="E11" s="109" t="s">
        <v>590</v>
      </c>
      <c r="F11" s="109">
        <v>16</v>
      </c>
      <c r="G11" s="109">
        <v>2.1224641799926758</v>
      </c>
      <c r="H11" s="109">
        <v>79.841499328613281</v>
      </c>
      <c r="I11" s="109">
        <v>63.841499328613281</v>
      </c>
    </row>
    <row r="12" spans="1:9" ht="15" customHeight="1" x14ac:dyDescent="0.2">
      <c r="A12" s="109">
        <v>11</v>
      </c>
      <c r="B12" s="109" t="s">
        <v>591</v>
      </c>
      <c r="C12" s="109">
        <v>17</v>
      </c>
      <c r="D12" s="109">
        <v>2.2879250987802782</v>
      </c>
      <c r="E12" s="109" t="s">
        <v>591</v>
      </c>
      <c r="F12" s="109">
        <v>17</v>
      </c>
      <c r="G12" s="109">
        <v>2.287925004959106</v>
      </c>
      <c r="H12" s="109">
        <v>79.402931213378906</v>
      </c>
      <c r="I12" s="109">
        <v>62.402931213378913</v>
      </c>
    </row>
    <row r="13" spans="1:9" ht="15" customHeight="1" x14ac:dyDescent="0.2">
      <c r="A13" s="109">
        <v>12</v>
      </c>
      <c r="B13" s="109" t="s">
        <v>592</v>
      </c>
      <c r="C13" s="109">
        <v>14</v>
      </c>
      <c r="D13" s="109">
        <v>4.3362171448204778</v>
      </c>
      <c r="E13" s="109" t="s">
        <v>592</v>
      </c>
      <c r="F13" s="109">
        <v>14</v>
      </c>
      <c r="G13" s="109">
        <v>4.336216926574707</v>
      </c>
      <c r="H13" s="109">
        <v>78.929473876953125</v>
      </c>
      <c r="I13" s="109">
        <v>64.929473876953125</v>
      </c>
    </row>
    <row r="14" spans="1:9" ht="15" customHeight="1" x14ac:dyDescent="0.2">
      <c r="A14" s="109">
        <v>13</v>
      </c>
      <c r="B14" s="109" t="s">
        <v>593</v>
      </c>
      <c r="C14" s="109">
        <v>13</v>
      </c>
      <c r="D14" s="109">
        <v>5.0094719120426046</v>
      </c>
      <c r="E14" s="109" t="s">
        <v>593</v>
      </c>
      <c r="F14" s="109">
        <v>13</v>
      </c>
      <c r="G14" s="109">
        <v>5.0094718933105469</v>
      </c>
      <c r="H14" s="109">
        <v>78.199150085449219</v>
      </c>
      <c r="I14" s="109">
        <v>65.199150085449219</v>
      </c>
    </row>
    <row r="15" spans="1:9" ht="15" customHeight="1" x14ac:dyDescent="0.2">
      <c r="A15" s="109">
        <v>14</v>
      </c>
      <c r="B15" s="109" t="s">
        <v>594</v>
      </c>
      <c r="C15" s="109">
        <v>15</v>
      </c>
      <c r="D15" s="109">
        <v>6.5043257172307163</v>
      </c>
      <c r="E15" s="109" t="s">
        <v>594</v>
      </c>
      <c r="F15" s="109">
        <v>15</v>
      </c>
      <c r="G15" s="109">
        <v>6.5043258666992188</v>
      </c>
      <c r="H15" s="109">
        <v>77.1527099609375</v>
      </c>
      <c r="I15" s="109">
        <v>62.1527099609375</v>
      </c>
    </row>
    <row r="16" spans="1:9" ht="15" customHeight="1" x14ac:dyDescent="0.2">
      <c r="A16" s="109">
        <v>15</v>
      </c>
      <c r="B16" s="109" t="s">
        <v>595</v>
      </c>
      <c r="C16" s="109">
        <v>9</v>
      </c>
      <c r="D16" s="109">
        <v>7.3658635973200477</v>
      </c>
      <c r="E16" s="109" t="s">
        <v>595</v>
      </c>
      <c r="F16" s="109">
        <v>9</v>
      </c>
      <c r="G16" s="109">
        <v>7.3658638000488281</v>
      </c>
      <c r="H16" s="109">
        <v>76.498146057128906</v>
      </c>
      <c r="I16" s="109">
        <v>67.498146057128906</v>
      </c>
    </row>
    <row r="17" spans="1:9" ht="15" customHeight="1" x14ac:dyDescent="0.2">
      <c r="A17" s="109">
        <v>16</v>
      </c>
      <c r="B17" s="109" t="s">
        <v>596</v>
      </c>
      <c r="C17" s="109">
        <v>8</v>
      </c>
      <c r="D17" s="109">
        <v>5.1920494760350451</v>
      </c>
      <c r="E17" s="109" t="s">
        <v>596</v>
      </c>
      <c r="F17" s="109">
        <v>8</v>
      </c>
      <c r="G17" s="109">
        <v>5.192049503326416</v>
      </c>
      <c r="H17" s="109">
        <v>76.498825073242188</v>
      </c>
      <c r="I17" s="109">
        <v>68.498825073242188</v>
      </c>
    </row>
    <row r="18" spans="1:9" ht="15" customHeight="1" x14ac:dyDescent="0.2">
      <c r="A18" s="109">
        <v>17</v>
      </c>
      <c r="B18" s="109" t="s">
        <v>597</v>
      </c>
      <c r="C18" s="109">
        <v>17</v>
      </c>
      <c r="D18" s="109">
        <v>4.8896553856725644</v>
      </c>
      <c r="E18" s="109" t="s">
        <v>597</v>
      </c>
      <c r="F18" s="109">
        <v>17</v>
      </c>
      <c r="G18" s="109">
        <v>4.8896551132202148</v>
      </c>
      <c r="H18" s="109">
        <v>79.517715454101563</v>
      </c>
      <c r="I18" s="109">
        <v>62.517715454101563</v>
      </c>
    </row>
    <row r="19" spans="1:9" ht="15" customHeight="1" x14ac:dyDescent="0.2">
      <c r="A19" s="109">
        <v>18</v>
      </c>
      <c r="B19" s="109" t="s">
        <v>598</v>
      </c>
      <c r="C19" s="109">
        <v>12</v>
      </c>
      <c r="D19" s="109">
        <v>0.8501267823398041</v>
      </c>
      <c r="E19" s="109" t="s">
        <v>598</v>
      </c>
      <c r="F19" s="109">
        <v>12</v>
      </c>
      <c r="G19" s="109">
        <v>0.85012680292129517</v>
      </c>
      <c r="H19" s="109">
        <v>81.647087097167969</v>
      </c>
      <c r="I19" s="109">
        <v>69.647087097167969</v>
      </c>
    </row>
    <row r="20" spans="1:9" ht="15" customHeight="1" x14ac:dyDescent="0.2">
      <c r="A20" s="109">
        <v>19</v>
      </c>
      <c r="B20" s="109" t="s">
        <v>599</v>
      </c>
      <c r="C20" s="109">
        <v>14</v>
      </c>
      <c r="D20" s="109">
        <v>0.66184366947259921</v>
      </c>
      <c r="E20" s="109" t="s">
        <v>599</v>
      </c>
      <c r="F20" s="109">
        <v>14</v>
      </c>
      <c r="G20" s="109">
        <v>0.66184365749359131</v>
      </c>
      <c r="H20" s="109">
        <v>81.556526184082031</v>
      </c>
      <c r="I20" s="109">
        <v>67.556526184082031</v>
      </c>
    </row>
    <row r="21" spans="1:9" ht="15" customHeight="1" x14ac:dyDescent="0.2">
      <c r="A21" s="109">
        <v>20</v>
      </c>
      <c r="B21" s="109" t="s">
        <v>600</v>
      </c>
      <c r="C21" s="109">
        <v>22</v>
      </c>
      <c r="D21" s="109">
        <v>0.7246047070950008</v>
      </c>
      <c r="E21" s="109" t="s">
        <v>600</v>
      </c>
      <c r="F21" s="109">
        <v>22</v>
      </c>
      <c r="G21" s="109">
        <v>0.72460472583770752</v>
      </c>
      <c r="H21" s="109">
        <v>81.459762573242188</v>
      </c>
      <c r="I21" s="109">
        <v>59.459762573242188</v>
      </c>
    </row>
    <row r="22" spans="1:9" ht="15" customHeight="1" x14ac:dyDescent="0.2">
      <c r="A22" s="109">
        <v>21</v>
      </c>
      <c r="B22" s="109" t="s">
        <v>601</v>
      </c>
      <c r="C22" s="109">
        <v>13</v>
      </c>
      <c r="D22" s="109">
        <v>1.489148256313348</v>
      </c>
      <c r="E22" s="109" t="s">
        <v>601</v>
      </c>
      <c r="F22" s="109">
        <v>13</v>
      </c>
      <c r="G22" s="109">
        <v>1.4891482591629031</v>
      </c>
      <c r="H22" s="109">
        <v>81.352752685546875</v>
      </c>
      <c r="I22" s="109">
        <v>68.352752685546875</v>
      </c>
    </row>
    <row r="23" spans="1:9" ht="15" customHeight="1" x14ac:dyDescent="0.2">
      <c r="A23" s="109">
        <v>22</v>
      </c>
      <c r="B23" s="109" t="s">
        <v>602</v>
      </c>
      <c r="C23" s="109">
        <v>11</v>
      </c>
      <c r="D23" s="109">
        <v>1.5290870984366951</v>
      </c>
      <c r="E23" s="109" t="s">
        <v>602</v>
      </c>
      <c r="F23" s="109">
        <v>11</v>
      </c>
      <c r="G23" s="109">
        <v>1.52908718585968</v>
      </c>
      <c r="H23" s="109">
        <v>81.045814514160156</v>
      </c>
      <c r="I23" s="109">
        <v>70.045814514160156</v>
      </c>
    </row>
    <row r="24" spans="1:9" ht="15" customHeight="1" x14ac:dyDescent="0.2">
      <c r="A24" s="109">
        <v>23</v>
      </c>
      <c r="B24" s="109" t="s">
        <v>603</v>
      </c>
      <c r="C24" s="109">
        <v>12</v>
      </c>
      <c r="D24" s="109">
        <v>0.94712111321078851</v>
      </c>
      <c r="E24" s="109" t="s">
        <v>603</v>
      </c>
      <c r="F24" s="109">
        <v>12</v>
      </c>
      <c r="G24" s="109">
        <v>0.94712114334106445</v>
      </c>
      <c r="H24" s="109">
        <v>80.9305419921875</v>
      </c>
      <c r="I24" s="109">
        <v>68.9305419921875</v>
      </c>
    </row>
    <row r="25" spans="1:9" ht="15" customHeight="1" x14ac:dyDescent="0.2">
      <c r="A25" s="109">
        <v>24</v>
      </c>
      <c r="B25" s="109" t="s">
        <v>604</v>
      </c>
      <c r="C25" s="109">
        <v>18</v>
      </c>
      <c r="D25" s="109">
        <v>0.95282666208555233</v>
      </c>
      <c r="E25" s="109" t="s">
        <v>604</v>
      </c>
      <c r="F25" s="109">
        <v>18</v>
      </c>
      <c r="G25" s="109">
        <v>0.95282661914825439</v>
      </c>
      <c r="H25" s="109">
        <v>80.78839111328125</v>
      </c>
      <c r="I25" s="109">
        <v>62.78839111328125</v>
      </c>
    </row>
    <row r="26" spans="1:9" ht="15" customHeight="1" x14ac:dyDescent="0.2">
      <c r="A26" s="109">
        <v>25</v>
      </c>
      <c r="B26" s="109" t="s">
        <v>605</v>
      </c>
      <c r="C26" s="109">
        <v>9</v>
      </c>
      <c r="D26" s="109">
        <v>0.86153788008933174</v>
      </c>
      <c r="E26" s="109" t="s">
        <v>605</v>
      </c>
      <c r="F26" s="109">
        <v>9</v>
      </c>
      <c r="G26" s="109">
        <v>0.8615378737449646</v>
      </c>
      <c r="H26" s="109">
        <v>80.674026489257813</v>
      </c>
      <c r="I26" s="109">
        <v>71.674026489257813</v>
      </c>
    </row>
    <row r="27" spans="1:9" ht="15" customHeight="1" x14ac:dyDescent="0.2">
      <c r="A27" s="109">
        <v>26</v>
      </c>
      <c r="B27" s="109" t="s">
        <v>606</v>
      </c>
      <c r="C27" s="109">
        <v>13</v>
      </c>
      <c r="D27" s="109">
        <v>0.86724342896409545</v>
      </c>
      <c r="E27" s="109" t="s">
        <v>606</v>
      </c>
      <c r="F27" s="109">
        <v>13</v>
      </c>
      <c r="G27" s="109">
        <v>0.86724340915679932</v>
      </c>
      <c r="H27" s="109">
        <v>80.55865478515625</v>
      </c>
      <c r="I27" s="109">
        <v>67.55865478515625</v>
      </c>
    </row>
    <row r="28" spans="1:9" ht="15" customHeight="1" x14ac:dyDescent="0.2">
      <c r="A28" s="109">
        <v>27</v>
      </c>
      <c r="B28" s="109" t="s">
        <v>607</v>
      </c>
      <c r="C28" s="109">
        <v>20</v>
      </c>
      <c r="D28" s="109">
        <v>0.89006562446315063</v>
      </c>
      <c r="E28" s="109" t="s">
        <v>607</v>
      </c>
      <c r="F28" s="109">
        <v>20</v>
      </c>
      <c r="G28" s="109">
        <v>0.89006561040878296</v>
      </c>
      <c r="H28" s="109">
        <v>80.444290161132813</v>
      </c>
      <c r="I28" s="109">
        <v>60.444290161132813</v>
      </c>
    </row>
    <row r="29" spans="1:9" ht="15" customHeight="1" x14ac:dyDescent="0.2">
      <c r="A29" s="109">
        <v>28</v>
      </c>
      <c r="B29" s="109" t="s">
        <v>608</v>
      </c>
      <c r="C29" s="109">
        <v>12</v>
      </c>
      <c r="D29" s="109">
        <v>0.88436007558838681</v>
      </c>
      <c r="E29" s="109" t="s">
        <v>608</v>
      </c>
      <c r="F29" s="109">
        <v>12</v>
      </c>
      <c r="G29" s="109">
        <v>0.88436007499694824</v>
      </c>
      <c r="H29" s="109">
        <v>80.324676513671875</v>
      </c>
      <c r="I29" s="109">
        <v>68.324676513671875</v>
      </c>
    </row>
    <row r="30" spans="1:9" ht="15" customHeight="1" x14ac:dyDescent="0.2">
      <c r="A30" s="109">
        <v>29</v>
      </c>
      <c r="B30" s="109" t="s">
        <v>609</v>
      </c>
      <c r="C30" s="109">
        <v>16</v>
      </c>
      <c r="D30" s="109">
        <v>0.82730458684074903</v>
      </c>
      <c r="E30" s="109" t="s">
        <v>609</v>
      </c>
      <c r="F30" s="109">
        <v>16</v>
      </c>
      <c r="G30" s="109">
        <v>0.82730460166931152</v>
      </c>
      <c r="H30" s="109">
        <v>80.113357543945313</v>
      </c>
      <c r="I30" s="109">
        <v>64.113357543945313</v>
      </c>
    </row>
    <row r="31" spans="1:9" ht="15" customHeight="1" x14ac:dyDescent="0.2">
      <c r="A31" s="109">
        <v>30</v>
      </c>
      <c r="B31" s="109" t="s">
        <v>610</v>
      </c>
      <c r="C31" s="109">
        <v>15</v>
      </c>
      <c r="D31" s="109">
        <v>1.865714482047758</v>
      </c>
      <c r="E31" s="109" t="s">
        <v>610</v>
      </c>
      <c r="F31" s="109">
        <v>15</v>
      </c>
      <c r="G31" s="109">
        <v>1.865714430809021</v>
      </c>
      <c r="H31" s="109">
        <v>80.00286865234375</v>
      </c>
      <c r="I31" s="109">
        <v>65.00286865234375</v>
      </c>
    </row>
    <row r="32" spans="1:9" ht="15" customHeight="1" x14ac:dyDescent="0.2">
      <c r="A32" s="109">
        <v>31</v>
      </c>
      <c r="B32" s="109" t="s">
        <v>611</v>
      </c>
      <c r="C32" s="109">
        <v>15</v>
      </c>
      <c r="D32" s="109">
        <v>3.371979384985397</v>
      </c>
      <c r="E32" s="109" t="s">
        <v>611</v>
      </c>
      <c r="F32" s="109">
        <v>15</v>
      </c>
      <c r="G32" s="109">
        <v>3.3719794750213619</v>
      </c>
      <c r="H32" s="109">
        <v>79.645866394042969</v>
      </c>
      <c r="I32" s="109">
        <v>64.645866394042969</v>
      </c>
    </row>
    <row r="33" spans="1:9" ht="15" customHeight="1" x14ac:dyDescent="0.2">
      <c r="A33" s="109">
        <v>32</v>
      </c>
      <c r="B33" s="109" t="s">
        <v>612</v>
      </c>
      <c r="C33" s="109">
        <v>18</v>
      </c>
      <c r="D33" s="109">
        <v>1.631786978182443</v>
      </c>
      <c r="E33" s="109" t="s">
        <v>612</v>
      </c>
      <c r="F33" s="109">
        <v>18</v>
      </c>
      <c r="G33" s="109">
        <v>1.6317869424819951</v>
      </c>
      <c r="H33" s="109">
        <v>79.426399230957031</v>
      </c>
      <c r="I33" s="109">
        <v>61.426399230957031</v>
      </c>
    </row>
    <row r="34" spans="1:9" ht="15" customHeight="1" x14ac:dyDescent="0.2">
      <c r="A34" s="109">
        <v>33</v>
      </c>
      <c r="B34" s="109" t="s">
        <v>613</v>
      </c>
      <c r="C34" s="109">
        <v>12</v>
      </c>
      <c r="D34" s="109">
        <v>1.3636261810685451</v>
      </c>
      <c r="E34" s="109" t="s">
        <v>613</v>
      </c>
      <c r="F34" s="109">
        <v>12</v>
      </c>
      <c r="G34" s="109">
        <v>1.36362624168396</v>
      </c>
      <c r="H34" s="109">
        <v>79.16705322265625</v>
      </c>
      <c r="I34" s="109">
        <v>67.16705322265625</v>
      </c>
    </row>
    <row r="35" spans="1:9" ht="15" customHeight="1" x14ac:dyDescent="0.2">
      <c r="A35" s="109">
        <v>34</v>
      </c>
      <c r="B35" s="109" t="s">
        <v>614</v>
      </c>
      <c r="C35" s="109">
        <v>8</v>
      </c>
      <c r="D35" s="109">
        <v>0.86153788008933174</v>
      </c>
      <c r="E35" s="109" t="s">
        <v>614</v>
      </c>
      <c r="F35" s="109">
        <v>8</v>
      </c>
      <c r="G35" s="109">
        <v>0.8615378737449646</v>
      </c>
      <c r="H35" s="109">
        <v>79.033882141113281</v>
      </c>
      <c r="I35" s="109">
        <v>71.033882141113281</v>
      </c>
    </row>
    <row r="36" spans="1:9" ht="15" customHeight="1" x14ac:dyDescent="0.2">
      <c r="A36" s="109">
        <v>35</v>
      </c>
      <c r="B36" s="109" t="s">
        <v>615</v>
      </c>
      <c r="C36" s="109">
        <v>13</v>
      </c>
      <c r="D36" s="109">
        <v>0.81018794021645768</v>
      </c>
      <c r="E36" s="109" t="s">
        <v>615</v>
      </c>
      <c r="F36" s="109">
        <v>13</v>
      </c>
      <c r="G36" s="109">
        <v>0.8101879358291626</v>
      </c>
      <c r="H36" s="109">
        <v>78.92401123046875</v>
      </c>
      <c r="I36" s="109">
        <v>65.92401123046875</v>
      </c>
    </row>
    <row r="37" spans="1:9" ht="15" customHeight="1" x14ac:dyDescent="0.2">
      <c r="A37" s="109">
        <v>36</v>
      </c>
      <c r="B37" s="109" t="s">
        <v>616</v>
      </c>
      <c r="C37" s="109">
        <v>18</v>
      </c>
      <c r="D37" s="109">
        <v>0.8786545267136231</v>
      </c>
      <c r="E37" s="109" t="s">
        <v>616</v>
      </c>
      <c r="F37" s="109">
        <v>18</v>
      </c>
      <c r="G37" s="109">
        <v>0.87865453958511353</v>
      </c>
      <c r="H37" s="109">
        <v>78.808753967285156</v>
      </c>
      <c r="I37" s="109">
        <v>60.808753967285163</v>
      </c>
    </row>
    <row r="38" spans="1:9" ht="15" customHeight="1" x14ac:dyDescent="0.2">
      <c r="A38" s="109">
        <v>37</v>
      </c>
      <c r="B38" s="109" t="s">
        <v>617</v>
      </c>
      <c r="C38" s="109">
        <v>14</v>
      </c>
      <c r="D38" s="109">
        <v>1.0384098952070091</v>
      </c>
      <c r="E38" s="109" t="s">
        <v>617</v>
      </c>
      <c r="F38" s="109">
        <v>14</v>
      </c>
      <c r="G38" s="109">
        <v>1.038409948348999</v>
      </c>
      <c r="H38" s="109">
        <v>78.683029174804688</v>
      </c>
      <c r="I38" s="109">
        <v>64.683029174804688</v>
      </c>
    </row>
    <row r="39" spans="1:9" ht="15" customHeight="1" x14ac:dyDescent="0.2">
      <c r="A39" s="109">
        <v>38</v>
      </c>
      <c r="B39" s="109" t="s">
        <v>618</v>
      </c>
      <c r="C39" s="109">
        <v>15</v>
      </c>
      <c r="D39" s="109">
        <v>1.0954653839546471</v>
      </c>
      <c r="E39" s="109" t="s">
        <v>618</v>
      </c>
      <c r="F39" s="109">
        <v>15</v>
      </c>
      <c r="G39" s="109">
        <v>1.095465302467346</v>
      </c>
      <c r="H39" s="109">
        <v>78.5302734375</v>
      </c>
      <c r="I39" s="109">
        <v>63.530277252197273</v>
      </c>
    </row>
    <row r="40" spans="1:9" ht="15" customHeight="1" x14ac:dyDescent="0.2">
      <c r="A40" s="109">
        <v>39</v>
      </c>
      <c r="B40" s="109" t="s">
        <v>619</v>
      </c>
      <c r="C40" s="109">
        <v>12</v>
      </c>
      <c r="D40" s="109">
        <v>1.015587699707954</v>
      </c>
      <c r="E40" s="109" t="s">
        <v>619</v>
      </c>
      <c r="F40" s="109">
        <v>12</v>
      </c>
      <c r="G40" s="109">
        <v>1.015587687492371</v>
      </c>
      <c r="H40" s="109">
        <v>78.394905090332031</v>
      </c>
      <c r="I40" s="109">
        <v>66.394905090332031</v>
      </c>
    </row>
    <row r="41" spans="1:9" ht="15" customHeight="1" x14ac:dyDescent="0.2">
      <c r="A41" s="109">
        <v>40</v>
      </c>
      <c r="B41" s="109" t="s">
        <v>620</v>
      </c>
      <c r="C41" s="109">
        <v>10</v>
      </c>
      <c r="D41" s="109">
        <v>1.426387218690947</v>
      </c>
      <c r="E41" s="109" t="s">
        <v>620</v>
      </c>
      <c r="F41" s="109">
        <v>10</v>
      </c>
      <c r="G41" s="109">
        <v>1.4263871908187871</v>
      </c>
      <c r="H41" s="109">
        <v>78.267967224121094</v>
      </c>
      <c r="I41" s="109">
        <v>68.267967224121094</v>
      </c>
    </row>
    <row r="42" spans="1:9" ht="15" customHeight="1" x14ac:dyDescent="0.2">
      <c r="A42" s="109">
        <v>41</v>
      </c>
      <c r="B42" s="109" t="s">
        <v>621</v>
      </c>
      <c r="C42" s="109">
        <v>15</v>
      </c>
      <c r="D42" s="109">
        <v>1.43209276756571</v>
      </c>
      <c r="E42" s="109" t="s">
        <v>621</v>
      </c>
      <c r="F42" s="109">
        <v>15</v>
      </c>
      <c r="G42" s="109">
        <v>1.4320927858352659</v>
      </c>
      <c r="H42" s="109">
        <v>78.134284973144531</v>
      </c>
      <c r="I42" s="109">
        <v>63.134281158447273</v>
      </c>
    </row>
    <row r="43" spans="1:9" ht="15" customHeight="1" x14ac:dyDescent="0.2">
      <c r="A43" s="109">
        <v>42</v>
      </c>
      <c r="B43" s="109" t="s">
        <v>622</v>
      </c>
      <c r="C43" s="109">
        <v>11</v>
      </c>
      <c r="D43" s="109">
        <v>2.5275581515203571</v>
      </c>
      <c r="E43" s="109" t="s">
        <v>622</v>
      </c>
      <c r="F43" s="109">
        <v>11</v>
      </c>
      <c r="G43" s="109">
        <v>2.527558326721191</v>
      </c>
      <c r="H43" s="109">
        <v>78.037513732910156</v>
      </c>
      <c r="I43" s="109">
        <v>67.037513732910156</v>
      </c>
    </row>
    <row r="44" spans="1:9" ht="15" customHeight="1" x14ac:dyDescent="0.2">
      <c r="A44" s="109">
        <v>43</v>
      </c>
      <c r="B44" s="109" t="s">
        <v>623</v>
      </c>
      <c r="C44" s="109">
        <v>11</v>
      </c>
      <c r="D44" s="109">
        <v>3.263573956364886</v>
      </c>
      <c r="E44" s="109" t="s">
        <v>623</v>
      </c>
      <c r="F44" s="109">
        <v>11</v>
      </c>
      <c r="G44" s="109">
        <v>3.2635738849639888</v>
      </c>
      <c r="H44" s="109">
        <v>78.390731811523438</v>
      </c>
      <c r="I44" s="109">
        <v>67.390731811523438</v>
      </c>
    </row>
    <row r="45" spans="1:9" ht="15" customHeight="1" x14ac:dyDescent="0.2">
      <c r="A45" s="109">
        <v>44</v>
      </c>
      <c r="B45" s="109" t="s">
        <v>624</v>
      </c>
      <c r="C45" s="109">
        <v>16</v>
      </c>
      <c r="D45" s="109">
        <v>3.109524136746264</v>
      </c>
      <c r="E45" s="109" t="s">
        <v>624</v>
      </c>
      <c r="F45" s="109">
        <v>16</v>
      </c>
      <c r="G45" s="109">
        <v>3.109524250030518</v>
      </c>
      <c r="H45" s="109">
        <v>76.914619445800781</v>
      </c>
      <c r="I45" s="109">
        <v>60.914615631103523</v>
      </c>
    </row>
    <row r="46" spans="1:9" ht="15" customHeight="1" x14ac:dyDescent="0.2">
      <c r="A46" s="109">
        <v>45</v>
      </c>
      <c r="B46" s="109" t="s">
        <v>625</v>
      </c>
      <c r="C46" s="109">
        <v>12</v>
      </c>
      <c r="D46" s="109">
        <v>2.2879250987802782</v>
      </c>
      <c r="E46" s="109" t="s">
        <v>625</v>
      </c>
      <c r="F46" s="109">
        <v>12</v>
      </c>
      <c r="G46" s="109">
        <v>2.287925004959106</v>
      </c>
      <c r="H46" s="109">
        <v>76.11572265625</v>
      </c>
      <c r="I46" s="109">
        <v>64.11572265625</v>
      </c>
    </row>
    <row r="47" spans="1:9" ht="15" customHeight="1" x14ac:dyDescent="0.2">
      <c r="A47" s="109">
        <v>46</v>
      </c>
      <c r="B47" s="109" t="s">
        <v>626</v>
      </c>
      <c r="C47" s="109">
        <v>11</v>
      </c>
      <c r="D47" s="109">
        <v>2.6873135200137428</v>
      </c>
      <c r="E47" s="109" t="s">
        <v>626</v>
      </c>
      <c r="F47" s="109">
        <v>11</v>
      </c>
      <c r="G47" s="109">
        <v>2.687313556671143</v>
      </c>
      <c r="H47" s="109">
        <v>75.415992736816406</v>
      </c>
      <c r="I47" s="109">
        <v>64.415992736816406</v>
      </c>
    </row>
    <row r="48" spans="1:9" ht="15" customHeight="1" x14ac:dyDescent="0.2">
      <c r="A48" s="109">
        <v>47</v>
      </c>
      <c r="B48" s="109" t="s">
        <v>627</v>
      </c>
      <c r="C48" s="109">
        <v>13</v>
      </c>
      <c r="D48" s="109">
        <v>3.8911843325889022</v>
      </c>
      <c r="E48" s="109" t="s">
        <v>627</v>
      </c>
      <c r="F48" s="109">
        <v>13</v>
      </c>
      <c r="G48" s="109">
        <v>3.8911840915679932</v>
      </c>
      <c r="H48" s="109">
        <v>74.530899047851563</v>
      </c>
      <c r="I48" s="109">
        <v>61.530899047851563</v>
      </c>
    </row>
    <row r="49" spans="1:9" ht="15" customHeight="1" x14ac:dyDescent="0.2">
      <c r="A49" s="109">
        <v>48</v>
      </c>
      <c r="B49" s="109" t="s">
        <v>628</v>
      </c>
      <c r="C49" s="109">
        <v>9</v>
      </c>
      <c r="D49" s="109">
        <v>4.5758501975605563</v>
      </c>
      <c r="E49" s="109" t="s">
        <v>628</v>
      </c>
      <c r="F49" s="109">
        <v>9</v>
      </c>
      <c r="G49" s="109">
        <v>4.5758500099182129</v>
      </c>
      <c r="H49" s="109">
        <v>73.415916442871094</v>
      </c>
      <c r="I49" s="109">
        <v>64.415916442871094</v>
      </c>
    </row>
    <row r="50" spans="1:9" ht="15" customHeight="1" x14ac:dyDescent="0.2">
      <c r="A50" s="109">
        <v>49</v>
      </c>
      <c r="B50" s="109" t="s">
        <v>629</v>
      </c>
      <c r="C50" s="109">
        <v>10</v>
      </c>
      <c r="D50" s="109">
        <v>3.1152296856210269</v>
      </c>
      <c r="E50" s="109" t="s">
        <v>629</v>
      </c>
      <c r="F50" s="109">
        <v>10</v>
      </c>
      <c r="G50" s="109">
        <v>3.115229606628418</v>
      </c>
      <c r="H50" s="109">
        <v>70.723968505859375</v>
      </c>
      <c r="I50" s="109">
        <v>60.723968505859382</v>
      </c>
    </row>
    <row r="51" spans="1:9" ht="15" customHeight="1" x14ac:dyDescent="0.2">
      <c r="A51" s="109">
        <v>50</v>
      </c>
      <c r="B51" s="109" t="s">
        <v>630</v>
      </c>
      <c r="C51" s="109">
        <v>14</v>
      </c>
      <c r="D51" s="109">
        <v>1.922769970795396</v>
      </c>
      <c r="E51" s="109" t="s">
        <v>630</v>
      </c>
      <c r="F51" s="109">
        <v>14</v>
      </c>
      <c r="G51" s="109">
        <v>1.9227699041366579</v>
      </c>
      <c r="H51" s="109">
        <v>69.840553283691406</v>
      </c>
      <c r="I51" s="109">
        <v>55.840549468994141</v>
      </c>
    </row>
    <row r="52" spans="1:9" ht="15" customHeight="1" x14ac:dyDescent="0.2">
      <c r="A52" s="109">
        <v>51</v>
      </c>
      <c r="B52" s="109" t="s">
        <v>631</v>
      </c>
      <c r="C52" s="109">
        <v>9</v>
      </c>
      <c r="D52" s="109">
        <v>2.1509919257859469</v>
      </c>
      <c r="E52" s="109" t="s">
        <v>631</v>
      </c>
      <c r="F52" s="109">
        <v>9</v>
      </c>
      <c r="G52" s="109">
        <v>2.1509919166564941</v>
      </c>
      <c r="H52" s="109">
        <v>68.862510681152344</v>
      </c>
      <c r="I52" s="109">
        <v>59.862506866455078</v>
      </c>
    </row>
    <row r="53" spans="1:9" ht="15" customHeight="1" x14ac:dyDescent="0.2">
      <c r="A53" s="109">
        <v>52</v>
      </c>
      <c r="B53" s="109" t="s">
        <v>632</v>
      </c>
      <c r="C53" s="109">
        <v>10</v>
      </c>
      <c r="D53" s="109">
        <v>1.80865899330012</v>
      </c>
      <c r="E53" s="109" t="s">
        <v>632</v>
      </c>
      <c r="F53" s="109">
        <v>10</v>
      </c>
      <c r="G53" s="109">
        <v>1.8086590766906741</v>
      </c>
      <c r="H53" s="109">
        <v>77.044265747070313</v>
      </c>
      <c r="I53" s="109">
        <v>67.044265747070313</v>
      </c>
    </row>
    <row r="54" spans="1:9" ht="15" customHeight="1" x14ac:dyDescent="0.2">
      <c r="A54" s="109">
        <v>53</v>
      </c>
      <c r="B54" s="109" t="s">
        <v>633</v>
      </c>
      <c r="C54" s="109">
        <v>15</v>
      </c>
      <c r="D54" s="109">
        <v>1.6260814293076791</v>
      </c>
      <c r="E54" s="109" t="s">
        <v>633</v>
      </c>
      <c r="F54" s="109">
        <v>15</v>
      </c>
      <c r="G54" s="109">
        <v>1.6260814666748049</v>
      </c>
      <c r="H54" s="109">
        <v>76.668533325195313</v>
      </c>
      <c r="I54" s="109">
        <v>61.668533325195313</v>
      </c>
    </row>
    <row r="55" spans="1:9" ht="15" customHeight="1" x14ac:dyDescent="0.2">
      <c r="A55" s="109">
        <v>54</v>
      </c>
      <c r="B55" s="109" t="s">
        <v>634</v>
      </c>
      <c r="C55" s="109">
        <v>15</v>
      </c>
      <c r="D55" s="109">
        <v>1.5290870984366951</v>
      </c>
      <c r="E55" s="109" t="s">
        <v>634</v>
      </c>
      <c r="F55" s="109">
        <v>15</v>
      </c>
      <c r="G55" s="109">
        <v>1.52908718585968</v>
      </c>
      <c r="H55" s="109">
        <v>75.982124328613281</v>
      </c>
      <c r="I55" s="109">
        <v>60.982124328613281</v>
      </c>
    </row>
    <row r="56" spans="1:9" ht="15" customHeight="1" x14ac:dyDescent="0.2">
      <c r="A56" s="109">
        <v>55</v>
      </c>
      <c r="B56" s="109" t="s">
        <v>635</v>
      </c>
      <c r="C56" s="109">
        <v>12</v>
      </c>
      <c r="D56" s="109">
        <v>0.8786545267136231</v>
      </c>
      <c r="E56" s="109" t="s">
        <v>635</v>
      </c>
      <c r="F56" s="109">
        <v>12</v>
      </c>
      <c r="G56" s="109">
        <v>0.87865453958511353</v>
      </c>
      <c r="H56" s="109">
        <v>75.7320556640625</v>
      </c>
      <c r="I56" s="109">
        <v>63.7320556640625</v>
      </c>
    </row>
    <row r="57" spans="1:9" ht="15" customHeight="1" x14ac:dyDescent="0.2">
      <c r="A57" s="109">
        <v>56</v>
      </c>
      <c r="B57" s="109" t="s">
        <v>636</v>
      </c>
      <c r="C57" s="109">
        <v>13</v>
      </c>
      <c r="D57" s="109">
        <v>0.87294897783885927</v>
      </c>
      <c r="E57" s="109" t="s">
        <v>636</v>
      </c>
      <c r="F57" s="109">
        <v>13</v>
      </c>
      <c r="G57" s="109">
        <v>0.87294894456863403</v>
      </c>
      <c r="H57" s="109">
        <v>75.498046875</v>
      </c>
      <c r="I57" s="109">
        <v>62.498046875</v>
      </c>
    </row>
    <row r="58" spans="1:9" ht="15" customHeight="1" x14ac:dyDescent="0.2">
      <c r="A58" s="109">
        <v>57</v>
      </c>
      <c r="B58" s="109" t="s">
        <v>637</v>
      </c>
      <c r="C58" s="109">
        <v>20</v>
      </c>
      <c r="D58" s="109">
        <v>0.63902147397354403</v>
      </c>
      <c r="E58" s="109" t="s">
        <v>637</v>
      </c>
      <c r="F58" s="109">
        <v>20</v>
      </c>
      <c r="G58" s="109">
        <v>0.63902145624160767</v>
      </c>
      <c r="H58" s="109">
        <v>75.281707763671875</v>
      </c>
      <c r="I58" s="109">
        <v>55.281707763671882</v>
      </c>
    </row>
    <row r="59" spans="1:9" ht="15" customHeight="1" x14ac:dyDescent="0.2">
      <c r="A59" s="109">
        <v>58</v>
      </c>
      <c r="B59" s="109" t="s">
        <v>638</v>
      </c>
      <c r="C59" s="109">
        <v>17</v>
      </c>
      <c r="D59" s="109">
        <v>0.38797732348393738</v>
      </c>
      <c r="E59" s="109" t="s">
        <v>638</v>
      </c>
      <c r="F59" s="109">
        <v>17</v>
      </c>
      <c r="G59" s="109">
        <v>0.38797730207443237</v>
      </c>
      <c r="H59" s="109">
        <v>74.872322082519531</v>
      </c>
      <c r="I59" s="109">
        <v>57.872322082519531</v>
      </c>
    </row>
    <row r="60" spans="1:9" ht="15" customHeight="1" x14ac:dyDescent="0.2">
      <c r="A60" s="109">
        <v>59</v>
      </c>
      <c r="B60" s="109" t="s">
        <v>639</v>
      </c>
      <c r="C60" s="109">
        <v>16</v>
      </c>
      <c r="D60" s="109">
        <v>0.63331592509878021</v>
      </c>
      <c r="E60" s="109" t="s">
        <v>639</v>
      </c>
      <c r="F60" s="109">
        <v>16</v>
      </c>
      <c r="G60" s="109">
        <v>0.63331592082977295</v>
      </c>
      <c r="H60" s="109">
        <v>74.517562866210938</v>
      </c>
      <c r="I60" s="109">
        <v>58.517562866210938</v>
      </c>
    </row>
    <row r="61" spans="1:9" ht="15" customHeight="1" x14ac:dyDescent="0.2">
      <c r="A61" s="109">
        <v>60</v>
      </c>
      <c r="B61" s="109" t="s">
        <v>640</v>
      </c>
      <c r="C61" s="109">
        <v>15</v>
      </c>
      <c r="D61" s="109">
        <v>0.74172135371929215</v>
      </c>
      <c r="E61" s="109" t="s">
        <v>640</v>
      </c>
      <c r="F61" s="109">
        <v>15</v>
      </c>
      <c r="G61" s="109">
        <v>0.74172139167785645</v>
      </c>
      <c r="H61" s="109">
        <v>73.697090148925781</v>
      </c>
      <c r="I61" s="109">
        <v>58.697093963623047</v>
      </c>
    </row>
    <row r="62" spans="1:9" ht="15" customHeight="1" x14ac:dyDescent="0.2">
      <c r="A62" s="109">
        <v>61</v>
      </c>
      <c r="B62" s="109" t="s">
        <v>641</v>
      </c>
      <c r="C62" s="109">
        <v>8</v>
      </c>
      <c r="D62" s="109">
        <v>0.70748806047070945</v>
      </c>
      <c r="E62" s="109" t="s">
        <v>641</v>
      </c>
      <c r="F62" s="109">
        <v>8</v>
      </c>
      <c r="G62" s="109">
        <v>0.70748805999755859</v>
      </c>
      <c r="H62" s="109">
        <v>73.201148986816406</v>
      </c>
      <c r="I62" s="109">
        <v>65.201148986816406</v>
      </c>
    </row>
    <row r="63" spans="1:9" ht="15" customHeight="1" x14ac:dyDescent="0.2">
      <c r="A63" s="109">
        <v>62</v>
      </c>
      <c r="B63" s="109" t="s">
        <v>642</v>
      </c>
      <c r="C63" s="109">
        <v>8</v>
      </c>
      <c r="D63" s="109">
        <v>0.74742690259405598</v>
      </c>
      <c r="E63" s="109" t="s">
        <v>642</v>
      </c>
      <c r="F63" s="109">
        <v>8</v>
      </c>
      <c r="G63" s="109">
        <v>0.74742692708969116</v>
      </c>
      <c r="H63" s="109">
        <v>72.526962280273438</v>
      </c>
      <c r="I63" s="109">
        <v>64.526962280273438</v>
      </c>
    </row>
    <row r="64" spans="1:9" ht="15" customHeight="1" x14ac:dyDescent="0.2">
      <c r="A64" s="109">
        <v>63</v>
      </c>
      <c r="B64" s="109" t="s">
        <v>643</v>
      </c>
      <c r="C64" s="109">
        <v>14</v>
      </c>
      <c r="D64" s="109">
        <v>1.5633203916852769</v>
      </c>
      <c r="E64" s="109" t="s">
        <v>643</v>
      </c>
      <c r="F64" s="109">
        <v>14</v>
      </c>
      <c r="G64" s="109">
        <v>1.563320398330688</v>
      </c>
      <c r="H64" s="109">
        <v>72.024391174316406</v>
      </c>
      <c r="I64" s="109">
        <v>58.024394989013672</v>
      </c>
    </row>
    <row r="65" spans="1:9" ht="15" customHeight="1" x14ac:dyDescent="0.2">
      <c r="A65" s="109">
        <v>64</v>
      </c>
      <c r="B65" s="109" t="s">
        <v>644</v>
      </c>
      <c r="C65" s="109">
        <v>10</v>
      </c>
      <c r="D65" s="109">
        <v>1.6489036248067339</v>
      </c>
      <c r="E65" s="109" t="s">
        <v>644</v>
      </c>
      <c r="F65" s="109">
        <v>10</v>
      </c>
      <c r="G65" s="109">
        <v>1.648903608322144</v>
      </c>
      <c r="H65" s="109">
        <v>70.400459289550781</v>
      </c>
      <c r="I65" s="109">
        <v>60.400459289550781</v>
      </c>
    </row>
    <row r="66" spans="1:9" ht="15" customHeight="1" x14ac:dyDescent="0.2">
      <c r="A66" s="109">
        <v>65</v>
      </c>
      <c r="B66" s="109" t="s">
        <v>645</v>
      </c>
      <c r="C66" s="109">
        <v>10</v>
      </c>
      <c r="D66" s="109">
        <v>0.7873657447174025</v>
      </c>
      <c r="E66" s="109" t="s">
        <v>645</v>
      </c>
      <c r="F66" s="109">
        <v>10</v>
      </c>
      <c r="G66" s="109">
        <v>0.78736573457717896</v>
      </c>
      <c r="H66" s="109">
        <v>69.932823181152344</v>
      </c>
      <c r="I66" s="109">
        <v>59.932819366455078</v>
      </c>
    </row>
    <row r="67" spans="1:9" ht="15" customHeight="1" x14ac:dyDescent="0.2">
      <c r="A67" s="109">
        <v>66</v>
      </c>
      <c r="B67" s="109" t="s">
        <v>646</v>
      </c>
      <c r="C67" s="109">
        <v>12</v>
      </c>
      <c r="D67" s="109">
        <v>0.6276103762240165</v>
      </c>
      <c r="E67" s="109" t="s">
        <v>646</v>
      </c>
      <c r="F67" s="109">
        <v>12</v>
      </c>
      <c r="G67" s="109">
        <v>0.62761038541793823</v>
      </c>
      <c r="H67" s="109">
        <v>69.550704956054688</v>
      </c>
      <c r="I67" s="109">
        <v>57.550704956054688</v>
      </c>
    </row>
    <row r="68" spans="1:9" ht="15" customHeight="1" x14ac:dyDescent="0.2">
      <c r="A68" s="109">
        <v>67</v>
      </c>
      <c r="B68" s="109" t="s">
        <v>647</v>
      </c>
      <c r="C68" s="109">
        <v>9</v>
      </c>
      <c r="D68" s="109">
        <v>0.82730458684074903</v>
      </c>
      <c r="E68" s="109" t="s">
        <v>647</v>
      </c>
      <c r="F68" s="109">
        <v>9</v>
      </c>
      <c r="G68" s="109">
        <v>0.82730460166931152</v>
      </c>
      <c r="H68" s="109">
        <v>69.303192138671875</v>
      </c>
      <c r="I68" s="109">
        <v>60.303188323974609</v>
      </c>
    </row>
    <row r="69" spans="1:9" ht="15" customHeight="1" x14ac:dyDescent="0.2">
      <c r="A69" s="109">
        <v>68</v>
      </c>
      <c r="B69" s="109" t="s">
        <v>648</v>
      </c>
      <c r="C69" s="109">
        <v>11</v>
      </c>
      <c r="D69" s="109">
        <v>1.723075760178663</v>
      </c>
      <c r="E69" s="109" t="s">
        <v>648</v>
      </c>
      <c r="F69" s="109">
        <v>11</v>
      </c>
      <c r="G69" s="109">
        <v>1.723075747489929</v>
      </c>
      <c r="H69" s="109">
        <v>68.798599243164063</v>
      </c>
      <c r="I69" s="109">
        <v>57.798599243164063</v>
      </c>
    </row>
    <row r="70" spans="1:9" ht="15" customHeight="1" x14ac:dyDescent="0.2">
      <c r="A70" s="109">
        <v>69</v>
      </c>
      <c r="B70" s="109" t="s">
        <v>649</v>
      </c>
      <c r="C70" s="109">
        <v>9</v>
      </c>
      <c r="D70" s="109">
        <v>3.189401820992956</v>
      </c>
      <c r="E70" s="109" t="s">
        <v>649</v>
      </c>
      <c r="F70" s="109">
        <v>9</v>
      </c>
      <c r="G70" s="109">
        <v>3.1894018650054932</v>
      </c>
      <c r="H70" s="109">
        <v>67.972793579101563</v>
      </c>
      <c r="I70" s="109">
        <v>58.972789764404297</v>
      </c>
    </row>
    <row r="71" spans="1:9" ht="15" customHeight="1" x14ac:dyDescent="0.2">
      <c r="A71" s="109">
        <v>70</v>
      </c>
      <c r="B71" s="109" t="s">
        <v>650</v>
      </c>
      <c r="C71" s="109">
        <v>12</v>
      </c>
      <c r="D71" s="109">
        <v>4.2791616560728398</v>
      </c>
      <c r="E71" s="109" t="s">
        <v>650</v>
      </c>
      <c r="F71" s="109">
        <v>12</v>
      </c>
      <c r="G71" s="109">
        <v>4.2791619300842294</v>
      </c>
      <c r="H71" s="109">
        <v>67.501960754394531</v>
      </c>
      <c r="I71" s="109">
        <v>55.501964569091797</v>
      </c>
    </row>
    <row r="72" spans="1:9" ht="15" customHeight="1" x14ac:dyDescent="0.2">
      <c r="A72" s="109">
        <v>71</v>
      </c>
      <c r="B72" s="109" t="s">
        <v>651</v>
      </c>
      <c r="C72" s="109">
        <v>8</v>
      </c>
      <c r="D72" s="109">
        <v>4.5359113554372099</v>
      </c>
      <c r="E72" s="109" t="s">
        <v>651</v>
      </c>
      <c r="F72" s="109">
        <v>8</v>
      </c>
      <c r="G72" s="109">
        <v>4.5359110832214364</v>
      </c>
      <c r="H72" s="109">
        <v>63.304981231689453</v>
      </c>
      <c r="I72" s="109">
        <v>55.304981231689453</v>
      </c>
    </row>
    <row r="73" spans="1:9" ht="15" customHeight="1" x14ac:dyDescent="0.2">
      <c r="A73" s="109">
        <v>72</v>
      </c>
      <c r="B73" s="109" t="s">
        <v>652</v>
      </c>
      <c r="C73" s="109">
        <v>5</v>
      </c>
      <c r="D73" s="109">
        <v>0.9756488575846074</v>
      </c>
      <c r="E73" s="109" t="s">
        <v>652</v>
      </c>
      <c r="F73" s="109">
        <v>5</v>
      </c>
      <c r="G73" s="109">
        <v>0.97564888000488281</v>
      </c>
      <c r="H73" s="109">
        <v>77.551666259765625</v>
      </c>
      <c r="I73" s="109">
        <v>72.551666259765625</v>
      </c>
    </row>
    <row r="74" spans="1:9" ht="15" customHeight="1" x14ac:dyDescent="0.2">
      <c r="A74" s="109">
        <v>73</v>
      </c>
      <c r="B74" s="109" t="s">
        <v>653</v>
      </c>
      <c r="C74" s="109">
        <v>11</v>
      </c>
      <c r="D74" s="109">
        <v>0.95282666208555233</v>
      </c>
      <c r="E74" s="109" t="s">
        <v>653</v>
      </c>
      <c r="F74" s="109">
        <v>11</v>
      </c>
      <c r="G74" s="109">
        <v>0.95282661914825439</v>
      </c>
      <c r="H74" s="109">
        <v>77.137924194335938</v>
      </c>
      <c r="I74" s="109">
        <v>66.137924194335938</v>
      </c>
    </row>
    <row r="75" spans="1:9" ht="15" customHeight="1" x14ac:dyDescent="0.2">
      <c r="A75" s="109">
        <v>74</v>
      </c>
      <c r="B75" s="109" t="s">
        <v>654</v>
      </c>
      <c r="C75" s="109">
        <v>8</v>
      </c>
      <c r="D75" s="109">
        <v>1.004176601958426</v>
      </c>
      <c r="E75" s="109" t="s">
        <v>654</v>
      </c>
      <c r="F75" s="109">
        <v>8</v>
      </c>
      <c r="G75" s="109">
        <v>1.0041766166687009</v>
      </c>
      <c r="H75" s="109">
        <v>76.699363708496094</v>
      </c>
      <c r="I75" s="109">
        <v>68.699363708496094</v>
      </c>
    </row>
    <row r="76" spans="1:9" ht="15" customHeight="1" x14ac:dyDescent="0.2">
      <c r="A76" s="109">
        <v>75</v>
      </c>
      <c r="B76" s="109" t="s">
        <v>655</v>
      </c>
      <c r="C76" s="109">
        <v>13</v>
      </c>
      <c r="D76" s="109">
        <v>1.0098821508331901</v>
      </c>
      <c r="E76" s="109" t="s">
        <v>655</v>
      </c>
      <c r="F76" s="109">
        <v>13</v>
      </c>
      <c r="G76" s="109">
        <v>1.0098822116851811</v>
      </c>
      <c r="H76" s="109">
        <v>76.266548156738281</v>
      </c>
      <c r="I76" s="109">
        <v>63.266544342041023</v>
      </c>
    </row>
    <row r="77" spans="1:9" ht="15" customHeight="1" x14ac:dyDescent="0.2">
      <c r="A77" s="109">
        <v>76</v>
      </c>
      <c r="B77" s="109" t="s">
        <v>656</v>
      </c>
      <c r="C77" s="109">
        <v>10</v>
      </c>
      <c r="D77" s="109">
        <v>0.93571001546126087</v>
      </c>
      <c r="E77" s="109" t="s">
        <v>656</v>
      </c>
      <c r="F77" s="109">
        <v>10</v>
      </c>
      <c r="G77" s="109">
        <v>0.93571001291275024</v>
      </c>
      <c r="H77" s="109">
        <v>75.852088928222656</v>
      </c>
      <c r="I77" s="109">
        <v>65.852088928222656</v>
      </c>
    </row>
    <row r="78" spans="1:9" ht="15" customHeight="1" x14ac:dyDescent="0.2">
      <c r="A78" s="109">
        <v>77</v>
      </c>
      <c r="B78" s="109" t="s">
        <v>657</v>
      </c>
      <c r="C78" s="109">
        <v>13</v>
      </c>
      <c r="D78" s="109">
        <v>0.89006562446315063</v>
      </c>
      <c r="E78" s="109" t="s">
        <v>657</v>
      </c>
      <c r="F78" s="109">
        <v>13</v>
      </c>
      <c r="G78" s="109">
        <v>0.89006561040878296</v>
      </c>
      <c r="H78" s="109">
        <v>75.504631042480469</v>
      </c>
      <c r="I78" s="109">
        <v>62.504634857177727</v>
      </c>
    </row>
    <row r="79" spans="1:9" ht="15" customHeight="1" x14ac:dyDescent="0.2">
      <c r="A79" s="109">
        <v>78</v>
      </c>
      <c r="B79" s="109" t="s">
        <v>658</v>
      </c>
      <c r="C79" s="109">
        <v>11</v>
      </c>
      <c r="D79" s="109">
        <v>1.3579206321937809</v>
      </c>
      <c r="E79" s="109" t="s">
        <v>658</v>
      </c>
      <c r="F79" s="109">
        <v>11</v>
      </c>
      <c r="G79" s="109">
        <v>1.35792064666748</v>
      </c>
      <c r="H79" s="109">
        <v>75.151145935058594</v>
      </c>
      <c r="I79" s="109">
        <v>64.151145935058594</v>
      </c>
    </row>
    <row r="80" spans="1:9" ht="15" customHeight="1" x14ac:dyDescent="0.2">
      <c r="A80" s="109">
        <v>79</v>
      </c>
      <c r="B80" s="109" t="s">
        <v>659</v>
      </c>
      <c r="C80" s="109">
        <v>15</v>
      </c>
      <c r="D80" s="109">
        <v>1.3008651434461429</v>
      </c>
      <c r="E80" s="109" t="s">
        <v>659</v>
      </c>
      <c r="F80" s="109">
        <v>15</v>
      </c>
      <c r="G80" s="109">
        <v>1.300865173339844</v>
      </c>
      <c r="H80" s="109">
        <v>74.486297607421875</v>
      </c>
      <c r="I80" s="109">
        <v>59.486293792724609</v>
      </c>
    </row>
    <row r="81" spans="1:9" ht="15" customHeight="1" x14ac:dyDescent="0.2">
      <c r="A81" s="109">
        <v>80</v>
      </c>
      <c r="B81" s="109" t="s">
        <v>660</v>
      </c>
      <c r="C81" s="109">
        <v>18</v>
      </c>
      <c r="D81" s="109">
        <v>0.85583233121456792</v>
      </c>
      <c r="E81" s="109" t="s">
        <v>660</v>
      </c>
      <c r="F81" s="109">
        <v>18</v>
      </c>
      <c r="G81" s="109">
        <v>0.85583233833312988</v>
      </c>
      <c r="H81" s="109">
        <v>74.202491760253906</v>
      </c>
      <c r="I81" s="109">
        <v>56.202487945556641</v>
      </c>
    </row>
    <row r="82" spans="1:9" ht="15" customHeight="1" x14ac:dyDescent="0.2">
      <c r="A82" s="109">
        <v>81</v>
      </c>
      <c r="B82" s="109" t="s">
        <v>661</v>
      </c>
      <c r="C82" s="109">
        <v>16</v>
      </c>
      <c r="D82" s="109">
        <v>1.346509534444253</v>
      </c>
      <c r="E82" s="109" t="s">
        <v>661</v>
      </c>
      <c r="F82" s="109">
        <v>16</v>
      </c>
      <c r="G82" s="109">
        <v>1.346509575843811</v>
      </c>
      <c r="H82" s="109">
        <v>73.888214111328125</v>
      </c>
      <c r="I82" s="109">
        <v>57.888214111328118</v>
      </c>
    </row>
    <row r="83" spans="1:9" ht="15" customHeight="1" x14ac:dyDescent="0.2">
      <c r="A83" s="109">
        <v>82</v>
      </c>
      <c r="B83" s="109" t="s">
        <v>662</v>
      </c>
      <c r="C83" s="109">
        <v>13</v>
      </c>
      <c r="D83" s="109">
        <v>1.255220752448033</v>
      </c>
      <c r="E83" s="109" t="s">
        <v>662</v>
      </c>
      <c r="F83" s="109">
        <v>13</v>
      </c>
      <c r="G83" s="109">
        <v>1.255220770835876</v>
      </c>
      <c r="H83" s="109">
        <v>73.654457092285156</v>
      </c>
      <c r="I83" s="109">
        <v>60.654457092285163</v>
      </c>
    </row>
    <row r="84" spans="1:9" ht="15" customHeight="1" x14ac:dyDescent="0.2">
      <c r="A84" s="109">
        <v>83</v>
      </c>
      <c r="B84" s="109" t="s">
        <v>663</v>
      </c>
      <c r="C84" s="109">
        <v>13</v>
      </c>
      <c r="D84" s="109">
        <v>1.295159594571379</v>
      </c>
      <c r="E84" s="109" t="s">
        <v>663</v>
      </c>
      <c r="F84" s="109">
        <v>13</v>
      </c>
      <c r="G84" s="109">
        <v>1.295159578323364</v>
      </c>
      <c r="H84" s="109">
        <v>73.158721923828125</v>
      </c>
      <c r="I84" s="109">
        <v>60.158725738525391</v>
      </c>
    </row>
    <row r="85" spans="1:9" ht="15" customHeight="1" x14ac:dyDescent="0.2">
      <c r="A85" s="109">
        <v>84</v>
      </c>
      <c r="B85" s="109" t="s">
        <v>664</v>
      </c>
      <c r="C85" s="109">
        <v>14</v>
      </c>
      <c r="D85" s="109">
        <v>1.517676000687167</v>
      </c>
      <c r="E85" s="109" t="s">
        <v>664</v>
      </c>
      <c r="F85" s="109">
        <v>14</v>
      </c>
      <c r="G85" s="109">
        <v>1.517675995826721</v>
      </c>
      <c r="H85" s="109">
        <v>72.451690673828125</v>
      </c>
      <c r="I85" s="109">
        <v>58.451694488525391</v>
      </c>
    </row>
    <row r="86" spans="1:9" ht="15" customHeight="1" x14ac:dyDescent="0.2">
      <c r="A86" s="109">
        <v>85</v>
      </c>
      <c r="B86" s="109" t="s">
        <v>665</v>
      </c>
      <c r="C86" s="109">
        <v>12</v>
      </c>
      <c r="D86" s="109">
        <v>0.95853221096031604</v>
      </c>
      <c r="E86" s="109" t="s">
        <v>665</v>
      </c>
      <c r="F86" s="109">
        <v>12</v>
      </c>
      <c r="G86" s="109">
        <v>0.95853221416473389</v>
      </c>
      <c r="H86" s="109">
        <v>71.821258544921875</v>
      </c>
      <c r="I86" s="109">
        <v>59.821258544921882</v>
      </c>
    </row>
    <row r="87" spans="1:9" ht="15" customHeight="1" x14ac:dyDescent="0.2">
      <c r="A87" s="109">
        <v>86</v>
      </c>
      <c r="B87" s="109" t="s">
        <v>666</v>
      </c>
      <c r="C87" s="109">
        <v>8</v>
      </c>
      <c r="D87" s="109">
        <v>0.85583233121456792</v>
      </c>
      <c r="E87" s="109" t="s">
        <v>666</v>
      </c>
      <c r="F87" s="109">
        <v>8</v>
      </c>
      <c r="G87" s="109">
        <v>0.85583233833312988</v>
      </c>
      <c r="H87" s="109">
        <v>71.380607604980469</v>
      </c>
      <c r="I87" s="109">
        <v>63.380611419677727</v>
      </c>
    </row>
    <row r="88" spans="1:9" ht="15" customHeight="1" x14ac:dyDescent="0.2">
      <c r="A88" s="109">
        <v>87</v>
      </c>
      <c r="B88" s="109" t="s">
        <v>667</v>
      </c>
      <c r="C88" s="109">
        <v>14</v>
      </c>
      <c r="D88" s="109">
        <v>1.865714482047758</v>
      </c>
      <c r="E88" s="109" t="s">
        <v>667</v>
      </c>
      <c r="F88" s="109">
        <v>14</v>
      </c>
      <c r="G88" s="109">
        <v>1.865714430809021</v>
      </c>
      <c r="H88" s="109">
        <v>70.957672119140625</v>
      </c>
      <c r="I88" s="109">
        <v>56.957672119140618</v>
      </c>
    </row>
    <row r="89" spans="1:9" ht="15" customHeight="1" x14ac:dyDescent="0.2">
      <c r="A89" s="109">
        <v>88</v>
      </c>
      <c r="B89" s="109" t="s">
        <v>668</v>
      </c>
      <c r="C89" s="109">
        <v>13</v>
      </c>
      <c r="D89" s="109">
        <v>1.785836797801065</v>
      </c>
      <c r="E89" s="109" t="s">
        <v>668</v>
      </c>
      <c r="F89" s="109">
        <v>13</v>
      </c>
      <c r="G89" s="109">
        <v>1.7858366966247561</v>
      </c>
      <c r="H89" s="109">
        <v>69.850753784179688</v>
      </c>
      <c r="I89" s="109">
        <v>56.850753784179688</v>
      </c>
    </row>
    <row r="90" spans="1:9" ht="15" customHeight="1" x14ac:dyDescent="0.2">
      <c r="A90" s="109">
        <v>89</v>
      </c>
      <c r="B90" s="109" t="s">
        <v>669</v>
      </c>
      <c r="C90" s="109">
        <v>16</v>
      </c>
      <c r="D90" s="109">
        <v>0.59337708297543379</v>
      </c>
      <c r="E90" s="109" t="s">
        <v>669</v>
      </c>
      <c r="F90" s="109">
        <v>16</v>
      </c>
      <c r="G90" s="109">
        <v>0.59337711334228516</v>
      </c>
      <c r="H90" s="109">
        <v>69.629859924316406</v>
      </c>
      <c r="I90" s="109">
        <v>53.629859924316413</v>
      </c>
    </row>
    <row r="91" spans="1:9" ht="15" customHeight="1" x14ac:dyDescent="0.2">
      <c r="A91" s="109">
        <v>90</v>
      </c>
      <c r="B91" s="109" t="s">
        <v>670</v>
      </c>
      <c r="C91" s="109">
        <v>16</v>
      </c>
      <c r="D91" s="109">
        <v>1.380742827692836</v>
      </c>
      <c r="E91" s="109" t="s">
        <v>670</v>
      </c>
      <c r="F91" s="109">
        <v>16</v>
      </c>
      <c r="G91" s="109">
        <v>1.3807427883148189</v>
      </c>
      <c r="H91" s="109">
        <v>69.497322082519531</v>
      </c>
      <c r="I91" s="109">
        <v>53.497325897216797</v>
      </c>
    </row>
    <row r="92" spans="1:9" ht="15" customHeight="1" x14ac:dyDescent="0.2">
      <c r="A92" s="109">
        <v>91</v>
      </c>
      <c r="B92" s="109" t="s">
        <v>671</v>
      </c>
      <c r="C92" s="109">
        <v>11</v>
      </c>
      <c r="D92" s="109">
        <v>1.8828311286720489</v>
      </c>
      <c r="E92" s="109" t="s">
        <v>671</v>
      </c>
      <c r="F92" s="109">
        <v>11</v>
      </c>
      <c r="G92" s="109">
        <v>1.8828310966491699</v>
      </c>
      <c r="H92" s="109">
        <v>68.968429565429688</v>
      </c>
      <c r="I92" s="109">
        <v>57.968433380126953</v>
      </c>
    </row>
    <row r="93" spans="1:9" ht="15" customHeight="1" x14ac:dyDescent="0.2">
      <c r="A93" s="109">
        <v>92</v>
      </c>
      <c r="B93" s="109" t="s">
        <v>672</v>
      </c>
      <c r="C93" s="109">
        <v>9</v>
      </c>
      <c r="D93" s="109">
        <v>1.369331729943309</v>
      </c>
      <c r="E93" s="109" t="s">
        <v>672</v>
      </c>
      <c r="F93" s="109">
        <v>9</v>
      </c>
      <c r="G93" s="109">
        <v>1.369331836700439</v>
      </c>
      <c r="H93" s="109">
        <v>68.723121643066406</v>
      </c>
      <c r="I93" s="109">
        <v>59.723121643066413</v>
      </c>
    </row>
    <row r="94" spans="1:9" ht="15" customHeight="1" x14ac:dyDescent="0.2">
      <c r="A94" s="109">
        <v>93</v>
      </c>
      <c r="B94" s="109" t="s">
        <v>673</v>
      </c>
      <c r="C94" s="109">
        <v>15</v>
      </c>
      <c r="D94" s="109">
        <v>1.135404226077994</v>
      </c>
      <c r="E94" s="109" t="s">
        <v>673</v>
      </c>
      <c r="F94" s="109">
        <v>15</v>
      </c>
      <c r="G94" s="109">
        <v>1.135404229164124</v>
      </c>
      <c r="H94" s="109">
        <v>67.58544921875</v>
      </c>
      <c r="I94" s="109">
        <v>52.585453033447273</v>
      </c>
    </row>
    <row r="95" spans="1:9" ht="15" customHeight="1" x14ac:dyDescent="0.2">
      <c r="A95" s="109">
        <v>94</v>
      </c>
      <c r="B95" s="109" t="s">
        <v>674</v>
      </c>
      <c r="C95" s="109">
        <v>16</v>
      </c>
      <c r="D95" s="109">
        <v>0.92429891771173334</v>
      </c>
      <c r="E95" s="109" t="s">
        <v>674</v>
      </c>
      <c r="F95" s="109">
        <v>16</v>
      </c>
      <c r="G95" s="109">
        <v>0.92429894208908081</v>
      </c>
      <c r="H95" s="109">
        <v>66.889045715332031</v>
      </c>
      <c r="I95" s="109">
        <v>50.889041900634773</v>
      </c>
    </row>
    <row r="96" spans="1:9" ht="15" customHeight="1" x14ac:dyDescent="0.2">
      <c r="A96" s="109">
        <v>95</v>
      </c>
      <c r="B96" s="109" t="s">
        <v>675</v>
      </c>
      <c r="C96" s="109">
        <v>13</v>
      </c>
      <c r="D96" s="109">
        <v>1.837186737673939</v>
      </c>
      <c r="E96" s="109" t="s">
        <v>675</v>
      </c>
      <c r="F96" s="109">
        <v>13</v>
      </c>
      <c r="G96" s="109">
        <v>1.8371866941452031</v>
      </c>
      <c r="H96" s="109">
        <v>66.090614318847656</v>
      </c>
      <c r="I96" s="109">
        <v>53.090618133544922</v>
      </c>
    </row>
    <row r="97" spans="1:9" ht="15" customHeight="1" x14ac:dyDescent="0.2">
      <c r="A97" s="109">
        <v>96</v>
      </c>
      <c r="B97" s="109" t="s">
        <v>676</v>
      </c>
      <c r="C97" s="109">
        <v>14</v>
      </c>
      <c r="D97" s="109">
        <v>2.0768197904140182</v>
      </c>
      <c r="E97" s="109" t="s">
        <v>676</v>
      </c>
      <c r="F97" s="109">
        <v>14</v>
      </c>
      <c r="G97" s="109">
        <v>2.076819896697998</v>
      </c>
      <c r="H97" s="109">
        <v>64.271759033203125</v>
      </c>
      <c r="I97" s="109">
        <v>50.271759033203118</v>
      </c>
    </row>
    <row r="98" spans="1:9" ht="15" customHeight="1" x14ac:dyDescent="0.2">
      <c r="A98" s="109">
        <v>97</v>
      </c>
      <c r="B98" s="109" t="s">
        <v>677</v>
      </c>
      <c r="C98" s="109">
        <v>10</v>
      </c>
      <c r="D98" s="109">
        <v>1.392153925442364</v>
      </c>
      <c r="E98" s="109" t="s">
        <v>677</v>
      </c>
      <c r="F98" s="109">
        <v>10</v>
      </c>
      <c r="G98" s="109">
        <v>1.392153859138489</v>
      </c>
      <c r="H98" s="109">
        <v>62.952438354492188</v>
      </c>
      <c r="I98" s="109">
        <v>52.952438354492188</v>
      </c>
    </row>
    <row r="99" spans="1:9" ht="15" customHeight="1" x14ac:dyDescent="0.2">
      <c r="A99" s="109">
        <v>98</v>
      </c>
      <c r="B99" s="109" t="s">
        <v>678</v>
      </c>
      <c r="C99" s="109">
        <v>12</v>
      </c>
      <c r="D99" s="109">
        <v>1.517676000687167</v>
      </c>
      <c r="E99" s="109" t="s">
        <v>678</v>
      </c>
      <c r="F99" s="109">
        <v>12</v>
      </c>
      <c r="G99" s="109">
        <v>1.517675995826721</v>
      </c>
      <c r="H99" s="109">
        <v>60.594482421875</v>
      </c>
      <c r="I99" s="109">
        <v>48.594482421875</v>
      </c>
    </row>
    <row r="100" spans="1:9" ht="15" customHeight="1" x14ac:dyDescent="0.2">
      <c r="A100" s="109">
        <v>99</v>
      </c>
      <c r="B100" s="109" t="s">
        <v>679</v>
      </c>
      <c r="C100" s="109">
        <v>13</v>
      </c>
      <c r="D100" s="109">
        <v>3.4860903624806729</v>
      </c>
      <c r="E100" s="109" t="s">
        <v>679</v>
      </c>
      <c r="F100" s="109">
        <v>13</v>
      </c>
      <c r="G100" s="109">
        <v>3.4860904216766362</v>
      </c>
      <c r="H100" s="109">
        <v>60.373466491699219</v>
      </c>
      <c r="I100" s="109">
        <v>47.373466491699219</v>
      </c>
    </row>
    <row r="101" spans="1:9" ht="15" customHeight="1" x14ac:dyDescent="0.2">
      <c r="A101" s="109">
        <v>100</v>
      </c>
      <c r="B101" s="109" t="s">
        <v>680</v>
      </c>
      <c r="C101" s="109">
        <v>13</v>
      </c>
      <c r="D101" s="109">
        <v>2.521852602645593</v>
      </c>
      <c r="E101" s="109" t="s">
        <v>680</v>
      </c>
      <c r="F101" s="109">
        <v>13</v>
      </c>
      <c r="G101" s="109">
        <v>2.5218524932861328</v>
      </c>
      <c r="H101" s="109">
        <v>57.785224914550781</v>
      </c>
      <c r="I101" s="109">
        <v>44.785224914550781</v>
      </c>
    </row>
    <row r="102" spans="1:9" ht="15" customHeight="1" x14ac:dyDescent="0.2">
      <c r="A102" s="109">
        <v>101</v>
      </c>
      <c r="B102" s="109" t="s">
        <v>681</v>
      </c>
      <c r="C102" s="109">
        <v>6</v>
      </c>
      <c r="D102" s="109">
        <v>1.2894540456966159</v>
      </c>
      <c r="E102" s="109" t="s">
        <v>681</v>
      </c>
      <c r="F102" s="109">
        <v>6</v>
      </c>
      <c r="G102" s="109">
        <v>1.289453983306885</v>
      </c>
      <c r="H102" s="109">
        <v>56.416271209716797</v>
      </c>
      <c r="I102" s="109">
        <v>50.416271209716797</v>
      </c>
    </row>
    <row r="103" spans="1:9" ht="15" customHeight="1" x14ac:dyDescent="0.2">
      <c r="A103" s="109">
        <v>102</v>
      </c>
      <c r="B103" s="109" t="s">
        <v>682</v>
      </c>
      <c r="C103" s="109">
        <v>10</v>
      </c>
      <c r="D103" s="109">
        <v>0.73601580484452844</v>
      </c>
      <c r="E103" s="109" t="s">
        <v>682</v>
      </c>
      <c r="F103" s="109">
        <v>10</v>
      </c>
      <c r="G103" s="109">
        <v>0.73601579666137695</v>
      </c>
      <c r="H103" s="109">
        <v>56.053359985351563</v>
      </c>
      <c r="I103" s="109">
        <v>46.053359985351563</v>
      </c>
    </row>
    <row r="104" spans="1:9" ht="15" customHeight="1" x14ac:dyDescent="0.2">
      <c r="A104" s="109">
        <v>103</v>
      </c>
      <c r="B104" s="109" t="s">
        <v>683</v>
      </c>
      <c r="C104" s="109">
        <v>14</v>
      </c>
      <c r="D104" s="109">
        <v>0.44503281223157531</v>
      </c>
      <c r="E104" s="109" t="s">
        <v>683</v>
      </c>
      <c r="F104" s="109">
        <v>14</v>
      </c>
      <c r="G104" s="109">
        <v>0.44503280520439148</v>
      </c>
      <c r="H104" s="109">
        <v>55.925636291503913</v>
      </c>
      <c r="I104" s="109">
        <v>41.925636291503913</v>
      </c>
    </row>
    <row r="105" spans="1:9" ht="15" customHeight="1" x14ac:dyDescent="0.2">
      <c r="A105" s="109">
        <v>104</v>
      </c>
      <c r="B105" s="109" t="s">
        <v>684</v>
      </c>
      <c r="C105" s="109">
        <v>14</v>
      </c>
      <c r="D105" s="109">
        <v>0.43362171448204773</v>
      </c>
      <c r="E105" s="109" t="s">
        <v>684</v>
      </c>
      <c r="F105" s="109">
        <v>14</v>
      </c>
      <c r="G105" s="109">
        <v>0.43362170457839971</v>
      </c>
      <c r="H105" s="109">
        <v>55.76800537109375</v>
      </c>
      <c r="I105" s="109">
        <v>41.76800537109375</v>
      </c>
    </row>
    <row r="106" spans="1:9" ht="15" customHeight="1" x14ac:dyDescent="0.2">
      <c r="A106" s="109">
        <v>105</v>
      </c>
      <c r="B106" s="109" t="s">
        <v>685</v>
      </c>
      <c r="C106" s="109">
        <v>15</v>
      </c>
      <c r="D106" s="109">
        <v>0.65043257172307156</v>
      </c>
      <c r="E106" s="109" t="s">
        <v>685</v>
      </c>
      <c r="F106" s="109">
        <v>15</v>
      </c>
      <c r="G106" s="109">
        <v>0.65043258666992188</v>
      </c>
      <c r="H106" s="109">
        <v>55.626396179199219</v>
      </c>
      <c r="I106" s="109">
        <v>40.626396179199219</v>
      </c>
    </row>
    <row r="107" spans="1:9" ht="15" customHeight="1" x14ac:dyDescent="0.2">
      <c r="A107" s="109">
        <v>106</v>
      </c>
      <c r="B107" s="109" t="s">
        <v>686</v>
      </c>
      <c r="C107" s="109">
        <v>14</v>
      </c>
      <c r="D107" s="109">
        <v>3.080996392372445</v>
      </c>
      <c r="E107" s="109" t="s">
        <v>686</v>
      </c>
      <c r="F107" s="109">
        <v>14</v>
      </c>
      <c r="G107" s="109">
        <v>3.0809965133666992</v>
      </c>
      <c r="H107" s="109">
        <v>80.522071838378906</v>
      </c>
      <c r="I107" s="109">
        <v>66.522071838378906</v>
      </c>
    </row>
    <row r="108" spans="1:9" ht="15" customHeight="1" x14ac:dyDescent="0.2">
      <c r="A108" s="109">
        <v>107</v>
      </c>
      <c r="B108" s="109" t="s">
        <v>687</v>
      </c>
      <c r="C108" s="109">
        <v>9</v>
      </c>
      <c r="D108" s="109">
        <v>1.8200700910496479</v>
      </c>
      <c r="E108" s="109" t="s">
        <v>687</v>
      </c>
      <c r="F108" s="109">
        <v>9</v>
      </c>
      <c r="G108" s="109">
        <v>1.8200700283050539</v>
      </c>
      <c r="H108" s="109">
        <v>79.875106811523438</v>
      </c>
      <c r="I108" s="109">
        <v>70.875106811523438</v>
      </c>
    </row>
    <row r="109" spans="1:9" ht="15" customHeight="1" x14ac:dyDescent="0.2">
      <c r="A109" s="109">
        <v>108</v>
      </c>
      <c r="B109" s="109" t="s">
        <v>688</v>
      </c>
      <c r="C109" s="109">
        <v>16</v>
      </c>
      <c r="D109" s="109">
        <v>1.426387218690947</v>
      </c>
      <c r="E109" s="109" t="s">
        <v>688</v>
      </c>
      <c r="F109" s="109">
        <v>16</v>
      </c>
      <c r="G109" s="109">
        <v>1.4263871908187871</v>
      </c>
      <c r="H109" s="109">
        <v>79.589942932128906</v>
      </c>
      <c r="I109" s="109">
        <v>63.589942932128913</v>
      </c>
    </row>
    <row r="110" spans="1:9" ht="15" customHeight="1" x14ac:dyDescent="0.2">
      <c r="A110" s="109">
        <v>109</v>
      </c>
      <c r="B110" s="109" t="s">
        <v>689</v>
      </c>
      <c r="C110" s="109">
        <v>16</v>
      </c>
      <c r="D110" s="109">
        <v>2.3335694897783879</v>
      </c>
      <c r="E110" s="109" t="s">
        <v>689</v>
      </c>
      <c r="F110" s="109">
        <v>16</v>
      </c>
      <c r="G110" s="109">
        <v>2.3335695266723628</v>
      </c>
      <c r="H110" s="109">
        <v>79.184173583984375</v>
      </c>
      <c r="I110" s="109">
        <v>63.184169769287109</v>
      </c>
    </row>
    <row r="111" spans="1:9" ht="15" customHeight="1" x14ac:dyDescent="0.2">
      <c r="A111" s="109">
        <v>110</v>
      </c>
      <c r="B111" s="109" t="s">
        <v>690</v>
      </c>
      <c r="C111" s="109">
        <v>16</v>
      </c>
      <c r="D111" s="109">
        <v>1.9455921662944511</v>
      </c>
      <c r="E111" s="109" t="s">
        <v>690</v>
      </c>
      <c r="F111" s="109">
        <v>16</v>
      </c>
      <c r="G111" s="109">
        <v>1.945592045783997</v>
      </c>
      <c r="H111" s="109">
        <v>78.521385192871094</v>
      </c>
      <c r="I111" s="109">
        <v>62.521385192871087</v>
      </c>
    </row>
    <row r="112" spans="1:9" ht="15" customHeight="1" x14ac:dyDescent="0.2">
      <c r="A112" s="109">
        <v>111</v>
      </c>
      <c r="B112" s="109" t="s">
        <v>691</v>
      </c>
      <c r="C112" s="109">
        <v>16</v>
      </c>
      <c r="D112" s="109">
        <v>1.671725820305789</v>
      </c>
      <c r="E112" s="109" t="s">
        <v>691</v>
      </c>
      <c r="F112" s="109">
        <v>16</v>
      </c>
      <c r="G112" s="109">
        <v>1.671725869178772</v>
      </c>
      <c r="H112" s="109">
        <v>77.974578857421875</v>
      </c>
      <c r="I112" s="109">
        <v>61.974575042724609</v>
      </c>
    </row>
    <row r="113" spans="1:9" ht="15" customHeight="1" x14ac:dyDescent="0.2">
      <c r="A113" s="109">
        <v>112</v>
      </c>
      <c r="B113" s="109" t="s">
        <v>692</v>
      </c>
      <c r="C113" s="109">
        <v>9</v>
      </c>
      <c r="D113" s="109">
        <v>1.757309053427246</v>
      </c>
      <c r="E113" s="109" t="s">
        <v>692</v>
      </c>
      <c r="F113" s="109">
        <v>9</v>
      </c>
      <c r="G113" s="109">
        <v>1.7573090791702271</v>
      </c>
      <c r="H113" s="109">
        <v>76.269546508789063</v>
      </c>
      <c r="I113" s="109">
        <v>67.269546508789063</v>
      </c>
    </row>
    <row r="114" spans="1:9" ht="15" customHeight="1" x14ac:dyDescent="0.2">
      <c r="A114" s="109">
        <v>113</v>
      </c>
      <c r="B114" s="109" t="s">
        <v>693</v>
      </c>
      <c r="C114" s="109">
        <v>13</v>
      </c>
      <c r="D114" s="109">
        <v>0.87294897783885927</v>
      </c>
      <c r="E114" s="109" t="s">
        <v>693</v>
      </c>
      <c r="F114" s="109">
        <v>13</v>
      </c>
      <c r="G114" s="109">
        <v>0.87294894456863403</v>
      </c>
      <c r="H114" s="109">
        <v>75.986602783203125</v>
      </c>
      <c r="I114" s="109">
        <v>62.986598968505859</v>
      </c>
    </row>
    <row r="115" spans="1:9" ht="15" customHeight="1" x14ac:dyDescent="0.2">
      <c r="A115" s="109">
        <v>114</v>
      </c>
      <c r="B115" s="109" t="s">
        <v>694</v>
      </c>
      <c r="C115" s="109">
        <v>9</v>
      </c>
      <c r="D115" s="109">
        <v>1.8257756399244121</v>
      </c>
      <c r="E115" s="109" t="s">
        <v>694</v>
      </c>
      <c r="F115" s="109">
        <v>9</v>
      </c>
      <c r="G115" s="109">
        <v>1.825775742530823</v>
      </c>
      <c r="H115" s="109">
        <v>75.785812377929688</v>
      </c>
      <c r="I115" s="109">
        <v>66.785812377929688</v>
      </c>
    </row>
    <row r="116" spans="1:9" ht="15" customHeight="1" x14ac:dyDescent="0.2">
      <c r="A116" s="109">
        <v>115</v>
      </c>
      <c r="B116" s="109" t="s">
        <v>695</v>
      </c>
      <c r="C116" s="109">
        <v>13</v>
      </c>
      <c r="D116" s="109">
        <v>1.723075760178663</v>
      </c>
      <c r="E116" s="109" t="s">
        <v>695</v>
      </c>
      <c r="F116" s="109">
        <v>13</v>
      </c>
      <c r="G116" s="109">
        <v>1.723075747489929</v>
      </c>
      <c r="H116" s="109">
        <v>70.184761047363281</v>
      </c>
      <c r="I116" s="109">
        <v>57.184761047363281</v>
      </c>
    </row>
    <row r="117" spans="1:9" ht="15" customHeight="1" x14ac:dyDescent="0.2">
      <c r="A117" s="109">
        <v>116</v>
      </c>
      <c r="B117" s="109" t="s">
        <v>696</v>
      </c>
      <c r="C117" s="109">
        <v>15</v>
      </c>
      <c r="D117" s="109">
        <v>0.78166019584263868</v>
      </c>
      <c r="E117" s="109" t="s">
        <v>696</v>
      </c>
      <c r="F117" s="109">
        <v>15</v>
      </c>
      <c r="G117" s="109">
        <v>0.78166019916534424</v>
      </c>
      <c r="H117" s="109">
        <v>70.167701721191406</v>
      </c>
      <c r="I117" s="109">
        <v>55.167701721191413</v>
      </c>
    </row>
    <row r="118" spans="1:9" ht="15" customHeight="1" x14ac:dyDescent="0.2">
      <c r="A118" s="109">
        <v>117</v>
      </c>
      <c r="B118" s="109" t="s">
        <v>697</v>
      </c>
      <c r="C118" s="109">
        <v>8</v>
      </c>
      <c r="D118" s="109">
        <v>1.631786978182443</v>
      </c>
      <c r="E118" s="109" t="s">
        <v>697</v>
      </c>
      <c r="F118" s="109">
        <v>8</v>
      </c>
      <c r="G118" s="109">
        <v>1.6317869424819951</v>
      </c>
      <c r="H118" s="109">
        <v>73.715301513671875</v>
      </c>
      <c r="I118" s="109">
        <v>65.715301513671875</v>
      </c>
    </row>
    <row r="119" spans="1:9" ht="15" customHeight="1" x14ac:dyDescent="0.2">
      <c r="A119" s="109">
        <v>118</v>
      </c>
      <c r="B119" s="109" t="s">
        <v>698</v>
      </c>
      <c r="C119" s="109">
        <v>16</v>
      </c>
      <c r="D119" s="109">
        <v>1.962708812918742</v>
      </c>
      <c r="E119" s="109" t="s">
        <v>698</v>
      </c>
      <c r="F119" s="109">
        <v>16</v>
      </c>
      <c r="G119" s="109">
        <v>1.962708711624146</v>
      </c>
      <c r="H119" s="109">
        <v>74.005424499511719</v>
      </c>
      <c r="I119" s="109">
        <v>58.005420684814453</v>
      </c>
    </row>
    <row r="120" spans="1:9" ht="15" customHeight="1" x14ac:dyDescent="0.2">
      <c r="A120" s="109">
        <v>119</v>
      </c>
      <c r="B120" s="109" t="s">
        <v>699</v>
      </c>
      <c r="C120" s="109">
        <v>8</v>
      </c>
      <c r="D120" s="109">
        <v>2.196636316784057</v>
      </c>
      <c r="E120" s="109" t="s">
        <v>699</v>
      </c>
      <c r="F120" s="109">
        <v>8</v>
      </c>
      <c r="G120" s="109">
        <v>2.196636438369751</v>
      </c>
      <c r="H120" s="109">
        <v>75.141647338867188</v>
      </c>
      <c r="I120" s="109">
        <v>67.141647338867188</v>
      </c>
    </row>
    <row r="121" spans="1:9" ht="15" customHeight="1" x14ac:dyDescent="0.2">
      <c r="A121" s="109">
        <v>120</v>
      </c>
      <c r="B121" s="109" t="s">
        <v>700</v>
      </c>
      <c r="C121" s="109">
        <v>13</v>
      </c>
      <c r="D121" s="109">
        <v>1.745897955677719</v>
      </c>
      <c r="E121" s="109" t="s">
        <v>700</v>
      </c>
      <c r="F121" s="109">
        <v>13</v>
      </c>
      <c r="G121" s="109">
        <v>1.7458978891372681</v>
      </c>
      <c r="H121" s="109">
        <v>76.958366394042969</v>
      </c>
      <c r="I121" s="109">
        <v>63.958366394042969</v>
      </c>
    </row>
    <row r="122" spans="1:9" ht="15" customHeight="1" x14ac:dyDescent="0.2">
      <c r="A122" s="109">
        <v>121</v>
      </c>
      <c r="B122" s="109" t="s">
        <v>701</v>
      </c>
      <c r="C122" s="109">
        <v>12</v>
      </c>
      <c r="D122" s="109">
        <v>1.631786978182443</v>
      </c>
      <c r="E122" s="109" t="s">
        <v>701</v>
      </c>
      <c r="F122" s="109">
        <v>12</v>
      </c>
      <c r="G122" s="109">
        <v>1.6317869424819951</v>
      </c>
      <c r="H122" s="109">
        <v>78.327003479003906</v>
      </c>
      <c r="I122" s="109">
        <v>66.327003479003906</v>
      </c>
    </row>
    <row r="123" spans="1:9" ht="15" customHeight="1" x14ac:dyDescent="0.2">
      <c r="A123" s="109">
        <v>122</v>
      </c>
      <c r="B123" s="109" t="s">
        <v>702</v>
      </c>
      <c r="C123" s="109">
        <v>8</v>
      </c>
      <c r="D123" s="109">
        <v>1.5119704518124031</v>
      </c>
      <c r="E123" s="109" t="s">
        <v>702</v>
      </c>
      <c r="F123" s="109">
        <v>8</v>
      </c>
      <c r="G123" s="109">
        <v>1.511970520019531</v>
      </c>
      <c r="H123" s="109">
        <v>78.017448425292969</v>
      </c>
      <c r="I123" s="109">
        <v>70.017448425292969</v>
      </c>
    </row>
    <row r="124" spans="1:9" ht="15" customHeight="1" x14ac:dyDescent="0.2">
      <c r="A124" s="109">
        <v>123</v>
      </c>
      <c r="B124" s="109" t="s">
        <v>703</v>
      </c>
      <c r="C124" s="109">
        <v>15</v>
      </c>
      <c r="D124" s="109">
        <v>2.327863940903625</v>
      </c>
      <c r="E124" s="109" t="s">
        <v>703</v>
      </c>
      <c r="F124" s="109">
        <v>15</v>
      </c>
      <c r="G124" s="109">
        <v>2.3278639316558838</v>
      </c>
      <c r="H124" s="109">
        <v>77.231590270996094</v>
      </c>
      <c r="I124" s="109">
        <v>62.231586456298828</v>
      </c>
    </row>
    <row r="125" spans="1:9" ht="15" customHeight="1" x14ac:dyDescent="0.2">
      <c r="A125" s="109">
        <v>124</v>
      </c>
      <c r="B125" s="109" t="s">
        <v>704</v>
      </c>
      <c r="C125" s="109">
        <v>16</v>
      </c>
      <c r="D125" s="109">
        <v>2.3620972341522068</v>
      </c>
      <c r="E125" s="109" t="s">
        <v>704</v>
      </c>
      <c r="F125" s="109">
        <v>16</v>
      </c>
      <c r="G125" s="109">
        <v>2.3620972633361821</v>
      </c>
      <c r="H125" s="109">
        <v>76.427032470703125</v>
      </c>
      <c r="I125" s="109">
        <v>60.427032470703118</v>
      </c>
    </row>
    <row r="126" spans="1:9" ht="15" customHeight="1" x14ac:dyDescent="0.2">
      <c r="A126" s="109">
        <v>125</v>
      </c>
      <c r="B126" s="109" t="s">
        <v>705</v>
      </c>
      <c r="C126" s="109">
        <v>14</v>
      </c>
      <c r="D126" s="109">
        <v>3.2008129187424839</v>
      </c>
      <c r="E126" s="109" t="s">
        <v>705</v>
      </c>
      <c r="F126" s="109">
        <v>14</v>
      </c>
      <c r="G126" s="109">
        <v>3.2008130550384521</v>
      </c>
      <c r="H126" s="109">
        <v>75.746559143066406</v>
      </c>
      <c r="I126" s="109">
        <v>61.746562957763672</v>
      </c>
    </row>
    <row r="127" spans="1:9" ht="15" customHeight="1" x14ac:dyDescent="0.2">
      <c r="A127" s="109">
        <v>126</v>
      </c>
      <c r="B127" s="109" t="s">
        <v>706</v>
      </c>
      <c r="C127" s="109">
        <v>13</v>
      </c>
      <c r="D127" s="109">
        <v>3.4404459714825628</v>
      </c>
      <c r="E127" s="109" t="s">
        <v>706</v>
      </c>
      <c r="F127" s="109">
        <v>13</v>
      </c>
      <c r="G127" s="109">
        <v>3.4404458999633789</v>
      </c>
      <c r="H127" s="109">
        <v>74.660255432128906</v>
      </c>
      <c r="I127" s="109">
        <v>61.660255432128913</v>
      </c>
    </row>
    <row r="128" spans="1:9" ht="15" customHeight="1" x14ac:dyDescent="0.2">
      <c r="A128" s="109">
        <v>127</v>
      </c>
      <c r="B128" s="109" t="s">
        <v>707</v>
      </c>
      <c r="C128" s="109">
        <v>13</v>
      </c>
      <c r="D128" s="109">
        <v>3.7257234152207519</v>
      </c>
      <c r="E128" s="109" t="s">
        <v>707</v>
      </c>
      <c r="F128" s="109">
        <v>13</v>
      </c>
      <c r="G128" s="109">
        <v>3.7257232666015621</v>
      </c>
      <c r="H128" s="109">
        <v>74.037254333496094</v>
      </c>
      <c r="I128" s="109">
        <v>61.037258148193359</v>
      </c>
    </row>
    <row r="129" spans="1:9" ht="15" customHeight="1" x14ac:dyDescent="0.2">
      <c r="A129" s="109">
        <v>128</v>
      </c>
      <c r="B129" s="109" t="s">
        <v>708</v>
      </c>
      <c r="C129" s="109">
        <v>11</v>
      </c>
      <c r="D129" s="109">
        <v>2.738663459886618</v>
      </c>
      <c r="E129" s="109" t="s">
        <v>708</v>
      </c>
      <c r="F129" s="109">
        <v>11</v>
      </c>
      <c r="G129" s="109">
        <v>2.7386636734008789</v>
      </c>
      <c r="H129" s="109">
        <v>73.7801513671875</v>
      </c>
      <c r="I129" s="109">
        <v>62.780147552490227</v>
      </c>
    </row>
    <row r="130" spans="1:9" ht="15" customHeight="1" x14ac:dyDescent="0.2">
      <c r="A130" s="109">
        <v>129</v>
      </c>
      <c r="B130" s="109" t="s">
        <v>709</v>
      </c>
      <c r="C130" s="109">
        <v>15</v>
      </c>
      <c r="D130" s="109">
        <v>2.1224641814121279</v>
      </c>
      <c r="E130" s="109" t="s">
        <v>709</v>
      </c>
      <c r="F130" s="109">
        <v>15</v>
      </c>
      <c r="G130" s="109">
        <v>2.1224641799926758</v>
      </c>
      <c r="H130" s="109">
        <v>73.588417053222656</v>
      </c>
      <c r="I130" s="109">
        <v>58.588417053222663</v>
      </c>
    </row>
    <row r="131" spans="1:9" ht="15" customHeight="1" x14ac:dyDescent="0.2">
      <c r="A131" s="109">
        <v>130</v>
      </c>
      <c r="B131" s="109" t="s">
        <v>710</v>
      </c>
      <c r="C131" s="109">
        <v>10</v>
      </c>
      <c r="D131" s="109">
        <v>0.89577117333791445</v>
      </c>
      <c r="E131" s="109" t="s">
        <v>710</v>
      </c>
      <c r="F131" s="109">
        <v>10</v>
      </c>
      <c r="G131" s="109">
        <v>0.89577120542526245</v>
      </c>
      <c r="H131" s="109">
        <v>73.418052673339844</v>
      </c>
      <c r="I131" s="109">
        <v>63.418048858642578</v>
      </c>
    </row>
    <row r="132" spans="1:9" ht="15" customHeight="1" x14ac:dyDescent="0.2">
      <c r="A132" s="109">
        <v>131</v>
      </c>
      <c r="B132" s="109" t="s">
        <v>711</v>
      </c>
      <c r="C132" s="109">
        <v>10</v>
      </c>
      <c r="D132" s="109">
        <v>1.044115444081773</v>
      </c>
      <c r="E132" s="109" t="s">
        <v>711</v>
      </c>
      <c r="F132" s="109">
        <v>10</v>
      </c>
      <c r="G132" s="109">
        <v>1.044115543365479</v>
      </c>
      <c r="H132" s="109">
        <v>73.321693420410156</v>
      </c>
      <c r="I132" s="109">
        <v>63.321697235107422</v>
      </c>
    </row>
    <row r="133" spans="1:9" ht="15" customHeight="1" x14ac:dyDescent="0.2">
      <c r="A133" s="109">
        <v>132</v>
      </c>
      <c r="B133" s="109" t="s">
        <v>712</v>
      </c>
      <c r="C133" s="109">
        <v>4</v>
      </c>
      <c r="D133" s="109">
        <v>1.4720316096890571</v>
      </c>
      <c r="E133" s="109" t="s">
        <v>712</v>
      </c>
      <c r="F133" s="109">
        <v>4</v>
      </c>
      <c r="G133" s="109">
        <v>1.4720315933227539</v>
      </c>
      <c r="H133" s="109">
        <v>73.208839416503906</v>
      </c>
      <c r="I133" s="109">
        <v>69.208839416503906</v>
      </c>
    </row>
    <row r="134" spans="1:9" ht="15" customHeight="1" x14ac:dyDescent="0.2">
      <c r="A134" s="109">
        <v>133</v>
      </c>
      <c r="B134" s="109" t="s">
        <v>713</v>
      </c>
      <c r="C134" s="109">
        <v>13</v>
      </c>
      <c r="D134" s="109">
        <v>1.1639319704518121</v>
      </c>
      <c r="E134" s="109" t="s">
        <v>713</v>
      </c>
      <c r="F134" s="109">
        <v>13</v>
      </c>
      <c r="G134" s="109">
        <v>1.1639319658279419</v>
      </c>
      <c r="H134" s="109">
        <v>72.599723815917969</v>
      </c>
      <c r="I134" s="109">
        <v>59.599723815917969</v>
      </c>
    </row>
    <row r="135" spans="1:9" ht="15" customHeight="1" x14ac:dyDescent="0.2">
      <c r="A135" s="109">
        <v>134</v>
      </c>
      <c r="B135" s="109" t="s">
        <v>714</v>
      </c>
      <c r="C135" s="109">
        <v>11</v>
      </c>
      <c r="D135" s="109">
        <v>0.83871568459027657</v>
      </c>
      <c r="E135" s="109" t="s">
        <v>714</v>
      </c>
      <c r="F135" s="109">
        <v>11</v>
      </c>
      <c r="G135" s="109">
        <v>0.83871573209762573</v>
      </c>
      <c r="H135" s="109">
        <v>72.642173767089844</v>
      </c>
      <c r="I135" s="109">
        <v>61.642173767089837</v>
      </c>
    </row>
    <row r="136" spans="1:9" ht="15" customHeight="1" x14ac:dyDescent="0.2">
      <c r="A136" s="109">
        <v>135</v>
      </c>
      <c r="B136" s="109" t="s">
        <v>715</v>
      </c>
      <c r="C136" s="109">
        <v>12</v>
      </c>
      <c r="D136" s="109">
        <v>1.0327043463322449</v>
      </c>
      <c r="E136" s="109" t="s">
        <v>715</v>
      </c>
      <c r="F136" s="109">
        <v>12</v>
      </c>
      <c r="G136" s="109">
        <v>1.03270435333252</v>
      </c>
      <c r="H136" s="109">
        <v>73.467079162597656</v>
      </c>
      <c r="I136" s="109">
        <v>61.467079162597663</v>
      </c>
    </row>
    <row r="137" spans="1:9" ht="15" customHeight="1" x14ac:dyDescent="0.2">
      <c r="A137" s="109">
        <v>136</v>
      </c>
      <c r="B137" s="109" t="s">
        <v>716</v>
      </c>
      <c r="C137" s="109">
        <v>5</v>
      </c>
      <c r="D137" s="109">
        <v>3.320629445112524</v>
      </c>
      <c r="E137" s="109" t="s">
        <v>716</v>
      </c>
      <c r="F137" s="109">
        <v>5</v>
      </c>
      <c r="G137" s="109">
        <v>3.3206295967102051</v>
      </c>
      <c r="H137" s="109">
        <v>73.135505676269531</v>
      </c>
      <c r="I137" s="109">
        <v>68.135505676269531</v>
      </c>
    </row>
    <row r="138" spans="1:9" ht="15" customHeight="1" x14ac:dyDescent="0.2">
      <c r="A138" s="109">
        <v>137</v>
      </c>
      <c r="B138" s="109" t="s">
        <v>717</v>
      </c>
      <c r="C138" s="109">
        <v>15</v>
      </c>
      <c r="D138" s="109">
        <v>3.8512454904655562</v>
      </c>
      <c r="E138" s="109" t="s">
        <v>717</v>
      </c>
      <c r="F138" s="109">
        <v>15</v>
      </c>
      <c r="G138" s="109">
        <v>3.851245641708374</v>
      </c>
      <c r="H138" s="109">
        <v>71.964431762695313</v>
      </c>
      <c r="I138" s="109">
        <v>56.964431762695313</v>
      </c>
    </row>
    <row r="139" spans="1:9" ht="15" customHeight="1" x14ac:dyDescent="0.2">
      <c r="A139" s="109">
        <v>138</v>
      </c>
      <c r="B139" s="109" t="s">
        <v>718</v>
      </c>
      <c r="C139" s="109">
        <v>15</v>
      </c>
      <c r="D139" s="109">
        <v>3.3377460917368151</v>
      </c>
      <c r="E139" s="109" t="s">
        <v>718</v>
      </c>
      <c r="F139" s="109">
        <v>15</v>
      </c>
      <c r="G139" s="109">
        <v>3.337746143341064</v>
      </c>
      <c r="H139" s="109">
        <v>71.196968078613281</v>
      </c>
      <c r="I139" s="109">
        <v>56.196971893310547</v>
      </c>
    </row>
    <row r="140" spans="1:9" ht="15" customHeight="1" x14ac:dyDescent="0.2">
      <c r="A140" s="109">
        <v>139</v>
      </c>
      <c r="B140" s="109" t="s">
        <v>719</v>
      </c>
      <c r="C140" s="109">
        <v>18</v>
      </c>
      <c r="D140" s="109">
        <v>2.567496993643704</v>
      </c>
      <c r="E140" s="109" t="s">
        <v>719</v>
      </c>
      <c r="F140" s="109">
        <v>18</v>
      </c>
      <c r="G140" s="109">
        <v>2.5674970149993901</v>
      </c>
      <c r="H140" s="109">
        <v>69.155181884765625</v>
      </c>
      <c r="I140" s="109">
        <v>51.155178070068359</v>
      </c>
    </row>
    <row r="141" spans="1:9" ht="15" customHeight="1" x14ac:dyDescent="0.2">
      <c r="A141" s="109">
        <v>140</v>
      </c>
      <c r="B141" s="109" t="s">
        <v>720</v>
      </c>
      <c r="C141" s="109">
        <v>19</v>
      </c>
      <c r="D141" s="109">
        <v>2.225164061157876</v>
      </c>
      <c r="E141" s="109" t="s">
        <v>720</v>
      </c>
      <c r="F141" s="109">
        <v>19</v>
      </c>
      <c r="G141" s="109">
        <v>2.2251639366149898</v>
      </c>
      <c r="H141" s="109">
        <v>68.100906372070313</v>
      </c>
      <c r="I141" s="109">
        <v>49.100910186767578</v>
      </c>
    </row>
    <row r="142" spans="1:9" ht="15" customHeight="1" x14ac:dyDescent="0.2">
      <c r="A142" s="109">
        <v>141</v>
      </c>
      <c r="B142" s="109" t="s">
        <v>721</v>
      </c>
      <c r="C142" s="109">
        <v>17</v>
      </c>
      <c r="D142" s="109">
        <v>1.7687201511767741</v>
      </c>
      <c r="E142" s="109" t="s">
        <v>721</v>
      </c>
      <c r="F142" s="109">
        <v>17</v>
      </c>
      <c r="G142" s="109">
        <v>1.768720149993896</v>
      </c>
      <c r="H142" s="109">
        <v>67.140464782714844</v>
      </c>
      <c r="I142" s="109">
        <v>50.140464782714837</v>
      </c>
    </row>
    <row r="143" spans="1:9" ht="15" customHeight="1" x14ac:dyDescent="0.2">
      <c r="A143" s="109">
        <v>142</v>
      </c>
      <c r="B143" s="109" t="s">
        <v>722</v>
      </c>
      <c r="C143" s="109">
        <v>15</v>
      </c>
      <c r="D143" s="109">
        <v>3.006824257000515</v>
      </c>
      <c r="E143" s="109" t="s">
        <v>722</v>
      </c>
      <c r="F143" s="109">
        <v>15</v>
      </c>
      <c r="G143" s="109">
        <v>3.006824254989624</v>
      </c>
      <c r="H143" s="109">
        <v>66.776802062988281</v>
      </c>
      <c r="I143" s="109">
        <v>51.776802062988281</v>
      </c>
    </row>
    <row r="144" spans="1:9" ht="15" customHeight="1" x14ac:dyDescent="0.2">
      <c r="A144" s="109">
        <v>143</v>
      </c>
      <c r="B144" s="109" t="s">
        <v>723</v>
      </c>
      <c r="C144" s="109">
        <v>15</v>
      </c>
      <c r="D144" s="109">
        <v>2.9326521216285859</v>
      </c>
      <c r="E144" s="109" t="s">
        <v>723</v>
      </c>
      <c r="F144" s="109">
        <v>15</v>
      </c>
      <c r="G144" s="109">
        <v>2.9326522350311279</v>
      </c>
      <c r="H144" s="109">
        <v>65.783309936523438</v>
      </c>
      <c r="I144" s="109">
        <v>50.783309936523438</v>
      </c>
    </row>
    <row r="145" spans="1:9" ht="15" customHeight="1" x14ac:dyDescent="0.2">
      <c r="A145" s="109">
        <v>144</v>
      </c>
      <c r="B145" s="109" t="s">
        <v>724</v>
      </c>
      <c r="C145" s="109">
        <v>15</v>
      </c>
      <c r="D145" s="109">
        <v>1.1525208727022851</v>
      </c>
      <c r="E145" s="109" t="s">
        <v>724</v>
      </c>
      <c r="F145" s="109">
        <v>15</v>
      </c>
      <c r="G145" s="109">
        <v>1.152520895004272</v>
      </c>
      <c r="H145" s="109">
        <v>65.669036865234375</v>
      </c>
      <c r="I145" s="109">
        <v>50.669036865234382</v>
      </c>
    </row>
    <row r="146" spans="1:9" ht="15" customHeight="1" x14ac:dyDescent="0.2">
      <c r="A146" s="109">
        <v>145</v>
      </c>
      <c r="B146" s="109" t="s">
        <v>725</v>
      </c>
      <c r="C146" s="109">
        <v>13</v>
      </c>
      <c r="D146" s="109">
        <v>1.614670331558151</v>
      </c>
      <c r="E146" s="109" t="s">
        <v>725</v>
      </c>
      <c r="F146" s="109">
        <v>13</v>
      </c>
      <c r="G146" s="109">
        <v>1.6146702766418459</v>
      </c>
      <c r="H146" s="109">
        <v>65.553962707519531</v>
      </c>
      <c r="I146" s="109">
        <v>52.553966522216797</v>
      </c>
    </row>
    <row r="147" spans="1:9" ht="15" customHeight="1" x14ac:dyDescent="0.2">
      <c r="A147" s="109">
        <v>146</v>
      </c>
      <c r="B147" s="109" t="s">
        <v>726</v>
      </c>
      <c r="C147" s="109">
        <v>11</v>
      </c>
      <c r="D147" s="109">
        <v>2.1795196701597659</v>
      </c>
      <c r="E147" s="109" t="s">
        <v>726</v>
      </c>
      <c r="F147" s="109">
        <v>11</v>
      </c>
      <c r="G147" s="109">
        <v>2.1795196533203121</v>
      </c>
      <c r="H147" s="109">
        <v>64.804153442382813</v>
      </c>
      <c r="I147" s="109">
        <v>53.804157257080078</v>
      </c>
    </row>
    <row r="148" spans="1:9" ht="15" customHeight="1" x14ac:dyDescent="0.2">
      <c r="A148" s="109">
        <v>147</v>
      </c>
      <c r="B148" s="109" t="s">
        <v>727</v>
      </c>
      <c r="C148" s="109">
        <v>15</v>
      </c>
      <c r="D148" s="109">
        <v>1.6203758804329149</v>
      </c>
      <c r="E148" s="109" t="s">
        <v>727</v>
      </c>
      <c r="F148" s="109">
        <v>15</v>
      </c>
      <c r="G148" s="109">
        <v>1.620375871658325</v>
      </c>
      <c r="H148" s="109">
        <v>63.964431762695313</v>
      </c>
      <c r="I148" s="109">
        <v>48.964431762695313</v>
      </c>
    </row>
    <row r="149" spans="1:9" ht="15" customHeight="1" x14ac:dyDescent="0.2">
      <c r="A149" s="109">
        <v>148</v>
      </c>
      <c r="B149" s="109" t="s">
        <v>728</v>
      </c>
      <c r="C149" s="109">
        <v>10</v>
      </c>
      <c r="D149" s="109">
        <v>1.494853805188112</v>
      </c>
      <c r="E149" s="109" t="s">
        <v>728</v>
      </c>
      <c r="F149" s="109">
        <v>10</v>
      </c>
      <c r="G149" s="109">
        <v>1.4948538541793821</v>
      </c>
      <c r="H149" s="109">
        <v>63.866130828857422</v>
      </c>
      <c r="I149" s="109">
        <v>53.866130828857422</v>
      </c>
    </row>
    <row r="150" spans="1:9" ht="15" customHeight="1" x14ac:dyDescent="0.2">
      <c r="A150" s="109">
        <v>149</v>
      </c>
      <c r="B150" s="109" t="s">
        <v>729</v>
      </c>
      <c r="C150" s="109">
        <v>6</v>
      </c>
      <c r="D150" s="109">
        <v>0.69037141384641809</v>
      </c>
      <c r="E150" s="109" t="s">
        <v>729</v>
      </c>
      <c r="F150" s="109">
        <v>6</v>
      </c>
      <c r="G150" s="109">
        <v>0.69037139415740967</v>
      </c>
      <c r="H150" s="109">
        <v>64.1099853515625</v>
      </c>
      <c r="I150" s="109">
        <v>58.109989166259773</v>
      </c>
    </row>
    <row r="151" spans="1:9" ht="15" customHeight="1" x14ac:dyDescent="0.2">
      <c r="A151" s="109">
        <v>150</v>
      </c>
      <c r="B151" s="109" t="s">
        <v>730</v>
      </c>
      <c r="C151" s="109">
        <v>9</v>
      </c>
      <c r="D151" s="109">
        <v>0.37086067685964608</v>
      </c>
      <c r="E151" s="109" t="s">
        <v>730</v>
      </c>
      <c r="F151" s="109">
        <v>9</v>
      </c>
      <c r="G151" s="109">
        <v>0.37086069583892822</v>
      </c>
      <c r="H151" s="109">
        <v>64.200897216796875</v>
      </c>
      <c r="I151" s="109">
        <v>55.200893402099609</v>
      </c>
    </row>
    <row r="152" spans="1:9" ht="15" customHeight="1" x14ac:dyDescent="0.2">
      <c r="A152" s="109">
        <v>151</v>
      </c>
      <c r="B152" s="109" t="s">
        <v>731</v>
      </c>
      <c r="C152" s="109">
        <v>11</v>
      </c>
      <c r="D152" s="109">
        <v>0.47926610548015802</v>
      </c>
      <c r="E152" s="109" t="s">
        <v>731</v>
      </c>
      <c r="F152" s="109">
        <v>11</v>
      </c>
      <c r="G152" s="109">
        <v>0.47926610708236689</v>
      </c>
      <c r="H152" s="109">
        <v>64.31103515625</v>
      </c>
      <c r="I152" s="109">
        <v>53.311038970947273</v>
      </c>
    </row>
    <row r="153" spans="1:9" ht="15" customHeight="1" x14ac:dyDescent="0.2">
      <c r="A153" s="109">
        <v>152</v>
      </c>
      <c r="B153" s="109" t="s">
        <v>732</v>
      </c>
      <c r="C153" s="109">
        <v>10</v>
      </c>
      <c r="D153" s="109">
        <v>0.7873657447174025</v>
      </c>
      <c r="E153" s="109" t="s">
        <v>732</v>
      </c>
      <c r="F153" s="109">
        <v>10</v>
      </c>
      <c r="G153" s="109">
        <v>0.78736573457717896</v>
      </c>
      <c r="H153" s="109">
        <v>64.475433349609375</v>
      </c>
      <c r="I153" s="109">
        <v>54.475433349609382</v>
      </c>
    </row>
    <row r="154" spans="1:9" ht="15" customHeight="1" x14ac:dyDescent="0.2">
      <c r="A154" s="109">
        <v>153</v>
      </c>
      <c r="B154" s="109" t="s">
        <v>733</v>
      </c>
      <c r="C154" s="109">
        <v>7</v>
      </c>
      <c r="D154" s="109">
        <v>0.94712111321078851</v>
      </c>
      <c r="E154" s="109" t="s">
        <v>733</v>
      </c>
      <c r="F154" s="109">
        <v>7</v>
      </c>
      <c r="G154" s="109">
        <v>0.94712114334106445</v>
      </c>
      <c r="H154" s="109">
        <v>64.807632446289063</v>
      </c>
      <c r="I154" s="109">
        <v>57.807628631591797</v>
      </c>
    </row>
    <row r="155" spans="1:9" ht="15" customHeight="1" x14ac:dyDescent="0.2">
      <c r="A155" s="109">
        <v>154</v>
      </c>
      <c r="B155" s="109" t="s">
        <v>734</v>
      </c>
      <c r="C155" s="109">
        <v>4</v>
      </c>
      <c r="D155" s="109">
        <v>0.65043257172307156</v>
      </c>
      <c r="E155" s="109" t="s">
        <v>734</v>
      </c>
      <c r="F155" s="109">
        <v>4</v>
      </c>
      <c r="G155" s="109">
        <v>0.65043258666992188</v>
      </c>
      <c r="H155" s="109">
        <v>65.132835388183594</v>
      </c>
      <c r="I155" s="109">
        <v>61.132835388183587</v>
      </c>
    </row>
    <row r="156" spans="1:9" ht="15" customHeight="1" x14ac:dyDescent="0.2">
      <c r="A156" s="109">
        <v>155</v>
      </c>
      <c r="B156" s="109" t="s">
        <v>735</v>
      </c>
      <c r="C156" s="109">
        <v>11</v>
      </c>
      <c r="D156" s="109">
        <v>0.94712111321078851</v>
      </c>
      <c r="E156" s="109" t="s">
        <v>735</v>
      </c>
      <c r="F156" s="109">
        <v>11</v>
      </c>
      <c r="G156" s="109">
        <v>0.94712114334106445</v>
      </c>
      <c r="H156" s="109">
        <v>65.304290771484375</v>
      </c>
      <c r="I156" s="109">
        <v>54.304294586181641</v>
      </c>
    </row>
    <row r="157" spans="1:9" ht="15" customHeight="1" x14ac:dyDescent="0.2">
      <c r="A157" s="109">
        <v>156</v>
      </c>
      <c r="B157" s="109" t="s">
        <v>736</v>
      </c>
      <c r="C157" s="109">
        <v>9</v>
      </c>
      <c r="D157" s="109">
        <v>1.2209874591994501</v>
      </c>
      <c r="E157" s="109" t="s">
        <v>736</v>
      </c>
      <c r="F157" s="109">
        <v>9</v>
      </c>
      <c r="G157" s="109">
        <v>1.2209874391555791</v>
      </c>
      <c r="H157" s="109">
        <v>65.963134765625</v>
      </c>
      <c r="I157" s="109">
        <v>56.963134765625</v>
      </c>
    </row>
    <row r="158" spans="1:9" ht="15" customHeight="1" x14ac:dyDescent="0.2">
      <c r="A158" s="109">
        <v>157</v>
      </c>
      <c r="B158" s="109" t="s">
        <v>737</v>
      </c>
      <c r="C158" s="109">
        <v>10</v>
      </c>
      <c r="D158" s="109">
        <v>0.9128878199622058</v>
      </c>
      <c r="E158" s="109" t="s">
        <v>737</v>
      </c>
      <c r="F158" s="109">
        <v>10</v>
      </c>
      <c r="G158" s="109">
        <v>0.91288787126541138</v>
      </c>
      <c r="H158" s="109">
        <v>66.462318420410156</v>
      </c>
      <c r="I158" s="109">
        <v>56.462314605712891</v>
      </c>
    </row>
    <row r="159" spans="1:9" ht="15" customHeight="1" x14ac:dyDescent="0.2">
      <c r="A159" s="109">
        <v>158</v>
      </c>
      <c r="B159" s="109" t="s">
        <v>738</v>
      </c>
      <c r="C159" s="109">
        <v>11</v>
      </c>
      <c r="D159" s="109">
        <v>0.90147672221267816</v>
      </c>
      <c r="E159" s="109" t="s">
        <v>738</v>
      </c>
      <c r="F159" s="109">
        <v>11</v>
      </c>
      <c r="G159" s="109">
        <v>0.90147668123245239</v>
      </c>
      <c r="H159" s="109">
        <v>66.943428039550781</v>
      </c>
      <c r="I159" s="109">
        <v>55.943424224853523</v>
      </c>
    </row>
    <row r="160" spans="1:9" ht="15" customHeight="1" x14ac:dyDescent="0.2">
      <c r="A160" s="109">
        <v>159</v>
      </c>
      <c r="B160" s="109" t="s">
        <v>739</v>
      </c>
      <c r="C160" s="109">
        <v>8</v>
      </c>
      <c r="D160" s="109">
        <v>0.95282666208555233</v>
      </c>
      <c r="E160" s="109" t="s">
        <v>739</v>
      </c>
      <c r="F160" s="109">
        <v>8</v>
      </c>
      <c r="G160" s="109">
        <v>0.95282661914825439</v>
      </c>
      <c r="H160" s="109">
        <v>67.529144287109375</v>
      </c>
      <c r="I160" s="109">
        <v>59.529148101806641</v>
      </c>
    </row>
    <row r="161" spans="1:9" ht="15" customHeight="1" x14ac:dyDescent="0.2">
      <c r="A161" s="109">
        <v>160</v>
      </c>
      <c r="B161" s="109" t="s">
        <v>740</v>
      </c>
      <c r="C161" s="109">
        <v>12</v>
      </c>
      <c r="D161" s="109">
        <v>0.92429891771173334</v>
      </c>
      <c r="E161" s="109" t="s">
        <v>740</v>
      </c>
      <c r="F161" s="109">
        <v>12</v>
      </c>
      <c r="G161" s="109">
        <v>0.92429894208908081</v>
      </c>
      <c r="H161" s="109">
        <v>68.178543090820313</v>
      </c>
      <c r="I161" s="109">
        <v>56.178546905517578</v>
      </c>
    </row>
    <row r="162" spans="1:9" ht="15" customHeight="1" x14ac:dyDescent="0.2">
      <c r="A162" s="109">
        <v>161</v>
      </c>
      <c r="B162" s="109" t="s">
        <v>741</v>
      </c>
      <c r="C162" s="109">
        <v>10</v>
      </c>
      <c r="D162" s="109">
        <v>1.3065706923209071</v>
      </c>
      <c r="E162" s="109" t="s">
        <v>741</v>
      </c>
      <c r="F162" s="109">
        <v>10</v>
      </c>
      <c r="G162" s="109">
        <v>1.3065706491470339</v>
      </c>
      <c r="H162" s="109">
        <v>68.827720642089844</v>
      </c>
      <c r="I162" s="109">
        <v>58.827720642089837</v>
      </c>
    </row>
    <row r="163" spans="1:9" ht="15" customHeight="1" x14ac:dyDescent="0.2">
      <c r="A163" s="109">
        <v>162</v>
      </c>
      <c r="B163" s="109" t="s">
        <v>742</v>
      </c>
      <c r="C163" s="109">
        <v>6</v>
      </c>
      <c r="D163" s="109">
        <v>1.169637519326576</v>
      </c>
      <c r="E163" s="109" t="s">
        <v>742</v>
      </c>
      <c r="F163" s="109">
        <v>6</v>
      </c>
      <c r="G163" s="109">
        <v>1.1696375608444209</v>
      </c>
      <c r="H163" s="109">
        <v>70.237739562988281</v>
      </c>
      <c r="I163" s="109">
        <v>64.237739562988281</v>
      </c>
    </row>
    <row r="164" spans="1:9" ht="15" customHeight="1" x14ac:dyDescent="0.2">
      <c r="A164" s="109">
        <v>163</v>
      </c>
      <c r="B164" s="109" t="s">
        <v>743</v>
      </c>
      <c r="C164" s="109">
        <v>7</v>
      </c>
      <c r="D164" s="109">
        <v>0.50779384985397691</v>
      </c>
      <c r="E164" s="109" t="s">
        <v>743</v>
      </c>
      <c r="F164" s="109">
        <v>7</v>
      </c>
      <c r="G164" s="109">
        <v>0.5077938437461853</v>
      </c>
      <c r="H164" s="109">
        <v>70.795112609863281</v>
      </c>
      <c r="I164" s="109">
        <v>63.795116424560547</v>
      </c>
    </row>
    <row r="165" spans="1:9" ht="15" customHeight="1" x14ac:dyDescent="0.2">
      <c r="A165" s="109">
        <v>164</v>
      </c>
      <c r="B165" s="109" t="s">
        <v>744</v>
      </c>
      <c r="C165" s="109">
        <v>6</v>
      </c>
      <c r="D165" s="109">
        <v>0.70178251159594573</v>
      </c>
      <c r="E165" s="109" t="s">
        <v>744</v>
      </c>
      <c r="F165" s="109">
        <v>6</v>
      </c>
      <c r="G165" s="109">
        <v>0.7017824649810791</v>
      </c>
      <c r="H165" s="109">
        <v>71.167266845703125</v>
      </c>
      <c r="I165" s="109">
        <v>65.167266845703125</v>
      </c>
    </row>
    <row r="166" spans="1:9" ht="15" customHeight="1" x14ac:dyDescent="0.2">
      <c r="A166" s="109">
        <v>165</v>
      </c>
      <c r="B166" s="109" t="s">
        <v>745</v>
      </c>
      <c r="C166" s="109">
        <v>13</v>
      </c>
      <c r="D166" s="109">
        <v>1.049820992956537</v>
      </c>
      <c r="E166" s="109" t="s">
        <v>745</v>
      </c>
      <c r="F166" s="109">
        <v>13</v>
      </c>
      <c r="G166" s="109">
        <v>1.049821019172668</v>
      </c>
      <c r="H166" s="109">
        <v>72.168159484863281</v>
      </c>
      <c r="I166" s="109">
        <v>59.168163299560547</v>
      </c>
    </row>
    <row r="167" spans="1:9" ht="15" customHeight="1" x14ac:dyDescent="0.2">
      <c r="A167" s="109">
        <v>166</v>
      </c>
      <c r="B167" s="109" t="s">
        <v>746</v>
      </c>
      <c r="C167" s="109">
        <v>9</v>
      </c>
      <c r="D167" s="109">
        <v>1.8885366775468131</v>
      </c>
      <c r="E167" s="109" t="s">
        <v>746</v>
      </c>
      <c r="F167" s="109">
        <v>9</v>
      </c>
      <c r="G167" s="109">
        <v>1.8885365724563601</v>
      </c>
      <c r="H167" s="109">
        <v>63.555484771728523</v>
      </c>
      <c r="I167" s="109">
        <v>54.555484771728523</v>
      </c>
    </row>
    <row r="168" spans="1:9" ht="15" customHeight="1" x14ac:dyDescent="0.2">
      <c r="A168" s="109">
        <v>167</v>
      </c>
      <c r="B168" s="109" t="s">
        <v>747</v>
      </c>
      <c r="C168" s="109">
        <v>10</v>
      </c>
      <c r="D168" s="109">
        <v>2.1395808280364199</v>
      </c>
      <c r="E168" s="109" t="s">
        <v>747</v>
      </c>
      <c r="F168" s="109">
        <v>10</v>
      </c>
      <c r="G168" s="109">
        <v>2.1395809650421138</v>
      </c>
      <c r="H168" s="109">
        <v>63.029460906982422</v>
      </c>
      <c r="I168" s="109">
        <v>53.029460906982422</v>
      </c>
    </row>
    <row r="169" spans="1:9" ht="15" customHeight="1" x14ac:dyDescent="0.2">
      <c r="A169" s="109">
        <v>168</v>
      </c>
      <c r="B169" s="109" t="s">
        <v>748</v>
      </c>
      <c r="C169" s="109">
        <v>10</v>
      </c>
      <c r="D169" s="109">
        <v>1.5633203916852769</v>
      </c>
      <c r="E169" s="109" t="s">
        <v>748</v>
      </c>
      <c r="F169" s="109">
        <v>10</v>
      </c>
      <c r="G169" s="109">
        <v>1.563320398330688</v>
      </c>
      <c r="H169" s="109">
        <v>61.463386535644531</v>
      </c>
      <c r="I169" s="109">
        <v>51.463386535644531</v>
      </c>
    </row>
    <row r="170" spans="1:9" ht="15" customHeight="1" x14ac:dyDescent="0.2">
      <c r="A170" s="109">
        <v>169</v>
      </c>
      <c r="B170" s="109" t="s">
        <v>749</v>
      </c>
      <c r="C170" s="109">
        <v>11</v>
      </c>
      <c r="D170" s="109">
        <v>1.3293928878199619</v>
      </c>
      <c r="E170" s="109" t="s">
        <v>749</v>
      </c>
      <c r="F170" s="109">
        <v>11</v>
      </c>
      <c r="G170" s="109">
        <v>1.3293929100036621</v>
      </c>
      <c r="H170" s="109">
        <v>60.479759216308587</v>
      </c>
      <c r="I170" s="109">
        <v>49.479759216308587</v>
      </c>
    </row>
    <row r="171" spans="1:9" ht="15" customHeight="1" x14ac:dyDescent="0.2">
      <c r="A171" s="109">
        <v>170</v>
      </c>
      <c r="B171" s="109" t="s">
        <v>750</v>
      </c>
      <c r="C171" s="109">
        <v>9</v>
      </c>
      <c r="D171" s="109">
        <v>1.044115444081773</v>
      </c>
      <c r="E171" s="109" t="s">
        <v>750</v>
      </c>
      <c r="F171" s="109">
        <v>9</v>
      </c>
      <c r="G171" s="109">
        <v>1.044115543365479</v>
      </c>
      <c r="H171" s="109">
        <v>59.323188781738281</v>
      </c>
      <c r="I171" s="109">
        <v>50.323188781738281</v>
      </c>
    </row>
    <row r="172" spans="1:9" ht="15" customHeight="1" x14ac:dyDescent="0.2">
      <c r="A172" s="109">
        <v>171</v>
      </c>
      <c r="B172" s="109" t="s">
        <v>751</v>
      </c>
      <c r="C172" s="109">
        <v>13</v>
      </c>
      <c r="D172" s="109">
        <v>0.95853221096031604</v>
      </c>
      <c r="E172" s="109" t="s">
        <v>751</v>
      </c>
      <c r="F172" s="109">
        <v>13</v>
      </c>
      <c r="G172" s="109">
        <v>0.95853221416473389</v>
      </c>
      <c r="H172" s="109">
        <v>58.696113586425781</v>
      </c>
      <c r="I172" s="109">
        <v>45.696113586425781</v>
      </c>
    </row>
    <row r="173" spans="1:9" ht="15" customHeight="1" x14ac:dyDescent="0.2">
      <c r="A173" s="109">
        <v>172</v>
      </c>
      <c r="B173" s="109" t="s">
        <v>752</v>
      </c>
      <c r="C173" s="109">
        <v>13</v>
      </c>
      <c r="D173" s="109">
        <v>1.015587699707954</v>
      </c>
      <c r="E173" s="109" t="s">
        <v>752</v>
      </c>
      <c r="F173" s="109">
        <v>13</v>
      </c>
      <c r="G173" s="109">
        <v>1.015587687492371</v>
      </c>
      <c r="H173" s="109">
        <v>58.206287384033203</v>
      </c>
      <c r="I173" s="109">
        <v>45.206287384033203</v>
      </c>
    </row>
    <row r="174" spans="1:9" ht="15" customHeight="1" x14ac:dyDescent="0.2">
      <c r="A174" s="109">
        <v>173</v>
      </c>
      <c r="B174" s="109" t="s">
        <v>753</v>
      </c>
      <c r="C174" s="109">
        <v>11</v>
      </c>
      <c r="D174" s="109">
        <v>0.76454354921834733</v>
      </c>
      <c r="E174" s="109" t="s">
        <v>753</v>
      </c>
      <c r="F174" s="109">
        <v>11</v>
      </c>
      <c r="G174" s="109">
        <v>0.76454359292984009</v>
      </c>
      <c r="H174" s="109">
        <v>57.000568389892578</v>
      </c>
      <c r="I174" s="109">
        <v>46.000568389892578</v>
      </c>
    </row>
    <row r="175" spans="1:9" ht="15" customHeight="1" x14ac:dyDescent="0.2">
      <c r="A175" s="109">
        <v>174</v>
      </c>
      <c r="B175" s="109" t="s">
        <v>754</v>
      </c>
      <c r="C175" s="109">
        <v>8</v>
      </c>
      <c r="D175" s="109">
        <v>0.5020883009792132</v>
      </c>
      <c r="E175" s="109" t="s">
        <v>754</v>
      </c>
      <c r="F175" s="109">
        <v>8</v>
      </c>
      <c r="G175" s="109">
        <v>0.50208830833435059</v>
      </c>
      <c r="H175" s="109">
        <v>56.611209869384773</v>
      </c>
      <c r="I175" s="109">
        <v>48.611209869384773</v>
      </c>
    </row>
    <row r="176" spans="1:9" ht="15" customHeight="1" x14ac:dyDescent="0.2">
      <c r="A176" s="109">
        <v>175</v>
      </c>
      <c r="B176" s="109" t="s">
        <v>755</v>
      </c>
      <c r="C176" s="109">
        <v>9</v>
      </c>
      <c r="D176" s="109">
        <v>0.62190482734925268</v>
      </c>
      <c r="E176" s="109" t="s">
        <v>755</v>
      </c>
      <c r="F176" s="109">
        <v>9</v>
      </c>
      <c r="G176" s="109">
        <v>0.62190479040145874</v>
      </c>
      <c r="H176" s="109">
        <v>56.355201721191413</v>
      </c>
      <c r="I176" s="109">
        <v>47.355201721191413</v>
      </c>
    </row>
    <row r="177" spans="1:9" ht="15" customHeight="1" x14ac:dyDescent="0.2">
      <c r="A177" s="109">
        <v>176</v>
      </c>
      <c r="B177" s="109" t="s">
        <v>756</v>
      </c>
      <c r="C177" s="109">
        <v>10</v>
      </c>
      <c r="D177" s="109">
        <v>0.65043257172307156</v>
      </c>
      <c r="E177" s="109" t="s">
        <v>756</v>
      </c>
      <c r="F177" s="109">
        <v>10</v>
      </c>
      <c r="G177" s="109">
        <v>0.65043258666992188</v>
      </c>
      <c r="H177" s="109">
        <v>54.940464019775391</v>
      </c>
      <c r="I177" s="109">
        <v>44.940464019775391</v>
      </c>
    </row>
    <row r="178" spans="1:9" ht="15" customHeight="1" x14ac:dyDescent="0.2">
      <c r="A178" s="109">
        <v>177</v>
      </c>
      <c r="B178" s="109" t="s">
        <v>757</v>
      </c>
      <c r="C178" s="109">
        <v>14</v>
      </c>
      <c r="D178" s="109">
        <v>0.38227177460917372</v>
      </c>
      <c r="E178" s="109" t="s">
        <v>757</v>
      </c>
      <c r="F178" s="109">
        <v>14</v>
      </c>
      <c r="G178" s="109">
        <v>0.38227179646491999</v>
      </c>
      <c r="H178" s="109">
        <v>54.508995056152337</v>
      </c>
      <c r="I178" s="109">
        <v>40.508995056152337</v>
      </c>
    </row>
    <row r="179" spans="1:9" ht="15" customHeight="1" x14ac:dyDescent="0.2">
      <c r="A179" s="109">
        <v>178</v>
      </c>
      <c r="B179" s="109" t="s">
        <v>758</v>
      </c>
      <c r="C179" s="109">
        <v>12</v>
      </c>
      <c r="D179" s="109">
        <v>0.43932726335681149</v>
      </c>
      <c r="E179" s="109" t="s">
        <v>758</v>
      </c>
      <c r="F179" s="109">
        <v>12</v>
      </c>
      <c r="G179" s="109">
        <v>0.43932726979255682</v>
      </c>
      <c r="H179" s="109">
        <v>54.429733276367188</v>
      </c>
      <c r="I179" s="109">
        <v>42.429733276367188</v>
      </c>
    </row>
    <row r="180" spans="1:9" ht="15" customHeight="1" x14ac:dyDescent="0.2">
      <c r="A180" s="109">
        <v>179</v>
      </c>
      <c r="B180" s="109" t="s">
        <v>759</v>
      </c>
      <c r="C180" s="109">
        <v>13</v>
      </c>
      <c r="D180" s="109">
        <v>0.81018794021645768</v>
      </c>
      <c r="E180" s="109" t="s">
        <v>759</v>
      </c>
      <c r="F180" s="109">
        <v>13</v>
      </c>
      <c r="G180" s="109">
        <v>0.8101879358291626</v>
      </c>
      <c r="H180" s="109">
        <v>54.377193450927727</v>
      </c>
      <c r="I180" s="109">
        <v>41.377193450927727</v>
      </c>
    </row>
    <row r="181" spans="1:9" ht="15" customHeight="1" x14ac:dyDescent="0.2">
      <c r="A181" s="109">
        <v>180</v>
      </c>
      <c r="B181" s="109" t="s">
        <v>760</v>
      </c>
      <c r="C181" s="109">
        <v>11</v>
      </c>
      <c r="D181" s="109">
        <v>1.078348737330356</v>
      </c>
      <c r="E181" s="109" t="s">
        <v>760</v>
      </c>
      <c r="F181" s="109">
        <v>11</v>
      </c>
      <c r="G181" s="109">
        <v>1.078348636627197</v>
      </c>
      <c r="H181" s="109">
        <v>54.455833435058587</v>
      </c>
      <c r="I181" s="109">
        <v>43.455833435058587</v>
      </c>
    </row>
    <row r="182" spans="1:9" ht="15" customHeight="1" x14ac:dyDescent="0.2">
      <c r="A182" s="109">
        <v>181</v>
      </c>
      <c r="B182" s="109" t="s">
        <v>761</v>
      </c>
      <c r="C182" s="109">
        <v>8</v>
      </c>
      <c r="D182" s="109">
        <v>1.112582030578938</v>
      </c>
      <c r="E182" s="109" t="s">
        <v>761</v>
      </c>
      <c r="F182" s="109">
        <v>8</v>
      </c>
      <c r="G182" s="109">
        <v>1.1125819683074949</v>
      </c>
      <c r="H182" s="109">
        <v>54.687801361083977</v>
      </c>
      <c r="I182" s="109">
        <v>46.687801361083977</v>
      </c>
    </row>
    <row r="183" spans="1:9" ht="15" customHeight="1" x14ac:dyDescent="0.2">
      <c r="A183" s="109">
        <v>182</v>
      </c>
      <c r="B183" s="109" t="s">
        <v>762</v>
      </c>
      <c r="C183" s="109">
        <v>9</v>
      </c>
      <c r="D183" s="109">
        <v>0.95853221096031604</v>
      </c>
      <c r="E183" s="109" t="s">
        <v>762</v>
      </c>
      <c r="F183" s="109">
        <v>9</v>
      </c>
      <c r="G183" s="109">
        <v>0.95853221416473389</v>
      </c>
      <c r="H183" s="109">
        <v>55.126911163330078</v>
      </c>
      <c r="I183" s="109">
        <v>46.126911163330078</v>
      </c>
    </row>
    <row r="184" spans="1:9" ht="15" customHeight="1" x14ac:dyDescent="0.2">
      <c r="A184" s="109">
        <v>183</v>
      </c>
      <c r="B184" s="109" t="s">
        <v>763</v>
      </c>
      <c r="C184" s="109">
        <v>14</v>
      </c>
      <c r="D184" s="109">
        <v>0.91859336883696951</v>
      </c>
      <c r="E184" s="109" t="s">
        <v>763</v>
      </c>
      <c r="F184" s="109">
        <v>14</v>
      </c>
      <c r="G184" s="109">
        <v>0.91859334707260132</v>
      </c>
      <c r="H184" s="109">
        <v>55.370395660400391</v>
      </c>
      <c r="I184" s="109">
        <v>41.370395660400391</v>
      </c>
    </row>
    <row r="185" spans="1:9" ht="15" customHeight="1" x14ac:dyDescent="0.2">
      <c r="A185" s="109">
        <v>184</v>
      </c>
      <c r="B185" s="109" t="s">
        <v>764</v>
      </c>
      <c r="C185" s="109">
        <v>19</v>
      </c>
      <c r="D185" s="109">
        <v>1.4720316096890571</v>
      </c>
      <c r="E185" s="109" t="s">
        <v>764</v>
      </c>
      <c r="F185" s="109">
        <v>19</v>
      </c>
      <c r="G185" s="109">
        <v>1.4720315933227539</v>
      </c>
      <c r="H185" s="109">
        <v>55.779945373535163</v>
      </c>
      <c r="I185" s="109">
        <v>36.779945373535163</v>
      </c>
    </row>
    <row r="186" spans="1:9" ht="15" customHeight="1" x14ac:dyDescent="0.2">
      <c r="A186" s="109">
        <v>185</v>
      </c>
      <c r="B186" s="109" t="s">
        <v>765</v>
      </c>
      <c r="C186" s="109">
        <v>11</v>
      </c>
      <c r="D186" s="109">
        <v>1.962708812918742</v>
      </c>
      <c r="E186" s="109" t="s">
        <v>765</v>
      </c>
      <c r="F186" s="109">
        <v>11</v>
      </c>
      <c r="G186" s="109">
        <v>1.962708711624146</v>
      </c>
      <c r="H186" s="109">
        <v>56.891990661621087</v>
      </c>
      <c r="I186" s="109">
        <v>45.891990661621087</v>
      </c>
    </row>
    <row r="187" spans="1:9" ht="15" customHeight="1" x14ac:dyDescent="0.2">
      <c r="A187" s="109">
        <v>186</v>
      </c>
      <c r="B187" s="109" t="s">
        <v>766</v>
      </c>
      <c r="C187" s="109">
        <v>9</v>
      </c>
      <c r="D187" s="109">
        <v>1.92847551967016</v>
      </c>
      <c r="E187" s="109" t="s">
        <v>766</v>
      </c>
      <c r="F187" s="109">
        <v>9</v>
      </c>
      <c r="G187" s="109">
        <v>1.928475618362427</v>
      </c>
      <c r="H187" s="109">
        <v>58.126663208007813</v>
      </c>
      <c r="I187" s="109">
        <v>49.126663208007813</v>
      </c>
    </row>
    <row r="188" spans="1:9" ht="15" customHeight="1" x14ac:dyDescent="0.2">
      <c r="A188" s="109">
        <v>187</v>
      </c>
      <c r="B188" s="109" t="s">
        <v>767</v>
      </c>
      <c r="C188" s="109">
        <v>11</v>
      </c>
      <c r="D188" s="109">
        <v>1.728781309053427</v>
      </c>
      <c r="E188" s="109" t="s">
        <v>767</v>
      </c>
      <c r="F188" s="109">
        <v>11</v>
      </c>
      <c r="G188" s="109">
        <v>1.7287812232971189</v>
      </c>
      <c r="H188" s="109">
        <v>58.396915435791023</v>
      </c>
      <c r="I188" s="109">
        <v>47.396915435791023</v>
      </c>
    </row>
    <row r="189" spans="1:9" ht="15" customHeight="1" x14ac:dyDescent="0.2">
      <c r="A189" s="109">
        <v>188</v>
      </c>
      <c r="B189" s="109" t="s">
        <v>768</v>
      </c>
      <c r="C189" s="109">
        <v>6</v>
      </c>
      <c r="D189" s="109">
        <v>2.2651029032812229</v>
      </c>
      <c r="E189" s="109" t="s">
        <v>768</v>
      </c>
      <c r="F189" s="109">
        <v>6</v>
      </c>
      <c r="G189" s="109">
        <v>2.265102863311768</v>
      </c>
      <c r="H189" s="109">
        <v>58.692741394042969</v>
      </c>
      <c r="I189" s="109">
        <v>52.692741394042969</v>
      </c>
    </row>
    <row r="190" spans="1:9" ht="15" customHeight="1" x14ac:dyDescent="0.2">
      <c r="A190" s="109">
        <v>189</v>
      </c>
      <c r="B190" s="109" t="s">
        <v>769</v>
      </c>
      <c r="C190" s="109">
        <v>12</v>
      </c>
      <c r="D190" s="109">
        <v>2.9668854148771691</v>
      </c>
      <c r="E190" s="109" t="s">
        <v>769</v>
      </c>
      <c r="F190" s="109">
        <v>12</v>
      </c>
      <c r="G190" s="109">
        <v>2.9668855667114258</v>
      </c>
      <c r="H190" s="109">
        <v>59.521537780761719</v>
      </c>
      <c r="I190" s="109">
        <v>47.521537780761719</v>
      </c>
    </row>
    <row r="191" spans="1:9" ht="15" customHeight="1" x14ac:dyDescent="0.2">
      <c r="A191" s="109">
        <v>190</v>
      </c>
      <c r="B191" s="109" t="s">
        <v>770</v>
      </c>
      <c r="C191" s="109">
        <v>4</v>
      </c>
      <c r="D191" s="109">
        <v>2.453386016148428</v>
      </c>
      <c r="E191" s="109" t="s">
        <v>770</v>
      </c>
      <c r="F191" s="109">
        <v>4</v>
      </c>
      <c r="G191" s="109">
        <v>2.4533858299255371</v>
      </c>
      <c r="H191" s="109">
        <v>60.714458465576172</v>
      </c>
      <c r="I191" s="109">
        <v>56.714458465576172</v>
      </c>
    </row>
    <row r="192" spans="1:9" ht="15" customHeight="1" x14ac:dyDescent="0.2">
      <c r="A192" s="109">
        <v>191</v>
      </c>
      <c r="B192" s="109" t="s">
        <v>771</v>
      </c>
      <c r="C192" s="109">
        <v>8</v>
      </c>
      <c r="D192" s="109">
        <v>1.255220752448033</v>
      </c>
      <c r="E192" s="109" t="s">
        <v>771</v>
      </c>
      <c r="F192" s="109">
        <v>8</v>
      </c>
      <c r="G192" s="109">
        <v>1.255220770835876</v>
      </c>
      <c r="H192" s="109">
        <v>61.772670745849609</v>
      </c>
      <c r="I192" s="109">
        <v>53.772670745849609</v>
      </c>
    </row>
    <row r="193" spans="1:9" ht="15" customHeight="1" x14ac:dyDescent="0.2">
      <c r="A193" s="109">
        <v>192</v>
      </c>
      <c r="B193" s="109" t="s">
        <v>772</v>
      </c>
      <c r="C193" s="109">
        <v>10</v>
      </c>
      <c r="D193" s="109">
        <v>3.474679264731146</v>
      </c>
      <c r="E193" s="109" t="s">
        <v>772</v>
      </c>
      <c r="F193" s="109">
        <v>10</v>
      </c>
      <c r="G193" s="109">
        <v>3.4746792316436772</v>
      </c>
      <c r="H193" s="109">
        <v>62.097568511962891</v>
      </c>
      <c r="I193" s="109">
        <v>52.097568511962891</v>
      </c>
    </row>
    <row r="194" spans="1:9" ht="15" customHeight="1" x14ac:dyDescent="0.2">
      <c r="A194" s="109">
        <v>193</v>
      </c>
      <c r="B194" s="109" t="s">
        <v>773</v>
      </c>
      <c r="C194" s="109">
        <v>10</v>
      </c>
      <c r="D194" s="109">
        <v>2.9668854148771691</v>
      </c>
      <c r="E194" s="109" t="s">
        <v>773</v>
      </c>
      <c r="F194" s="109">
        <v>10</v>
      </c>
      <c r="G194" s="109">
        <v>2.9668855667114258</v>
      </c>
      <c r="H194" s="109">
        <v>60.962139129638672</v>
      </c>
      <c r="I194" s="109">
        <v>50.962139129638672</v>
      </c>
    </row>
    <row r="195" spans="1:9" ht="15" customHeight="1" x14ac:dyDescent="0.2">
      <c r="A195" s="109">
        <v>194</v>
      </c>
      <c r="B195" s="109" t="s">
        <v>774</v>
      </c>
      <c r="C195" s="109">
        <v>8</v>
      </c>
      <c r="D195" s="109">
        <v>2.0140587527916169</v>
      </c>
      <c r="E195" s="109" t="s">
        <v>774</v>
      </c>
      <c r="F195" s="109">
        <v>8</v>
      </c>
      <c r="G195" s="109">
        <v>2.0140585899353032</v>
      </c>
      <c r="H195" s="109">
        <v>60.620853424072273</v>
      </c>
      <c r="I195" s="109">
        <v>52.620853424072273</v>
      </c>
    </row>
    <row r="196" spans="1:9" ht="15" customHeight="1" x14ac:dyDescent="0.2">
      <c r="A196" s="109">
        <v>195</v>
      </c>
      <c r="B196" s="109" t="s">
        <v>775</v>
      </c>
      <c r="C196" s="109">
        <v>10</v>
      </c>
      <c r="D196" s="109">
        <v>1.312276241195671</v>
      </c>
      <c r="E196" s="109" t="s">
        <v>775</v>
      </c>
      <c r="F196" s="109">
        <v>10</v>
      </c>
      <c r="G196" s="109">
        <v>1.312276244163513</v>
      </c>
      <c r="H196" s="109">
        <v>70.320060729980469</v>
      </c>
      <c r="I196" s="109">
        <v>60.320060729980469</v>
      </c>
    </row>
    <row r="197" spans="1:9" ht="15" customHeight="1" x14ac:dyDescent="0.2">
      <c r="A197" s="109">
        <v>196</v>
      </c>
      <c r="B197" s="109" t="s">
        <v>776</v>
      </c>
      <c r="C197" s="109">
        <v>13</v>
      </c>
      <c r="D197" s="109">
        <v>0.82159903796598521</v>
      </c>
      <c r="E197" s="109" t="s">
        <v>776</v>
      </c>
      <c r="F197" s="109">
        <v>13</v>
      </c>
      <c r="G197" s="109">
        <v>0.82159906625747681</v>
      </c>
      <c r="H197" s="109">
        <v>80.214385986328125</v>
      </c>
      <c r="I197" s="109">
        <v>67.214385986328125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6161-B54E-4372-AC08-E5897596A42E}">
  <sheetPr codeName="Feuil17"/>
  <dimension ref="A1:AU206"/>
  <sheetViews>
    <sheetView workbookViewId="0">
      <selection activeCell="AK27" sqref="AK27"/>
    </sheetView>
  </sheetViews>
  <sheetFormatPr baseColWidth="10" defaultColWidth="10.85546875" defaultRowHeight="12.75" x14ac:dyDescent="0.2"/>
  <cols>
    <col min="1" max="1" width="10.85546875" style="108"/>
    <col min="2" max="2" width="7.85546875" style="108" bestFit="1" customWidth="1"/>
    <col min="3" max="3" width="10.140625" style="108" bestFit="1" customWidth="1"/>
    <col min="4" max="4" width="7.85546875" style="108" bestFit="1" customWidth="1"/>
    <col min="5" max="5" width="11.28515625" style="108" bestFit="1" customWidth="1"/>
    <col min="6" max="6" width="9.42578125" style="108" bestFit="1" customWidth="1"/>
    <col min="7" max="8" width="9.140625" style="108" bestFit="1" customWidth="1"/>
    <col min="9" max="9" width="10.42578125" style="108" bestFit="1" customWidth="1"/>
    <col min="10" max="10" width="13.85546875" style="108" bestFit="1" customWidth="1"/>
    <col min="11" max="11" width="14.5703125" style="108" bestFit="1" customWidth="1"/>
    <col min="12" max="12" width="14.42578125" style="108" bestFit="1" customWidth="1"/>
    <col min="13" max="13" width="14.5703125" style="108" bestFit="1" customWidth="1"/>
    <col min="14" max="14" width="17" style="108" customWidth="1"/>
    <col min="15" max="15" width="5.5703125" style="108" bestFit="1" customWidth="1"/>
    <col min="16" max="16" width="12.140625" style="108" bestFit="1" customWidth="1"/>
    <col min="17" max="17" width="14" style="108" bestFit="1" customWidth="1"/>
    <col min="18" max="18" width="15.5703125" style="108" bestFit="1" customWidth="1"/>
    <col min="19" max="16384" width="10.85546875" style="108"/>
  </cols>
  <sheetData>
    <row r="1" spans="1:47" ht="15" customHeight="1" x14ac:dyDescent="0.2">
      <c r="A1" s="109" t="s">
        <v>74</v>
      </c>
      <c r="B1" s="109" t="s">
        <v>777</v>
      </c>
      <c r="C1" s="109" t="s">
        <v>778</v>
      </c>
      <c r="D1" s="109" t="s">
        <v>779</v>
      </c>
      <c r="E1" s="109" t="s">
        <v>780</v>
      </c>
      <c r="F1" s="109" t="s">
        <v>781</v>
      </c>
      <c r="G1" s="109" t="s">
        <v>782</v>
      </c>
      <c r="H1" s="109" t="s">
        <v>783</v>
      </c>
      <c r="I1" s="109" t="s">
        <v>576</v>
      </c>
      <c r="J1" s="109" t="s">
        <v>784</v>
      </c>
      <c r="K1" s="109" t="s">
        <v>785</v>
      </c>
      <c r="L1" s="109" t="s">
        <v>786</v>
      </c>
      <c r="M1" s="109" t="s">
        <v>579</v>
      </c>
      <c r="N1" s="109" t="s">
        <v>787</v>
      </c>
      <c r="O1" s="109" t="s">
        <v>788</v>
      </c>
      <c r="P1" s="109" t="s">
        <v>789</v>
      </c>
      <c r="Q1" s="109" t="s">
        <v>790</v>
      </c>
      <c r="R1" s="109" t="s">
        <v>791</v>
      </c>
      <c r="W1" s="60" t="s">
        <v>74</v>
      </c>
      <c r="X1" s="60" t="s">
        <v>573</v>
      </c>
      <c r="Y1" s="60" t="s">
        <v>777</v>
      </c>
      <c r="Z1" s="60" t="s">
        <v>778</v>
      </c>
      <c r="AA1" s="60" t="s">
        <v>779</v>
      </c>
      <c r="AB1" s="60" t="s">
        <v>780</v>
      </c>
      <c r="AC1" s="60" t="s">
        <v>801</v>
      </c>
      <c r="AD1" s="60" t="s">
        <v>781</v>
      </c>
      <c r="AE1" s="60" t="s">
        <v>802</v>
      </c>
      <c r="AF1" s="60" t="s">
        <v>803</v>
      </c>
      <c r="AG1" s="60" t="s">
        <v>782</v>
      </c>
      <c r="AH1" s="60" t="s">
        <v>783</v>
      </c>
      <c r="AI1" s="60" t="s">
        <v>576</v>
      </c>
      <c r="AJ1" s="60" t="s">
        <v>784</v>
      </c>
      <c r="AK1" s="60" t="s">
        <v>785</v>
      </c>
      <c r="AL1" s="60" t="s">
        <v>786</v>
      </c>
      <c r="AM1" s="60" t="s">
        <v>579</v>
      </c>
      <c r="AN1" s="60" t="s">
        <v>799</v>
      </c>
      <c r="AO1" s="60" t="s">
        <v>804</v>
      </c>
      <c r="AP1" s="60" t="s">
        <v>787</v>
      </c>
      <c r="AQ1" s="60" t="s">
        <v>805</v>
      </c>
      <c r="AR1" s="60" t="s">
        <v>788</v>
      </c>
      <c r="AS1" s="60" t="s">
        <v>789</v>
      </c>
      <c r="AT1" s="60" t="s">
        <v>790</v>
      </c>
      <c r="AU1" s="60" t="s">
        <v>791</v>
      </c>
    </row>
    <row r="2" spans="1:47" ht="15" customHeight="1" x14ac:dyDescent="0.2">
      <c r="A2" s="109">
        <v>202</v>
      </c>
      <c r="B2" s="109">
        <v>117.2</v>
      </c>
      <c r="C2" s="109">
        <v>700</v>
      </c>
      <c r="D2" s="109" t="s">
        <v>792</v>
      </c>
      <c r="E2" s="109">
        <v>8.9999999999999993E-3</v>
      </c>
      <c r="F2" s="109" t="s">
        <v>793</v>
      </c>
      <c r="G2" s="109" t="s">
        <v>581</v>
      </c>
      <c r="H2" s="109" t="s">
        <v>582</v>
      </c>
      <c r="I2" s="60" t="s">
        <v>406</v>
      </c>
      <c r="J2" s="109">
        <v>0</v>
      </c>
      <c r="K2" s="109">
        <v>330.91619873046881</v>
      </c>
      <c r="L2" s="109">
        <v>0.85986387729644775</v>
      </c>
      <c r="M2" s="109">
        <v>0.60834449529647827</v>
      </c>
      <c r="N2" s="109">
        <v>8.999999612569809E-3</v>
      </c>
      <c r="O2" s="109">
        <v>800</v>
      </c>
      <c r="P2" s="109">
        <v>1</v>
      </c>
      <c r="Q2" s="109">
        <v>252</v>
      </c>
      <c r="R2" s="109">
        <f t="shared" ref="R2:R65" si="0">ABS(K2)</f>
        <v>330.91619873046881</v>
      </c>
      <c r="T2" s="108" t="b">
        <f>IF(I2=X2,TRUE,FALSE)</f>
        <v>0</v>
      </c>
      <c r="W2" s="60">
        <v>1</v>
      </c>
      <c r="X2" s="60" t="s">
        <v>207</v>
      </c>
      <c r="Y2" s="60">
        <v>3.8589430332706199E-3</v>
      </c>
      <c r="Z2" s="60">
        <v>156.4</v>
      </c>
      <c r="AA2" s="60" t="s">
        <v>792</v>
      </c>
      <c r="AB2" s="60">
        <v>8.9999999999999993E-3</v>
      </c>
      <c r="AC2" s="60"/>
      <c r="AD2" s="60" t="s">
        <v>793</v>
      </c>
      <c r="AE2" s="60"/>
      <c r="AF2" s="60"/>
      <c r="AG2" s="60" t="s">
        <v>722</v>
      </c>
      <c r="AH2" s="60" t="s">
        <v>723</v>
      </c>
      <c r="AI2" s="60" t="s">
        <v>207</v>
      </c>
      <c r="AJ2" s="60">
        <v>0</v>
      </c>
      <c r="AK2" s="60">
        <v>11.897553443908601</v>
      </c>
      <c r="AL2" s="60">
        <v>0.61928695440292303</v>
      </c>
      <c r="AM2" s="60">
        <v>2.4104418754577601</v>
      </c>
      <c r="AN2" s="60">
        <v>0</v>
      </c>
      <c r="AO2" s="60">
        <v>3</v>
      </c>
      <c r="AP2" s="60">
        <v>8.9999996125698003E-3</v>
      </c>
      <c r="AQ2" s="60">
        <v>0</v>
      </c>
      <c r="AR2" s="60">
        <v>150</v>
      </c>
      <c r="AS2" s="60">
        <v>1</v>
      </c>
      <c r="AT2" s="60">
        <v>72.8</v>
      </c>
      <c r="AU2" s="60">
        <v>2.4308516979217498</v>
      </c>
    </row>
    <row r="3" spans="1:47" ht="15" customHeight="1" x14ac:dyDescent="0.25">
      <c r="A3" s="109">
        <v>100</v>
      </c>
      <c r="B3" s="109">
        <v>197.9</v>
      </c>
      <c r="C3" s="109">
        <v>204.2</v>
      </c>
      <c r="D3" s="109" t="s">
        <v>792</v>
      </c>
      <c r="E3" s="109">
        <v>8.9999999999999993E-3</v>
      </c>
      <c r="F3" s="109" t="s">
        <v>793</v>
      </c>
      <c r="G3" s="109" t="s">
        <v>590</v>
      </c>
      <c r="H3" s="109" t="s">
        <v>589</v>
      </c>
      <c r="I3" t="s">
        <v>175</v>
      </c>
      <c r="J3" s="109">
        <v>0</v>
      </c>
      <c r="K3" s="109">
        <v>-27.339191436767582</v>
      </c>
      <c r="L3" s="109">
        <v>0.83479905128479004</v>
      </c>
      <c r="M3" s="109">
        <v>2.962649822235107</v>
      </c>
      <c r="N3" s="109">
        <v>8.999999612569809E-3</v>
      </c>
      <c r="O3" s="109">
        <v>200</v>
      </c>
      <c r="P3" s="109">
        <v>1</v>
      </c>
      <c r="Q3" s="109">
        <v>156.4</v>
      </c>
      <c r="R3" s="109">
        <f t="shared" si="0"/>
        <v>27.339191436767582</v>
      </c>
      <c r="T3" s="108" t="b">
        <f t="shared" ref="T3:T66" si="1">IF(I3=X3,TRUE,FALSE)</f>
        <v>0</v>
      </c>
      <c r="W3" s="60">
        <v>2</v>
      </c>
      <c r="X3" s="60" t="s">
        <v>205</v>
      </c>
      <c r="Y3" s="60">
        <v>1.0362141873469801E-3</v>
      </c>
      <c r="Z3" s="60">
        <v>156.4</v>
      </c>
      <c r="AA3" s="60" t="s">
        <v>792</v>
      </c>
      <c r="AB3" s="60">
        <v>8.9999999999999993E-3</v>
      </c>
      <c r="AC3" s="60"/>
      <c r="AD3" s="60" t="s">
        <v>793</v>
      </c>
      <c r="AE3" s="60"/>
      <c r="AF3" s="60"/>
      <c r="AG3" s="60" t="s">
        <v>724</v>
      </c>
      <c r="AH3" s="60" t="s">
        <v>725</v>
      </c>
      <c r="AI3" s="60" t="s">
        <v>205</v>
      </c>
      <c r="AJ3" s="60">
        <v>0</v>
      </c>
      <c r="AK3" s="60">
        <v>7.8123803138732901</v>
      </c>
      <c r="AL3" s="60">
        <v>0.40664705634117099</v>
      </c>
      <c r="AM3" s="60">
        <v>0</v>
      </c>
      <c r="AN3" s="60">
        <v>0</v>
      </c>
      <c r="AO3" s="60">
        <v>3</v>
      </c>
      <c r="AP3" s="60">
        <v>8.9999996125698003E-3</v>
      </c>
      <c r="AQ3" s="60">
        <v>0</v>
      </c>
      <c r="AR3" s="60">
        <v>150</v>
      </c>
      <c r="AS3" s="60">
        <v>1</v>
      </c>
      <c r="AT3" s="60">
        <v>51.4</v>
      </c>
      <c r="AU3" s="60">
        <v>0.95212399959564198</v>
      </c>
    </row>
    <row r="4" spans="1:47" ht="15" customHeight="1" x14ac:dyDescent="0.2">
      <c r="A4" s="109">
        <v>199</v>
      </c>
      <c r="B4" s="109">
        <v>152.69999999999999</v>
      </c>
      <c r="C4" s="109">
        <v>77.2</v>
      </c>
      <c r="D4" s="109" t="s">
        <v>792</v>
      </c>
      <c r="E4" s="109">
        <v>8.9999999999999993E-3</v>
      </c>
      <c r="F4" s="109" t="s">
        <v>793</v>
      </c>
      <c r="G4" s="109" t="s">
        <v>681</v>
      </c>
      <c r="H4" s="109" t="s">
        <v>680</v>
      </c>
      <c r="I4" s="60" t="s">
        <v>209</v>
      </c>
      <c r="J4" s="109">
        <v>0</v>
      </c>
      <c r="K4" s="109">
        <v>-3.554579496383667</v>
      </c>
      <c r="L4" s="109">
        <v>0.7593839168548584</v>
      </c>
      <c r="M4" s="109">
        <v>8.9649877548217773</v>
      </c>
      <c r="N4" s="109">
        <v>8.999999612569809E-3</v>
      </c>
      <c r="O4" s="109">
        <v>75</v>
      </c>
      <c r="P4" s="109">
        <v>1</v>
      </c>
      <c r="Q4" s="109">
        <v>252</v>
      </c>
      <c r="R4" s="109">
        <f t="shared" si="0"/>
        <v>3.554579496383667</v>
      </c>
      <c r="T4" s="108" t="b">
        <f t="shared" si="1"/>
        <v>0</v>
      </c>
      <c r="W4" s="60">
        <v>3</v>
      </c>
      <c r="X4" s="60" t="s">
        <v>206</v>
      </c>
      <c r="Y4" s="60">
        <v>7.8216753036700103E-4</v>
      </c>
      <c r="Z4" s="60">
        <v>156.4</v>
      </c>
      <c r="AA4" s="60" t="s">
        <v>792</v>
      </c>
      <c r="AB4" s="60">
        <v>8.9999999999999993E-3</v>
      </c>
      <c r="AC4" s="60"/>
      <c r="AD4" s="60" t="s">
        <v>793</v>
      </c>
      <c r="AE4" s="60"/>
      <c r="AF4" s="60"/>
      <c r="AG4" s="60" t="s">
        <v>723</v>
      </c>
      <c r="AH4" s="60" t="s">
        <v>724</v>
      </c>
      <c r="AI4" s="60" t="s">
        <v>206</v>
      </c>
      <c r="AJ4" s="60">
        <v>0</v>
      </c>
      <c r="AK4" s="60">
        <v>8.9649009704589808</v>
      </c>
      <c r="AL4" s="60">
        <v>0.46663764119148199</v>
      </c>
      <c r="AM4" s="60">
        <v>0</v>
      </c>
      <c r="AN4" s="60">
        <v>0</v>
      </c>
      <c r="AO4" s="60">
        <v>3</v>
      </c>
      <c r="AP4" s="60">
        <v>8.9999996125698003E-3</v>
      </c>
      <c r="AQ4" s="60">
        <v>0</v>
      </c>
      <c r="AR4" s="60">
        <v>150</v>
      </c>
      <c r="AS4" s="60">
        <v>1</v>
      </c>
      <c r="AT4" s="60">
        <v>51.4</v>
      </c>
      <c r="AU4" s="60">
        <v>2.2910102270543502E-3</v>
      </c>
    </row>
    <row r="5" spans="1:47" ht="15" customHeight="1" x14ac:dyDescent="0.25">
      <c r="A5" s="109">
        <v>200</v>
      </c>
      <c r="B5" s="109">
        <v>72.900000000000006</v>
      </c>
      <c r="C5" s="109">
        <v>72.8</v>
      </c>
      <c r="D5" s="109" t="s">
        <v>792</v>
      </c>
      <c r="E5" s="109">
        <v>8.9999999999999993E-3</v>
      </c>
      <c r="F5" s="109" t="s">
        <v>793</v>
      </c>
      <c r="G5" s="109" t="s">
        <v>682</v>
      </c>
      <c r="H5" s="109" t="s">
        <v>681</v>
      </c>
      <c r="I5" s="111" t="s">
        <v>210</v>
      </c>
      <c r="J5" s="109">
        <v>0</v>
      </c>
      <c r="K5" s="109">
        <v>-2.2651252746582031</v>
      </c>
      <c r="L5" s="109">
        <v>0.54417330026626587</v>
      </c>
      <c r="M5" s="109">
        <v>4.9782266616821289</v>
      </c>
      <c r="N5" s="109">
        <v>8.999999612569809E-3</v>
      </c>
      <c r="O5" s="109">
        <v>75</v>
      </c>
      <c r="P5" s="109">
        <v>1</v>
      </c>
      <c r="Q5" s="109">
        <v>252</v>
      </c>
      <c r="R5" s="109">
        <f t="shared" si="0"/>
        <v>2.2651252746582031</v>
      </c>
      <c r="T5" s="108" t="b">
        <f t="shared" si="1"/>
        <v>0</v>
      </c>
      <c r="W5" s="60">
        <v>4</v>
      </c>
      <c r="X5" s="60" t="s">
        <v>204</v>
      </c>
      <c r="Y5" s="60">
        <v>1.5192860791322601E-3</v>
      </c>
      <c r="Z5" s="60">
        <v>108.4</v>
      </c>
      <c r="AA5" s="60" t="s">
        <v>792</v>
      </c>
      <c r="AB5" s="60">
        <v>8.9999999999999993E-3</v>
      </c>
      <c r="AC5" s="60"/>
      <c r="AD5" s="60" t="s">
        <v>793</v>
      </c>
      <c r="AE5" s="60"/>
      <c r="AF5" s="60"/>
      <c r="AG5" s="60" t="s">
        <v>725</v>
      </c>
      <c r="AH5" s="60" t="s">
        <v>726</v>
      </c>
      <c r="AI5" s="60" t="s">
        <v>204</v>
      </c>
      <c r="AJ5" s="60">
        <v>0</v>
      </c>
      <c r="AK5" s="60">
        <v>6.19770956039428</v>
      </c>
      <c r="AL5" s="60">
        <v>0.671553194522857</v>
      </c>
      <c r="AM5" s="60">
        <v>6.12245321273803</v>
      </c>
      <c r="AN5" s="60">
        <v>0</v>
      </c>
      <c r="AO5" s="60">
        <v>3</v>
      </c>
      <c r="AP5" s="60">
        <v>8.9999996125698003E-3</v>
      </c>
      <c r="AQ5" s="60">
        <v>0</v>
      </c>
      <c r="AR5" s="60">
        <v>100</v>
      </c>
      <c r="AS5" s="60">
        <v>1</v>
      </c>
      <c r="AT5" s="60">
        <v>72.8</v>
      </c>
      <c r="AU5" s="60">
        <v>2.2892498970031698</v>
      </c>
    </row>
    <row r="6" spans="1:47" ht="15" customHeight="1" x14ac:dyDescent="0.25">
      <c r="A6" s="109">
        <v>198</v>
      </c>
      <c r="B6" s="109">
        <v>56.3</v>
      </c>
      <c r="C6" s="109">
        <v>72.8</v>
      </c>
      <c r="D6" s="109" t="s">
        <v>792</v>
      </c>
      <c r="E6" s="109">
        <v>8.9999999999999993E-3</v>
      </c>
      <c r="F6" s="109" t="s">
        <v>793</v>
      </c>
      <c r="G6" s="109" t="s">
        <v>683</v>
      </c>
      <c r="H6" s="109" t="s">
        <v>682</v>
      </c>
      <c r="I6" s="106" t="s">
        <v>208</v>
      </c>
      <c r="J6" s="109">
        <v>0</v>
      </c>
      <c r="K6" s="109">
        <v>-1.5291094779968259</v>
      </c>
      <c r="L6" s="109">
        <v>0.36735299229621893</v>
      </c>
      <c r="M6" s="109">
        <v>2.2686045169830318</v>
      </c>
      <c r="N6" s="109">
        <v>8.999999612569809E-3</v>
      </c>
      <c r="O6" s="109">
        <v>75</v>
      </c>
      <c r="P6" s="109">
        <v>1</v>
      </c>
      <c r="Q6" s="109">
        <v>252</v>
      </c>
      <c r="R6" s="109">
        <f t="shared" si="0"/>
        <v>1.5291094779968259</v>
      </c>
      <c r="T6" s="108" t="b">
        <f t="shared" si="1"/>
        <v>0</v>
      </c>
      <c r="W6" s="60">
        <v>5</v>
      </c>
      <c r="X6" s="60" t="s">
        <v>218</v>
      </c>
      <c r="Y6" s="60">
        <v>1.9359173276687399E-3</v>
      </c>
      <c r="Z6" s="60">
        <v>94.4</v>
      </c>
      <c r="AA6" s="60" t="s">
        <v>792</v>
      </c>
      <c r="AB6" s="60">
        <v>8.9999999999999993E-3</v>
      </c>
      <c r="AC6" s="60"/>
      <c r="AD6" s="60" t="s">
        <v>793</v>
      </c>
      <c r="AE6" s="60"/>
      <c r="AF6" s="60"/>
      <c r="AG6" s="60" t="s">
        <v>726</v>
      </c>
      <c r="AH6" s="60" t="s">
        <v>727</v>
      </c>
      <c r="AI6" s="60" t="s">
        <v>218</v>
      </c>
      <c r="AJ6" s="60">
        <v>0</v>
      </c>
      <c r="AK6" s="60">
        <v>4.0181899070739702</v>
      </c>
      <c r="AL6" s="60">
        <v>0.57410883903503396</v>
      </c>
      <c r="AM6" s="60">
        <v>0</v>
      </c>
      <c r="AN6" s="60">
        <v>0</v>
      </c>
      <c r="AO6" s="60">
        <v>3</v>
      </c>
      <c r="AP6" s="60">
        <v>8.9999996125698003E-3</v>
      </c>
      <c r="AQ6" s="60">
        <v>0</v>
      </c>
      <c r="AR6" s="60">
        <v>100</v>
      </c>
      <c r="AS6" s="60">
        <v>1</v>
      </c>
      <c r="AT6" s="60">
        <v>94.4</v>
      </c>
      <c r="AU6" s="60">
        <v>4.09413385391235</v>
      </c>
    </row>
    <row r="7" spans="1:47" ht="15" customHeight="1" x14ac:dyDescent="0.25">
      <c r="A7" s="109">
        <v>197</v>
      </c>
      <c r="B7" s="109">
        <v>21.6</v>
      </c>
      <c r="C7" s="109">
        <v>51.4</v>
      </c>
      <c r="D7" s="109" t="s">
        <v>792</v>
      </c>
      <c r="E7" s="109">
        <v>8.9999999999999993E-3</v>
      </c>
      <c r="F7" s="109" t="s">
        <v>793</v>
      </c>
      <c r="G7" s="109" t="s">
        <v>684</v>
      </c>
      <c r="H7" s="109" t="s">
        <v>683</v>
      </c>
      <c r="I7" s="106" t="s">
        <v>229</v>
      </c>
      <c r="J7" s="109">
        <v>0</v>
      </c>
      <c r="K7" s="109">
        <v>-1.0840767621994021</v>
      </c>
      <c r="L7" s="109">
        <v>0.5224461555480957</v>
      </c>
      <c r="M7" s="109">
        <v>7.2977886199951172</v>
      </c>
      <c r="N7" s="109">
        <v>8.999999612569809E-3</v>
      </c>
      <c r="O7" s="109">
        <v>50</v>
      </c>
      <c r="P7" s="109">
        <v>1</v>
      </c>
      <c r="Q7" s="109">
        <v>252</v>
      </c>
      <c r="R7" s="109">
        <f t="shared" si="0"/>
        <v>1.0840767621994021</v>
      </c>
      <c r="T7" s="108" t="b">
        <f t="shared" si="1"/>
        <v>0</v>
      </c>
      <c r="W7" s="60">
        <v>6</v>
      </c>
      <c r="X7" s="60" t="s">
        <v>219</v>
      </c>
      <c r="Y7" s="60">
        <v>2.75540690111317E-4</v>
      </c>
      <c r="Z7" s="60">
        <v>156.4</v>
      </c>
      <c r="AA7" s="60" t="s">
        <v>792</v>
      </c>
      <c r="AB7" s="60">
        <v>8.9999999999999993E-3</v>
      </c>
      <c r="AC7" s="60"/>
      <c r="AD7" s="60" t="s">
        <v>793</v>
      </c>
      <c r="AE7" s="60"/>
      <c r="AF7" s="60"/>
      <c r="AG7" s="60" t="s">
        <v>729</v>
      </c>
      <c r="AH7" s="60" t="s">
        <v>730</v>
      </c>
      <c r="AI7" s="60" t="s">
        <v>219</v>
      </c>
      <c r="AJ7" s="60">
        <v>0</v>
      </c>
      <c r="AK7" s="60">
        <v>-13.467654228210399</v>
      </c>
      <c r="AL7" s="60">
        <v>0.70101320743560702</v>
      </c>
      <c r="AM7" s="60">
        <v>0</v>
      </c>
      <c r="AN7" s="60">
        <v>0</v>
      </c>
      <c r="AO7" s="60">
        <v>3</v>
      </c>
      <c r="AP7" s="60">
        <v>8.9999996125698003E-3</v>
      </c>
      <c r="AQ7" s="60">
        <v>0</v>
      </c>
      <c r="AR7" s="60">
        <v>150</v>
      </c>
      <c r="AS7" s="60">
        <v>1</v>
      </c>
      <c r="AT7" s="60">
        <v>156.4</v>
      </c>
      <c r="AU7" s="60">
        <v>11.562043190002401</v>
      </c>
    </row>
    <row r="8" spans="1:47" ht="15" customHeight="1" x14ac:dyDescent="0.25">
      <c r="A8" s="109">
        <v>196</v>
      </c>
      <c r="B8" s="109">
        <v>53.9</v>
      </c>
      <c r="C8" s="109">
        <v>51.4</v>
      </c>
      <c r="D8" s="109" t="s">
        <v>792</v>
      </c>
      <c r="E8" s="109">
        <v>8.9999999999999993E-3</v>
      </c>
      <c r="F8" s="109" t="s">
        <v>793</v>
      </c>
      <c r="G8" s="109" t="s">
        <v>685</v>
      </c>
      <c r="H8" s="109" t="s">
        <v>684</v>
      </c>
      <c r="I8" s="106" t="s">
        <v>265</v>
      </c>
      <c r="J8" s="109">
        <v>0</v>
      </c>
      <c r="K8" s="109">
        <v>-0.65045499801635742</v>
      </c>
      <c r="L8" s="109">
        <v>0.31347203254699713</v>
      </c>
      <c r="M8" s="109">
        <v>2.6272718906402588</v>
      </c>
      <c r="N8" s="109">
        <v>8.999999612569809E-3</v>
      </c>
      <c r="O8" s="109">
        <v>50</v>
      </c>
      <c r="P8" s="109">
        <v>1</v>
      </c>
      <c r="Q8" s="109">
        <v>252</v>
      </c>
      <c r="R8" s="109">
        <f t="shared" si="0"/>
        <v>0.65045499801635742</v>
      </c>
      <c r="T8" s="108" t="b">
        <f t="shared" si="1"/>
        <v>0</v>
      </c>
      <c r="W8" s="60">
        <v>7</v>
      </c>
      <c r="X8" s="60" t="s">
        <v>221</v>
      </c>
      <c r="Y8" s="60">
        <v>3.1664582597028902E-4</v>
      </c>
      <c r="Z8" s="60">
        <v>156.4</v>
      </c>
      <c r="AA8" s="60" t="s">
        <v>792</v>
      </c>
      <c r="AB8" s="60">
        <v>8.9999999999999993E-3</v>
      </c>
      <c r="AC8" s="60"/>
      <c r="AD8" s="60" t="s">
        <v>793</v>
      </c>
      <c r="AE8" s="60"/>
      <c r="AF8" s="60"/>
      <c r="AG8" s="60" t="s">
        <v>730</v>
      </c>
      <c r="AH8" s="60" t="s">
        <v>731</v>
      </c>
      <c r="AI8" s="60" t="s">
        <v>221</v>
      </c>
      <c r="AJ8" s="60">
        <v>0</v>
      </c>
      <c r="AK8" s="60">
        <v>-13.838514328002899</v>
      </c>
      <c r="AL8" s="60">
        <v>0.72031712532043402</v>
      </c>
      <c r="AM8" s="60">
        <v>0</v>
      </c>
      <c r="AN8" s="60">
        <v>0</v>
      </c>
      <c r="AO8" s="60">
        <v>3</v>
      </c>
      <c r="AP8" s="60">
        <v>8.9999996125698003E-3</v>
      </c>
      <c r="AQ8" s="60">
        <v>0</v>
      </c>
      <c r="AR8" s="60">
        <v>150</v>
      </c>
      <c r="AS8" s="60">
        <v>1</v>
      </c>
      <c r="AT8" s="60">
        <v>156.4</v>
      </c>
      <c r="AU8" s="60">
        <v>11.869157791137599</v>
      </c>
    </row>
    <row r="9" spans="1:47" ht="15" customHeight="1" x14ac:dyDescent="0.2">
      <c r="A9" s="109">
        <v>195</v>
      </c>
      <c r="B9" s="109">
        <v>30</v>
      </c>
      <c r="C9" s="109">
        <v>51.4</v>
      </c>
      <c r="D9" s="109" t="s">
        <v>792</v>
      </c>
      <c r="E9" s="109">
        <v>8.9999999999999993E-3</v>
      </c>
      <c r="F9" s="109" t="s">
        <v>793</v>
      </c>
      <c r="G9" s="109" t="s">
        <v>418</v>
      </c>
      <c r="H9" s="109" t="s">
        <v>685</v>
      </c>
      <c r="I9" s="78" t="s">
        <v>434</v>
      </c>
      <c r="J9" s="109">
        <v>0</v>
      </c>
      <c r="K9" s="109">
        <v>0</v>
      </c>
      <c r="L9" s="109">
        <v>0</v>
      </c>
      <c r="M9" s="109">
        <v>0</v>
      </c>
      <c r="N9" s="109">
        <v>8.999999612569809E-3</v>
      </c>
      <c r="O9" s="109">
        <v>50</v>
      </c>
      <c r="P9" s="109">
        <v>1</v>
      </c>
      <c r="Q9" s="109">
        <v>252</v>
      </c>
      <c r="R9" s="109">
        <f t="shared" si="0"/>
        <v>0</v>
      </c>
      <c r="T9" s="108" t="b">
        <f t="shared" si="1"/>
        <v>0</v>
      </c>
      <c r="W9" s="60">
        <v>8</v>
      </c>
      <c r="X9" s="60" t="s">
        <v>222</v>
      </c>
      <c r="Y9" s="60">
        <v>4.41671667825337E-4</v>
      </c>
      <c r="Z9" s="60">
        <v>156.4</v>
      </c>
      <c r="AA9" s="60" t="s">
        <v>792</v>
      </c>
      <c r="AB9" s="60">
        <v>8.9999999999999993E-3</v>
      </c>
      <c r="AC9" s="60"/>
      <c r="AD9" s="60" t="s">
        <v>793</v>
      </c>
      <c r="AE9" s="60"/>
      <c r="AF9" s="60"/>
      <c r="AG9" s="60" t="s">
        <v>731</v>
      </c>
      <c r="AH9" s="60" t="s">
        <v>732</v>
      </c>
      <c r="AI9" s="60" t="s">
        <v>222</v>
      </c>
      <c r="AJ9" s="60">
        <v>0</v>
      </c>
      <c r="AK9" s="60">
        <v>-14.317781448364199</v>
      </c>
      <c r="AL9" s="60">
        <v>0.74526375532150202</v>
      </c>
      <c r="AM9" s="60">
        <v>0</v>
      </c>
      <c r="AN9" s="60">
        <v>0</v>
      </c>
      <c r="AO9" s="60">
        <v>3</v>
      </c>
      <c r="AP9" s="60">
        <v>8.9999996125698003E-3</v>
      </c>
      <c r="AQ9" s="60">
        <v>0</v>
      </c>
      <c r="AR9" s="60">
        <v>150</v>
      </c>
      <c r="AS9" s="60">
        <v>1</v>
      </c>
      <c r="AT9" s="60">
        <v>156.4</v>
      </c>
      <c r="AU9" s="60">
        <v>12.266042709350501</v>
      </c>
    </row>
    <row r="10" spans="1:47" ht="15" customHeight="1" x14ac:dyDescent="0.2">
      <c r="A10" s="109">
        <v>102</v>
      </c>
      <c r="B10" s="109">
        <v>217.9</v>
      </c>
      <c r="C10" s="109">
        <v>299.8</v>
      </c>
      <c r="D10" s="109" t="s">
        <v>792</v>
      </c>
      <c r="E10" s="109">
        <v>8.9999999999999993E-3</v>
      </c>
      <c r="F10" s="109" t="s">
        <v>793</v>
      </c>
      <c r="G10" s="109" t="s">
        <v>686</v>
      </c>
      <c r="H10" s="109" t="s">
        <v>687</v>
      </c>
      <c r="I10" s="60" t="s">
        <v>258</v>
      </c>
      <c r="J10" s="109">
        <v>0</v>
      </c>
      <c r="K10" s="109">
        <v>76.201789855957031</v>
      </c>
      <c r="L10" s="109">
        <v>1.0794677734375</v>
      </c>
      <c r="M10" s="109">
        <v>2.9690921306610112</v>
      </c>
      <c r="N10" s="109">
        <v>8.999999612569809E-3</v>
      </c>
      <c r="O10" s="109">
        <v>300</v>
      </c>
      <c r="P10" s="109">
        <v>1</v>
      </c>
      <c r="Q10" s="109">
        <v>156.4</v>
      </c>
      <c r="R10" s="109">
        <f t="shared" si="0"/>
        <v>76.201789855957031</v>
      </c>
      <c r="T10" s="108" t="b">
        <f t="shared" si="1"/>
        <v>0</v>
      </c>
      <c r="W10" s="60">
        <v>9</v>
      </c>
      <c r="X10" s="60" t="s">
        <v>223</v>
      </c>
      <c r="Y10" s="60">
        <v>8.0115154446237097E-4</v>
      </c>
      <c r="Z10" s="60">
        <v>156.4</v>
      </c>
      <c r="AA10" s="60" t="s">
        <v>792</v>
      </c>
      <c r="AB10" s="60">
        <v>8.9999999999999993E-3</v>
      </c>
      <c r="AC10" s="60"/>
      <c r="AD10" s="60" t="s">
        <v>793</v>
      </c>
      <c r="AE10" s="60"/>
      <c r="AF10" s="60"/>
      <c r="AG10" s="60" t="s">
        <v>732</v>
      </c>
      <c r="AH10" s="60" t="s">
        <v>733</v>
      </c>
      <c r="AI10" s="60" t="s">
        <v>223</v>
      </c>
      <c r="AJ10" s="60">
        <v>0</v>
      </c>
      <c r="AK10" s="60">
        <v>-15.105146408081</v>
      </c>
      <c r="AL10" s="60">
        <v>0.78624737262725797</v>
      </c>
      <c r="AM10" s="60">
        <v>0</v>
      </c>
      <c r="AN10" s="60">
        <v>0</v>
      </c>
      <c r="AO10" s="60">
        <v>3</v>
      </c>
      <c r="AP10" s="60">
        <v>8.9999996125698003E-3</v>
      </c>
      <c r="AQ10" s="60">
        <v>0</v>
      </c>
      <c r="AR10" s="60">
        <v>150</v>
      </c>
      <c r="AS10" s="60">
        <v>1</v>
      </c>
      <c r="AT10" s="60">
        <v>156.4</v>
      </c>
      <c r="AU10" s="60">
        <v>12.9180688858032</v>
      </c>
    </row>
    <row r="11" spans="1:47" ht="15" customHeight="1" x14ac:dyDescent="0.2">
      <c r="A11" s="109">
        <v>105</v>
      </c>
      <c r="B11" s="109">
        <v>100.8</v>
      </c>
      <c r="C11" s="109">
        <v>299.8</v>
      </c>
      <c r="D11" s="109" t="s">
        <v>792</v>
      </c>
      <c r="E11" s="109">
        <v>8.9999999999999993E-3</v>
      </c>
      <c r="F11" s="109" t="s">
        <v>793</v>
      </c>
      <c r="G11" s="109" t="s">
        <v>687</v>
      </c>
      <c r="H11" s="109" t="s">
        <v>688</v>
      </c>
      <c r="I11" s="60" t="s">
        <v>259</v>
      </c>
      <c r="J11" s="109">
        <v>0</v>
      </c>
      <c r="K11" s="109">
        <v>74.381721496582031</v>
      </c>
      <c r="L11" s="109">
        <v>1.0536848306655879</v>
      </c>
      <c r="M11" s="109">
        <v>2.8290078639984131</v>
      </c>
      <c r="N11" s="109">
        <v>8.999999612569809E-3</v>
      </c>
      <c r="O11" s="109">
        <v>300</v>
      </c>
      <c r="P11" s="109">
        <v>1</v>
      </c>
      <c r="Q11" s="109">
        <v>156.4</v>
      </c>
      <c r="R11" s="109">
        <f t="shared" si="0"/>
        <v>74.381721496582031</v>
      </c>
      <c r="T11" s="108" t="b">
        <f t="shared" si="1"/>
        <v>0</v>
      </c>
      <c r="W11" s="60">
        <v>10</v>
      </c>
      <c r="X11" s="60" t="s">
        <v>225</v>
      </c>
      <c r="Y11" s="60">
        <v>3.3785702150500698E-4</v>
      </c>
      <c r="Z11" s="60">
        <v>156.4</v>
      </c>
      <c r="AA11" s="60" t="s">
        <v>792</v>
      </c>
      <c r="AB11" s="60">
        <v>8.9999999999999993E-3</v>
      </c>
      <c r="AC11" s="60"/>
      <c r="AD11" s="60" t="s">
        <v>793</v>
      </c>
      <c r="AE11" s="60"/>
      <c r="AF11" s="60"/>
      <c r="AG11" s="60" t="s">
        <v>734</v>
      </c>
      <c r="AH11" s="60" t="s">
        <v>735</v>
      </c>
      <c r="AI11" s="60" t="s">
        <v>225</v>
      </c>
      <c r="AJ11" s="60">
        <v>0</v>
      </c>
      <c r="AK11" s="60">
        <v>-16.702699661254801</v>
      </c>
      <c r="AL11" s="60">
        <v>0.86940264701843195</v>
      </c>
      <c r="AM11" s="60">
        <v>0</v>
      </c>
      <c r="AN11" s="60">
        <v>0</v>
      </c>
      <c r="AO11" s="60">
        <v>3</v>
      </c>
      <c r="AP11" s="60">
        <v>8.9999996125698003E-3</v>
      </c>
      <c r="AQ11" s="60">
        <v>0</v>
      </c>
      <c r="AR11" s="60">
        <v>150</v>
      </c>
      <c r="AS11" s="60">
        <v>1</v>
      </c>
      <c r="AT11" s="60">
        <v>156.4</v>
      </c>
      <c r="AU11" s="60">
        <v>14.241019248962401</v>
      </c>
    </row>
    <row r="12" spans="1:47" ht="15" customHeight="1" x14ac:dyDescent="0.2">
      <c r="A12" s="109">
        <v>106</v>
      </c>
      <c r="B12" s="109">
        <v>149.1</v>
      </c>
      <c r="C12" s="109">
        <v>299.8</v>
      </c>
      <c r="D12" s="109" t="s">
        <v>792</v>
      </c>
      <c r="E12" s="109">
        <v>8.9999999999999993E-3</v>
      </c>
      <c r="F12" s="109" t="s">
        <v>793</v>
      </c>
      <c r="G12" s="109" t="s">
        <v>688</v>
      </c>
      <c r="H12" s="109" t="s">
        <v>689</v>
      </c>
      <c r="I12" s="60" t="s">
        <v>261</v>
      </c>
      <c r="J12" s="109">
        <v>0</v>
      </c>
      <c r="K12" s="109">
        <v>72.955329895019531</v>
      </c>
      <c r="L12" s="109">
        <v>1.033478736877441</v>
      </c>
      <c r="M12" s="109">
        <v>2.721466064453125</v>
      </c>
      <c r="N12" s="109">
        <v>8.999999612569809E-3</v>
      </c>
      <c r="O12" s="109">
        <v>300</v>
      </c>
      <c r="P12" s="109">
        <v>1</v>
      </c>
      <c r="Q12" s="109">
        <v>156.4</v>
      </c>
      <c r="R12" s="109">
        <f t="shared" si="0"/>
        <v>72.955329895019531</v>
      </c>
      <c r="T12" s="108" t="b">
        <f t="shared" si="1"/>
        <v>0</v>
      </c>
      <c r="W12" s="60">
        <v>11</v>
      </c>
      <c r="X12" s="60" t="s">
        <v>224</v>
      </c>
      <c r="Y12" s="60">
        <v>6.94088665235566E-4</v>
      </c>
      <c r="Z12" s="60">
        <v>156.4</v>
      </c>
      <c r="AA12" s="60" t="s">
        <v>792</v>
      </c>
      <c r="AB12" s="60">
        <v>8.9999999999999993E-3</v>
      </c>
      <c r="AC12" s="60"/>
      <c r="AD12" s="60" t="s">
        <v>793</v>
      </c>
      <c r="AE12" s="60"/>
      <c r="AF12" s="60"/>
      <c r="AG12" s="60" t="s">
        <v>733</v>
      </c>
      <c r="AH12" s="60" t="s">
        <v>734</v>
      </c>
      <c r="AI12" s="60" t="s">
        <v>224</v>
      </c>
      <c r="AJ12" s="60">
        <v>0</v>
      </c>
      <c r="AK12" s="60">
        <v>-16.052268981933501</v>
      </c>
      <c r="AL12" s="60">
        <v>0.83554661273956299</v>
      </c>
      <c r="AM12" s="60">
        <v>13.4013967514038</v>
      </c>
      <c r="AN12" s="60">
        <v>0</v>
      </c>
      <c r="AO12" s="60">
        <v>3</v>
      </c>
      <c r="AP12" s="60">
        <v>8.9999996125698003E-3</v>
      </c>
      <c r="AQ12" s="60">
        <v>0</v>
      </c>
      <c r="AR12" s="60">
        <v>150</v>
      </c>
      <c r="AS12" s="60">
        <v>1</v>
      </c>
      <c r="AT12" s="60">
        <v>156.4</v>
      </c>
      <c r="AU12" s="60">
        <v>13.702389717101999</v>
      </c>
    </row>
    <row r="13" spans="1:47" ht="15" customHeight="1" x14ac:dyDescent="0.2">
      <c r="A13" s="109">
        <v>107</v>
      </c>
      <c r="B13" s="109">
        <v>259.89999999999998</v>
      </c>
      <c r="C13" s="109">
        <v>299.8</v>
      </c>
      <c r="D13" s="109" t="s">
        <v>792</v>
      </c>
      <c r="E13" s="109">
        <v>8.9999999999999993E-3</v>
      </c>
      <c r="F13" s="109" t="s">
        <v>793</v>
      </c>
      <c r="G13" s="109" t="s">
        <v>689</v>
      </c>
      <c r="H13" s="109" t="s">
        <v>690</v>
      </c>
      <c r="I13" s="60" t="s">
        <v>260</v>
      </c>
      <c r="J13" s="109">
        <v>0</v>
      </c>
      <c r="K13" s="109">
        <v>70.62176513671875</v>
      </c>
      <c r="L13" s="109">
        <v>1.0004216432571409</v>
      </c>
      <c r="M13" s="109">
        <v>2.5501632690429692</v>
      </c>
      <c r="N13" s="109">
        <v>8.999999612569809E-3</v>
      </c>
      <c r="O13" s="109">
        <v>300</v>
      </c>
      <c r="P13" s="109">
        <v>1</v>
      </c>
      <c r="Q13" s="109">
        <v>156.4</v>
      </c>
      <c r="R13" s="109">
        <f t="shared" si="0"/>
        <v>70.62176513671875</v>
      </c>
      <c r="T13" s="108" t="b">
        <f t="shared" si="1"/>
        <v>0</v>
      </c>
      <c r="W13" s="60">
        <v>12</v>
      </c>
      <c r="X13" s="60" t="s">
        <v>226</v>
      </c>
      <c r="Y13" s="60">
        <v>1.1638712325869401E-3</v>
      </c>
      <c r="Z13" s="60">
        <v>156.4</v>
      </c>
      <c r="AA13" s="60" t="s">
        <v>792</v>
      </c>
      <c r="AB13" s="60">
        <v>8.9999999999999993E-3</v>
      </c>
      <c r="AC13" s="60"/>
      <c r="AD13" s="60" t="s">
        <v>793</v>
      </c>
      <c r="AE13" s="60"/>
      <c r="AF13" s="60"/>
      <c r="AG13" s="60" t="s">
        <v>735</v>
      </c>
      <c r="AH13" s="60" t="s">
        <v>736</v>
      </c>
      <c r="AI13" s="60" t="s">
        <v>226</v>
      </c>
      <c r="AJ13" s="60">
        <v>0</v>
      </c>
      <c r="AK13" s="60">
        <v>-17.6498203277587</v>
      </c>
      <c r="AL13" s="60">
        <v>0.91870182752609197</v>
      </c>
      <c r="AM13" s="60">
        <v>0</v>
      </c>
      <c r="AN13" s="60">
        <v>0</v>
      </c>
      <c r="AO13" s="60">
        <v>3</v>
      </c>
      <c r="AP13" s="60">
        <v>8.9999996125698003E-3</v>
      </c>
      <c r="AQ13" s="60">
        <v>0</v>
      </c>
      <c r="AR13" s="60">
        <v>150</v>
      </c>
      <c r="AS13" s="60">
        <v>1</v>
      </c>
      <c r="AT13" s="60">
        <v>156.4</v>
      </c>
      <c r="AU13" s="60">
        <v>15.025341033935501</v>
      </c>
    </row>
    <row r="14" spans="1:47" ht="15" customHeight="1" x14ac:dyDescent="0.25">
      <c r="A14" s="109">
        <v>98</v>
      </c>
      <c r="B14" s="109">
        <v>174</v>
      </c>
      <c r="C14" s="109">
        <v>204.2</v>
      </c>
      <c r="D14" s="109" t="s">
        <v>792</v>
      </c>
      <c r="E14" s="109">
        <v>8.9999999999999993E-3</v>
      </c>
      <c r="F14" s="109" t="s">
        <v>793</v>
      </c>
      <c r="G14" s="109" t="s">
        <v>591</v>
      </c>
      <c r="H14" s="109" t="s">
        <v>590</v>
      </c>
      <c r="I14" t="s">
        <v>176</v>
      </c>
      <c r="J14" s="109">
        <v>0</v>
      </c>
      <c r="K14" s="109">
        <v>-25.216728210449219</v>
      </c>
      <c r="L14" s="109">
        <v>0.76998990774154663</v>
      </c>
      <c r="M14" s="109">
        <v>2.520509004592896</v>
      </c>
      <c r="N14" s="109">
        <v>8.999999612569809E-3</v>
      </c>
      <c r="O14" s="109">
        <v>200</v>
      </c>
      <c r="P14" s="109">
        <v>1</v>
      </c>
      <c r="Q14" s="109">
        <v>156.4</v>
      </c>
      <c r="R14" s="109">
        <f t="shared" si="0"/>
        <v>25.216728210449219</v>
      </c>
      <c r="T14" s="108" t="b">
        <f t="shared" si="1"/>
        <v>0</v>
      </c>
      <c r="W14" s="60">
        <v>13</v>
      </c>
      <c r="X14" s="60" t="s">
        <v>228</v>
      </c>
      <c r="Y14" s="60">
        <v>7.7095492701558898E-4</v>
      </c>
      <c r="Z14" s="60">
        <v>156.4</v>
      </c>
      <c r="AA14" s="60" t="s">
        <v>792</v>
      </c>
      <c r="AB14" s="60">
        <v>8.9999999999999993E-3</v>
      </c>
      <c r="AC14" s="60"/>
      <c r="AD14" s="60" t="s">
        <v>793</v>
      </c>
      <c r="AE14" s="60"/>
      <c r="AF14" s="60"/>
      <c r="AG14" s="60" t="s">
        <v>736</v>
      </c>
      <c r="AH14" s="60" t="s">
        <v>737</v>
      </c>
      <c r="AI14" s="60" t="s">
        <v>228</v>
      </c>
      <c r="AJ14" s="60">
        <v>0</v>
      </c>
      <c r="AK14" s="60">
        <v>-18.8708095550537</v>
      </c>
      <c r="AL14" s="60">
        <v>0.98225623369216897</v>
      </c>
      <c r="AM14" s="60">
        <v>12.0652418136596</v>
      </c>
      <c r="AN14" s="60">
        <v>0</v>
      </c>
      <c r="AO14" s="60">
        <v>3</v>
      </c>
      <c r="AP14" s="60">
        <v>8.9999996125698003E-3</v>
      </c>
      <c r="AQ14" s="60">
        <v>0</v>
      </c>
      <c r="AR14" s="60">
        <v>150</v>
      </c>
      <c r="AS14" s="60">
        <v>1</v>
      </c>
      <c r="AT14" s="60">
        <v>156.4</v>
      </c>
      <c r="AU14" s="60">
        <v>16.036455154418899</v>
      </c>
    </row>
    <row r="15" spans="1:47" ht="15" customHeight="1" x14ac:dyDescent="0.2">
      <c r="A15" s="109">
        <v>108</v>
      </c>
      <c r="B15" s="109">
        <v>80.599999999999994</v>
      </c>
      <c r="C15" s="109">
        <v>299.8</v>
      </c>
      <c r="D15" s="109" t="s">
        <v>792</v>
      </c>
      <c r="E15" s="109">
        <v>8.9999999999999993E-3</v>
      </c>
      <c r="F15" s="109" t="s">
        <v>793</v>
      </c>
      <c r="G15" s="109" t="s">
        <v>690</v>
      </c>
      <c r="H15" s="109" t="s">
        <v>701</v>
      </c>
      <c r="I15" s="60" t="s">
        <v>410</v>
      </c>
      <c r="J15" s="109">
        <v>0</v>
      </c>
      <c r="K15" s="109">
        <v>68.676170349121094</v>
      </c>
      <c r="L15" s="109">
        <v>0.97286051511764526</v>
      </c>
      <c r="M15" s="109">
        <v>2.411648035049438</v>
      </c>
      <c r="N15" s="109">
        <v>8.999999612569809E-3</v>
      </c>
      <c r="O15" s="109">
        <v>300</v>
      </c>
      <c r="P15" s="109">
        <v>1</v>
      </c>
      <c r="Q15" s="109">
        <v>108.4</v>
      </c>
      <c r="R15" s="109">
        <f t="shared" si="0"/>
        <v>68.676170349121094</v>
      </c>
      <c r="T15" s="108" t="b">
        <f t="shared" si="1"/>
        <v>0</v>
      </c>
      <c r="W15" s="60">
        <v>14</v>
      </c>
      <c r="X15" s="60" t="s">
        <v>227</v>
      </c>
      <c r="Y15" s="60">
        <v>6.7597616706428201E-4</v>
      </c>
      <c r="Z15" s="60">
        <v>156.4</v>
      </c>
      <c r="AA15" s="60" t="s">
        <v>792</v>
      </c>
      <c r="AB15" s="60">
        <v>8.9999999999999993E-3</v>
      </c>
      <c r="AC15" s="60"/>
      <c r="AD15" s="60" t="s">
        <v>793</v>
      </c>
      <c r="AE15" s="60"/>
      <c r="AF15" s="60"/>
      <c r="AG15" s="60" t="s">
        <v>737</v>
      </c>
      <c r="AH15" s="60" t="s">
        <v>738</v>
      </c>
      <c r="AI15" s="60" t="s">
        <v>227</v>
      </c>
      <c r="AJ15" s="60">
        <v>0</v>
      </c>
      <c r="AK15" s="60">
        <v>-19.783697128295898</v>
      </c>
      <c r="AL15" s="60">
        <v>1.02977359294891</v>
      </c>
      <c r="AM15" s="60">
        <v>0</v>
      </c>
      <c r="AN15" s="60">
        <v>0</v>
      </c>
      <c r="AO15" s="60">
        <v>3</v>
      </c>
      <c r="AP15" s="60">
        <v>8.9999996125698003E-3</v>
      </c>
      <c r="AQ15" s="60">
        <v>0</v>
      </c>
      <c r="AR15" s="60">
        <v>150</v>
      </c>
      <c r="AS15" s="60">
        <v>1</v>
      </c>
      <c r="AT15" s="60">
        <v>156.4</v>
      </c>
      <c r="AU15" s="60">
        <v>16.7924270629882</v>
      </c>
    </row>
    <row r="16" spans="1:47" ht="15" customHeight="1" x14ac:dyDescent="0.25">
      <c r="A16" s="109">
        <v>124</v>
      </c>
      <c r="B16" s="109">
        <v>58.9</v>
      </c>
      <c r="C16" s="109">
        <v>156.4</v>
      </c>
      <c r="D16" s="109" t="s">
        <v>792</v>
      </c>
      <c r="E16" s="109">
        <v>8.9999999999999993E-3</v>
      </c>
      <c r="F16" s="109" t="s">
        <v>793</v>
      </c>
      <c r="G16" s="109" t="s">
        <v>691</v>
      </c>
      <c r="H16" s="109" t="s">
        <v>622</v>
      </c>
      <c r="I16" t="s">
        <v>413</v>
      </c>
      <c r="J16" s="109">
        <v>0</v>
      </c>
      <c r="K16" s="109">
        <v>-8.0635652542114258</v>
      </c>
      <c r="L16" s="109">
        <v>0.41972163319587708</v>
      </c>
      <c r="M16" s="109">
        <v>1.068596720695496</v>
      </c>
      <c r="N16" s="109">
        <v>8.999999612569809E-3</v>
      </c>
      <c r="O16" s="109">
        <v>150</v>
      </c>
      <c r="P16" s="109">
        <v>1</v>
      </c>
      <c r="Q16" s="109">
        <v>204.2</v>
      </c>
      <c r="R16" s="109">
        <f t="shared" si="0"/>
        <v>8.0635652542114258</v>
      </c>
      <c r="T16" s="108" t="b">
        <f t="shared" si="1"/>
        <v>0</v>
      </c>
      <c r="W16" s="60">
        <v>15</v>
      </c>
      <c r="X16" s="60" t="s">
        <v>429</v>
      </c>
      <c r="Y16" s="60">
        <v>7.5300854791439603E-4</v>
      </c>
      <c r="Z16" s="60">
        <v>156.4</v>
      </c>
      <c r="AA16" s="60" t="s">
        <v>792</v>
      </c>
      <c r="AB16" s="60">
        <v>8.9999999999999993E-3</v>
      </c>
      <c r="AC16" s="60"/>
      <c r="AD16" s="60" t="s">
        <v>793</v>
      </c>
      <c r="AE16" s="60"/>
      <c r="AF16" s="60"/>
      <c r="AG16" s="60" t="s">
        <v>738</v>
      </c>
      <c r="AH16" s="60" t="s">
        <v>739</v>
      </c>
      <c r="AI16" s="60" t="s">
        <v>429</v>
      </c>
      <c r="AJ16" s="60">
        <v>0</v>
      </c>
      <c r="AK16" s="60">
        <v>-20.685173034667901</v>
      </c>
      <c r="AL16" s="60">
        <v>1.0766967535018901</v>
      </c>
      <c r="AM16" s="60">
        <v>12.3527917861938</v>
      </c>
      <c r="AN16" s="60">
        <v>0</v>
      </c>
      <c r="AO16" s="60">
        <v>3</v>
      </c>
      <c r="AP16" s="60">
        <v>8.9999996125698003E-3</v>
      </c>
      <c r="AQ16" s="60">
        <v>0</v>
      </c>
      <c r="AR16" s="60">
        <v>150</v>
      </c>
      <c r="AS16" s="60">
        <v>1</v>
      </c>
      <c r="AT16" s="60">
        <v>156.4</v>
      </c>
      <c r="AU16" s="60">
        <v>17.5389499664306</v>
      </c>
    </row>
    <row r="17" spans="1:47" ht="15" customHeight="1" x14ac:dyDescent="0.25">
      <c r="A17" s="109">
        <v>119</v>
      </c>
      <c r="B17" s="109">
        <v>233.8</v>
      </c>
      <c r="C17" s="109">
        <v>100</v>
      </c>
      <c r="D17" s="109" t="s">
        <v>792</v>
      </c>
      <c r="E17" s="109">
        <v>8.9999999999999993E-3</v>
      </c>
      <c r="F17" s="109" t="s">
        <v>793</v>
      </c>
      <c r="G17" s="109" t="s">
        <v>692</v>
      </c>
      <c r="H17" s="109" t="s">
        <v>691</v>
      </c>
      <c r="I17" t="s">
        <v>263</v>
      </c>
      <c r="J17" s="109">
        <v>0</v>
      </c>
      <c r="K17" s="109">
        <v>-6.3918390274047852</v>
      </c>
      <c r="L17" s="109">
        <v>0.81382983922958374</v>
      </c>
      <c r="M17" s="109">
        <v>7.292689323425293</v>
      </c>
      <c r="N17" s="109">
        <v>8.999999612569809E-3</v>
      </c>
      <c r="O17" s="109">
        <v>100</v>
      </c>
      <c r="P17" s="109">
        <v>1</v>
      </c>
      <c r="Q17" s="109">
        <v>204.2</v>
      </c>
      <c r="R17" s="109">
        <f t="shared" si="0"/>
        <v>6.3918390274047852</v>
      </c>
      <c r="T17" s="108" t="b">
        <f t="shared" si="1"/>
        <v>0</v>
      </c>
      <c r="W17" s="60">
        <v>16</v>
      </c>
      <c r="X17" s="60" t="s">
        <v>285</v>
      </c>
      <c r="Y17" s="60">
        <v>7.6295047302575201E-4</v>
      </c>
      <c r="Z17" s="60">
        <v>156.4</v>
      </c>
      <c r="AA17" s="60" t="s">
        <v>792</v>
      </c>
      <c r="AB17" s="60">
        <v>8.9999999999999993E-3</v>
      </c>
      <c r="AC17" s="60"/>
      <c r="AD17" s="60" t="s">
        <v>793</v>
      </c>
      <c r="AE17" s="60"/>
      <c r="AF17" s="60"/>
      <c r="AG17" s="60" t="s">
        <v>739</v>
      </c>
      <c r="AH17" s="60" t="s">
        <v>740</v>
      </c>
      <c r="AI17" s="60" t="s">
        <v>285</v>
      </c>
      <c r="AJ17" s="60">
        <v>0</v>
      </c>
      <c r="AK17" s="60">
        <v>-21.6380004882812</v>
      </c>
      <c r="AL17" s="60">
        <v>1.12629306316375</v>
      </c>
      <c r="AM17" s="60">
        <v>12.191823959350501</v>
      </c>
      <c r="AN17" s="60">
        <v>0</v>
      </c>
      <c r="AO17" s="60">
        <v>3</v>
      </c>
      <c r="AP17" s="60">
        <v>8.9999996125698003E-3</v>
      </c>
      <c r="AQ17" s="60">
        <v>0</v>
      </c>
      <c r="AR17" s="60">
        <v>150</v>
      </c>
      <c r="AS17" s="60">
        <v>1</v>
      </c>
      <c r="AT17" s="60">
        <v>156.4</v>
      </c>
      <c r="AU17" s="60">
        <v>18.327995300292901</v>
      </c>
    </row>
    <row r="18" spans="1:47" ht="15" customHeight="1" x14ac:dyDescent="0.25">
      <c r="A18" s="109">
        <v>120</v>
      </c>
      <c r="B18" s="109">
        <v>73.8</v>
      </c>
      <c r="C18" s="109">
        <v>100</v>
      </c>
      <c r="D18" s="109" t="s">
        <v>792</v>
      </c>
      <c r="E18" s="109">
        <v>8.9999999999999993E-3</v>
      </c>
      <c r="F18" s="109" t="s">
        <v>793</v>
      </c>
      <c r="G18" s="109" t="s">
        <v>693</v>
      </c>
      <c r="H18" s="109" t="s">
        <v>692</v>
      </c>
      <c r="I18" t="s">
        <v>264</v>
      </c>
      <c r="J18" s="109">
        <v>0</v>
      </c>
      <c r="K18" s="109">
        <v>-4.6345300674438477</v>
      </c>
      <c r="L18" s="109">
        <v>0.59008347988128662</v>
      </c>
      <c r="M18" s="109">
        <v>3.8339500427246089</v>
      </c>
      <c r="N18" s="109">
        <v>8.999999612569809E-3</v>
      </c>
      <c r="O18" s="109">
        <v>100</v>
      </c>
      <c r="P18" s="109">
        <v>1</v>
      </c>
      <c r="Q18" s="109">
        <v>204.2</v>
      </c>
      <c r="R18" s="109">
        <f t="shared" si="0"/>
        <v>4.6345300674438477</v>
      </c>
      <c r="T18" s="108" t="b">
        <f t="shared" si="1"/>
        <v>0</v>
      </c>
      <c r="W18" s="60">
        <v>17</v>
      </c>
      <c r="X18" s="60" t="s">
        <v>284</v>
      </c>
      <c r="Y18" s="60">
        <v>7.0207309553711099E-4</v>
      </c>
      <c r="Z18" s="60">
        <v>156.4</v>
      </c>
      <c r="AA18" s="60" t="s">
        <v>792</v>
      </c>
      <c r="AB18" s="60">
        <v>8.9999999999999993E-3</v>
      </c>
      <c r="AC18" s="60"/>
      <c r="AD18" s="60" t="s">
        <v>793</v>
      </c>
      <c r="AE18" s="60"/>
      <c r="AF18" s="60"/>
      <c r="AG18" s="60" t="s">
        <v>740</v>
      </c>
      <c r="AH18" s="60" t="s">
        <v>741</v>
      </c>
      <c r="AI18" s="60" t="s">
        <v>284</v>
      </c>
      <c r="AJ18" s="60">
        <v>0</v>
      </c>
      <c r="AK18" s="60">
        <v>-22.562299728393501</v>
      </c>
      <c r="AL18" s="60">
        <v>1.17440426349639</v>
      </c>
      <c r="AM18" s="60">
        <v>0</v>
      </c>
      <c r="AN18" s="60">
        <v>0</v>
      </c>
      <c r="AO18" s="60">
        <v>3</v>
      </c>
      <c r="AP18" s="60">
        <v>8.9999996125698003E-3</v>
      </c>
      <c r="AQ18" s="60">
        <v>0</v>
      </c>
      <c r="AR18" s="60">
        <v>150</v>
      </c>
      <c r="AS18" s="60">
        <v>1</v>
      </c>
      <c r="AT18" s="60">
        <v>156.4</v>
      </c>
      <c r="AU18" s="60">
        <v>19.093418121337798</v>
      </c>
    </row>
    <row r="19" spans="1:47" ht="15" customHeight="1" x14ac:dyDescent="0.25">
      <c r="A19" s="109">
        <v>118</v>
      </c>
      <c r="B19" s="109">
        <v>79.5</v>
      </c>
      <c r="C19" s="109">
        <v>100</v>
      </c>
      <c r="D19" s="109" t="s">
        <v>792</v>
      </c>
      <c r="E19" s="109">
        <v>8.9999999999999993E-3</v>
      </c>
      <c r="F19" s="109" t="s">
        <v>793</v>
      </c>
      <c r="G19" s="109" t="s">
        <v>694</v>
      </c>
      <c r="H19" s="109" t="s">
        <v>693</v>
      </c>
      <c r="I19" t="s">
        <v>266</v>
      </c>
      <c r="J19" s="109">
        <v>0</v>
      </c>
      <c r="K19" s="109">
        <v>-3.761581182479858</v>
      </c>
      <c r="L19" s="109">
        <v>0.47893679141998291</v>
      </c>
      <c r="M19" s="109">
        <v>2.5256319046020508</v>
      </c>
      <c r="N19" s="109">
        <v>8.999999612569809E-3</v>
      </c>
      <c r="O19" s="109">
        <v>100</v>
      </c>
      <c r="P19" s="109">
        <v>1</v>
      </c>
      <c r="Q19" s="109">
        <v>204.2</v>
      </c>
      <c r="R19" s="109">
        <f t="shared" si="0"/>
        <v>3.761581182479858</v>
      </c>
      <c r="T19" s="108" t="b">
        <f t="shared" si="1"/>
        <v>0</v>
      </c>
      <c r="W19" s="60">
        <v>18</v>
      </c>
      <c r="X19" s="60" t="s">
        <v>283</v>
      </c>
      <c r="Y19" s="60">
        <v>1.36130347922083E-3</v>
      </c>
      <c r="Z19" s="60">
        <v>156.4</v>
      </c>
      <c r="AA19" s="60" t="s">
        <v>792</v>
      </c>
      <c r="AB19" s="60">
        <v>8.9999999999999993E-3</v>
      </c>
      <c r="AC19" s="60"/>
      <c r="AD19" s="60" t="s">
        <v>793</v>
      </c>
      <c r="AE19" s="60"/>
      <c r="AF19" s="60"/>
      <c r="AG19" s="60" t="s">
        <v>741</v>
      </c>
      <c r="AH19" s="60" t="s">
        <v>742</v>
      </c>
      <c r="AI19" s="60" t="s">
        <v>283</v>
      </c>
      <c r="AJ19" s="60">
        <v>0</v>
      </c>
      <c r="AK19" s="60">
        <v>-23.868869781494102</v>
      </c>
      <c r="AL19" s="60">
        <v>1.2424134016036901</v>
      </c>
      <c r="AM19" s="60">
        <v>13.665957450866699</v>
      </c>
      <c r="AN19" s="60">
        <v>0</v>
      </c>
      <c r="AO19" s="60">
        <v>3</v>
      </c>
      <c r="AP19" s="60">
        <v>8.9999996125698003E-3</v>
      </c>
      <c r="AQ19" s="60">
        <v>0</v>
      </c>
      <c r="AR19" s="60">
        <v>150</v>
      </c>
      <c r="AS19" s="60">
        <v>1</v>
      </c>
      <c r="AT19" s="60">
        <v>156.4</v>
      </c>
      <c r="AU19" s="60">
        <v>20.1754035949707</v>
      </c>
    </row>
    <row r="20" spans="1:47" ht="15" customHeight="1" x14ac:dyDescent="0.25">
      <c r="A20" s="109">
        <v>117</v>
      </c>
      <c r="B20" s="109">
        <v>240.7</v>
      </c>
      <c r="C20" s="109">
        <v>51.4</v>
      </c>
      <c r="D20" s="109" t="s">
        <v>792</v>
      </c>
      <c r="E20" s="109">
        <v>8.9999999999999993E-3</v>
      </c>
      <c r="F20" s="109" t="s">
        <v>793</v>
      </c>
      <c r="G20" s="109" t="s">
        <v>695</v>
      </c>
      <c r="H20" s="109" t="s">
        <v>694</v>
      </c>
      <c r="I20" t="s">
        <v>276</v>
      </c>
      <c r="J20" s="109">
        <v>0</v>
      </c>
      <c r="K20" s="109">
        <v>-1.935805678367615</v>
      </c>
      <c r="L20" s="109">
        <v>0.93291759490966797</v>
      </c>
      <c r="M20" s="109">
        <v>23.269832611083981</v>
      </c>
      <c r="N20" s="109">
        <v>8.999999612569809E-3</v>
      </c>
      <c r="O20" s="109">
        <v>50</v>
      </c>
      <c r="P20" s="109">
        <v>1</v>
      </c>
      <c r="Q20" s="109">
        <v>204.2</v>
      </c>
      <c r="R20" s="109">
        <f t="shared" si="0"/>
        <v>1.935805678367615</v>
      </c>
      <c r="T20" s="108" t="b">
        <f t="shared" si="1"/>
        <v>0</v>
      </c>
      <c r="W20" s="60">
        <v>19</v>
      </c>
      <c r="X20" s="60" t="s">
        <v>280</v>
      </c>
      <c r="Y20" s="60">
        <v>4.89185400572416E-4</v>
      </c>
      <c r="Z20" s="60">
        <v>156.4</v>
      </c>
      <c r="AA20" s="60" t="s">
        <v>792</v>
      </c>
      <c r="AB20" s="60">
        <v>8.9999999999999993E-3</v>
      </c>
      <c r="AC20" s="60"/>
      <c r="AD20" s="60" t="s">
        <v>793</v>
      </c>
      <c r="AE20" s="60"/>
      <c r="AF20" s="60"/>
      <c r="AG20" s="60" t="s">
        <v>742</v>
      </c>
      <c r="AH20" s="60" t="s">
        <v>743</v>
      </c>
      <c r="AI20" s="60" t="s">
        <v>280</v>
      </c>
      <c r="AJ20" s="60">
        <v>0</v>
      </c>
      <c r="AK20" s="60">
        <v>-25.038507461547798</v>
      </c>
      <c r="AL20" s="60">
        <v>1.30329489707946</v>
      </c>
      <c r="AM20" s="60">
        <v>0</v>
      </c>
      <c r="AN20" s="60">
        <v>0</v>
      </c>
      <c r="AO20" s="60">
        <v>3</v>
      </c>
      <c r="AP20" s="60">
        <v>8.9999996125698003E-3</v>
      </c>
      <c r="AQ20" s="60">
        <v>0</v>
      </c>
      <c r="AR20" s="60">
        <v>150</v>
      </c>
      <c r="AS20" s="60">
        <v>1</v>
      </c>
      <c r="AT20" s="60">
        <v>156.4</v>
      </c>
      <c r="AU20" s="60">
        <v>21.1439914703369</v>
      </c>
    </row>
    <row r="21" spans="1:47" ht="15" customHeight="1" x14ac:dyDescent="0.25">
      <c r="A21" s="109">
        <v>116</v>
      </c>
      <c r="B21" s="109">
        <v>60.7</v>
      </c>
      <c r="C21" s="109">
        <v>51.4</v>
      </c>
      <c r="D21" s="109" t="s">
        <v>792</v>
      </c>
      <c r="E21" s="109">
        <v>8.9999999999999993E-3</v>
      </c>
      <c r="F21" s="109" t="s">
        <v>793</v>
      </c>
      <c r="G21" s="109" t="s">
        <v>696</v>
      </c>
      <c r="H21" s="109" t="s">
        <v>695</v>
      </c>
      <c r="I21" t="s">
        <v>316</v>
      </c>
      <c r="J21" s="109">
        <v>0</v>
      </c>
      <c r="K21" s="109">
        <v>-0.2127297967672348</v>
      </c>
      <c r="L21" s="109">
        <v>0.1025203019380569</v>
      </c>
      <c r="M21" s="109">
        <v>0.28104487061500549</v>
      </c>
      <c r="N21" s="109">
        <v>8.999999612569809E-3</v>
      </c>
      <c r="O21" s="109">
        <v>50</v>
      </c>
      <c r="P21" s="109">
        <v>1</v>
      </c>
      <c r="Q21" s="109">
        <v>204.2</v>
      </c>
      <c r="R21" s="109">
        <f t="shared" si="0"/>
        <v>0.2127297967672348</v>
      </c>
      <c r="T21" s="108" t="b">
        <f t="shared" si="1"/>
        <v>0</v>
      </c>
      <c r="W21" s="60">
        <v>20</v>
      </c>
      <c r="X21" s="60" t="s">
        <v>282</v>
      </c>
      <c r="Y21" s="60">
        <v>3.1324174867771598E-4</v>
      </c>
      <c r="Z21" s="60">
        <v>156.4</v>
      </c>
      <c r="AA21" s="60" t="s">
        <v>792</v>
      </c>
      <c r="AB21" s="60">
        <v>8.9999999999999993E-3</v>
      </c>
      <c r="AC21" s="60"/>
      <c r="AD21" s="60" t="s">
        <v>793</v>
      </c>
      <c r="AE21" s="60"/>
      <c r="AF21" s="60"/>
      <c r="AG21" s="60" t="s">
        <v>743</v>
      </c>
      <c r="AH21" s="60" t="s">
        <v>744</v>
      </c>
      <c r="AI21" s="60" t="s">
        <v>282</v>
      </c>
      <c r="AJ21" s="60">
        <v>0</v>
      </c>
      <c r="AK21" s="60">
        <v>-25.546300888061499</v>
      </c>
      <c r="AL21" s="60">
        <v>1.3297263383865301</v>
      </c>
      <c r="AM21" s="60">
        <v>29.695140838623001</v>
      </c>
      <c r="AN21" s="60">
        <v>0</v>
      </c>
      <c r="AO21" s="60">
        <v>3</v>
      </c>
      <c r="AP21" s="60">
        <v>8.9999996125698003E-3</v>
      </c>
      <c r="AQ21" s="60">
        <v>0</v>
      </c>
      <c r="AR21" s="60">
        <v>150</v>
      </c>
      <c r="AS21" s="60">
        <v>1</v>
      </c>
      <c r="AT21" s="60">
        <v>156.4</v>
      </c>
      <c r="AU21" s="60">
        <v>21.564500808715799</v>
      </c>
    </row>
    <row r="22" spans="1:47" ht="15" customHeight="1" x14ac:dyDescent="0.2">
      <c r="A22" s="109">
        <v>114</v>
      </c>
      <c r="B22" s="109">
        <v>154.5</v>
      </c>
      <c r="C22" s="109">
        <v>51.4</v>
      </c>
      <c r="D22" s="109" t="s">
        <v>792</v>
      </c>
      <c r="E22" s="109">
        <v>8.9999999999999993E-3</v>
      </c>
      <c r="F22" s="109" t="s">
        <v>793</v>
      </c>
      <c r="G22" s="109" t="s">
        <v>697</v>
      </c>
      <c r="H22" s="109" t="s">
        <v>775</v>
      </c>
      <c r="I22" s="60" t="s">
        <v>411</v>
      </c>
      <c r="J22" s="109">
        <v>0</v>
      </c>
      <c r="K22" s="109">
        <v>1.881206631660461</v>
      </c>
      <c r="L22" s="109">
        <v>0.9066048264503479</v>
      </c>
      <c r="M22" s="109">
        <v>21.975688934326168</v>
      </c>
      <c r="N22" s="109">
        <v>8.999999612569809E-3</v>
      </c>
      <c r="O22" s="109">
        <v>50</v>
      </c>
      <c r="P22" s="109">
        <v>1</v>
      </c>
      <c r="Q22" s="109">
        <v>204.2</v>
      </c>
      <c r="R22" s="109">
        <f t="shared" si="0"/>
        <v>1.881206631660461</v>
      </c>
      <c r="T22" s="108" t="b">
        <f t="shared" si="1"/>
        <v>0</v>
      </c>
      <c r="W22" s="60">
        <v>21</v>
      </c>
      <c r="X22" s="60" t="s">
        <v>430</v>
      </c>
      <c r="Y22" s="60">
        <v>7.9918274573380203E-4</v>
      </c>
      <c r="Z22" s="60">
        <v>156.4</v>
      </c>
      <c r="AA22" s="60" t="s">
        <v>792</v>
      </c>
      <c r="AB22" s="60">
        <v>8.9999999999999993E-3</v>
      </c>
      <c r="AC22" s="60"/>
      <c r="AD22" s="60" t="s">
        <v>793</v>
      </c>
      <c r="AE22" s="60"/>
      <c r="AF22" s="60"/>
      <c r="AG22" s="60" t="s">
        <v>744</v>
      </c>
      <c r="AH22" s="60" t="s">
        <v>745</v>
      </c>
      <c r="AI22" s="60" t="s">
        <v>430</v>
      </c>
      <c r="AJ22" s="60">
        <v>0</v>
      </c>
      <c r="AK22" s="60">
        <v>-26.248083114623999</v>
      </c>
      <c r="AL22" s="60">
        <v>1.36625528335571</v>
      </c>
      <c r="AM22" s="60">
        <v>11.6390876770019</v>
      </c>
      <c r="AN22" s="60">
        <v>0</v>
      </c>
      <c r="AO22" s="60">
        <v>3</v>
      </c>
      <c r="AP22" s="60">
        <v>8.9999996125698003E-3</v>
      </c>
      <c r="AQ22" s="60">
        <v>0</v>
      </c>
      <c r="AR22" s="60">
        <v>150</v>
      </c>
      <c r="AS22" s="60">
        <v>1</v>
      </c>
      <c r="AT22" s="60">
        <v>156.4</v>
      </c>
      <c r="AU22" s="60">
        <v>22.145654678344702</v>
      </c>
    </row>
    <row r="23" spans="1:47" ht="15" customHeight="1" x14ac:dyDescent="0.25">
      <c r="A23" s="109">
        <v>113</v>
      </c>
      <c r="B23" s="109">
        <v>131.69999999999999</v>
      </c>
      <c r="C23" s="109">
        <v>100</v>
      </c>
      <c r="D23" s="109" t="s">
        <v>792</v>
      </c>
      <c r="E23" s="109">
        <v>8.9999999999999993E-3</v>
      </c>
      <c r="F23" s="109" t="s">
        <v>793</v>
      </c>
      <c r="G23" s="109" t="s">
        <v>698</v>
      </c>
      <c r="H23" s="109" t="s">
        <v>697</v>
      </c>
      <c r="I23" t="s">
        <v>308</v>
      </c>
      <c r="J23" s="109">
        <v>0</v>
      </c>
      <c r="K23" s="109">
        <v>3.5129935741424561</v>
      </c>
      <c r="L23" s="109">
        <v>0.44728583097457891</v>
      </c>
      <c r="M23" s="109">
        <v>2.2028639316558838</v>
      </c>
      <c r="N23" s="109">
        <v>8.999999612569809E-3</v>
      </c>
      <c r="O23" s="109">
        <v>100</v>
      </c>
      <c r="P23" s="109">
        <v>1</v>
      </c>
      <c r="Q23" s="109">
        <v>156.4</v>
      </c>
      <c r="R23" s="109">
        <f t="shared" si="0"/>
        <v>3.5129935741424561</v>
      </c>
      <c r="T23" s="108" t="b">
        <f t="shared" si="1"/>
        <v>0</v>
      </c>
      <c r="W23" s="60">
        <v>22</v>
      </c>
      <c r="X23" s="60" t="s">
        <v>806</v>
      </c>
      <c r="Y23" s="60">
        <v>1.3783895944545601E-3</v>
      </c>
      <c r="Z23" s="60">
        <v>252</v>
      </c>
      <c r="AA23" s="60" t="s">
        <v>792</v>
      </c>
      <c r="AB23" s="60">
        <v>8.9999999999999993E-3</v>
      </c>
      <c r="AC23" s="60"/>
      <c r="AD23" s="60" t="s">
        <v>793</v>
      </c>
      <c r="AE23" s="60"/>
      <c r="AF23" s="60"/>
      <c r="AG23" s="60" t="s">
        <v>663</v>
      </c>
      <c r="AH23" s="60" t="s">
        <v>662</v>
      </c>
      <c r="AI23" s="60" t="s">
        <v>806</v>
      </c>
      <c r="AJ23" s="60">
        <v>0</v>
      </c>
      <c r="AK23" s="60">
        <v>-50.1950073242187</v>
      </c>
      <c r="AL23" s="60">
        <v>1.00639200210571</v>
      </c>
      <c r="AM23" s="60">
        <v>6.7482790946960396</v>
      </c>
      <c r="AN23" s="60">
        <v>0</v>
      </c>
      <c r="AO23" s="60">
        <v>3</v>
      </c>
      <c r="AP23" s="60">
        <v>8.9999996125698003E-3</v>
      </c>
      <c r="AQ23" s="60">
        <v>0</v>
      </c>
      <c r="AR23" s="60">
        <v>250</v>
      </c>
      <c r="AS23" s="60">
        <v>1</v>
      </c>
      <c r="AT23" s="60">
        <v>156.4</v>
      </c>
      <c r="AU23" s="60">
        <v>24.483373641967699</v>
      </c>
    </row>
    <row r="24" spans="1:47" ht="15" customHeight="1" x14ac:dyDescent="0.25">
      <c r="A24" s="109">
        <v>111</v>
      </c>
      <c r="B24" s="109">
        <v>212.3</v>
      </c>
      <c r="C24" s="109">
        <v>100</v>
      </c>
      <c r="D24" s="109" t="s">
        <v>792</v>
      </c>
      <c r="E24" s="109">
        <v>8.9999999999999993E-3</v>
      </c>
      <c r="F24" s="109" t="s">
        <v>793</v>
      </c>
      <c r="G24" s="109" t="s">
        <v>699</v>
      </c>
      <c r="H24" s="109" t="s">
        <v>698</v>
      </c>
      <c r="I24" t="s">
        <v>309</v>
      </c>
      <c r="J24" s="109">
        <v>0</v>
      </c>
      <c r="K24" s="109">
        <v>5.4757027626037598</v>
      </c>
      <c r="L24" s="109">
        <v>0.69718432426452637</v>
      </c>
      <c r="M24" s="109">
        <v>5.3519940376281738</v>
      </c>
      <c r="N24" s="109">
        <v>8.999999612569809E-3</v>
      </c>
      <c r="O24" s="109">
        <v>100</v>
      </c>
      <c r="P24" s="109">
        <v>1</v>
      </c>
      <c r="Q24" s="109">
        <v>156.4</v>
      </c>
      <c r="R24" s="109">
        <f t="shared" si="0"/>
        <v>5.4757027626037598</v>
      </c>
      <c r="T24" s="108" t="b">
        <f t="shared" si="1"/>
        <v>0</v>
      </c>
      <c r="W24" s="60">
        <v>23</v>
      </c>
      <c r="X24" s="60" t="s">
        <v>313</v>
      </c>
      <c r="Y24" s="60">
        <v>1.74776814963036E-3</v>
      </c>
      <c r="Z24" s="60">
        <v>252</v>
      </c>
      <c r="AA24" s="60" t="s">
        <v>792</v>
      </c>
      <c r="AB24" s="60">
        <v>8.9999999999999993E-3</v>
      </c>
      <c r="AC24" s="60"/>
      <c r="AD24" s="60" t="s">
        <v>793</v>
      </c>
      <c r="AE24" s="60"/>
      <c r="AF24" s="60"/>
      <c r="AG24" s="60" t="s">
        <v>702</v>
      </c>
      <c r="AH24" s="60" t="s">
        <v>703</v>
      </c>
      <c r="AI24" s="60" t="s">
        <v>313</v>
      </c>
      <c r="AJ24" s="60">
        <v>0</v>
      </c>
      <c r="AK24" s="60">
        <v>56.113227844238203</v>
      </c>
      <c r="AL24" s="60">
        <v>1.12505030632019</v>
      </c>
      <c r="AM24" s="60">
        <v>5.32207775115966</v>
      </c>
      <c r="AN24" s="60">
        <v>0</v>
      </c>
      <c r="AO24" s="60">
        <v>3</v>
      </c>
      <c r="AP24" s="60">
        <v>8.9999996125698003E-3</v>
      </c>
      <c r="AQ24" s="60">
        <v>0</v>
      </c>
      <c r="AR24" s="60">
        <v>250</v>
      </c>
      <c r="AS24" s="60">
        <v>1</v>
      </c>
      <c r="AT24" s="60">
        <v>204.2</v>
      </c>
      <c r="AU24" s="60">
        <v>26.81494140625</v>
      </c>
    </row>
    <row r="25" spans="1:47" ht="15" customHeight="1" x14ac:dyDescent="0.25">
      <c r="A25" s="109">
        <v>99</v>
      </c>
      <c r="B25" s="109">
        <v>227.2</v>
      </c>
      <c r="C25" s="109">
        <v>204.2</v>
      </c>
      <c r="D25" s="109" t="s">
        <v>792</v>
      </c>
      <c r="E25" s="109">
        <v>8.9999999999999993E-3</v>
      </c>
      <c r="F25" s="109" t="s">
        <v>793</v>
      </c>
      <c r="G25" s="109" t="s">
        <v>592</v>
      </c>
      <c r="H25" s="109" t="s">
        <v>591</v>
      </c>
      <c r="I25" t="s">
        <v>177</v>
      </c>
      <c r="J25" s="109">
        <v>0</v>
      </c>
      <c r="K25" s="109">
        <v>-22.928802490234379</v>
      </c>
      <c r="L25" s="109">
        <v>0.70012831687927246</v>
      </c>
      <c r="M25" s="109">
        <v>2.0838885307312012</v>
      </c>
      <c r="N25" s="109">
        <v>8.999999612569809E-3</v>
      </c>
      <c r="O25" s="109">
        <v>200</v>
      </c>
      <c r="P25" s="109">
        <v>1</v>
      </c>
      <c r="Q25" s="109">
        <v>108.4</v>
      </c>
      <c r="R25" s="109">
        <f t="shared" si="0"/>
        <v>22.928802490234379</v>
      </c>
      <c r="T25" s="108" t="b">
        <f t="shared" si="1"/>
        <v>0</v>
      </c>
      <c r="W25" s="60">
        <v>24</v>
      </c>
      <c r="X25" s="60" t="s">
        <v>314</v>
      </c>
      <c r="Y25" s="60">
        <v>1.9479904901917599E-3</v>
      </c>
      <c r="Z25" s="60">
        <v>252</v>
      </c>
      <c r="AA25" s="60" t="s">
        <v>792</v>
      </c>
      <c r="AB25" s="60">
        <v>8.9999999999999993E-3</v>
      </c>
      <c r="AC25" s="60"/>
      <c r="AD25" s="60" t="s">
        <v>793</v>
      </c>
      <c r="AE25" s="60"/>
      <c r="AF25" s="60"/>
      <c r="AG25" s="60" t="s">
        <v>703</v>
      </c>
      <c r="AH25" s="60" t="s">
        <v>704</v>
      </c>
      <c r="AI25" s="60" t="s">
        <v>314</v>
      </c>
      <c r="AJ25" s="60">
        <v>0</v>
      </c>
      <c r="AK25" s="60">
        <v>53.785366058349602</v>
      </c>
      <c r="AL25" s="60">
        <v>1.0783774852752599</v>
      </c>
      <c r="AM25" s="60">
        <v>0</v>
      </c>
      <c r="AN25" s="60">
        <v>0</v>
      </c>
      <c r="AO25" s="60">
        <v>3</v>
      </c>
      <c r="AP25" s="60">
        <v>8.9999996125698003E-3</v>
      </c>
      <c r="AQ25" s="60">
        <v>0</v>
      </c>
      <c r="AR25" s="60">
        <v>250</v>
      </c>
      <c r="AS25" s="60">
        <v>1</v>
      </c>
      <c r="AT25" s="60">
        <v>156.4</v>
      </c>
      <c r="AU25" s="60">
        <v>24.887212753295898</v>
      </c>
    </row>
    <row r="26" spans="1:47" ht="15" customHeight="1" x14ac:dyDescent="0.25">
      <c r="A26" s="109">
        <v>112</v>
      </c>
      <c r="B26" s="109">
        <v>172.9</v>
      </c>
      <c r="C26" s="109">
        <v>100</v>
      </c>
      <c r="D26" s="109" t="s">
        <v>792</v>
      </c>
      <c r="E26" s="109">
        <v>8.9999999999999993E-3</v>
      </c>
      <c r="F26" s="109" t="s">
        <v>793</v>
      </c>
      <c r="G26" s="109" t="s">
        <v>700</v>
      </c>
      <c r="H26" s="109" t="s">
        <v>699</v>
      </c>
      <c r="I26" t="s">
        <v>310</v>
      </c>
      <c r="J26" s="109">
        <v>0</v>
      </c>
      <c r="K26" s="109">
        <v>7.6723389625549316</v>
      </c>
      <c r="L26" s="109">
        <v>0.97686725854873657</v>
      </c>
      <c r="M26" s="109">
        <v>10.507328033447269</v>
      </c>
      <c r="N26" s="109">
        <v>8.999999612569809E-3</v>
      </c>
      <c r="O26" s="109">
        <v>100</v>
      </c>
      <c r="P26" s="109">
        <v>1</v>
      </c>
      <c r="Q26" s="109">
        <v>156.4</v>
      </c>
      <c r="R26" s="109">
        <f t="shared" si="0"/>
        <v>7.6723389625549316</v>
      </c>
      <c r="T26" s="108" t="b">
        <f t="shared" si="1"/>
        <v>0</v>
      </c>
      <c r="W26" s="60">
        <v>25</v>
      </c>
      <c r="X26" s="60" t="s">
        <v>420</v>
      </c>
      <c r="Y26" s="60">
        <v>1.8023885450548401E-3</v>
      </c>
      <c r="Z26" s="60">
        <v>252</v>
      </c>
      <c r="AA26" s="60" t="s">
        <v>792</v>
      </c>
      <c r="AB26" s="60">
        <v>8.9999999999999993E-3</v>
      </c>
      <c r="AC26" s="60"/>
      <c r="AD26" s="60" t="s">
        <v>793</v>
      </c>
      <c r="AE26" s="60"/>
      <c r="AF26" s="60"/>
      <c r="AG26" s="60" t="s">
        <v>704</v>
      </c>
      <c r="AH26" s="60" t="s">
        <v>705</v>
      </c>
      <c r="AI26" s="60" t="s">
        <v>420</v>
      </c>
      <c r="AJ26" s="60">
        <v>0</v>
      </c>
      <c r="AK26" s="60">
        <v>51.423271179199197</v>
      </c>
      <c r="AL26" s="60">
        <v>1.03101825714111</v>
      </c>
      <c r="AM26" s="60">
        <v>5.1607952117919904</v>
      </c>
      <c r="AN26" s="60">
        <v>0</v>
      </c>
      <c r="AO26" s="60">
        <v>3</v>
      </c>
      <c r="AP26" s="60">
        <v>8.9999996125698003E-3</v>
      </c>
      <c r="AQ26" s="60">
        <v>0</v>
      </c>
      <c r="AR26" s="60">
        <v>250</v>
      </c>
      <c r="AS26" s="60">
        <v>1</v>
      </c>
      <c r="AT26" s="60">
        <v>156.4</v>
      </c>
      <c r="AU26" s="60">
        <v>22.931135177612301</v>
      </c>
    </row>
    <row r="27" spans="1:47" ht="15" customHeight="1" x14ac:dyDescent="0.25">
      <c r="A27" s="109">
        <v>109</v>
      </c>
      <c r="B27" s="109">
        <v>132.9</v>
      </c>
      <c r="C27" s="109">
        <v>108.4</v>
      </c>
      <c r="D27" s="109" t="s">
        <v>792</v>
      </c>
      <c r="E27" s="109">
        <v>8.9999999999999993E-3</v>
      </c>
      <c r="F27" s="109" t="s">
        <v>793</v>
      </c>
      <c r="G27" s="109" t="s">
        <v>701</v>
      </c>
      <c r="H27" s="109" t="s">
        <v>700</v>
      </c>
      <c r="I27" t="s">
        <v>312</v>
      </c>
      <c r="J27" s="109">
        <v>0</v>
      </c>
      <c r="K27" s="109">
        <v>9.4182367324829102</v>
      </c>
      <c r="L27" s="109">
        <v>1.020513653755188</v>
      </c>
      <c r="M27" s="109">
        <v>10.29825019836426</v>
      </c>
      <c r="N27" s="109">
        <v>8.999999612569809E-3</v>
      </c>
      <c r="O27" s="109">
        <v>100</v>
      </c>
      <c r="P27" s="109">
        <v>1</v>
      </c>
      <c r="Q27" s="109">
        <v>156.4</v>
      </c>
      <c r="R27" s="109">
        <f t="shared" si="0"/>
        <v>9.4182367324829102</v>
      </c>
      <c r="T27" s="108" t="b">
        <f t="shared" si="1"/>
        <v>0</v>
      </c>
      <c r="W27" s="60">
        <v>26</v>
      </c>
      <c r="X27" s="60" t="s">
        <v>288</v>
      </c>
      <c r="Y27" s="60">
        <v>3.2712732375178798E-3</v>
      </c>
      <c r="Z27" s="60">
        <v>252</v>
      </c>
      <c r="AA27" s="60" t="s">
        <v>792</v>
      </c>
      <c r="AB27" s="60">
        <v>8.9999999999999993E-3</v>
      </c>
      <c r="AC27" s="60"/>
      <c r="AD27" s="60" t="s">
        <v>793</v>
      </c>
      <c r="AE27" s="60"/>
      <c r="AF27" s="60"/>
      <c r="AG27" s="60" t="s">
        <v>705</v>
      </c>
      <c r="AH27" s="60" t="s">
        <v>706</v>
      </c>
      <c r="AI27" s="60" t="s">
        <v>288</v>
      </c>
      <c r="AJ27" s="60">
        <v>0</v>
      </c>
      <c r="AK27" s="60">
        <v>48.222454071044901</v>
      </c>
      <c r="AL27" s="60">
        <v>0.96684312820434504</v>
      </c>
      <c r="AM27" s="60">
        <v>2.8434669971465998</v>
      </c>
      <c r="AN27" s="60">
        <v>0</v>
      </c>
      <c r="AO27" s="60">
        <v>3</v>
      </c>
      <c r="AP27" s="60">
        <v>8.9999996125698003E-3</v>
      </c>
      <c r="AQ27" s="60">
        <v>0</v>
      </c>
      <c r="AR27" s="60">
        <v>250</v>
      </c>
      <c r="AS27" s="60">
        <v>1</v>
      </c>
      <c r="AT27" s="60">
        <v>156.4</v>
      </c>
      <c r="AU27" s="60">
        <v>20.2805061340332</v>
      </c>
    </row>
    <row r="28" spans="1:47" ht="15" customHeight="1" x14ac:dyDescent="0.2">
      <c r="A28" s="109">
        <v>110</v>
      </c>
      <c r="B28" s="109">
        <v>72.2</v>
      </c>
      <c r="C28" s="109">
        <v>252</v>
      </c>
      <c r="D28" s="109" t="s">
        <v>792</v>
      </c>
      <c r="E28" s="109">
        <v>8.9999999999999993E-3</v>
      </c>
      <c r="F28" s="109" t="s">
        <v>793</v>
      </c>
      <c r="G28" s="109" t="s">
        <v>701</v>
      </c>
      <c r="H28" s="109" t="s">
        <v>702</v>
      </c>
      <c r="I28" s="60" t="s">
        <v>311</v>
      </c>
      <c r="J28" s="109">
        <v>0</v>
      </c>
      <c r="K28" s="109">
        <v>57.626152038574219</v>
      </c>
      <c r="L28" s="109">
        <v>1.155383825302124</v>
      </c>
      <c r="M28" s="109">
        <v>4.2875046730041504</v>
      </c>
      <c r="N28" s="109">
        <v>8.999999612569809E-3</v>
      </c>
      <c r="O28" s="109">
        <v>250</v>
      </c>
      <c r="P28" s="109">
        <v>1</v>
      </c>
      <c r="Q28" s="109">
        <v>204.2</v>
      </c>
      <c r="R28" s="109">
        <f t="shared" si="0"/>
        <v>57.626152038574219</v>
      </c>
      <c r="T28" s="108" t="b">
        <f t="shared" si="1"/>
        <v>0</v>
      </c>
      <c r="W28" s="60">
        <v>27</v>
      </c>
      <c r="X28" s="60" t="s">
        <v>300</v>
      </c>
      <c r="Y28" s="60">
        <v>3.2529995219434601E-3</v>
      </c>
      <c r="Z28" s="60">
        <v>204.2</v>
      </c>
      <c r="AA28" s="60" t="s">
        <v>792</v>
      </c>
      <c r="AB28" s="60">
        <v>8.9999999999999993E-3</v>
      </c>
      <c r="AC28" s="60"/>
      <c r="AD28" s="60" t="s">
        <v>793</v>
      </c>
      <c r="AE28" s="60"/>
      <c r="AF28" s="60"/>
      <c r="AG28" s="60" t="s">
        <v>716</v>
      </c>
      <c r="AH28" s="60" t="s">
        <v>717</v>
      </c>
      <c r="AI28" s="60" t="s">
        <v>300</v>
      </c>
      <c r="AJ28" s="60">
        <v>0</v>
      </c>
      <c r="AK28" s="60">
        <v>28.654750823974599</v>
      </c>
      <c r="AL28" s="60">
        <v>0.874969542026519</v>
      </c>
      <c r="AM28" s="60">
        <v>2.8594403266906698</v>
      </c>
      <c r="AN28" s="60">
        <v>0</v>
      </c>
      <c r="AO28" s="60">
        <v>3</v>
      </c>
      <c r="AP28" s="60">
        <v>8.9999996125698003E-3</v>
      </c>
      <c r="AQ28" s="60">
        <v>0</v>
      </c>
      <c r="AR28" s="60">
        <v>200</v>
      </c>
      <c r="AS28" s="60">
        <v>1</v>
      </c>
      <c r="AT28" s="60">
        <v>156.4</v>
      </c>
      <c r="AU28" s="60">
        <v>16.307668685913001</v>
      </c>
    </row>
    <row r="29" spans="1:47" ht="15" customHeight="1" x14ac:dyDescent="0.2">
      <c r="A29" s="109">
        <v>23</v>
      </c>
      <c r="B29" s="109">
        <v>193.3</v>
      </c>
      <c r="C29" s="109">
        <v>252</v>
      </c>
      <c r="D29" s="109" t="s">
        <v>792</v>
      </c>
      <c r="E29" s="109">
        <v>8.9999999999999993E-3</v>
      </c>
      <c r="F29" s="109" t="s">
        <v>793</v>
      </c>
      <c r="G29" s="109" t="s">
        <v>702</v>
      </c>
      <c r="H29" s="109" t="s">
        <v>703</v>
      </c>
      <c r="I29" s="60" t="s">
        <v>313</v>
      </c>
      <c r="J29" s="109">
        <v>0</v>
      </c>
      <c r="K29" s="109">
        <v>56.114177703857422</v>
      </c>
      <c r="L29" s="109">
        <v>1.125069260597229</v>
      </c>
      <c r="M29" s="109">
        <v>4.0654888153076172</v>
      </c>
      <c r="N29" s="109">
        <v>8.999999612569809E-3</v>
      </c>
      <c r="O29" s="109">
        <v>250</v>
      </c>
      <c r="P29" s="109">
        <v>1</v>
      </c>
      <c r="Q29" s="109">
        <v>204.2</v>
      </c>
      <c r="R29" s="109">
        <f t="shared" si="0"/>
        <v>56.114177703857422</v>
      </c>
      <c r="T29" s="108" t="b">
        <f t="shared" si="1"/>
        <v>0</v>
      </c>
      <c r="W29" s="60">
        <v>28</v>
      </c>
      <c r="X29" s="60" t="s">
        <v>301</v>
      </c>
      <c r="Y29" s="60">
        <v>2.8454230069760202E-3</v>
      </c>
      <c r="Z29" s="60">
        <v>204.2</v>
      </c>
      <c r="AA29" s="60" t="s">
        <v>792</v>
      </c>
      <c r="AB29" s="60">
        <v>8.9999999999999993E-3</v>
      </c>
      <c r="AC29" s="60"/>
      <c r="AD29" s="60" t="s">
        <v>793</v>
      </c>
      <c r="AE29" s="60"/>
      <c r="AF29" s="60"/>
      <c r="AG29" s="60" t="s">
        <v>717</v>
      </c>
      <c r="AH29" s="60" t="s">
        <v>718</v>
      </c>
      <c r="AI29" s="60" t="s">
        <v>301</v>
      </c>
      <c r="AJ29" s="60">
        <v>0</v>
      </c>
      <c r="AK29" s="60">
        <v>24.803504943847599</v>
      </c>
      <c r="AL29" s="60">
        <v>0.75737214088439897</v>
      </c>
      <c r="AM29" s="60">
        <v>0</v>
      </c>
      <c r="AN29" s="60">
        <v>0</v>
      </c>
      <c r="AO29" s="60">
        <v>3</v>
      </c>
      <c r="AP29" s="60">
        <v>8.9999996125698003E-3</v>
      </c>
      <c r="AQ29" s="60">
        <v>0</v>
      </c>
      <c r="AR29" s="60">
        <v>200</v>
      </c>
      <c r="AS29" s="60">
        <v>1</v>
      </c>
      <c r="AT29" s="60">
        <v>156.4</v>
      </c>
      <c r="AU29" s="60">
        <v>13.1184091567993</v>
      </c>
    </row>
    <row r="30" spans="1:47" ht="15" customHeight="1" x14ac:dyDescent="0.2">
      <c r="A30" s="109">
        <v>24</v>
      </c>
      <c r="B30" s="109">
        <v>215.4</v>
      </c>
      <c r="C30" s="109">
        <v>252</v>
      </c>
      <c r="D30" s="109" t="s">
        <v>792</v>
      </c>
      <c r="E30" s="109">
        <v>8.9999999999999993E-3</v>
      </c>
      <c r="F30" s="109" t="s">
        <v>793</v>
      </c>
      <c r="G30" s="109" t="s">
        <v>703</v>
      </c>
      <c r="H30" s="109" t="s">
        <v>704</v>
      </c>
      <c r="I30" s="60" t="s">
        <v>314</v>
      </c>
      <c r="J30" s="109">
        <v>0</v>
      </c>
      <c r="K30" s="109">
        <v>53.78631591796875</v>
      </c>
      <c r="L30" s="109">
        <v>1.0783965587615969</v>
      </c>
      <c r="M30" s="109">
        <v>3.735169649124146</v>
      </c>
      <c r="N30" s="109">
        <v>8.999999612569809E-3</v>
      </c>
      <c r="O30" s="109">
        <v>250</v>
      </c>
      <c r="P30" s="109">
        <v>1</v>
      </c>
      <c r="Q30" s="109">
        <v>156.4</v>
      </c>
      <c r="R30" s="109">
        <f t="shared" si="0"/>
        <v>53.78631591796875</v>
      </c>
      <c r="T30" s="108" t="b">
        <f t="shared" si="1"/>
        <v>0</v>
      </c>
      <c r="W30" s="60">
        <v>29</v>
      </c>
      <c r="X30" s="60" t="s">
        <v>303</v>
      </c>
      <c r="Y30" s="60">
        <v>1.624127135557E-3</v>
      </c>
      <c r="Z30" s="60">
        <v>156.4</v>
      </c>
      <c r="AA30" s="60" t="s">
        <v>792</v>
      </c>
      <c r="AB30" s="60">
        <v>8.9999999999999993E-3</v>
      </c>
      <c r="AC30" s="60"/>
      <c r="AD30" s="60" t="s">
        <v>793</v>
      </c>
      <c r="AE30" s="60"/>
      <c r="AF30" s="60"/>
      <c r="AG30" s="60" t="s">
        <v>719</v>
      </c>
      <c r="AH30" s="60" t="s">
        <v>720</v>
      </c>
      <c r="AI30" s="60" t="s">
        <v>303</v>
      </c>
      <c r="AJ30" s="60">
        <v>0</v>
      </c>
      <c r="AK30" s="60">
        <v>18.8982620239257</v>
      </c>
      <c r="AL30" s="60">
        <v>0.98368513584136896</v>
      </c>
      <c r="AM30" s="60">
        <v>5.7272348403930602</v>
      </c>
      <c r="AN30" s="60">
        <v>0</v>
      </c>
      <c r="AO30" s="60">
        <v>3</v>
      </c>
      <c r="AP30" s="60">
        <v>8.9999996125698003E-3</v>
      </c>
      <c r="AQ30" s="60">
        <v>0</v>
      </c>
      <c r="AR30" s="60">
        <v>150</v>
      </c>
      <c r="AS30" s="60">
        <v>1</v>
      </c>
      <c r="AT30" s="60">
        <v>108.4</v>
      </c>
      <c r="AU30" s="60">
        <v>8.2282142639160103</v>
      </c>
    </row>
    <row r="31" spans="1:47" ht="15" customHeight="1" x14ac:dyDescent="0.2">
      <c r="A31" s="109">
        <v>25</v>
      </c>
      <c r="B31" s="109">
        <v>199.3</v>
      </c>
      <c r="C31" s="109">
        <v>252</v>
      </c>
      <c r="D31" s="109" t="s">
        <v>792</v>
      </c>
      <c r="E31" s="109">
        <v>8.9999999999999993E-3</v>
      </c>
      <c r="F31" s="109" t="s">
        <v>793</v>
      </c>
      <c r="G31" s="109" t="s">
        <v>704</v>
      </c>
      <c r="H31" s="109" t="s">
        <v>705</v>
      </c>
      <c r="I31" s="60" t="s">
        <v>420</v>
      </c>
      <c r="J31" s="109">
        <v>0</v>
      </c>
      <c r="K31" s="109">
        <v>51.424217224121087</v>
      </c>
      <c r="L31" s="109">
        <v>1.031037330627441</v>
      </c>
      <c r="M31" s="109">
        <v>3.4143004417419429</v>
      </c>
      <c r="N31" s="109">
        <v>8.999999612569809E-3</v>
      </c>
      <c r="O31" s="109">
        <v>250</v>
      </c>
      <c r="P31" s="109">
        <v>1</v>
      </c>
      <c r="Q31" s="109">
        <v>156.4</v>
      </c>
      <c r="R31" s="109">
        <f t="shared" si="0"/>
        <v>51.424217224121087</v>
      </c>
      <c r="T31" s="108" t="b">
        <f t="shared" si="1"/>
        <v>0</v>
      </c>
      <c r="W31" s="60">
        <v>30</v>
      </c>
      <c r="X31" s="60" t="s">
        <v>302</v>
      </c>
      <c r="Y31" s="60">
        <v>2.4378335132709101E-3</v>
      </c>
      <c r="Z31" s="60">
        <v>156.4</v>
      </c>
      <c r="AA31" s="60" t="s">
        <v>792</v>
      </c>
      <c r="AB31" s="60">
        <v>8.9999999999999993E-3</v>
      </c>
      <c r="AC31" s="60"/>
      <c r="AD31" s="60" t="s">
        <v>793</v>
      </c>
      <c r="AE31" s="60"/>
      <c r="AF31" s="60"/>
      <c r="AG31" s="60" t="s">
        <v>718</v>
      </c>
      <c r="AH31" s="60" t="s">
        <v>719</v>
      </c>
      <c r="AI31" s="60" t="s">
        <v>302</v>
      </c>
      <c r="AJ31" s="60">
        <v>0</v>
      </c>
      <c r="AK31" s="60">
        <v>21.465757369995099</v>
      </c>
      <c r="AL31" s="60">
        <v>1.1173275709152199</v>
      </c>
      <c r="AM31" s="60">
        <v>7.6311674118041903</v>
      </c>
      <c r="AN31" s="60">
        <v>0</v>
      </c>
      <c r="AO31" s="60">
        <v>3</v>
      </c>
      <c r="AP31" s="60">
        <v>8.9999996125698003E-3</v>
      </c>
      <c r="AQ31" s="60">
        <v>0</v>
      </c>
      <c r="AR31" s="60">
        <v>150</v>
      </c>
      <c r="AS31" s="60">
        <v>1</v>
      </c>
      <c r="AT31" s="60">
        <v>156.4</v>
      </c>
      <c r="AU31" s="60">
        <v>10.354386329650801</v>
      </c>
    </row>
    <row r="32" spans="1:47" ht="15" customHeight="1" x14ac:dyDescent="0.2">
      <c r="A32" s="109">
        <v>26</v>
      </c>
      <c r="B32" s="109">
        <v>361.8</v>
      </c>
      <c r="C32" s="109">
        <v>252</v>
      </c>
      <c r="D32" s="109" t="s">
        <v>792</v>
      </c>
      <c r="E32" s="109">
        <v>8.9999999999999993E-3</v>
      </c>
      <c r="F32" s="109" t="s">
        <v>793</v>
      </c>
      <c r="G32" s="109" t="s">
        <v>705</v>
      </c>
      <c r="H32" s="109" t="s">
        <v>706</v>
      </c>
      <c r="I32" s="60" t="s">
        <v>288</v>
      </c>
      <c r="J32" s="109">
        <v>0</v>
      </c>
      <c r="K32" s="109">
        <v>48.223403930664063</v>
      </c>
      <c r="L32" s="109">
        <v>0.96686214208602905</v>
      </c>
      <c r="M32" s="109">
        <v>3.002503633499146</v>
      </c>
      <c r="N32" s="109">
        <v>8.999999612569809E-3</v>
      </c>
      <c r="O32" s="109">
        <v>250</v>
      </c>
      <c r="P32" s="109">
        <v>1</v>
      </c>
      <c r="Q32" s="109">
        <v>156.4</v>
      </c>
      <c r="R32" s="109">
        <f t="shared" si="0"/>
        <v>48.223403930664063</v>
      </c>
      <c r="T32" s="108" t="b">
        <f t="shared" si="1"/>
        <v>0</v>
      </c>
      <c r="W32" s="60">
        <v>31</v>
      </c>
      <c r="X32" s="60" t="s">
        <v>304</v>
      </c>
      <c r="Y32" s="60">
        <v>1.9010079218421401E-3</v>
      </c>
      <c r="Z32" s="60">
        <v>156.4</v>
      </c>
      <c r="AA32" s="60" t="s">
        <v>792</v>
      </c>
      <c r="AB32" s="60">
        <v>8.9999999999999993E-3</v>
      </c>
      <c r="AC32" s="60"/>
      <c r="AD32" s="60" t="s">
        <v>793</v>
      </c>
      <c r="AE32" s="60"/>
      <c r="AF32" s="60"/>
      <c r="AG32" s="60" t="s">
        <v>720</v>
      </c>
      <c r="AH32" s="60" t="s">
        <v>721</v>
      </c>
      <c r="AI32" s="60" t="s">
        <v>304</v>
      </c>
      <c r="AJ32" s="60">
        <v>0</v>
      </c>
      <c r="AK32" s="60">
        <v>16.673097610473601</v>
      </c>
      <c r="AL32" s="60">
        <v>0.867861747741699</v>
      </c>
      <c r="AM32" s="60">
        <v>4.89306640625</v>
      </c>
      <c r="AN32" s="60">
        <v>0</v>
      </c>
      <c r="AO32" s="60">
        <v>3</v>
      </c>
      <c r="AP32" s="60">
        <v>8.9999996125698003E-3</v>
      </c>
      <c r="AQ32" s="60">
        <v>0</v>
      </c>
      <c r="AR32" s="60">
        <v>150</v>
      </c>
      <c r="AS32" s="60">
        <v>1</v>
      </c>
      <c r="AT32" s="60">
        <v>97.8</v>
      </c>
      <c r="AU32" s="60">
        <v>6.3855319023132298</v>
      </c>
    </row>
    <row r="33" spans="1:47" ht="15" customHeight="1" x14ac:dyDescent="0.2">
      <c r="A33" s="109">
        <v>191</v>
      </c>
      <c r="B33" s="109">
        <v>240.6</v>
      </c>
      <c r="C33" s="109">
        <v>252</v>
      </c>
      <c r="D33" s="109" t="s">
        <v>792</v>
      </c>
      <c r="E33" s="109">
        <v>8.9999999999999993E-3</v>
      </c>
      <c r="F33" s="109" t="s">
        <v>793</v>
      </c>
      <c r="G33" s="109" t="s">
        <v>706</v>
      </c>
      <c r="H33" s="109" t="s">
        <v>707</v>
      </c>
      <c r="I33" s="60" t="s">
        <v>423</v>
      </c>
      <c r="J33" s="109">
        <v>0</v>
      </c>
      <c r="K33" s="109">
        <v>44.782958984375</v>
      </c>
      <c r="L33" s="109">
        <v>0.89788240194320679</v>
      </c>
      <c r="M33" s="109">
        <v>2.589356422424316</v>
      </c>
      <c r="N33" s="109">
        <v>8.999999612569809E-3</v>
      </c>
      <c r="O33" s="109">
        <v>250</v>
      </c>
      <c r="P33" s="109">
        <v>1</v>
      </c>
      <c r="Q33" s="109">
        <v>156.4</v>
      </c>
      <c r="R33" s="109">
        <f t="shared" si="0"/>
        <v>44.782958984375</v>
      </c>
      <c r="T33" s="108" t="b">
        <f t="shared" si="1"/>
        <v>0</v>
      </c>
      <c r="W33" s="60">
        <v>32</v>
      </c>
      <c r="X33" s="60" t="s">
        <v>435</v>
      </c>
      <c r="Y33" s="60">
        <v>9.0026889748436403E-4</v>
      </c>
      <c r="Z33" s="60">
        <v>156.4</v>
      </c>
      <c r="AA33" s="60" t="s">
        <v>792</v>
      </c>
      <c r="AB33" s="60">
        <v>8.9999999999999993E-3</v>
      </c>
      <c r="AC33" s="60"/>
      <c r="AD33" s="60" t="s">
        <v>793</v>
      </c>
      <c r="AE33" s="60"/>
      <c r="AF33" s="60"/>
      <c r="AG33" s="60" t="s">
        <v>721</v>
      </c>
      <c r="AH33" s="60" t="s">
        <v>722</v>
      </c>
      <c r="AI33" s="60" t="s">
        <v>435</v>
      </c>
      <c r="AJ33" s="60">
        <v>0</v>
      </c>
      <c r="AK33" s="60">
        <v>14.9043769836425</v>
      </c>
      <c r="AL33" s="60">
        <v>0.77579700946807795</v>
      </c>
      <c r="AM33" s="60">
        <v>10.3321990966796</v>
      </c>
      <c r="AN33" s="60">
        <v>0</v>
      </c>
      <c r="AO33" s="60">
        <v>3</v>
      </c>
      <c r="AP33" s="60">
        <v>8.9999996125698003E-3</v>
      </c>
      <c r="AQ33" s="60">
        <v>0</v>
      </c>
      <c r="AR33" s="60">
        <v>150</v>
      </c>
      <c r="AS33" s="60">
        <v>1</v>
      </c>
      <c r="AT33" s="60">
        <v>94.4</v>
      </c>
      <c r="AU33" s="60">
        <v>4.9208354949951101</v>
      </c>
    </row>
    <row r="34" spans="1:47" ht="15" customHeight="1" x14ac:dyDescent="0.2">
      <c r="A34" s="109">
        <v>192</v>
      </c>
      <c r="B34" s="109">
        <v>222.5</v>
      </c>
      <c r="C34" s="109">
        <v>204.2</v>
      </c>
      <c r="D34" s="109" t="s">
        <v>792</v>
      </c>
      <c r="E34" s="109">
        <v>8.9999999999999993E-3</v>
      </c>
      <c r="F34" s="109" t="s">
        <v>793</v>
      </c>
      <c r="G34" s="109" t="s">
        <v>707</v>
      </c>
      <c r="H34" s="109" t="s">
        <v>716</v>
      </c>
      <c r="I34" s="60" t="s">
        <v>436</v>
      </c>
      <c r="J34" s="109">
        <v>0</v>
      </c>
      <c r="K34" s="109">
        <v>31.976058959960941</v>
      </c>
      <c r="L34" s="109">
        <v>0.97638529539108276</v>
      </c>
      <c r="M34" s="109">
        <v>4.052828311920166</v>
      </c>
      <c r="N34" s="109">
        <v>8.999999612569809E-3</v>
      </c>
      <c r="O34" s="109">
        <v>200</v>
      </c>
      <c r="P34" s="109">
        <v>1</v>
      </c>
      <c r="Q34" s="109">
        <v>156.4</v>
      </c>
      <c r="R34" s="109">
        <f t="shared" si="0"/>
        <v>31.976058959960941</v>
      </c>
      <c r="T34" s="108" t="b">
        <f t="shared" si="1"/>
        <v>0</v>
      </c>
      <c r="W34" s="60">
        <v>33</v>
      </c>
      <c r="X34" s="60" t="s">
        <v>216</v>
      </c>
      <c r="Y34" s="60">
        <v>6.3576382316904304E-4</v>
      </c>
      <c r="Z34" s="60">
        <v>94.4</v>
      </c>
      <c r="AA34" s="60" t="s">
        <v>792</v>
      </c>
      <c r="AB34" s="60">
        <v>8.9999999999999993E-3</v>
      </c>
      <c r="AC34" s="60"/>
      <c r="AD34" s="60" t="s">
        <v>793</v>
      </c>
      <c r="AE34" s="60"/>
      <c r="AF34" s="60"/>
      <c r="AG34" s="60" t="s">
        <v>727</v>
      </c>
      <c r="AH34" s="60" t="s">
        <v>728</v>
      </c>
      <c r="AI34" s="60" t="s">
        <v>216</v>
      </c>
      <c r="AJ34" s="60">
        <v>0</v>
      </c>
      <c r="AK34" s="60">
        <v>2.3978140354156401</v>
      </c>
      <c r="AL34" s="60">
        <v>0.34259364008903498</v>
      </c>
      <c r="AM34" s="60">
        <v>14.630838394165</v>
      </c>
      <c r="AN34" s="60">
        <v>0</v>
      </c>
      <c r="AO34" s="60">
        <v>3</v>
      </c>
      <c r="AP34" s="60">
        <v>8.9999996125698003E-3</v>
      </c>
      <c r="AQ34" s="60">
        <v>0</v>
      </c>
      <c r="AR34" s="60">
        <v>100</v>
      </c>
      <c r="AS34" s="60">
        <v>1</v>
      </c>
      <c r="AT34" s="60">
        <v>94.4</v>
      </c>
      <c r="AU34" s="60">
        <v>5.4359841346740696</v>
      </c>
    </row>
    <row r="35" spans="1:47" ht="15" customHeight="1" x14ac:dyDescent="0.2">
      <c r="A35" s="109">
        <v>194</v>
      </c>
      <c r="B35" s="109">
        <v>189.7</v>
      </c>
      <c r="C35" s="109">
        <v>156.4</v>
      </c>
      <c r="D35" s="109" t="s">
        <v>792</v>
      </c>
      <c r="E35" s="109">
        <v>8.9999999999999993E-3</v>
      </c>
      <c r="F35" s="109" t="s">
        <v>793</v>
      </c>
      <c r="G35" s="109" t="s">
        <v>708</v>
      </c>
      <c r="H35" s="109" t="s">
        <v>707</v>
      </c>
      <c r="I35" s="78" t="s">
        <v>292</v>
      </c>
      <c r="J35" s="109">
        <v>0</v>
      </c>
      <c r="K35" s="109">
        <v>-9.0811767578125</v>
      </c>
      <c r="L35" s="109">
        <v>0.47268995642662048</v>
      </c>
      <c r="M35" s="109">
        <v>1.355350017547607</v>
      </c>
      <c r="N35" s="109">
        <v>8.999999612569809E-3</v>
      </c>
      <c r="O35" s="109">
        <v>150</v>
      </c>
      <c r="P35" s="109">
        <v>1</v>
      </c>
      <c r="Q35" s="109">
        <v>108.4</v>
      </c>
      <c r="R35" s="109">
        <f t="shared" si="0"/>
        <v>9.0811767578125</v>
      </c>
      <c r="T35" s="108" t="b">
        <f t="shared" si="1"/>
        <v>0</v>
      </c>
      <c r="W35" s="60">
        <v>34</v>
      </c>
      <c r="X35" s="60" t="s">
        <v>220</v>
      </c>
      <c r="Y35" s="60">
        <v>8.2228688923259195E-4</v>
      </c>
      <c r="Z35" s="60">
        <v>156.4</v>
      </c>
      <c r="AA35" s="60" t="s">
        <v>792</v>
      </c>
      <c r="AB35" s="60">
        <v>8.9999999999999993E-3</v>
      </c>
      <c r="AC35" s="60"/>
      <c r="AD35" s="60" t="s">
        <v>793</v>
      </c>
      <c r="AE35" s="60"/>
      <c r="AF35" s="60"/>
      <c r="AG35" s="60" t="s">
        <v>728</v>
      </c>
      <c r="AH35" s="60" t="s">
        <v>729</v>
      </c>
      <c r="AI35" s="60" t="s">
        <v>220</v>
      </c>
      <c r="AJ35" s="60">
        <v>0</v>
      </c>
      <c r="AK35" s="60">
        <v>-12.7772827148437</v>
      </c>
      <c r="AL35" s="60">
        <v>0.66507828235626198</v>
      </c>
      <c r="AM35" s="60">
        <v>11.312059402465801</v>
      </c>
      <c r="AN35" s="60">
        <v>0</v>
      </c>
      <c r="AO35" s="60">
        <v>3</v>
      </c>
      <c r="AP35" s="60">
        <v>8.9999996125698003E-3</v>
      </c>
      <c r="AQ35" s="60">
        <v>0</v>
      </c>
      <c r="AR35" s="60">
        <v>150</v>
      </c>
      <c r="AS35" s="60">
        <v>1</v>
      </c>
      <c r="AT35" s="60">
        <v>156.4</v>
      </c>
      <c r="AU35" s="60">
        <v>10.9903402328491</v>
      </c>
    </row>
    <row r="36" spans="1:47" ht="15" customHeight="1" x14ac:dyDescent="0.2">
      <c r="A36" s="109">
        <v>193</v>
      </c>
      <c r="B36" s="109">
        <v>290</v>
      </c>
      <c r="C36" s="109">
        <v>156.4</v>
      </c>
      <c r="D36" s="109" t="s">
        <v>792</v>
      </c>
      <c r="E36" s="109">
        <v>8.9999999999999993E-3</v>
      </c>
      <c r="F36" s="109" t="s">
        <v>793</v>
      </c>
      <c r="G36" s="109" t="s">
        <v>709</v>
      </c>
      <c r="H36" s="109" t="s">
        <v>708</v>
      </c>
      <c r="I36" s="78" t="s">
        <v>291</v>
      </c>
      <c r="J36" s="109">
        <v>0</v>
      </c>
      <c r="K36" s="109">
        <v>-6.3425126075744629</v>
      </c>
      <c r="L36" s="109">
        <v>0.33013808727264399</v>
      </c>
      <c r="M36" s="109">
        <v>0.66114652156829834</v>
      </c>
      <c r="N36" s="109">
        <v>8.999999612569809E-3</v>
      </c>
      <c r="O36" s="109">
        <v>150</v>
      </c>
      <c r="P36" s="109">
        <v>1</v>
      </c>
      <c r="Q36" s="109">
        <v>156.4</v>
      </c>
      <c r="R36" s="109">
        <f t="shared" si="0"/>
        <v>6.3425126075744629</v>
      </c>
      <c r="T36" s="108" t="b">
        <f t="shared" si="1"/>
        <v>0</v>
      </c>
      <c r="W36" s="60">
        <v>35</v>
      </c>
      <c r="X36" s="60" t="s">
        <v>431</v>
      </c>
      <c r="Y36" s="60">
        <v>9.1247412879306403E-4</v>
      </c>
      <c r="Z36" s="60">
        <v>156.4</v>
      </c>
      <c r="AA36" s="60" t="s">
        <v>792</v>
      </c>
      <c r="AB36" s="60">
        <v>8.9999999999999993E-3</v>
      </c>
      <c r="AC36" s="60"/>
      <c r="AD36" s="60" t="s">
        <v>793</v>
      </c>
      <c r="AE36" s="60"/>
      <c r="AF36" s="60"/>
      <c r="AG36" s="60" t="s">
        <v>728</v>
      </c>
      <c r="AH36" s="60" t="s">
        <v>746</v>
      </c>
      <c r="AI36" s="60" t="s">
        <v>431</v>
      </c>
      <c r="AJ36" s="60">
        <v>0</v>
      </c>
      <c r="AK36" s="60">
        <v>13.680243492126399</v>
      </c>
      <c r="AL36" s="60">
        <v>0.71207886934280396</v>
      </c>
      <c r="AM36" s="60">
        <v>0</v>
      </c>
      <c r="AN36" s="60">
        <v>0</v>
      </c>
      <c r="AO36" s="60">
        <v>3</v>
      </c>
      <c r="AP36" s="60">
        <v>8.9999996125698003E-3</v>
      </c>
      <c r="AQ36" s="60">
        <v>0</v>
      </c>
      <c r="AR36" s="60">
        <v>150</v>
      </c>
      <c r="AS36" s="60">
        <v>1</v>
      </c>
      <c r="AT36" s="60">
        <v>77.2</v>
      </c>
      <c r="AU36" s="60">
        <v>4.3164505958557102</v>
      </c>
    </row>
    <row r="37" spans="1:47" ht="15" customHeight="1" x14ac:dyDescent="0.25">
      <c r="A37" s="109">
        <v>97</v>
      </c>
      <c r="B37" s="109">
        <v>533</v>
      </c>
      <c r="C37" s="109">
        <v>204.2</v>
      </c>
      <c r="D37" s="109" t="s">
        <v>792</v>
      </c>
      <c r="E37" s="109">
        <v>8.9999999999999993E-3</v>
      </c>
      <c r="F37" s="109" t="s">
        <v>793</v>
      </c>
      <c r="G37" s="109" t="s">
        <v>593</v>
      </c>
      <c r="H37" s="109" t="s">
        <v>592</v>
      </c>
      <c r="I37" t="s">
        <v>157</v>
      </c>
      <c r="J37" s="109">
        <v>0</v>
      </c>
      <c r="K37" s="109">
        <v>-18.592584609985352</v>
      </c>
      <c r="L37" s="109">
        <v>0.56772243976593018</v>
      </c>
      <c r="M37" s="109">
        <v>1.370203018188477</v>
      </c>
      <c r="N37" s="109">
        <v>8.999999612569809E-3</v>
      </c>
      <c r="O37" s="109">
        <v>200</v>
      </c>
      <c r="P37" s="109">
        <v>1</v>
      </c>
      <c r="Q37" s="109">
        <v>94.4</v>
      </c>
      <c r="R37" s="109">
        <f t="shared" si="0"/>
        <v>18.592584609985352</v>
      </c>
      <c r="T37" s="108" t="b">
        <f t="shared" si="1"/>
        <v>0</v>
      </c>
      <c r="W37" s="60">
        <v>36</v>
      </c>
      <c r="X37" s="60" t="s">
        <v>252</v>
      </c>
      <c r="Y37" s="60">
        <v>2.0802966654287101E-3</v>
      </c>
      <c r="Z37" s="60">
        <v>156.4</v>
      </c>
      <c r="AA37" s="60" t="s">
        <v>792</v>
      </c>
      <c r="AB37" s="60">
        <v>8.9999999999999993E-3</v>
      </c>
      <c r="AC37" s="60"/>
      <c r="AD37" s="60" t="s">
        <v>793</v>
      </c>
      <c r="AE37" s="60"/>
      <c r="AF37" s="60"/>
      <c r="AG37" s="60" t="s">
        <v>746</v>
      </c>
      <c r="AH37" s="60" t="s">
        <v>747</v>
      </c>
      <c r="AI37" s="60" t="s">
        <v>252</v>
      </c>
      <c r="AJ37" s="60">
        <v>0</v>
      </c>
      <c r="AK37" s="60">
        <v>11.791706085205</v>
      </c>
      <c r="AL37" s="60">
        <v>0.61377745866775502</v>
      </c>
      <c r="AM37" s="60">
        <v>0</v>
      </c>
      <c r="AN37" s="60">
        <v>0</v>
      </c>
      <c r="AO37" s="60">
        <v>3</v>
      </c>
      <c r="AP37" s="60">
        <v>8.9999996125698003E-3</v>
      </c>
      <c r="AQ37" s="60">
        <v>0</v>
      </c>
      <c r="AR37" s="60">
        <v>150</v>
      </c>
      <c r="AS37" s="60">
        <v>1</v>
      </c>
      <c r="AT37" s="60">
        <v>72.8</v>
      </c>
      <c r="AU37" s="60">
        <v>2.7525329589843701</v>
      </c>
    </row>
    <row r="38" spans="1:47" ht="15" customHeight="1" x14ac:dyDescent="0.2">
      <c r="A38" s="109">
        <v>190</v>
      </c>
      <c r="B38" s="109">
        <v>82.4</v>
      </c>
      <c r="C38" s="109">
        <v>108.4</v>
      </c>
      <c r="D38" s="109" t="s">
        <v>792</v>
      </c>
      <c r="E38" s="109">
        <v>8.9999999999999993E-3</v>
      </c>
      <c r="F38" s="109" t="s">
        <v>793</v>
      </c>
      <c r="G38" s="109" t="s">
        <v>710</v>
      </c>
      <c r="H38" s="109" t="s">
        <v>709</v>
      </c>
      <c r="I38" s="78" t="s">
        <v>293</v>
      </c>
      <c r="J38" s="109">
        <v>0</v>
      </c>
      <c r="K38" s="109">
        <v>-4.2200489044189453</v>
      </c>
      <c r="L38" s="109">
        <v>0.45726364850997919</v>
      </c>
      <c r="M38" s="109">
        <v>2.067552804946899</v>
      </c>
      <c r="N38" s="109">
        <v>8.999999612569809E-3</v>
      </c>
      <c r="O38" s="109">
        <v>100</v>
      </c>
      <c r="P38" s="109">
        <v>1</v>
      </c>
      <c r="Q38" s="109">
        <v>156.4</v>
      </c>
      <c r="R38" s="109">
        <f t="shared" si="0"/>
        <v>4.2200489044189453</v>
      </c>
      <c r="T38" s="108" t="b">
        <f t="shared" si="1"/>
        <v>0</v>
      </c>
      <c r="W38" s="60">
        <v>37</v>
      </c>
      <c r="X38" s="60" t="s">
        <v>235</v>
      </c>
      <c r="Y38" s="60">
        <v>1.1699050053463899E-3</v>
      </c>
      <c r="Z38" s="60">
        <v>108.4</v>
      </c>
      <c r="AA38" s="60" t="s">
        <v>792</v>
      </c>
      <c r="AB38" s="60">
        <v>8.9999999999999993E-3</v>
      </c>
      <c r="AC38" s="60"/>
      <c r="AD38" s="60" t="s">
        <v>793</v>
      </c>
      <c r="AE38" s="60"/>
      <c r="AF38" s="60"/>
      <c r="AG38" s="60" t="s">
        <v>748</v>
      </c>
      <c r="AH38" s="60" t="s">
        <v>749</v>
      </c>
      <c r="AI38" s="60" t="s">
        <v>235</v>
      </c>
      <c r="AJ38" s="60">
        <v>0</v>
      </c>
      <c r="AK38" s="60">
        <v>8.08880519866943</v>
      </c>
      <c r="AL38" s="60">
        <v>0.87646299600601196</v>
      </c>
      <c r="AM38" s="60">
        <v>7.95086574554443</v>
      </c>
      <c r="AN38" s="60">
        <v>0</v>
      </c>
      <c r="AO38" s="60">
        <v>3</v>
      </c>
      <c r="AP38" s="60">
        <v>8.9999996125698003E-3</v>
      </c>
      <c r="AQ38" s="60">
        <v>0</v>
      </c>
      <c r="AR38" s="60">
        <v>100</v>
      </c>
      <c r="AS38" s="60">
        <v>1</v>
      </c>
      <c r="AT38" s="60">
        <v>51.4</v>
      </c>
      <c r="AU38" s="60">
        <v>0.31387940049171398</v>
      </c>
    </row>
    <row r="39" spans="1:47" ht="15" customHeight="1" x14ac:dyDescent="0.2">
      <c r="A39" s="109">
        <v>189</v>
      </c>
      <c r="B39" s="109">
        <v>75.099999999999994</v>
      </c>
      <c r="C39" s="109">
        <v>108.4</v>
      </c>
      <c r="D39" s="109" t="s">
        <v>792</v>
      </c>
      <c r="E39" s="109">
        <v>8.9999999999999993E-3</v>
      </c>
      <c r="F39" s="109" t="s">
        <v>793</v>
      </c>
      <c r="G39" s="109" t="s">
        <v>711</v>
      </c>
      <c r="H39" s="109" t="s">
        <v>710</v>
      </c>
      <c r="I39" s="78" t="s">
        <v>294</v>
      </c>
      <c r="J39" s="109">
        <v>0</v>
      </c>
      <c r="K39" s="109">
        <v>-3.324277400970459</v>
      </c>
      <c r="L39" s="109">
        <v>0.36020228266715998</v>
      </c>
      <c r="M39" s="109">
        <v>1.282986164093018</v>
      </c>
      <c r="N39" s="109">
        <v>8.999999612569809E-3</v>
      </c>
      <c r="O39" s="109">
        <v>100</v>
      </c>
      <c r="P39" s="109">
        <v>1</v>
      </c>
      <c r="Q39" s="109">
        <v>156.4</v>
      </c>
      <c r="R39" s="109">
        <f t="shared" si="0"/>
        <v>3.324277400970459</v>
      </c>
      <c r="T39" s="108" t="b">
        <f t="shared" si="1"/>
        <v>0</v>
      </c>
      <c r="W39" s="60">
        <v>38</v>
      </c>
      <c r="X39" s="60" t="s">
        <v>253</v>
      </c>
      <c r="Y39" s="60">
        <v>1.3081752518377199E-3</v>
      </c>
      <c r="Z39" s="60">
        <v>108.4</v>
      </c>
      <c r="AA39" s="60" t="s">
        <v>792</v>
      </c>
      <c r="AB39" s="60">
        <v>8.9999999999999993E-3</v>
      </c>
      <c r="AC39" s="60"/>
      <c r="AD39" s="60" t="s">
        <v>793</v>
      </c>
      <c r="AE39" s="60"/>
      <c r="AF39" s="60"/>
      <c r="AG39" s="60" t="s">
        <v>747</v>
      </c>
      <c r="AH39" s="60" t="s">
        <v>748</v>
      </c>
      <c r="AI39" s="60" t="s">
        <v>253</v>
      </c>
      <c r="AJ39" s="60">
        <v>0</v>
      </c>
      <c r="AK39" s="60">
        <v>9.6521263122558594</v>
      </c>
      <c r="AL39" s="60">
        <v>1.0458567142486499</v>
      </c>
      <c r="AM39" s="60">
        <v>14.2209663391113</v>
      </c>
      <c r="AN39" s="60">
        <v>0</v>
      </c>
      <c r="AO39" s="60">
        <v>3</v>
      </c>
      <c r="AP39" s="60">
        <v>8.9999996125698003E-3</v>
      </c>
      <c r="AQ39" s="60">
        <v>0</v>
      </c>
      <c r="AR39" s="60">
        <v>100</v>
      </c>
      <c r="AS39" s="60">
        <v>1</v>
      </c>
      <c r="AT39" s="60">
        <v>51.4</v>
      </c>
      <c r="AU39" s="60">
        <v>0.98072308301925604</v>
      </c>
    </row>
    <row r="40" spans="1:47" ht="15" customHeight="1" x14ac:dyDescent="0.2">
      <c r="A40" s="109">
        <v>188</v>
      </c>
      <c r="B40" s="109">
        <v>108</v>
      </c>
      <c r="C40" s="109">
        <v>97.8</v>
      </c>
      <c r="D40" s="109" t="s">
        <v>792</v>
      </c>
      <c r="E40" s="109">
        <v>8.9999999999999993E-3</v>
      </c>
      <c r="F40" s="109" t="s">
        <v>793</v>
      </c>
      <c r="G40" s="109" t="s">
        <v>712</v>
      </c>
      <c r="H40" s="109" t="s">
        <v>711</v>
      </c>
      <c r="I40" s="78" t="s">
        <v>295</v>
      </c>
      <c r="J40" s="109">
        <v>0</v>
      </c>
      <c r="K40" s="109">
        <v>-2.28016185760498</v>
      </c>
      <c r="L40" s="109">
        <v>0.3035258948802948</v>
      </c>
      <c r="M40" s="109">
        <v>1.0449404716491699</v>
      </c>
      <c r="N40" s="109">
        <v>8.999999612569809E-3</v>
      </c>
      <c r="O40" s="109">
        <v>100</v>
      </c>
      <c r="P40" s="109">
        <v>1</v>
      </c>
      <c r="Q40" s="109">
        <v>156.4</v>
      </c>
      <c r="R40" s="109">
        <f t="shared" si="0"/>
        <v>2.28016185760498</v>
      </c>
      <c r="T40" s="108" t="b">
        <f t="shared" si="1"/>
        <v>0</v>
      </c>
      <c r="W40" s="60">
        <v>39</v>
      </c>
      <c r="X40" s="60" t="s">
        <v>236</v>
      </c>
      <c r="Y40" s="60">
        <v>9.4264168834423299E-4</v>
      </c>
      <c r="Z40" s="60">
        <v>94.4</v>
      </c>
      <c r="AA40" s="60" t="s">
        <v>792</v>
      </c>
      <c r="AB40" s="60">
        <v>8.9999999999999993E-3</v>
      </c>
      <c r="AC40" s="60"/>
      <c r="AD40" s="60" t="s">
        <v>793</v>
      </c>
      <c r="AE40" s="60"/>
      <c r="AF40" s="60"/>
      <c r="AG40" s="60" t="s">
        <v>749</v>
      </c>
      <c r="AH40" s="60" t="s">
        <v>750</v>
      </c>
      <c r="AI40" s="60" t="s">
        <v>236</v>
      </c>
      <c r="AJ40" s="60">
        <v>0</v>
      </c>
      <c r="AK40" s="60">
        <v>6.7594122886657697</v>
      </c>
      <c r="AL40" s="60">
        <v>0.96576780080795199</v>
      </c>
      <c r="AM40" s="60">
        <v>9.8677558898925692</v>
      </c>
      <c r="AN40" s="60">
        <v>0</v>
      </c>
      <c r="AO40" s="60">
        <v>3</v>
      </c>
      <c r="AP40" s="60">
        <v>8.9999996125698003E-3</v>
      </c>
      <c r="AQ40" s="60">
        <v>0</v>
      </c>
      <c r="AR40" s="60">
        <v>100</v>
      </c>
      <c r="AS40" s="60">
        <v>1</v>
      </c>
      <c r="AT40" s="60">
        <v>72.8</v>
      </c>
      <c r="AU40" s="60">
        <v>1.4147640466689999</v>
      </c>
    </row>
    <row r="41" spans="1:47" ht="15" customHeight="1" x14ac:dyDescent="0.2">
      <c r="A41" s="109">
        <v>187</v>
      </c>
      <c r="B41" s="109">
        <v>150.19999999999999</v>
      </c>
      <c r="C41" s="109">
        <v>51.4</v>
      </c>
      <c r="D41" s="109" t="s">
        <v>792</v>
      </c>
      <c r="E41" s="109">
        <v>8.9999999999999993E-3</v>
      </c>
      <c r="F41" s="109" t="s">
        <v>793</v>
      </c>
      <c r="G41" s="109" t="s">
        <v>713</v>
      </c>
      <c r="H41" s="109" t="s">
        <v>712</v>
      </c>
      <c r="I41" s="78" t="s">
        <v>296</v>
      </c>
      <c r="J41" s="109">
        <v>0</v>
      </c>
      <c r="K41" s="109">
        <v>-0.80813032388687134</v>
      </c>
      <c r="L41" s="109">
        <v>0.38946005702018738</v>
      </c>
      <c r="M41" s="109">
        <v>4.0553994178771973</v>
      </c>
      <c r="N41" s="109">
        <v>8.999999612569809E-3</v>
      </c>
      <c r="O41" s="109">
        <v>50</v>
      </c>
      <c r="P41" s="109">
        <v>1</v>
      </c>
      <c r="Q41" s="109">
        <v>156.4</v>
      </c>
      <c r="R41" s="109">
        <f t="shared" si="0"/>
        <v>0.80813032388687134</v>
      </c>
      <c r="T41" s="108" t="b">
        <f t="shared" si="1"/>
        <v>0</v>
      </c>
      <c r="W41" s="60">
        <v>40</v>
      </c>
      <c r="X41" s="60" t="s">
        <v>237</v>
      </c>
      <c r="Y41" s="60">
        <v>7.1512915041718696E-4</v>
      </c>
      <c r="Z41" s="60">
        <v>94.4</v>
      </c>
      <c r="AA41" s="60" t="s">
        <v>792</v>
      </c>
      <c r="AB41" s="60">
        <v>8.9999999999999993E-3</v>
      </c>
      <c r="AC41" s="60"/>
      <c r="AD41" s="60" t="s">
        <v>793</v>
      </c>
      <c r="AE41" s="60"/>
      <c r="AF41" s="60"/>
      <c r="AG41" s="60" t="s">
        <v>750</v>
      </c>
      <c r="AH41" s="60" t="s">
        <v>751</v>
      </c>
      <c r="AI41" s="60" t="s">
        <v>237</v>
      </c>
      <c r="AJ41" s="60">
        <v>0</v>
      </c>
      <c r="AK41" s="60">
        <v>5.7152967453002903</v>
      </c>
      <c r="AL41" s="60">
        <v>0.81658720970153797</v>
      </c>
      <c r="AM41" s="60">
        <v>13.007102012634199</v>
      </c>
      <c r="AN41" s="60">
        <v>0</v>
      </c>
      <c r="AO41" s="60">
        <v>3</v>
      </c>
      <c r="AP41" s="60">
        <v>8.9999996125698003E-3</v>
      </c>
      <c r="AQ41" s="60">
        <v>0</v>
      </c>
      <c r="AR41" s="60">
        <v>100</v>
      </c>
      <c r="AS41" s="60">
        <v>1</v>
      </c>
      <c r="AT41" s="60">
        <v>72.8</v>
      </c>
      <c r="AU41" s="60">
        <v>2.27940726280212</v>
      </c>
    </row>
    <row r="42" spans="1:47" ht="15" customHeight="1" x14ac:dyDescent="0.2">
      <c r="A42" s="109">
        <v>186</v>
      </c>
      <c r="B42" s="109">
        <v>54</v>
      </c>
      <c r="C42" s="109">
        <v>51.4</v>
      </c>
      <c r="D42" s="109" t="s">
        <v>792</v>
      </c>
      <c r="E42" s="109">
        <v>8.9999999999999993E-3</v>
      </c>
      <c r="F42" s="109" t="s">
        <v>793</v>
      </c>
      <c r="G42" s="109" t="s">
        <v>714</v>
      </c>
      <c r="H42" s="109" t="s">
        <v>713</v>
      </c>
      <c r="I42" s="78" t="s">
        <v>297</v>
      </c>
      <c r="J42" s="109">
        <v>0</v>
      </c>
      <c r="K42" s="109">
        <v>0.35580164194107061</v>
      </c>
      <c r="L42" s="109">
        <v>0.1714705228805542</v>
      </c>
      <c r="M42" s="109">
        <v>0.78617078065872192</v>
      </c>
      <c r="N42" s="109">
        <v>8.999999612569809E-3</v>
      </c>
      <c r="O42" s="109">
        <v>50</v>
      </c>
      <c r="P42" s="109">
        <v>1</v>
      </c>
      <c r="Q42" s="109">
        <v>156.4</v>
      </c>
      <c r="R42" s="109">
        <f t="shared" si="0"/>
        <v>0.35580164194107061</v>
      </c>
      <c r="T42" s="108" t="b">
        <f t="shared" si="1"/>
        <v>0</v>
      </c>
      <c r="W42" s="60">
        <v>41</v>
      </c>
      <c r="X42" s="60" t="s">
        <v>238</v>
      </c>
      <c r="Y42" s="60">
        <v>8.0602276036060899E-4</v>
      </c>
      <c r="Z42" s="60">
        <v>94.4</v>
      </c>
      <c r="AA42" s="60" t="s">
        <v>792</v>
      </c>
      <c r="AB42" s="60">
        <v>8.9999999999999993E-3</v>
      </c>
      <c r="AC42" s="60"/>
      <c r="AD42" s="60" t="s">
        <v>793</v>
      </c>
      <c r="AE42" s="60"/>
      <c r="AF42" s="60"/>
      <c r="AG42" s="60" t="s">
        <v>751</v>
      </c>
      <c r="AH42" s="60" t="s">
        <v>752</v>
      </c>
      <c r="AI42" s="60" t="s">
        <v>238</v>
      </c>
      <c r="AJ42" s="60">
        <v>0</v>
      </c>
      <c r="AK42" s="60">
        <v>4.7567648887634197</v>
      </c>
      <c r="AL42" s="60">
        <v>0.67963457107543901</v>
      </c>
      <c r="AM42" s="60">
        <v>0</v>
      </c>
      <c r="AN42" s="60">
        <v>0</v>
      </c>
      <c r="AO42" s="60">
        <v>3</v>
      </c>
      <c r="AP42" s="60">
        <v>8.9999996125698003E-3</v>
      </c>
      <c r="AQ42" s="60">
        <v>0</v>
      </c>
      <c r="AR42" s="60">
        <v>100</v>
      </c>
      <c r="AS42" s="60">
        <v>1</v>
      </c>
      <c r="AT42" s="60">
        <v>94.4</v>
      </c>
      <c r="AU42" s="60">
        <v>3.0731782913207999</v>
      </c>
    </row>
    <row r="43" spans="1:47" ht="15" customHeight="1" x14ac:dyDescent="0.2">
      <c r="A43" s="109">
        <v>185</v>
      </c>
      <c r="B43" s="109">
        <v>93.1</v>
      </c>
      <c r="C43" s="109">
        <v>51.4</v>
      </c>
      <c r="D43" s="109" t="s">
        <v>792</v>
      </c>
      <c r="E43" s="109">
        <v>8.9999999999999993E-3</v>
      </c>
      <c r="F43" s="109" t="s">
        <v>793</v>
      </c>
      <c r="G43" s="109" t="s">
        <v>715</v>
      </c>
      <c r="H43" s="109" t="s">
        <v>714</v>
      </c>
      <c r="I43" s="78" t="s">
        <v>298</v>
      </c>
      <c r="J43" s="109">
        <v>0</v>
      </c>
      <c r="K43" s="109">
        <v>1.1945173740386961</v>
      </c>
      <c r="L43" s="109">
        <v>0.57567054033279419</v>
      </c>
      <c r="M43" s="109">
        <v>8.8603992462158203</v>
      </c>
      <c r="N43" s="109">
        <v>8.999999612569809E-3</v>
      </c>
      <c r="O43" s="109">
        <v>50</v>
      </c>
      <c r="P43" s="109">
        <v>1</v>
      </c>
      <c r="Q43" s="109">
        <v>156.4</v>
      </c>
      <c r="R43" s="109">
        <f t="shared" si="0"/>
        <v>1.1945173740386961</v>
      </c>
      <c r="T43" s="108" t="b">
        <f t="shared" si="1"/>
        <v>0</v>
      </c>
      <c r="W43" s="60">
        <v>42</v>
      </c>
      <c r="X43" s="60" t="s">
        <v>239</v>
      </c>
      <c r="Y43" s="60">
        <v>8.0250993647993003E-4</v>
      </c>
      <c r="Z43" s="60">
        <v>72.8</v>
      </c>
      <c r="AA43" s="60" t="s">
        <v>792</v>
      </c>
      <c r="AB43" s="60">
        <v>8.9999999999999993E-3</v>
      </c>
      <c r="AC43" s="60"/>
      <c r="AD43" s="60" t="s">
        <v>793</v>
      </c>
      <c r="AE43" s="60"/>
      <c r="AF43" s="60"/>
      <c r="AG43" s="60" t="s">
        <v>752</v>
      </c>
      <c r="AH43" s="60" t="s">
        <v>753</v>
      </c>
      <c r="AI43" s="60" t="s">
        <v>239</v>
      </c>
      <c r="AJ43" s="60">
        <v>0</v>
      </c>
      <c r="AK43" s="60">
        <v>3.74117708206176</v>
      </c>
      <c r="AL43" s="60">
        <v>0.89877969026565496</v>
      </c>
      <c r="AM43" s="60">
        <v>11.590831756591699</v>
      </c>
      <c r="AN43" s="60">
        <v>0</v>
      </c>
      <c r="AO43" s="60">
        <v>3</v>
      </c>
      <c r="AP43" s="60">
        <v>8.9999996125698003E-3</v>
      </c>
      <c r="AQ43" s="60">
        <v>0</v>
      </c>
      <c r="AR43" s="60">
        <v>75</v>
      </c>
      <c r="AS43" s="60">
        <v>1</v>
      </c>
      <c r="AT43" s="60">
        <v>94.4</v>
      </c>
      <c r="AU43" s="60">
        <v>3.9141972064971902</v>
      </c>
    </row>
    <row r="44" spans="1:47" ht="15" customHeight="1" x14ac:dyDescent="0.2">
      <c r="A44" s="109">
        <v>27</v>
      </c>
      <c r="B44" s="109">
        <v>359.8</v>
      </c>
      <c r="C44" s="109">
        <v>204.2</v>
      </c>
      <c r="D44" s="109" t="s">
        <v>792</v>
      </c>
      <c r="E44" s="109">
        <v>8.9999999999999993E-3</v>
      </c>
      <c r="F44" s="109" t="s">
        <v>793</v>
      </c>
      <c r="G44" s="109" t="s">
        <v>716</v>
      </c>
      <c r="H44" s="109" t="s">
        <v>717</v>
      </c>
      <c r="I44" s="60" t="s">
        <v>300</v>
      </c>
      <c r="J44" s="109">
        <v>0</v>
      </c>
      <c r="K44" s="109">
        <v>28.655429840087891</v>
      </c>
      <c r="L44" s="109">
        <v>0.87499022483825684</v>
      </c>
      <c r="M44" s="109">
        <v>3.254787921905518</v>
      </c>
      <c r="N44" s="109">
        <v>8.999999612569809E-3</v>
      </c>
      <c r="O44" s="109">
        <v>200</v>
      </c>
      <c r="P44" s="109">
        <v>1</v>
      </c>
      <c r="Q44" s="109">
        <v>156.4</v>
      </c>
      <c r="R44" s="109">
        <f t="shared" si="0"/>
        <v>28.655429840087891</v>
      </c>
      <c r="T44" s="108" t="b">
        <f t="shared" si="1"/>
        <v>0</v>
      </c>
      <c r="W44" s="60">
        <v>43</v>
      </c>
      <c r="X44" s="60" t="s">
        <v>240</v>
      </c>
      <c r="Y44" s="60">
        <v>4.0920989016679401E-4</v>
      </c>
      <c r="Z44" s="60">
        <v>72.8</v>
      </c>
      <c r="AA44" s="60" t="s">
        <v>792</v>
      </c>
      <c r="AB44" s="60">
        <v>8.9999999999999993E-3</v>
      </c>
      <c r="AC44" s="60"/>
      <c r="AD44" s="60" t="s">
        <v>793</v>
      </c>
      <c r="AE44" s="60"/>
      <c r="AF44" s="60"/>
      <c r="AG44" s="60" t="s">
        <v>753</v>
      </c>
      <c r="AH44" s="60" t="s">
        <v>754</v>
      </c>
      <c r="AI44" s="60" t="s">
        <v>240</v>
      </c>
      <c r="AJ44" s="60">
        <v>0</v>
      </c>
      <c r="AK44" s="60">
        <v>2.97663354873657</v>
      </c>
      <c r="AL44" s="60">
        <v>0.71510595083236606</v>
      </c>
      <c r="AM44" s="60">
        <v>22.731019973754801</v>
      </c>
      <c r="AN44" s="60">
        <v>0</v>
      </c>
      <c r="AO44" s="60">
        <v>3</v>
      </c>
      <c r="AP44" s="60">
        <v>8.9999996125698003E-3</v>
      </c>
      <c r="AQ44" s="60">
        <v>0</v>
      </c>
      <c r="AR44" s="60">
        <v>75</v>
      </c>
      <c r="AS44" s="60">
        <v>1</v>
      </c>
      <c r="AT44" s="60">
        <v>94.4</v>
      </c>
      <c r="AU44" s="60">
        <v>4.5473237037658603</v>
      </c>
    </row>
    <row r="45" spans="1:47" ht="15" customHeight="1" x14ac:dyDescent="0.2">
      <c r="A45" s="109">
        <v>28</v>
      </c>
      <c r="B45" s="109">
        <v>314.7</v>
      </c>
      <c r="C45" s="109">
        <v>204.2</v>
      </c>
      <c r="D45" s="109" t="s">
        <v>792</v>
      </c>
      <c r="E45" s="109">
        <v>8.9999999999999993E-3</v>
      </c>
      <c r="F45" s="109" t="s">
        <v>793</v>
      </c>
      <c r="G45" s="109" t="s">
        <v>717</v>
      </c>
      <c r="H45" s="109" t="s">
        <v>718</v>
      </c>
      <c r="I45" s="60" t="s">
        <v>301</v>
      </c>
      <c r="J45" s="109">
        <v>0</v>
      </c>
      <c r="K45" s="109">
        <v>24.804183959960941</v>
      </c>
      <c r="L45" s="109">
        <v>0.75739294290542603</v>
      </c>
      <c r="M45" s="109">
        <v>2.4387040138244629</v>
      </c>
      <c r="N45" s="109">
        <v>8.999999612569809E-3</v>
      </c>
      <c r="O45" s="109">
        <v>200</v>
      </c>
      <c r="P45" s="109">
        <v>1</v>
      </c>
      <c r="Q45" s="109">
        <v>156.4</v>
      </c>
      <c r="R45" s="109">
        <f t="shared" si="0"/>
        <v>24.804183959960941</v>
      </c>
      <c r="T45" s="108" t="b">
        <f t="shared" si="1"/>
        <v>0</v>
      </c>
      <c r="W45" s="60">
        <v>44</v>
      </c>
      <c r="X45" s="60" t="s">
        <v>241</v>
      </c>
      <c r="Y45" s="60">
        <v>3.8904781796448998E-4</v>
      </c>
      <c r="Z45" s="60">
        <v>72.8</v>
      </c>
      <c r="AA45" s="60" t="s">
        <v>792</v>
      </c>
      <c r="AB45" s="60">
        <v>8.9999999999999993E-3</v>
      </c>
      <c r="AC45" s="60"/>
      <c r="AD45" s="60" t="s">
        <v>793</v>
      </c>
      <c r="AE45" s="60"/>
      <c r="AF45" s="60"/>
      <c r="AG45" s="60" t="s">
        <v>754</v>
      </c>
      <c r="AH45" s="60" t="s">
        <v>755</v>
      </c>
      <c r="AI45" s="60" t="s">
        <v>241</v>
      </c>
      <c r="AJ45" s="60">
        <v>0</v>
      </c>
      <c r="AK45" s="60">
        <v>2.4745452404022199</v>
      </c>
      <c r="AL45" s="60">
        <v>0.59448426961898804</v>
      </c>
      <c r="AM45" s="60">
        <v>0</v>
      </c>
      <c r="AN45" s="60">
        <v>0</v>
      </c>
      <c r="AO45" s="60">
        <v>3</v>
      </c>
      <c r="AP45" s="60">
        <v>8.9999996125698003E-3</v>
      </c>
      <c r="AQ45" s="60">
        <v>0</v>
      </c>
      <c r="AR45" s="60">
        <v>75</v>
      </c>
      <c r="AS45" s="60">
        <v>1</v>
      </c>
      <c r="AT45" s="60">
        <v>94.4</v>
      </c>
      <c r="AU45" s="60">
        <v>4.9631090164184499</v>
      </c>
    </row>
    <row r="46" spans="1:47" ht="15" customHeight="1" x14ac:dyDescent="0.2">
      <c r="A46" s="109">
        <v>30</v>
      </c>
      <c r="B46" s="109">
        <v>269.60000000000002</v>
      </c>
      <c r="C46" s="109">
        <v>156.4</v>
      </c>
      <c r="D46" s="109" t="s">
        <v>792</v>
      </c>
      <c r="E46" s="109">
        <v>8.9999999999999993E-3</v>
      </c>
      <c r="F46" s="109" t="s">
        <v>793</v>
      </c>
      <c r="G46" s="109" t="s">
        <v>718</v>
      </c>
      <c r="H46" s="109" t="s">
        <v>719</v>
      </c>
      <c r="I46" s="60" t="s">
        <v>302</v>
      </c>
      <c r="J46" s="109">
        <v>0</v>
      </c>
      <c r="K46" s="109">
        <v>21.466438293457031</v>
      </c>
      <c r="L46" s="109">
        <v>1.117362976074219</v>
      </c>
      <c r="M46" s="109">
        <v>7.5734109878540039</v>
      </c>
      <c r="N46" s="109">
        <v>8.999999612569809E-3</v>
      </c>
      <c r="O46" s="109">
        <v>150</v>
      </c>
      <c r="P46" s="109">
        <v>1</v>
      </c>
      <c r="Q46" s="109">
        <v>156.4</v>
      </c>
      <c r="R46" s="109">
        <f t="shared" si="0"/>
        <v>21.466438293457031</v>
      </c>
      <c r="T46" s="108" t="b">
        <f t="shared" si="1"/>
        <v>0</v>
      </c>
      <c r="W46" s="60">
        <v>45</v>
      </c>
      <c r="X46" s="60" t="s">
        <v>242</v>
      </c>
      <c r="Y46" s="60">
        <v>4.3481473975947601E-4</v>
      </c>
      <c r="Z46" s="60">
        <v>51.4</v>
      </c>
      <c r="AA46" s="60" t="s">
        <v>792</v>
      </c>
      <c r="AB46" s="60">
        <v>8.9999999999999993E-3</v>
      </c>
      <c r="AC46" s="60"/>
      <c r="AD46" s="60" t="s">
        <v>793</v>
      </c>
      <c r="AE46" s="60"/>
      <c r="AF46" s="60"/>
      <c r="AG46" s="60" t="s">
        <v>756</v>
      </c>
      <c r="AH46" s="60" t="s">
        <v>757</v>
      </c>
      <c r="AI46" s="60" t="s">
        <v>242</v>
      </c>
      <c r="AJ46" s="60">
        <v>0</v>
      </c>
      <c r="AK46" s="60">
        <v>1.2022078037261901</v>
      </c>
      <c r="AL46" s="60">
        <v>0.57937675714492798</v>
      </c>
      <c r="AM46" s="60">
        <v>21.392461776733398</v>
      </c>
      <c r="AN46" s="60">
        <v>0</v>
      </c>
      <c r="AO46" s="60">
        <v>3</v>
      </c>
      <c r="AP46" s="60">
        <v>8.9999996125698003E-3</v>
      </c>
      <c r="AQ46" s="60">
        <v>0</v>
      </c>
      <c r="AR46" s="60">
        <v>50</v>
      </c>
      <c r="AS46" s="60">
        <v>1</v>
      </c>
      <c r="AT46" s="60">
        <v>97.8</v>
      </c>
      <c r="AU46" s="60">
        <v>6.0167450904846103</v>
      </c>
    </row>
    <row r="47" spans="1:47" ht="15" customHeight="1" x14ac:dyDescent="0.2">
      <c r="A47" s="109">
        <v>29</v>
      </c>
      <c r="B47" s="109">
        <v>179.6</v>
      </c>
      <c r="C47" s="109">
        <v>156.4</v>
      </c>
      <c r="D47" s="109" t="s">
        <v>792</v>
      </c>
      <c r="E47" s="109">
        <v>8.9999999999999993E-3</v>
      </c>
      <c r="F47" s="109" t="s">
        <v>793</v>
      </c>
      <c r="G47" s="109" t="s">
        <v>719</v>
      </c>
      <c r="H47" s="109" t="s">
        <v>720</v>
      </c>
      <c r="I47" s="60" t="s">
        <v>303</v>
      </c>
      <c r="J47" s="109">
        <v>0</v>
      </c>
      <c r="K47" s="109">
        <v>18.898941040039059</v>
      </c>
      <c r="L47" s="109">
        <v>0.98372054100036621</v>
      </c>
      <c r="M47" s="109">
        <v>5.8701033592224121</v>
      </c>
      <c r="N47" s="109">
        <v>8.999999612569809E-3</v>
      </c>
      <c r="O47" s="109">
        <v>150</v>
      </c>
      <c r="P47" s="109">
        <v>1</v>
      </c>
      <c r="Q47" s="109">
        <v>108.4</v>
      </c>
      <c r="R47" s="109">
        <f t="shared" si="0"/>
        <v>18.898941040039059</v>
      </c>
      <c r="T47" s="108" t="b">
        <f t="shared" si="1"/>
        <v>0</v>
      </c>
      <c r="W47" s="60">
        <v>46</v>
      </c>
      <c r="X47" s="60" t="s">
        <v>243</v>
      </c>
      <c r="Y47" s="60">
        <v>6.0004291272784302E-4</v>
      </c>
      <c r="Z47" s="60">
        <v>51.4</v>
      </c>
      <c r="AA47" s="60" t="s">
        <v>792</v>
      </c>
      <c r="AB47" s="60">
        <v>8.9999999999999993E-3</v>
      </c>
      <c r="AC47" s="60"/>
      <c r="AD47" s="60" t="s">
        <v>793</v>
      </c>
      <c r="AE47" s="60"/>
      <c r="AF47" s="60"/>
      <c r="AG47" s="60" t="s">
        <v>755</v>
      </c>
      <c r="AH47" s="60" t="s">
        <v>756</v>
      </c>
      <c r="AI47" s="60" t="s">
        <v>243</v>
      </c>
      <c r="AJ47" s="60">
        <v>0</v>
      </c>
      <c r="AK47" s="60">
        <v>1.8526403903961099</v>
      </c>
      <c r="AL47" s="60">
        <v>0.89283800125122004</v>
      </c>
      <c r="AM47" s="60">
        <v>15.50182056427</v>
      </c>
      <c r="AN47" s="60">
        <v>0</v>
      </c>
      <c r="AO47" s="60">
        <v>3</v>
      </c>
      <c r="AP47" s="60">
        <v>8.9999996125698003E-3</v>
      </c>
      <c r="AQ47" s="60">
        <v>0</v>
      </c>
      <c r="AR47" s="60">
        <v>50</v>
      </c>
      <c r="AS47" s="60">
        <v>1</v>
      </c>
      <c r="AT47" s="60">
        <v>97.8</v>
      </c>
      <c r="AU47" s="60">
        <v>5.4781150817870996</v>
      </c>
    </row>
    <row r="48" spans="1:47" ht="15" customHeight="1" x14ac:dyDescent="0.25">
      <c r="A48" s="109">
        <v>96</v>
      </c>
      <c r="B48" s="109">
        <v>345.1</v>
      </c>
      <c r="C48" s="109">
        <v>156.4</v>
      </c>
      <c r="D48" s="109" t="s">
        <v>792</v>
      </c>
      <c r="E48" s="109">
        <v>8.9999999999999993E-3</v>
      </c>
      <c r="F48" s="109" t="s">
        <v>793</v>
      </c>
      <c r="G48" s="109" t="s">
        <v>594</v>
      </c>
      <c r="H48" s="109" t="s">
        <v>593</v>
      </c>
      <c r="I48" t="s">
        <v>156</v>
      </c>
      <c r="J48" s="109">
        <v>0</v>
      </c>
      <c r="K48" s="109">
        <v>-13.583112716674799</v>
      </c>
      <c r="L48" s="109">
        <v>0.70702308416366577</v>
      </c>
      <c r="M48" s="109">
        <v>3.0322895050048828</v>
      </c>
      <c r="N48" s="109">
        <v>8.999999612569809E-3</v>
      </c>
      <c r="O48" s="109">
        <v>150</v>
      </c>
      <c r="P48" s="109">
        <v>1</v>
      </c>
      <c r="Q48" s="109">
        <v>51.4</v>
      </c>
      <c r="R48" s="109">
        <f t="shared" si="0"/>
        <v>13.583112716674799</v>
      </c>
      <c r="T48" s="108" t="b">
        <f t="shared" si="1"/>
        <v>0</v>
      </c>
      <c r="W48" s="60">
        <v>47</v>
      </c>
      <c r="X48" s="60" t="s">
        <v>244</v>
      </c>
      <c r="Y48" s="60">
        <v>1.7147589461670001E-4</v>
      </c>
      <c r="Z48" s="60">
        <v>51.4</v>
      </c>
      <c r="AA48" s="60" t="s">
        <v>792</v>
      </c>
      <c r="AB48" s="60">
        <v>8.9999999999999993E-3</v>
      </c>
      <c r="AC48" s="60"/>
      <c r="AD48" s="60" t="s">
        <v>793</v>
      </c>
      <c r="AE48" s="60"/>
      <c r="AF48" s="60"/>
      <c r="AG48" s="60" t="s">
        <v>757</v>
      </c>
      <c r="AH48" s="60" t="s">
        <v>758</v>
      </c>
      <c r="AI48" s="60" t="s">
        <v>244</v>
      </c>
      <c r="AJ48" s="60">
        <v>0</v>
      </c>
      <c r="AK48" s="60">
        <v>0.81993609666824296</v>
      </c>
      <c r="AL48" s="60">
        <v>0.39514958858489901</v>
      </c>
      <c r="AM48" s="60">
        <v>0</v>
      </c>
      <c r="AN48" s="60">
        <v>0</v>
      </c>
      <c r="AO48" s="60">
        <v>3</v>
      </c>
      <c r="AP48" s="60">
        <v>8.9999996125698003E-3</v>
      </c>
      <c r="AQ48" s="60">
        <v>0</v>
      </c>
      <c r="AR48" s="60">
        <v>50</v>
      </c>
      <c r="AS48" s="60">
        <v>1</v>
      </c>
      <c r="AT48" s="60">
        <v>100</v>
      </c>
      <c r="AU48" s="60">
        <v>6.33330821990966</v>
      </c>
    </row>
    <row r="49" spans="1:47" ht="15" customHeight="1" x14ac:dyDescent="0.2">
      <c r="A49" s="109">
        <v>31</v>
      </c>
      <c r="B49" s="109">
        <v>210.2</v>
      </c>
      <c r="C49" s="109">
        <v>156.4</v>
      </c>
      <c r="D49" s="109" t="s">
        <v>792</v>
      </c>
      <c r="E49" s="109">
        <v>8.9999999999999993E-3</v>
      </c>
      <c r="F49" s="109" t="s">
        <v>793</v>
      </c>
      <c r="G49" s="109" t="s">
        <v>720</v>
      </c>
      <c r="H49" s="109" t="s">
        <v>721</v>
      </c>
      <c r="I49" s="60" t="s">
        <v>304</v>
      </c>
      <c r="J49" s="109">
        <v>0</v>
      </c>
      <c r="K49" s="109">
        <v>16.673776626586911</v>
      </c>
      <c r="L49" s="109">
        <v>0.8678971529006958</v>
      </c>
      <c r="M49" s="109">
        <v>4.5691900253295898</v>
      </c>
      <c r="N49" s="109">
        <v>8.999999612569809E-3</v>
      </c>
      <c r="O49" s="109">
        <v>150</v>
      </c>
      <c r="P49" s="109">
        <v>1</v>
      </c>
      <c r="Q49" s="109">
        <v>97.8</v>
      </c>
      <c r="R49" s="109">
        <f t="shared" si="0"/>
        <v>16.673776626586911</v>
      </c>
      <c r="T49" s="108" t="b">
        <f t="shared" si="1"/>
        <v>0</v>
      </c>
      <c r="W49" s="60">
        <v>48</v>
      </c>
      <c r="X49" s="60" t="s">
        <v>245</v>
      </c>
      <c r="Y49" s="60">
        <v>5.2857486914731204E-4</v>
      </c>
      <c r="Z49" s="60">
        <v>51.4</v>
      </c>
      <c r="AA49" s="60" t="s">
        <v>792</v>
      </c>
      <c r="AB49" s="60">
        <v>8.9999999999999993E-3</v>
      </c>
      <c r="AC49" s="60"/>
      <c r="AD49" s="60" t="s">
        <v>793</v>
      </c>
      <c r="AE49" s="60"/>
      <c r="AF49" s="60"/>
      <c r="AG49" s="60" t="s">
        <v>758</v>
      </c>
      <c r="AH49" s="60" t="s">
        <v>759</v>
      </c>
      <c r="AI49" s="60" t="s">
        <v>245</v>
      </c>
      <c r="AJ49" s="60">
        <v>0</v>
      </c>
      <c r="AK49" s="60">
        <v>0.38060876727104098</v>
      </c>
      <c r="AL49" s="60">
        <v>0.18342575430870001</v>
      </c>
      <c r="AM49" s="60">
        <v>0</v>
      </c>
      <c r="AN49" s="60">
        <v>0</v>
      </c>
      <c r="AO49" s="60">
        <v>3</v>
      </c>
      <c r="AP49" s="60">
        <v>8.9999996125698003E-3</v>
      </c>
      <c r="AQ49" s="60">
        <v>0</v>
      </c>
      <c r="AR49" s="60">
        <v>50</v>
      </c>
      <c r="AS49" s="60">
        <v>1</v>
      </c>
      <c r="AT49" s="60">
        <v>108.4</v>
      </c>
      <c r="AU49" s="60">
        <v>6.6971201896667401</v>
      </c>
    </row>
    <row r="50" spans="1:47" ht="15" customHeight="1" x14ac:dyDescent="0.2">
      <c r="A50" s="109">
        <v>32</v>
      </c>
      <c r="B50" s="109">
        <v>99.6</v>
      </c>
      <c r="C50" s="109">
        <v>156.4</v>
      </c>
      <c r="D50" s="109" t="s">
        <v>792</v>
      </c>
      <c r="E50" s="109">
        <v>8.9999999999999993E-3</v>
      </c>
      <c r="F50" s="109" t="s">
        <v>793</v>
      </c>
      <c r="G50" s="109" t="s">
        <v>721</v>
      </c>
      <c r="H50" s="109" t="s">
        <v>722</v>
      </c>
      <c r="I50" s="60" t="s">
        <v>435</v>
      </c>
      <c r="J50" s="109">
        <v>0</v>
      </c>
      <c r="K50" s="109">
        <v>14.905056953430179</v>
      </c>
      <c r="L50" s="109">
        <v>0.7758324146270752</v>
      </c>
      <c r="M50" s="109">
        <v>3.6512200832366939</v>
      </c>
      <c r="N50" s="109">
        <v>8.999999612569809E-3</v>
      </c>
      <c r="O50" s="109">
        <v>150</v>
      </c>
      <c r="P50" s="109">
        <v>1</v>
      </c>
      <c r="Q50" s="109">
        <v>94.4</v>
      </c>
      <c r="R50" s="109">
        <f t="shared" si="0"/>
        <v>14.905056953430179</v>
      </c>
      <c r="T50" s="108" t="b">
        <f t="shared" si="1"/>
        <v>0</v>
      </c>
      <c r="W50" s="60">
        <v>49</v>
      </c>
      <c r="X50" s="60" t="s">
        <v>246</v>
      </c>
      <c r="Y50" s="60">
        <v>7.5914203680834996E-4</v>
      </c>
      <c r="Z50" s="60">
        <v>53.4</v>
      </c>
      <c r="AA50" s="60" t="s">
        <v>792</v>
      </c>
      <c r="AB50" s="60">
        <v>8.9999999999999993E-3</v>
      </c>
      <c r="AC50" s="60"/>
      <c r="AD50" s="60" t="s">
        <v>793</v>
      </c>
      <c r="AE50" s="60"/>
      <c r="AF50" s="60"/>
      <c r="AG50" s="60" t="s">
        <v>759</v>
      </c>
      <c r="AH50" s="60" t="s">
        <v>760</v>
      </c>
      <c r="AI50" s="60" t="s">
        <v>246</v>
      </c>
      <c r="AJ50" s="60">
        <v>0</v>
      </c>
      <c r="AK50" s="60">
        <v>-0.42957916855812001</v>
      </c>
      <c r="AL50" s="60">
        <v>0.19180877506732899</v>
      </c>
      <c r="AM50" s="60">
        <v>0</v>
      </c>
      <c r="AN50" s="60">
        <v>0</v>
      </c>
      <c r="AO50" s="60">
        <v>3</v>
      </c>
      <c r="AP50" s="60">
        <v>8.9999996125698003E-3</v>
      </c>
      <c r="AQ50" s="60">
        <v>0</v>
      </c>
      <c r="AR50" s="60">
        <v>50</v>
      </c>
      <c r="AS50" s="60">
        <v>1</v>
      </c>
      <c r="AT50" s="60">
        <v>108.4</v>
      </c>
      <c r="AU50" s="60">
        <v>7.3680453300476003</v>
      </c>
    </row>
    <row r="51" spans="1:47" ht="15" customHeight="1" x14ac:dyDescent="0.2">
      <c r="A51" s="109">
        <v>1</v>
      </c>
      <c r="B51" s="109">
        <v>427</v>
      </c>
      <c r="C51" s="109">
        <v>156.4</v>
      </c>
      <c r="D51" s="109" t="s">
        <v>792</v>
      </c>
      <c r="E51" s="109">
        <v>8.9999999999999993E-3</v>
      </c>
      <c r="F51" s="109" t="s">
        <v>793</v>
      </c>
      <c r="G51" s="109" t="s">
        <v>722</v>
      </c>
      <c r="H51" s="109" t="s">
        <v>723</v>
      </c>
      <c r="I51" s="60" t="s">
        <v>207</v>
      </c>
      <c r="J51" s="109">
        <v>0</v>
      </c>
      <c r="K51" s="109">
        <v>11.898232460021971</v>
      </c>
      <c r="L51" s="109">
        <v>0.61932229995727539</v>
      </c>
      <c r="M51" s="109">
        <v>2.3266811370849609</v>
      </c>
      <c r="N51" s="109">
        <v>8.999999612569809E-3</v>
      </c>
      <c r="O51" s="109">
        <v>150</v>
      </c>
      <c r="P51" s="109">
        <v>1</v>
      </c>
      <c r="Q51" s="109">
        <v>72.8</v>
      </c>
      <c r="R51" s="109">
        <f t="shared" si="0"/>
        <v>11.898232460021971</v>
      </c>
      <c r="T51" s="108" t="b">
        <f t="shared" si="1"/>
        <v>0</v>
      </c>
      <c r="W51" s="60">
        <v>50</v>
      </c>
      <c r="X51" s="60" t="s">
        <v>247</v>
      </c>
      <c r="Y51" s="60">
        <v>9.4970330348878096E-4</v>
      </c>
      <c r="Z51" s="60">
        <v>72.8</v>
      </c>
      <c r="AA51" s="60" t="s">
        <v>792</v>
      </c>
      <c r="AB51" s="60">
        <v>8.9999999999999993E-3</v>
      </c>
      <c r="AC51" s="60"/>
      <c r="AD51" s="60" t="s">
        <v>793</v>
      </c>
      <c r="AE51" s="60"/>
      <c r="AF51" s="60"/>
      <c r="AG51" s="60" t="s">
        <v>760</v>
      </c>
      <c r="AH51" s="60" t="s">
        <v>761</v>
      </c>
      <c r="AI51" s="60" t="s">
        <v>247</v>
      </c>
      <c r="AJ51" s="60">
        <v>0</v>
      </c>
      <c r="AK51" s="60">
        <v>-1.50792789459228</v>
      </c>
      <c r="AL51" s="60">
        <v>0.36226433515548701</v>
      </c>
      <c r="AM51" s="60">
        <v>9.7943830490112305</v>
      </c>
      <c r="AN51" s="60">
        <v>0</v>
      </c>
      <c r="AO51" s="60">
        <v>3</v>
      </c>
      <c r="AP51" s="60">
        <v>8.9999996125698003E-3</v>
      </c>
      <c r="AQ51" s="60">
        <v>0</v>
      </c>
      <c r="AR51" s="60">
        <v>75</v>
      </c>
      <c r="AS51" s="60">
        <v>1</v>
      </c>
      <c r="AT51" s="60">
        <v>156.4</v>
      </c>
      <c r="AU51" s="60">
        <v>8.2610378265380806</v>
      </c>
    </row>
    <row r="52" spans="1:47" ht="15" customHeight="1" x14ac:dyDescent="0.2">
      <c r="A52" s="109">
        <v>3</v>
      </c>
      <c r="B52" s="109">
        <v>86.5</v>
      </c>
      <c r="C52" s="109">
        <v>156.4</v>
      </c>
      <c r="D52" s="109" t="s">
        <v>792</v>
      </c>
      <c r="E52" s="109">
        <v>8.9999999999999993E-3</v>
      </c>
      <c r="F52" s="109" t="s">
        <v>793</v>
      </c>
      <c r="G52" s="109" t="s">
        <v>723</v>
      </c>
      <c r="H52" s="109" t="s">
        <v>724</v>
      </c>
      <c r="I52" s="60" t="s">
        <v>206</v>
      </c>
      <c r="J52" s="109">
        <v>0</v>
      </c>
      <c r="K52" s="109">
        <v>8.9655799865722656</v>
      </c>
      <c r="L52" s="109">
        <v>0.46667295694351202</v>
      </c>
      <c r="M52" s="109">
        <v>1.321064710617065</v>
      </c>
      <c r="N52" s="109">
        <v>8.999999612569809E-3</v>
      </c>
      <c r="O52" s="109">
        <v>150</v>
      </c>
      <c r="P52" s="109">
        <v>1</v>
      </c>
      <c r="Q52" s="109">
        <v>51.4</v>
      </c>
      <c r="R52" s="109">
        <f t="shared" si="0"/>
        <v>8.9655799865722656</v>
      </c>
      <c r="T52" s="108" t="b">
        <f t="shared" si="1"/>
        <v>0</v>
      </c>
      <c r="W52" s="60">
        <v>51</v>
      </c>
      <c r="X52" s="60" t="s">
        <v>248</v>
      </c>
      <c r="Y52" s="60">
        <v>8.1469747234085E-4</v>
      </c>
      <c r="Z52" s="60">
        <v>77.2</v>
      </c>
      <c r="AA52" s="60" t="s">
        <v>792</v>
      </c>
      <c r="AB52" s="60">
        <v>8.9999999999999993E-3</v>
      </c>
      <c r="AC52" s="60"/>
      <c r="AD52" s="60" t="s">
        <v>793</v>
      </c>
      <c r="AE52" s="60"/>
      <c r="AF52" s="60"/>
      <c r="AG52" s="60" t="s">
        <v>761</v>
      </c>
      <c r="AH52" s="60" t="s">
        <v>762</v>
      </c>
      <c r="AI52" s="60" t="s">
        <v>248</v>
      </c>
      <c r="AJ52" s="60">
        <v>0</v>
      </c>
      <c r="AK52" s="60">
        <v>-2.6205098628997798</v>
      </c>
      <c r="AL52" s="60">
        <v>0.55983364582061701</v>
      </c>
      <c r="AM52" s="60">
        <v>0</v>
      </c>
      <c r="AN52" s="60">
        <v>0</v>
      </c>
      <c r="AO52" s="60">
        <v>3</v>
      </c>
      <c r="AP52" s="60">
        <v>8.9999996125698003E-3</v>
      </c>
      <c r="AQ52" s="60">
        <v>0</v>
      </c>
      <c r="AR52" s="60">
        <v>75</v>
      </c>
      <c r="AS52" s="60">
        <v>1</v>
      </c>
      <c r="AT52" s="60">
        <v>156.4</v>
      </c>
      <c r="AU52" s="60">
        <v>9.1823787689208896</v>
      </c>
    </row>
    <row r="53" spans="1:47" ht="15" customHeight="1" x14ac:dyDescent="0.2">
      <c r="A53" s="109">
        <v>2</v>
      </c>
      <c r="B53" s="109">
        <v>114.7</v>
      </c>
      <c r="C53" s="109">
        <v>156.4</v>
      </c>
      <c r="D53" s="109" t="s">
        <v>792</v>
      </c>
      <c r="E53" s="109">
        <v>8.9999999999999993E-3</v>
      </c>
      <c r="F53" s="109" t="s">
        <v>793</v>
      </c>
      <c r="G53" s="109" t="s">
        <v>724</v>
      </c>
      <c r="H53" s="109" t="s">
        <v>725</v>
      </c>
      <c r="I53" s="60" t="s">
        <v>205</v>
      </c>
      <c r="J53" s="109">
        <v>0</v>
      </c>
      <c r="K53" s="109">
        <v>7.8130598068237296</v>
      </c>
      <c r="L53" s="109">
        <v>0.40668243169784551</v>
      </c>
      <c r="M53" s="109">
        <v>1.003243684768677</v>
      </c>
      <c r="N53" s="109">
        <v>8.999999612569809E-3</v>
      </c>
      <c r="O53" s="109">
        <v>150</v>
      </c>
      <c r="P53" s="109">
        <v>1</v>
      </c>
      <c r="Q53" s="109">
        <v>51.4</v>
      </c>
      <c r="R53" s="109">
        <f t="shared" si="0"/>
        <v>7.8130598068237296</v>
      </c>
      <c r="T53" s="108" t="b">
        <f t="shared" si="1"/>
        <v>0</v>
      </c>
      <c r="W53" s="60">
        <v>52</v>
      </c>
      <c r="X53" s="60" t="s">
        <v>249</v>
      </c>
      <c r="Y53" s="60">
        <v>7.0767576389271802E-4</v>
      </c>
      <c r="Z53" s="60">
        <v>94.4</v>
      </c>
      <c r="AA53" s="60" t="s">
        <v>792</v>
      </c>
      <c r="AB53" s="60">
        <v>8.9999999999999993E-3</v>
      </c>
      <c r="AC53" s="60"/>
      <c r="AD53" s="60" t="s">
        <v>793</v>
      </c>
      <c r="AE53" s="60"/>
      <c r="AF53" s="60"/>
      <c r="AG53" s="60" t="s">
        <v>762</v>
      </c>
      <c r="AH53" s="60" t="s">
        <v>763</v>
      </c>
      <c r="AI53" s="60" t="s">
        <v>249</v>
      </c>
      <c r="AJ53" s="60">
        <v>0</v>
      </c>
      <c r="AK53" s="60">
        <v>-3.5790419578552202</v>
      </c>
      <c r="AL53" s="60">
        <v>0.51136451959609897</v>
      </c>
      <c r="AM53" s="60">
        <v>0</v>
      </c>
      <c r="AN53" s="60">
        <v>0</v>
      </c>
      <c r="AO53" s="60">
        <v>3</v>
      </c>
      <c r="AP53" s="60">
        <v>8.9999996125698003E-3</v>
      </c>
      <c r="AQ53" s="60">
        <v>0</v>
      </c>
      <c r="AR53" s="60">
        <v>100</v>
      </c>
      <c r="AS53" s="60">
        <v>1</v>
      </c>
      <c r="AT53" s="60">
        <v>156.4</v>
      </c>
      <c r="AU53" s="60">
        <v>9.9761495590209908</v>
      </c>
    </row>
    <row r="54" spans="1:47" ht="15" customHeight="1" x14ac:dyDescent="0.2">
      <c r="A54" s="109">
        <v>4</v>
      </c>
      <c r="B54" s="109">
        <v>168.1</v>
      </c>
      <c r="C54" s="109">
        <v>108.4</v>
      </c>
      <c r="D54" s="109" t="s">
        <v>792</v>
      </c>
      <c r="E54" s="109">
        <v>8.9999999999999993E-3</v>
      </c>
      <c r="F54" s="109" t="s">
        <v>793</v>
      </c>
      <c r="G54" s="109" t="s">
        <v>725</v>
      </c>
      <c r="H54" s="109" t="s">
        <v>726</v>
      </c>
      <c r="I54" s="60" t="s">
        <v>204</v>
      </c>
      <c r="J54" s="109">
        <v>0</v>
      </c>
      <c r="K54" s="109">
        <v>6.1983890533447266</v>
      </c>
      <c r="L54" s="109">
        <v>0.67162680625915527</v>
      </c>
      <c r="M54" s="109">
        <v>4.4604997634887704</v>
      </c>
      <c r="N54" s="109">
        <v>8.999999612569809E-3</v>
      </c>
      <c r="O54" s="109">
        <v>100</v>
      </c>
      <c r="P54" s="109">
        <v>1</v>
      </c>
      <c r="Q54" s="109">
        <v>72.8</v>
      </c>
      <c r="R54" s="109">
        <f t="shared" si="0"/>
        <v>6.1983890533447266</v>
      </c>
      <c r="T54" s="108" t="b">
        <f t="shared" si="1"/>
        <v>0</v>
      </c>
      <c r="W54" s="60">
        <v>53</v>
      </c>
      <c r="X54" s="60" t="s">
        <v>250</v>
      </c>
      <c r="Y54" s="60">
        <v>7.5370770195476097E-4</v>
      </c>
      <c r="Z54" s="60">
        <v>94.4</v>
      </c>
      <c r="AA54" s="60" t="s">
        <v>792</v>
      </c>
      <c r="AB54" s="60">
        <v>8.9999999999999993E-3</v>
      </c>
      <c r="AC54" s="60"/>
      <c r="AD54" s="60" t="s">
        <v>793</v>
      </c>
      <c r="AE54" s="60"/>
      <c r="AF54" s="60"/>
      <c r="AG54" s="60" t="s">
        <v>763</v>
      </c>
      <c r="AH54" s="60" t="s">
        <v>764</v>
      </c>
      <c r="AI54" s="60" t="s">
        <v>250</v>
      </c>
      <c r="AJ54" s="60">
        <v>0</v>
      </c>
      <c r="AK54" s="60">
        <v>-4.4976353645324698</v>
      </c>
      <c r="AL54" s="60">
        <v>0.64261084794998102</v>
      </c>
      <c r="AM54" s="60">
        <v>12.3413333892822</v>
      </c>
      <c r="AN54" s="60">
        <v>0</v>
      </c>
      <c r="AO54" s="60">
        <v>3</v>
      </c>
      <c r="AP54" s="60">
        <v>8.9999996125698003E-3</v>
      </c>
      <c r="AQ54" s="60">
        <v>0</v>
      </c>
      <c r="AR54" s="60">
        <v>100</v>
      </c>
      <c r="AS54" s="60">
        <v>1</v>
      </c>
      <c r="AT54" s="60">
        <v>156.4</v>
      </c>
      <c r="AU54" s="60">
        <v>10.7368469238281</v>
      </c>
    </row>
    <row r="55" spans="1:47" ht="15" customHeight="1" x14ac:dyDescent="0.2">
      <c r="A55" s="109">
        <v>5</v>
      </c>
      <c r="B55" s="109">
        <v>214.2</v>
      </c>
      <c r="C55" s="109">
        <v>94.4</v>
      </c>
      <c r="D55" s="109" t="s">
        <v>792</v>
      </c>
      <c r="E55" s="109">
        <v>8.9999999999999993E-3</v>
      </c>
      <c r="F55" s="109" t="s">
        <v>793</v>
      </c>
      <c r="G55" s="109" t="s">
        <v>726</v>
      </c>
      <c r="H55" s="109" t="s">
        <v>727</v>
      </c>
      <c r="I55" s="60" t="s">
        <v>218</v>
      </c>
      <c r="J55" s="109">
        <v>0</v>
      </c>
      <c r="K55" s="109">
        <v>4.0188694000244141</v>
      </c>
      <c r="L55" s="109">
        <v>0.57420593500137329</v>
      </c>
      <c r="M55" s="109">
        <v>3.920287132263184</v>
      </c>
      <c r="N55" s="109">
        <v>8.999999612569809E-3</v>
      </c>
      <c r="O55" s="109">
        <v>100</v>
      </c>
      <c r="P55" s="109">
        <v>1</v>
      </c>
      <c r="Q55" s="109">
        <v>94.4</v>
      </c>
      <c r="R55" s="109">
        <f t="shared" si="0"/>
        <v>4.0188694000244141</v>
      </c>
      <c r="T55" s="108" t="b">
        <f t="shared" si="1"/>
        <v>0</v>
      </c>
      <c r="W55" s="60">
        <v>54</v>
      </c>
      <c r="X55" s="60" t="s">
        <v>432</v>
      </c>
      <c r="Y55" s="60">
        <v>1.58045526677209E-3</v>
      </c>
      <c r="Z55" s="60">
        <v>100</v>
      </c>
      <c r="AA55" s="60" t="s">
        <v>792</v>
      </c>
      <c r="AB55" s="60">
        <v>8.9999999999999993E-3</v>
      </c>
      <c r="AC55" s="60"/>
      <c r="AD55" s="60" t="s">
        <v>793</v>
      </c>
      <c r="AE55" s="60"/>
      <c r="AF55" s="60"/>
      <c r="AG55" s="60" t="s">
        <v>764</v>
      </c>
      <c r="AH55" s="60" t="s">
        <v>765</v>
      </c>
      <c r="AI55" s="60" t="s">
        <v>432</v>
      </c>
      <c r="AJ55" s="60">
        <v>0</v>
      </c>
      <c r="AK55" s="60">
        <v>-5.9696674346923801</v>
      </c>
      <c r="AL55" s="60">
        <v>0.76007753610610895</v>
      </c>
      <c r="AM55" s="60">
        <v>5.8854928016662598</v>
      </c>
      <c r="AN55" s="60">
        <v>0</v>
      </c>
      <c r="AO55" s="60">
        <v>3</v>
      </c>
      <c r="AP55" s="60">
        <v>8.9999996125698003E-3</v>
      </c>
      <c r="AQ55" s="60">
        <v>0</v>
      </c>
      <c r="AR55" s="60">
        <v>100</v>
      </c>
      <c r="AS55" s="60">
        <v>1</v>
      </c>
      <c r="AT55" s="60">
        <v>156.4</v>
      </c>
      <c r="AU55" s="60">
        <v>11.955852508544901</v>
      </c>
    </row>
    <row r="56" spans="1:47" ht="15" customHeight="1" x14ac:dyDescent="0.2">
      <c r="A56" s="109">
        <v>33</v>
      </c>
      <c r="B56" s="109">
        <v>70.400000000000006</v>
      </c>
      <c r="C56" s="109">
        <v>94.4</v>
      </c>
      <c r="D56" s="109" t="s">
        <v>792</v>
      </c>
      <c r="E56" s="109">
        <v>8.9999999999999993E-3</v>
      </c>
      <c r="F56" s="109" t="s">
        <v>793</v>
      </c>
      <c r="G56" s="109" t="s">
        <v>727</v>
      </c>
      <c r="H56" s="109" t="s">
        <v>728</v>
      </c>
      <c r="I56" s="60" t="s">
        <v>216</v>
      </c>
      <c r="J56" s="109">
        <v>0</v>
      </c>
      <c r="K56" s="109">
        <v>2.3984935283660889</v>
      </c>
      <c r="L56" s="109">
        <v>0.34269070625305181</v>
      </c>
      <c r="M56" s="109">
        <v>1.396320700645447</v>
      </c>
      <c r="N56" s="109">
        <v>8.999999612569809E-3</v>
      </c>
      <c r="O56" s="109">
        <v>100</v>
      </c>
      <c r="P56" s="109">
        <v>1</v>
      </c>
      <c r="Q56" s="109">
        <v>94.4</v>
      </c>
      <c r="R56" s="109">
        <f t="shared" si="0"/>
        <v>2.3984935283660889</v>
      </c>
      <c r="T56" s="108" t="b">
        <f t="shared" si="1"/>
        <v>0</v>
      </c>
      <c r="W56" s="60">
        <v>55</v>
      </c>
      <c r="X56" s="60" t="s">
        <v>269</v>
      </c>
      <c r="Y56" s="60">
        <v>1.5279914538466901E-3</v>
      </c>
      <c r="Z56" s="60">
        <v>108.4</v>
      </c>
      <c r="AA56" s="60" t="s">
        <v>792</v>
      </c>
      <c r="AB56" s="60">
        <v>8.9999999999999993E-3</v>
      </c>
      <c r="AC56" s="60"/>
      <c r="AD56" s="60" t="s">
        <v>793</v>
      </c>
      <c r="AE56" s="60"/>
      <c r="AF56" s="60"/>
      <c r="AG56" s="60" t="s">
        <v>765</v>
      </c>
      <c r="AH56" s="60" t="s">
        <v>766</v>
      </c>
      <c r="AI56" s="60" t="s">
        <v>269</v>
      </c>
      <c r="AJ56" s="60">
        <v>0</v>
      </c>
      <c r="AK56" s="60">
        <v>-7.9323763847351003</v>
      </c>
      <c r="AL56" s="60">
        <v>0.85951310396194402</v>
      </c>
      <c r="AM56" s="60">
        <v>6.0875720977783203</v>
      </c>
      <c r="AN56" s="60">
        <v>0</v>
      </c>
      <c r="AO56" s="60">
        <v>3</v>
      </c>
      <c r="AP56" s="60">
        <v>8.9999996125698003E-3</v>
      </c>
      <c r="AQ56" s="60">
        <v>0</v>
      </c>
      <c r="AR56" s="60">
        <v>100</v>
      </c>
      <c r="AS56" s="60">
        <v>1</v>
      </c>
      <c r="AT56" s="60">
        <v>156.4</v>
      </c>
      <c r="AU56" s="60">
        <v>13.5811920166015</v>
      </c>
    </row>
    <row r="57" spans="1:47" ht="15" customHeight="1" x14ac:dyDescent="0.2">
      <c r="A57" s="109">
        <v>34</v>
      </c>
      <c r="B57" s="109">
        <v>90.9</v>
      </c>
      <c r="C57" s="109">
        <v>156.4</v>
      </c>
      <c r="D57" s="109" t="s">
        <v>792</v>
      </c>
      <c r="E57" s="109">
        <v>8.9999999999999993E-3</v>
      </c>
      <c r="F57" s="109" t="s">
        <v>793</v>
      </c>
      <c r="G57" s="109" t="s">
        <v>728</v>
      </c>
      <c r="H57" s="109" t="s">
        <v>729</v>
      </c>
      <c r="I57" s="60" t="s">
        <v>220</v>
      </c>
      <c r="J57" s="109">
        <v>0</v>
      </c>
      <c r="K57" s="109">
        <v>-12.776296615600589</v>
      </c>
      <c r="L57" s="109">
        <v>0.6650269627571106</v>
      </c>
      <c r="M57" s="109">
        <v>2.6827230453491211</v>
      </c>
      <c r="N57" s="109">
        <v>8.999999612569809E-3</v>
      </c>
      <c r="O57" s="109">
        <v>150</v>
      </c>
      <c r="P57" s="109">
        <v>1</v>
      </c>
      <c r="Q57" s="109">
        <v>156.4</v>
      </c>
      <c r="R57" s="109">
        <f t="shared" si="0"/>
        <v>12.776296615600589</v>
      </c>
      <c r="T57" s="108" t="b">
        <f t="shared" si="1"/>
        <v>0</v>
      </c>
      <c r="W57" s="60">
        <v>56</v>
      </c>
      <c r="X57" s="60" t="s">
        <v>270</v>
      </c>
      <c r="Y57" s="60">
        <v>1.5287010921941201E-3</v>
      </c>
      <c r="Z57" s="60">
        <v>156.4</v>
      </c>
      <c r="AA57" s="60" t="s">
        <v>792</v>
      </c>
      <c r="AB57" s="60">
        <v>8.9999999999999993E-3</v>
      </c>
      <c r="AC57" s="60"/>
      <c r="AD57" s="60" t="s">
        <v>793</v>
      </c>
      <c r="AE57" s="60"/>
      <c r="AF57" s="60"/>
      <c r="AG57" s="60" t="s">
        <v>766</v>
      </c>
      <c r="AH57" s="60" t="s">
        <v>767</v>
      </c>
      <c r="AI57" s="60" t="s">
        <v>270</v>
      </c>
      <c r="AJ57" s="60">
        <v>0</v>
      </c>
      <c r="AK57" s="60">
        <v>-9.8608522415161097</v>
      </c>
      <c r="AL57" s="60">
        <v>0.51327335834503096</v>
      </c>
      <c r="AM57" s="60">
        <v>0</v>
      </c>
      <c r="AN57" s="60">
        <v>0</v>
      </c>
      <c r="AO57" s="60">
        <v>3</v>
      </c>
      <c r="AP57" s="60">
        <v>8.9999996125698003E-3</v>
      </c>
      <c r="AQ57" s="60">
        <v>0</v>
      </c>
      <c r="AR57" s="60">
        <v>150</v>
      </c>
      <c r="AS57" s="60">
        <v>1</v>
      </c>
      <c r="AT57" s="60">
        <v>156.4</v>
      </c>
      <c r="AU57" s="60">
        <v>15.178184509277299</v>
      </c>
    </row>
    <row r="58" spans="1:47" ht="15" customHeight="1" x14ac:dyDescent="0.2">
      <c r="A58" s="109">
        <v>35</v>
      </c>
      <c r="B58" s="109">
        <v>101</v>
      </c>
      <c r="C58" s="109">
        <v>156.4</v>
      </c>
      <c r="D58" s="109" t="s">
        <v>792</v>
      </c>
      <c r="E58" s="109">
        <v>8.9999999999999993E-3</v>
      </c>
      <c r="F58" s="109" t="s">
        <v>793</v>
      </c>
      <c r="G58" s="109" t="s">
        <v>728</v>
      </c>
      <c r="H58" s="109" t="s">
        <v>746</v>
      </c>
      <c r="I58" s="60" t="s">
        <v>431</v>
      </c>
      <c r="J58" s="109">
        <v>0</v>
      </c>
      <c r="K58" s="109">
        <v>13.679935455322269</v>
      </c>
      <c r="L58" s="109">
        <v>0.71206283569335938</v>
      </c>
      <c r="M58" s="109">
        <v>3.0757045745849609</v>
      </c>
      <c r="N58" s="109">
        <v>8.999999612569809E-3</v>
      </c>
      <c r="O58" s="109">
        <v>150</v>
      </c>
      <c r="P58" s="109">
        <v>1</v>
      </c>
      <c r="Q58" s="109">
        <v>77.2</v>
      </c>
      <c r="R58" s="109">
        <f t="shared" si="0"/>
        <v>13.679935455322269</v>
      </c>
      <c r="T58" s="108" t="b">
        <f t="shared" si="1"/>
        <v>0</v>
      </c>
      <c r="W58" s="60">
        <v>57</v>
      </c>
      <c r="X58" s="60" t="s">
        <v>272</v>
      </c>
      <c r="Y58" s="60">
        <v>1.2114681429213901E-3</v>
      </c>
      <c r="Z58" s="60">
        <v>156.4</v>
      </c>
      <c r="AA58" s="60" t="s">
        <v>792</v>
      </c>
      <c r="AB58" s="60">
        <v>8.9999999999999993E-3</v>
      </c>
      <c r="AC58" s="60"/>
      <c r="AD58" s="60" t="s">
        <v>793</v>
      </c>
      <c r="AE58" s="60"/>
      <c r="AF58" s="60"/>
      <c r="AG58" s="60" t="s">
        <v>767</v>
      </c>
      <c r="AH58" s="60" t="s">
        <v>768</v>
      </c>
      <c r="AI58" s="60" t="s">
        <v>272</v>
      </c>
      <c r="AJ58" s="60">
        <v>0</v>
      </c>
      <c r="AK58" s="60">
        <v>-11.589632034301699</v>
      </c>
      <c r="AL58" s="60">
        <v>0.60325914621353105</v>
      </c>
      <c r="AM58" s="60">
        <v>0</v>
      </c>
      <c r="AN58" s="60">
        <v>0</v>
      </c>
      <c r="AO58" s="60">
        <v>3</v>
      </c>
      <c r="AP58" s="60">
        <v>8.9999996125698003E-3</v>
      </c>
      <c r="AQ58" s="60">
        <v>0</v>
      </c>
      <c r="AR58" s="60">
        <v>150</v>
      </c>
      <c r="AS58" s="60">
        <v>1</v>
      </c>
      <c r="AT58" s="60">
        <v>156.4</v>
      </c>
      <c r="AU58" s="60">
        <v>16.609806060791001</v>
      </c>
    </row>
    <row r="59" spans="1:47" ht="15" customHeight="1" x14ac:dyDescent="0.2">
      <c r="A59" s="109">
        <v>6</v>
      </c>
      <c r="B59" s="109">
        <v>30.5</v>
      </c>
      <c r="C59" s="109">
        <v>156.4</v>
      </c>
      <c r="D59" s="109" t="s">
        <v>792</v>
      </c>
      <c r="E59" s="109">
        <v>8.9999999999999993E-3</v>
      </c>
      <c r="F59" s="109" t="s">
        <v>793</v>
      </c>
      <c r="G59" s="109" t="s">
        <v>729</v>
      </c>
      <c r="H59" s="109" t="s">
        <v>730</v>
      </c>
      <c r="I59" s="60" t="s">
        <v>219</v>
      </c>
      <c r="J59" s="109">
        <v>0</v>
      </c>
      <c r="K59" s="109">
        <v>-13.46666812896729</v>
      </c>
      <c r="L59" s="109">
        <v>0.70096194744110107</v>
      </c>
      <c r="M59" s="109">
        <v>2.9805271625518799</v>
      </c>
      <c r="N59" s="109">
        <v>8.999999612569809E-3</v>
      </c>
      <c r="O59" s="109">
        <v>150</v>
      </c>
      <c r="P59" s="109">
        <v>1</v>
      </c>
      <c r="Q59" s="109">
        <v>156.4</v>
      </c>
      <c r="R59" s="109">
        <f t="shared" si="0"/>
        <v>13.46666812896729</v>
      </c>
      <c r="T59" s="108" t="b">
        <f t="shared" si="1"/>
        <v>0</v>
      </c>
      <c r="W59" s="60">
        <v>58</v>
      </c>
      <c r="X59" s="60" t="s">
        <v>271</v>
      </c>
      <c r="Y59" s="60">
        <v>2.3742582587212399E-3</v>
      </c>
      <c r="Z59" s="60">
        <v>156.4</v>
      </c>
      <c r="AA59" s="60" t="s">
        <v>792</v>
      </c>
      <c r="AB59" s="60">
        <v>8.9999999999999993E-3</v>
      </c>
      <c r="AC59" s="60"/>
      <c r="AD59" s="60" t="s">
        <v>793</v>
      </c>
      <c r="AE59" s="60"/>
      <c r="AF59" s="60"/>
      <c r="AG59" s="60" t="s">
        <v>768</v>
      </c>
      <c r="AH59" s="60" t="s">
        <v>769</v>
      </c>
      <c r="AI59" s="60" t="s">
        <v>271</v>
      </c>
      <c r="AJ59" s="60">
        <v>0</v>
      </c>
      <c r="AK59" s="60">
        <v>-13.8547353744506</v>
      </c>
      <c r="AL59" s="60">
        <v>0.72116142511367798</v>
      </c>
      <c r="AM59" s="60">
        <v>3.91775321960449</v>
      </c>
      <c r="AN59" s="60">
        <v>0</v>
      </c>
      <c r="AO59" s="60">
        <v>3</v>
      </c>
      <c r="AP59" s="60">
        <v>8.9999996125698003E-3</v>
      </c>
      <c r="AQ59" s="60">
        <v>0</v>
      </c>
      <c r="AR59" s="60">
        <v>150</v>
      </c>
      <c r="AS59" s="60">
        <v>1</v>
      </c>
      <c r="AT59" s="60">
        <v>156.4</v>
      </c>
      <c r="AU59" s="60">
        <v>18.4855632781982</v>
      </c>
    </row>
    <row r="60" spans="1:47" ht="15" customHeight="1" x14ac:dyDescent="0.25">
      <c r="A60" s="109">
        <v>95</v>
      </c>
      <c r="B60" s="109">
        <v>794.8</v>
      </c>
      <c r="C60" s="109">
        <v>156.4</v>
      </c>
      <c r="D60" s="109" t="s">
        <v>792</v>
      </c>
      <c r="E60" s="109">
        <v>8.9999999999999993E-3</v>
      </c>
      <c r="F60" s="109" t="s">
        <v>793</v>
      </c>
      <c r="G60" s="109" t="s">
        <v>595</v>
      </c>
      <c r="H60" s="109" t="s">
        <v>594</v>
      </c>
      <c r="I60" t="s">
        <v>155</v>
      </c>
      <c r="J60" s="109">
        <v>0</v>
      </c>
      <c r="K60" s="109">
        <v>-7.0787868499755859</v>
      </c>
      <c r="L60" s="109">
        <v>0.36846232414245611</v>
      </c>
      <c r="M60" s="109">
        <v>0.82355314493179321</v>
      </c>
      <c r="N60" s="109">
        <v>8.999999612569809E-3</v>
      </c>
      <c r="O60" s="109">
        <v>150</v>
      </c>
      <c r="P60" s="109">
        <v>1</v>
      </c>
      <c r="Q60" s="109">
        <v>94.4</v>
      </c>
      <c r="R60" s="109">
        <f t="shared" si="0"/>
        <v>7.0787868499755859</v>
      </c>
      <c r="T60" s="108" t="b">
        <f t="shared" si="1"/>
        <v>0</v>
      </c>
      <c r="W60" s="60">
        <v>59</v>
      </c>
      <c r="X60" s="60" t="s">
        <v>273</v>
      </c>
      <c r="Y60" s="60">
        <v>2.3195559132496001E-3</v>
      </c>
      <c r="Z60" s="60">
        <v>156.4</v>
      </c>
      <c r="AA60" s="60" t="s">
        <v>792</v>
      </c>
      <c r="AB60" s="60">
        <v>8.9999999999999993E-3</v>
      </c>
      <c r="AC60" s="60"/>
      <c r="AD60" s="60" t="s">
        <v>793</v>
      </c>
      <c r="AE60" s="60"/>
      <c r="AF60" s="60"/>
      <c r="AG60" s="60" t="s">
        <v>769</v>
      </c>
      <c r="AH60" s="60" t="s">
        <v>770</v>
      </c>
      <c r="AI60" s="60" t="s">
        <v>273</v>
      </c>
      <c r="AJ60" s="60">
        <v>0</v>
      </c>
      <c r="AK60" s="60">
        <v>-16.821620941162099</v>
      </c>
      <c r="AL60" s="60">
        <v>0.87559264898300104</v>
      </c>
      <c r="AM60" s="60">
        <v>4.0101461410522399</v>
      </c>
      <c r="AN60" s="60">
        <v>0</v>
      </c>
      <c r="AO60" s="60">
        <v>3</v>
      </c>
      <c r="AP60" s="60">
        <v>8.9999996125698003E-3</v>
      </c>
      <c r="AQ60" s="60">
        <v>0</v>
      </c>
      <c r="AR60" s="60">
        <v>150</v>
      </c>
      <c r="AS60" s="60">
        <v>1</v>
      </c>
      <c r="AT60" s="60">
        <v>156.4</v>
      </c>
      <c r="AU60" s="60">
        <v>20.9424724578857</v>
      </c>
    </row>
    <row r="61" spans="1:47" ht="15" customHeight="1" x14ac:dyDescent="0.2">
      <c r="A61" s="109">
        <v>7</v>
      </c>
      <c r="B61" s="109">
        <v>35</v>
      </c>
      <c r="C61" s="109">
        <v>156.4</v>
      </c>
      <c r="D61" s="109" t="s">
        <v>792</v>
      </c>
      <c r="E61" s="109">
        <v>8.9999999999999993E-3</v>
      </c>
      <c r="F61" s="109" t="s">
        <v>793</v>
      </c>
      <c r="G61" s="109" t="s">
        <v>730</v>
      </c>
      <c r="H61" s="109" t="s">
        <v>731</v>
      </c>
      <c r="I61" s="60" t="s">
        <v>221</v>
      </c>
      <c r="J61" s="109">
        <v>0</v>
      </c>
      <c r="K61" s="109">
        <v>-13.83752918243408</v>
      </c>
      <c r="L61" s="109">
        <v>0.72026580572128296</v>
      </c>
      <c r="M61" s="109">
        <v>3.146917581558228</v>
      </c>
      <c r="N61" s="109">
        <v>8.999999612569809E-3</v>
      </c>
      <c r="O61" s="109">
        <v>150</v>
      </c>
      <c r="P61" s="109">
        <v>1</v>
      </c>
      <c r="Q61" s="109">
        <v>156.4</v>
      </c>
      <c r="R61" s="109">
        <f t="shared" si="0"/>
        <v>13.83752918243408</v>
      </c>
      <c r="T61" s="108" t="b">
        <f t="shared" si="1"/>
        <v>0</v>
      </c>
      <c r="W61" s="60">
        <v>60</v>
      </c>
      <c r="X61" s="60" t="s">
        <v>274</v>
      </c>
      <c r="Y61" s="60">
        <v>1.5669267094743501E-3</v>
      </c>
      <c r="Z61" s="60">
        <v>156.4</v>
      </c>
      <c r="AA61" s="60" t="s">
        <v>792</v>
      </c>
      <c r="AB61" s="60">
        <v>8.9999999999999993E-3</v>
      </c>
      <c r="AC61" s="60"/>
      <c r="AD61" s="60" t="s">
        <v>793</v>
      </c>
      <c r="AE61" s="60"/>
      <c r="AF61" s="60"/>
      <c r="AG61" s="60" t="s">
        <v>770</v>
      </c>
      <c r="AH61" s="60" t="s">
        <v>771</v>
      </c>
      <c r="AI61" s="60" t="s">
        <v>274</v>
      </c>
      <c r="AJ61" s="60">
        <v>0</v>
      </c>
      <c r="AK61" s="60">
        <v>-19.275007247924801</v>
      </c>
      <c r="AL61" s="60">
        <v>1.00329542160034</v>
      </c>
      <c r="AM61" s="60">
        <v>5.9363069534301696</v>
      </c>
      <c r="AN61" s="60">
        <v>0</v>
      </c>
      <c r="AO61" s="60">
        <v>3</v>
      </c>
      <c r="AP61" s="60">
        <v>8.9999996125698003E-3</v>
      </c>
      <c r="AQ61" s="60">
        <v>0</v>
      </c>
      <c r="AR61" s="60">
        <v>150</v>
      </c>
      <c r="AS61" s="60">
        <v>1</v>
      </c>
      <c r="AT61" s="60">
        <v>204.2</v>
      </c>
      <c r="AU61" s="60">
        <v>22.974147796630799</v>
      </c>
    </row>
    <row r="62" spans="1:47" ht="15" customHeight="1" x14ac:dyDescent="0.2">
      <c r="A62" s="109">
        <v>8</v>
      </c>
      <c r="B62" s="109">
        <v>48.8</v>
      </c>
      <c r="C62" s="109">
        <v>156.4</v>
      </c>
      <c r="D62" s="109" t="s">
        <v>792</v>
      </c>
      <c r="E62" s="109">
        <v>8.9999999999999993E-3</v>
      </c>
      <c r="F62" s="109" t="s">
        <v>793</v>
      </c>
      <c r="G62" s="109" t="s">
        <v>731</v>
      </c>
      <c r="H62" s="109" t="s">
        <v>732</v>
      </c>
      <c r="I62" s="60" t="s">
        <v>222</v>
      </c>
      <c r="J62" s="109">
        <v>0</v>
      </c>
      <c r="K62" s="109">
        <v>-14.316794395446779</v>
      </c>
      <c r="L62" s="109">
        <v>0.7452123761177063</v>
      </c>
      <c r="M62" s="109">
        <v>3.3687422275543208</v>
      </c>
      <c r="N62" s="109">
        <v>8.999999612569809E-3</v>
      </c>
      <c r="O62" s="109">
        <v>150</v>
      </c>
      <c r="P62" s="109">
        <v>1</v>
      </c>
      <c r="Q62" s="109">
        <v>156.4</v>
      </c>
      <c r="R62" s="109">
        <f t="shared" si="0"/>
        <v>14.316794395446779</v>
      </c>
      <c r="T62" s="108" t="b">
        <f t="shared" si="1"/>
        <v>0</v>
      </c>
      <c r="W62" s="60">
        <v>61</v>
      </c>
      <c r="X62" s="60" t="s">
        <v>807</v>
      </c>
      <c r="Y62" s="60">
        <v>5.2814506583123396E-3</v>
      </c>
      <c r="Z62" s="60">
        <v>204.2</v>
      </c>
      <c r="AA62" s="60" t="s">
        <v>792</v>
      </c>
      <c r="AB62" s="60">
        <v>8.9999999999999993E-3</v>
      </c>
      <c r="AC62" s="60"/>
      <c r="AD62" s="60" t="s">
        <v>793</v>
      </c>
      <c r="AE62" s="60"/>
      <c r="AF62" s="60"/>
      <c r="AG62" s="60" t="s">
        <v>651</v>
      </c>
      <c r="AH62" s="60" t="s">
        <v>650</v>
      </c>
      <c r="AI62" s="60" t="s">
        <v>807</v>
      </c>
      <c r="AJ62" s="60">
        <v>0</v>
      </c>
      <c r="AK62" s="60">
        <v>-42.575782775878899</v>
      </c>
      <c r="AL62" s="60">
        <v>1.3000466823577801</v>
      </c>
      <c r="AM62" s="60">
        <v>7.0448508262634197</v>
      </c>
      <c r="AN62" s="60">
        <v>0</v>
      </c>
      <c r="AO62" s="60">
        <v>3</v>
      </c>
      <c r="AP62" s="60">
        <v>8.9999996125698003E-3</v>
      </c>
      <c r="AQ62" s="60">
        <v>0</v>
      </c>
      <c r="AR62" s="60">
        <v>200</v>
      </c>
      <c r="AS62" s="60">
        <v>1</v>
      </c>
      <c r="AT62" s="60">
        <v>156.4</v>
      </c>
      <c r="AU62" s="60">
        <v>9.18086338043212</v>
      </c>
    </row>
    <row r="63" spans="1:47" ht="15" customHeight="1" x14ac:dyDescent="0.2">
      <c r="A63" s="109">
        <v>9</v>
      </c>
      <c r="B63" s="109">
        <v>88.6</v>
      </c>
      <c r="C63" s="109">
        <v>156.4</v>
      </c>
      <c r="D63" s="109" t="s">
        <v>792</v>
      </c>
      <c r="E63" s="109">
        <v>8.9999999999999993E-3</v>
      </c>
      <c r="F63" s="109" t="s">
        <v>793</v>
      </c>
      <c r="G63" s="109" t="s">
        <v>732</v>
      </c>
      <c r="H63" s="109" t="s">
        <v>733</v>
      </c>
      <c r="I63" s="60" t="s">
        <v>223</v>
      </c>
      <c r="J63" s="109">
        <v>0</v>
      </c>
      <c r="K63" s="109">
        <v>-15.104161262512211</v>
      </c>
      <c r="L63" s="109">
        <v>0.78619611263275146</v>
      </c>
      <c r="M63" s="109">
        <v>3.749416828155518</v>
      </c>
      <c r="N63" s="109">
        <v>8.999999612569809E-3</v>
      </c>
      <c r="O63" s="109">
        <v>150</v>
      </c>
      <c r="P63" s="109">
        <v>1</v>
      </c>
      <c r="Q63" s="109">
        <v>156.4</v>
      </c>
      <c r="R63" s="109">
        <f t="shared" si="0"/>
        <v>15.104161262512211</v>
      </c>
      <c r="T63" s="108" t="b">
        <f t="shared" si="1"/>
        <v>0</v>
      </c>
      <c r="W63" s="60">
        <v>62</v>
      </c>
      <c r="X63" s="60" t="s">
        <v>808</v>
      </c>
      <c r="Y63" s="60">
        <v>9.0680421481233804E-4</v>
      </c>
      <c r="Z63" s="60">
        <v>156.4</v>
      </c>
      <c r="AA63" s="60" t="s">
        <v>792</v>
      </c>
      <c r="AB63" s="60">
        <v>8.9999999999999993E-3</v>
      </c>
      <c r="AC63" s="60"/>
      <c r="AD63" s="60" t="s">
        <v>793</v>
      </c>
      <c r="AE63" s="60"/>
      <c r="AF63" s="60"/>
      <c r="AG63" s="60" t="s">
        <v>648</v>
      </c>
      <c r="AH63" s="60" t="s">
        <v>647</v>
      </c>
      <c r="AI63" s="60" t="s">
        <v>808</v>
      </c>
      <c r="AJ63" s="60">
        <v>0</v>
      </c>
      <c r="AK63" s="60">
        <v>-17.489212036132798</v>
      </c>
      <c r="AL63" s="60">
        <v>0.91034191846847501</v>
      </c>
      <c r="AM63" s="60">
        <v>10.2577352523803</v>
      </c>
      <c r="AN63" s="60">
        <v>0</v>
      </c>
      <c r="AO63" s="60">
        <v>3</v>
      </c>
      <c r="AP63" s="60">
        <v>8.9999996125698003E-3</v>
      </c>
      <c r="AQ63" s="60">
        <v>0</v>
      </c>
      <c r="AR63" s="60">
        <v>150</v>
      </c>
      <c r="AS63" s="60">
        <v>1</v>
      </c>
      <c r="AT63" s="60">
        <v>156.4</v>
      </c>
      <c r="AU63" s="60">
        <v>19.3749084472656</v>
      </c>
    </row>
    <row r="64" spans="1:47" ht="15" customHeight="1" x14ac:dyDescent="0.2">
      <c r="A64" s="109">
        <v>11</v>
      </c>
      <c r="B64" s="109">
        <v>76.8</v>
      </c>
      <c r="C64" s="109">
        <v>156.4</v>
      </c>
      <c r="D64" s="109" t="s">
        <v>792</v>
      </c>
      <c r="E64" s="109">
        <v>8.9999999999999993E-3</v>
      </c>
      <c r="F64" s="109" t="s">
        <v>793</v>
      </c>
      <c r="G64" s="109" t="s">
        <v>733</v>
      </c>
      <c r="H64" s="109" t="s">
        <v>734</v>
      </c>
      <c r="I64" s="60" t="s">
        <v>224</v>
      </c>
      <c r="J64" s="109">
        <v>0</v>
      </c>
      <c r="K64" s="109">
        <v>-16.05128288269043</v>
      </c>
      <c r="L64" s="109">
        <v>0.83549529314041138</v>
      </c>
      <c r="M64" s="109">
        <v>4.2344193458557129</v>
      </c>
      <c r="N64" s="109">
        <v>8.999999612569809E-3</v>
      </c>
      <c r="O64" s="109">
        <v>150</v>
      </c>
      <c r="P64" s="109">
        <v>1</v>
      </c>
      <c r="Q64" s="109">
        <v>156.4</v>
      </c>
      <c r="R64" s="109">
        <f t="shared" si="0"/>
        <v>16.05128288269043</v>
      </c>
      <c r="T64" s="108" t="b">
        <f t="shared" si="1"/>
        <v>0</v>
      </c>
      <c r="W64" s="60">
        <v>63</v>
      </c>
      <c r="X64" s="60" t="s">
        <v>809</v>
      </c>
      <c r="Y64" s="60">
        <v>4.05759630774973E-4</v>
      </c>
      <c r="Z64" s="60">
        <v>156.4</v>
      </c>
      <c r="AA64" s="60" t="s">
        <v>792</v>
      </c>
      <c r="AB64" s="60">
        <v>8.9999999999999993E-3</v>
      </c>
      <c r="AC64" s="60"/>
      <c r="AD64" s="60" t="s">
        <v>793</v>
      </c>
      <c r="AE64" s="60"/>
      <c r="AF64" s="60"/>
      <c r="AG64" s="60" t="s">
        <v>647</v>
      </c>
      <c r="AH64" s="60" t="s">
        <v>646</v>
      </c>
      <c r="AI64" s="60" t="s">
        <v>809</v>
      </c>
      <c r="AJ64" s="60">
        <v>0</v>
      </c>
      <c r="AK64" s="60">
        <v>-18.3165168762207</v>
      </c>
      <c r="AL64" s="60">
        <v>0.95340442657470703</v>
      </c>
      <c r="AM64" s="60">
        <v>0</v>
      </c>
      <c r="AN64" s="60">
        <v>0</v>
      </c>
      <c r="AO64" s="60">
        <v>3</v>
      </c>
      <c r="AP64" s="60">
        <v>8.9999996125698003E-3</v>
      </c>
      <c r="AQ64" s="60">
        <v>0</v>
      </c>
      <c r="AR64" s="60">
        <v>150</v>
      </c>
      <c r="AS64" s="60">
        <v>1</v>
      </c>
      <c r="AT64" s="60">
        <v>156.4</v>
      </c>
      <c r="AU64" s="60">
        <v>20.0600070953369</v>
      </c>
    </row>
    <row r="65" spans="1:47" ht="15" customHeight="1" x14ac:dyDescent="0.2">
      <c r="A65" s="109">
        <v>10</v>
      </c>
      <c r="B65" s="109">
        <v>37.4</v>
      </c>
      <c r="C65" s="109">
        <v>156.4</v>
      </c>
      <c r="D65" s="109" t="s">
        <v>792</v>
      </c>
      <c r="E65" s="109">
        <v>8.9999999999999993E-3</v>
      </c>
      <c r="F65" s="109" t="s">
        <v>793</v>
      </c>
      <c r="G65" s="109" t="s">
        <v>734</v>
      </c>
      <c r="H65" s="109" t="s">
        <v>735</v>
      </c>
      <c r="I65" s="60" t="s">
        <v>225</v>
      </c>
      <c r="J65" s="109">
        <v>0</v>
      </c>
      <c r="K65" s="109">
        <v>-16.701713562011719</v>
      </c>
      <c r="L65" s="109">
        <v>0.86935132741928101</v>
      </c>
      <c r="M65" s="109">
        <v>4.5844731330871582</v>
      </c>
      <c r="N65" s="109">
        <v>8.999999612569809E-3</v>
      </c>
      <c r="O65" s="109">
        <v>150</v>
      </c>
      <c r="P65" s="109">
        <v>1</v>
      </c>
      <c r="Q65" s="109">
        <v>156.4</v>
      </c>
      <c r="R65" s="109">
        <f t="shared" si="0"/>
        <v>16.701713562011719</v>
      </c>
      <c r="T65" s="108" t="b">
        <f t="shared" si="1"/>
        <v>0</v>
      </c>
      <c r="W65" s="60">
        <v>64</v>
      </c>
      <c r="X65" s="60" t="s">
        <v>810</v>
      </c>
      <c r="Y65" s="60">
        <v>5.8512987631286102E-4</v>
      </c>
      <c r="Z65" s="60">
        <v>156.4</v>
      </c>
      <c r="AA65" s="60" t="s">
        <v>792</v>
      </c>
      <c r="AB65" s="60">
        <v>8.9999999999999993E-3</v>
      </c>
      <c r="AC65" s="60"/>
      <c r="AD65" s="60" t="s">
        <v>793</v>
      </c>
      <c r="AE65" s="60"/>
      <c r="AF65" s="60"/>
      <c r="AG65" s="60" t="s">
        <v>646</v>
      </c>
      <c r="AH65" s="60" t="s">
        <v>645</v>
      </c>
      <c r="AI65" s="60" t="s">
        <v>810</v>
      </c>
      <c r="AJ65" s="60">
        <v>0</v>
      </c>
      <c r="AK65" s="60">
        <v>-18.944128036498999</v>
      </c>
      <c r="AL65" s="60">
        <v>0.98607259988784701</v>
      </c>
      <c r="AM65" s="60">
        <v>0</v>
      </c>
      <c r="AN65" s="60">
        <v>0</v>
      </c>
      <c r="AO65" s="60">
        <v>3</v>
      </c>
      <c r="AP65" s="60">
        <v>8.9999996125698003E-3</v>
      </c>
      <c r="AQ65" s="60">
        <v>0</v>
      </c>
      <c r="AR65" s="60">
        <v>150</v>
      </c>
      <c r="AS65" s="60">
        <v>1</v>
      </c>
      <c r="AT65" s="60">
        <v>156.4</v>
      </c>
      <c r="AU65" s="60">
        <v>20.5797405242919</v>
      </c>
    </row>
    <row r="66" spans="1:47" ht="15" customHeight="1" x14ac:dyDescent="0.2">
      <c r="A66" s="109">
        <v>12</v>
      </c>
      <c r="B66" s="109">
        <v>128.69999999999999</v>
      </c>
      <c r="C66" s="109">
        <v>156.4</v>
      </c>
      <c r="D66" s="109" t="s">
        <v>792</v>
      </c>
      <c r="E66" s="109">
        <v>8.9999999999999993E-3</v>
      </c>
      <c r="F66" s="109" t="s">
        <v>793</v>
      </c>
      <c r="G66" s="109" t="s">
        <v>735</v>
      </c>
      <c r="H66" s="109" t="s">
        <v>736</v>
      </c>
      <c r="I66" s="60" t="s">
        <v>226</v>
      </c>
      <c r="J66" s="109">
        <v>0</v>
      </c>
      <c r="K66" s="109">
        <v>-17.648836135864261</v>
      </c>
      <c r="L66" s="109">
        <v>0.91865050792694092</v>
      </c>
      <c r="M66" s="109">
        <v>5.1192193031311044</v>
      </c>
      <c r="N66" s="109">
        <v>8.999999612569809E-3</v>
      </c>
      <c r="O66" s="109">
        <v>150</v>
      </c>
      <c r="P66" s="109">
        <v>1</v>
      </c>
      <c r="Q66" s="109">
        <v>156.4</v>
      </c>
      <c r="R66" s="109">
        <f t="shared" ref="R66:R129" si="2">ABS(K66)</f>
        <v>17.648836135864261</v>
      </c>
      <c r="T66" s="108" t="b">
        <f t="shared" si="1"/>
        <v>0</v>
      </c>
      <c r="W66" s="60">
        <v>65</v>
      </c>
      <c r="X66" s="60" t="s">
        <v>811</v>
      </c>
      <c r="Y66" s="60">
        <v>6.6020034638157197E-4</v>
      </c>
      <c r="Z66" s="60">
        <v>156.4</v>
      </c>
      <c r="AA66" s="60" t="s">
        <v>792</v>
      </c>
      <c r="AB66" s="60">
        <v>8.9999999999999993E-3</v>
      </c>
      <c r="AC66" s="60"/>
      <c r="AD66" s="60" t="s">
        <v>793</v>
      </c>
      <c r="AE66" s="60"/>
      <c r="AF66" s="60"/>
      <c r="AG66" s="60" t="s">
        <v>645</v>
      </c>
      <c r="AH66" s="60" t="s">
        <v>644</v>
      </c>
      <c r="AI66" s="60" t="s">
        <v>811</v>
      </c>
      <c r="AJ66" s="60">
        <v>0</v>
      </c>
      <c r="AK66" s="60">
        <v>-19.731492996215799</v>
      </c>
      <c r="AL66" s="60">
        <v>1.0270562171936</v>
      </c>
      <c r="AM66" s="60">
        <v>14.089295387268001</v>
      </c>
      <c r="AN66" s="60">
        <v>0</v>
      </c>
      <c r="AO66" s="60">
        <v>3</v>
      </c>
      <c r="AP66" s="60">
        <v>8.9999996125698003E-3</v>
      </c>
      <c r="AQ66" s="60">
        <v>0</v>
      </c>
      <c r="AR66" s="60">
        <v>150</v>
      </c>
      <c r="AS66" s="60">
        <v>1</v>
      </c>
      <c r="AT66" s="60">
        <v>156.4</v>
      </c>
      <c r="AU66" s="60">
        <v>21.231765747070298</v>
      </c>
    </row>
    <row r="67" spans="1:47" ht="15" customHeight="1" x14ac:dyDescent="0.2">
      <c r="A67" s="109">
        <v>13</v>
      </c>
      <c r="B67" s="109">
        <v>85.3</v>
      </c>
      <c r="C67" s="109">
        <v>156.4</v>
      </c>
      <c r="D67" s="109" t="s">
        <v>792</v>
      </c>
      <c r="E67" s="109">
        <v>8.9999999999999993E-3</v>
      </c>
      <c r="F67" s="109" t="s">
        <v>793</v>
      </c>
      <c r="G67" s="109" t="s">
        <v>736</v>
      </c>
      <c r="H67" s="109" t="s">
        <v>737</v>
      </c>
      <c r="I67" s="60" t="s">
        <v>228</v>
      </c>
      <c r="J67" s="109">
        <v>0</v>
      </c>
      <c r="K67" s="109">
        <v>-18.86982345581055</v>
      </c>
      <c r="L67" s="109">
        <v>0.98220491409301758</v>
      </c>
      <c r="M67" s="109">
        <v>5.8520379066467294</v>
      </c>
      <c r="N67" s="109">
        <v>8.999999612569809E-3</v>
      </c>
      <c r="O67" s="109">
        <v>150</v>
      </c>
      <c r="P67" s="109">
        <v>1</v>
      </c>
      <c r="Q67" s="109">
        <v>156.4</v>
      </c>
      <c r="R67" s="109">
        <f t="shared" si="2"/>
        <v>18.86982345581055</v>
      </c>
      <c r="T67" s="108" t="b">
        <f t="shared" ref="T67:T130" si="3">IF(I67=X67,TRUE,FALSE)</f>
        <v>0</v>
      </c>
      <c r="W67" s="60">
        <v>66</v>
      </c>
      <c r="X67" s="60" t="s">
        <v>812</v>
      </c>
      <c r="Y67" s="60">
        <v>1.9534542477790801E-3</v>
      </c>
      <c r="Z67" s="60">
        <v>156.4</v>
      </c>
      <c r="AA67" s="60" t="s">
        <v>792</v>
      </c>
      <c r="AB67" s="60">
        <v>8.9999999999999993E-3</v>
      </c>
      <c r="AC67" s="60"/>
      <c r="AD67" s="60" t="s">
        <v>793</v>
      </c>
      <c r="AE67" s="60"/>
      <c r="AF67" s="60"/>
      <c r="AG67" s="60" t="s">
        <v>644</v>
      </c>
      <c r="AH67" s="60" t="s">
        <v>643</v>
      </c>
      <c r="AI67" s="60" t="s">
        <v>812</v>
      </c>
      <c r="AJ67" s="60">
        <v>0</v>
      </c>
      <c r="AK67" s="60">
        <v>-21.380395889282202</v>
      </c>
      <c r="AL67" s="60">
        <v>1.1128842830657899</v>
      </c>
      <c r="AM67" s="60">
        <v>4.76169729232788</v>
      </c>
      <c r="AN67" s="60">
        <v>0</v>
      </c>
      <c r="AO67" s="60">
        <v>3</v>
      </c>
      <c r="AP67" s="60">
        <v>8.9999996125698003E-3</v>
      </c>
      <c r="AQ67" s="60">
        <v>0</v>
      </c>
      <c r="AR67" s="60">
        <v>150</v>
      </c>
      <c r="AS67" s="60">
        <v>1</v>
      </c>
      <c r="AT67" s="60">
        <v>156.4</v>
      </c>
      <c r="AU67" s="60">
        <v>22.597240447998001</v>
      </c>
    </row>
    <row r="68" spans="1:47" ht="15" customHeight="1" x14ac:dyDescent="0.2">
      <c r="A68" s="109">
        <v>14</v>
      </c>
      <c r="B68" s="109">
        <v>74.8</v>
      </c>
      <c r="C68" s="109">
        <v>156.4</v>
      </c>
      <c r="D68" s="109" t="s">
        <v>792</v>
      </c>
      <c r="E68" s="109">
        <v>8.9999999999999993E-3</v>
      </c>
      <c r="F68" s="109" t="s">
        <v>793</v>
      </c>
      <c r="G68" s="109" t="s">
        <v>737</v>
      </c>
      <c r="H68" s="109" t="s">
        <v>738</v>
      </c>
      <c r="I68" s="60" t="s">
        <v>227</v>
      </c>
      <c r="J68" s="109">
        <v>0</v>
      </c>
      <c r="K68" s="109">
        <v>-19.782709121704102</v>
      </c>
      <c r="L68" s="109">
        <v>1.0297220945358281</v>
      </c>
      <c r="M68" s="109">
        <v>6.4319539070129386</v>
      </c>
      <c r="N68" s="109">
        <v>8.999999612569809E-3</v>
      </c>
      <c r="O68" s="109">
        <v>150</v>
      </c>
      <c r="P68" s="109">
        <v>1</v>
      </c>
      <c r="Q68" s="109">
        <v>156.4</v>
      </c>
      <c r="R68" s="109">
        <f t="shared" si="2"/>
        <v>19.782709121704102</v>
      </c>
      <c r="T68" s="108" t="b">
        <f t="shared" si="3"/>
        <v>0</v>
      </c>
      <c r="W68" s="60">
        <v>67</v>
      </c>
      <c r="X68" s="60" t="s">
        <v>813</v>
      </c>
      <c r="Y68" s="60">
        <v>5.2520129723285203E-4</v>
      </c>
      <c r="Z68" s="60">
        <v>156.4</v>
      </c>
      <c r="AA68" s="60" t="s">
        <v>792</v>
      </c>
      <c r="AB68" s="60">
        <v>8.9999999999999993E-3</v>
      </c>
      <c r="AC68" s="60"/>
      <c r="AD68" s="60" t="s">
        <v>793</v>
      </c>
      <c r="AE68" s="60"/>
      <c r="AF68" s="60"/>
      <c r="AG68" s="60" t="s">
        <v>643</v>
      </c>
      <c r="AH68" s="60" t="s">
        <v>642</v>
      </c>
      <c r="AI68" s="60" t="s">
        <v>813</v>
      </c>
      <c r="AJ68" s="60">
        <v>0</v>
      </c>
      <c r="AK68" s="60">
        <v>-22.943717956542901</v>
      </c>
      <c r="AL68" s="60">
        <v>1.19425773620605</v>
      </c>
      <c r="AM68" s="60">
        <v>17.7108440399169</v>
      </c>
      <c r="AN68" s="60">
        <v>0</v>
      </c>
      <c r="AO68" s="60">
        <v>3</v>
      </c>
      <c r="AP68" s="60">
        <v>8.9999996125698003E-3</v>
      </c>
      <c r="AQ68" s="60">
        <v>0</v>
      </c>
      <c r="AR68" s="60">
        <v>150</v>
      </c>
      <c r="AS68" s="60">
        <v>1</v>
      </c>
      <c r="AT68" s="60">
        <v>204.2</v>
      </c>
      <c r="AU68" s="60">
        <v>23.891841888427699</v>
      </c>
    </row>
    <row r="69" spans="1:47" ht="15" customHeight="1" x14ac:dyDescent="0.2">
      <c r="A69" s="109">
        <v>15</v>
      </c>
      <c r="B69" s="109">
        <v>83.3</v>
      </c>
      <c r="C69" s="109">
        <v>156.4</v>
      </c>
      <c r="D69" s="109" t="s">
        <v>792</v>
      </c>
      <c r="E69" s="109">
        <v>8.9999999999999993E-3</v>
      </c>
      <c r="F69" s="109" t="s">
        <v>793</v>
      </c>
      <c r="G69" s="109" t="s">
        <v>738</v>
      </c>
      <c r="H69" s="109" t="s">
        <v>739</v>
      </c>
      <c r="I69" s="60" t="s">
        <v>429</v>
      </c>
      <c r="J69" s="109">
        <v>0</v>
      </c>
      <c r="K69" s="109">
        <v>-20.684186935424801</v>
      </c>
      <c r="L69" s="109">
        <v>1.076645493507385</v>
      </c>
      <c r="M69" s="109">
        <v>7.0314812660217294</v>
      </c>
      <c r="N69" s="109">
        <v>8.999999612569809E-3</v>
      </c>
      <c r="O69" s="109">
        <v>150</v>
      </c>
      <c r="P69" s="109">
        <v>1</v>
      </c>
      <c r="Q69" s="109">
        <v>156.4</v>
      </c>
      <c r="R69" s="109">
        <f t="shared" si="2"/>
        <v>20.684186935424801</v>
      </c>
      <c r="T69" s="108" t="b">
        <f t="shared" si="3"/>
        <v>0</v>
      </c>
      <c r="W69" s="60">
        <v>68</v>
      </c>
      <c r="X69" s="60" t="s">
        <v>814</v>
      </c>
      <c r="Y69" s="60">
        <v>6.6081357413083001E-4</v>
      </c>
      <c r="Z69" s="60">
        <v>156.4</v>
      </c>
      <c r="AA69" s="60" t="s">
        <v>792</v>
      </c>
      <c r="AB69" s="60">
        <v>8.9999999999999993E-3</v>
      </c>
      <c r="AC69" s="60"/>
      <c r="AD69" s="60" t="s">
        <v>793</v>
      </c>
      <c r="AE69" s="60"/>
      <c r="AF69" s="60"/>
      <c r="AG69" s="60" t="s">
        <v>642</v>
      </c>
      <c r="AH69" s="60" t="s">
        <v>641</v>
      </c>
      <c r="AI69" s="60" t="s">
        <v>814</v>
      </c>
      <c r="AJ69" s="60">
        <v>0</v>
      </c>
      <c r="AK69" s="60">
        <v>-23.691144943237301</v>
      </c>
      <c r="AL69" s="60">
        <v>1.2331625223159699</v>
      </c>
      <c r="AM69" s="60">
        <v>14.076220512390099</v>
      </c>
      <c r="AN69" s="60">
        <v>0</v>
      </c>
      <c r="AO69" s="60">
        <v>3</v>
      </c>
      <c r="AP69" s="60">
        <v>8.9999996125698003E-3</v>
      </c>
      <c r="AQ69" s="60">
        <v>0</v>
      </c>
      <c r="AR69" s="60">
        <v>150</v>
      </c>
      <c r="AS69" s="60">
        <v>1</v>
      </c>
      <c r="AT69" s="60">
        <v>204.2</v>
      </c>
      <c r="AU69" s="60">
        <v>24.510795593261701</v>
      </c>
    </row>
    <row r="70" spans="1:47" ht="15" customHeight="1" x14ac:dyDescent="0.2">
      <c r="A70" s="109">
        <v>16</v>
      </c>
      <c r="B70" s="109">
        <v>84.4</v>
      </c>
      <c r="C70" s="109">
        <v>156.4</v>
      </c>
      <c r="D70" s="109" t="s">
        <v>792</v>
      </c>
      <c r="E70" s="109">
        <v>8.9999999999999993E-3</v>
      </c>
      <c r="F70" s="109" t="s">
        <v>793</v>
      </c>
      <c r="G70" s="109" t="s">
        <v>739</v>
      </c>
      <c r="H70" s="109" t="s">
        <v>740</v>
      </c>
      <c r="I70" s="60" t="s">
        <v>285</v>
      </c>
      <c r="J70" s="109">
        <v>0</v>
      </c>
      <c r="K70" s="109">
        <v>-21.63701248168945</v>
      </c>
      <c r="L70" s="109">
        <v>1.1262416839599609</v>
      </c>
      <c r="M70" s="109">
        <v>7.6942839622497559</v>
      </c>
      <c r="N70" s="109">
        <v>8.999999612569809E-3</v>
      </c>
      <c r="O70" s="109">
        <v>150</v>
      </c>
      <c r="P70" s="109">
        <v>1</v>
      </c>
      <c r="Q70" s="109">
        <v>156.4</v>
      </c>
      <c r="R70" s="109">
        <f t="shared" si="2"/>
        <v>21.63701248168945</v>
      </c>
      <c r="T70" s="108" t="b">
        <f t="shared" si="3"/>
        <v>0</v>
      </c>
      <c r="W70" s="60">
        <v>69</v>
      </c>
      <c r="X70" s="60" t="s">
        <v>815</v>
      </c>
      <c r="Y70" s="60">
        <v>7.13941556212869E-4</v>
      </c>
      <c r="Z70" s="60">
        <v>156.4</v>
      </c>
      <c r="AA70" s="60" t="s">
        <v>792</v>
      </c>
      <c r="AB70" s="60">
        <v>8.9999999999999993E-3</v>
      </c>
      <c r="AC70" s="60"/>
      <c r="AD70" s="60" t="s">
        <v>793</v>
      </c>
      <c r="AE70" s="60"/>
      <c r="AF70" s="60"/>
      <c r="AG70" s="60" t="s">
        <v>640</v>
      </c>
      <c r="AH70" s="60" t="s">
        <v>639</v>
      </c>
      <c r="AI70" s="60" t="s">
        <v>815</v>
      </c>
      <c r="AJ70" s="60">
        <v>0</v>
      </c>
      <c r="AK70" s="60">
        <v>-25.140354156494102</v>
      </c>
      <c r="AL70" s="60">
        <v>1.3085961341857899</v>
      </c>
      <c r="AM70" s="60">
        <v>13.028738021850501</v>
      </c>
      <c r="AN70" s="60">
        <v>0</v>
      </c>
      <c r="AO70" s="60">
        <v>3</v>
      </c>
      <c r="AP70" s="60">
        <v>8.9999996125698003E-3</v>
      </c>
      <c r="AQ70" s="60">
        <v>0</v>
      </c>
      <c r="AR70" s="60">
        <v>150</v>
      </c>
      <c r="AS70" s="60">
        <v>1</v>
      </c>
      <c r="AT70" s="60">
        <v>204.2</v>
      </c>
      <c r="AU70" s="60">
        <v>25.710901260375898</v>
      </c>
    </row>
    <row r="71" spans="1:47" ht="15" customHeight="1" x14ac:dyDescent="0.25">
      <c r="A71" s="109">
        <v>94</v>
      </c>
      <c r="B71" s="109">
        <v>495.7</v>
      </c>
      <c r="C71" s="109">
        <v>156.4</v>
      </c>
      <c r="D71" s="109" t="s">
        <v>792</v>
      </c>
      <c r="E71" s="109">
        <v>8.9999999999999993E-3</v>
      </c>
      <c r="F71" s="109" t="s">
        <v>793</v>
      </c>
      <c r="G71" s="109" t="s">
        <v>596</v>
      </c>
      <c r="H71" s="109" t="s">
        <v>595</v>
      </c>
      <c r="I71" t="s">
        <v>154</v>
      </c>
      <c r="J71" s="109">
        <v>0</v>
      </c>
      <c r="K71" s="109">
        <v>0.28707671165466309</v>
      </c>
      <c r="L71" s="109">
        <v>1.4942808076739309E-2</v>
      </c>
      <c r="M71" s="109">
        <v>1.3604548294097189E-3</v>
      </c>
      <c r="N71" s="109">
        <v>8.999999612569809E-3</v>
      </c>
      <c r="O71" s="109">
        <v>150</v>
      </c>
      <c r="P71" s="109">
        <v>1</v>
      </c>
      <c r="Q71" s="109">
        <v>156.4</v>
      </c>
      <c r="R71" s="109">
        <f t="shared" si="2"/>
        <v>0.28707671165466309</v>
      </c>
      <c r="T71" s="108" t="b">
        <f t="shared" si="3"/>
        <v>0</v>
      </c>
      <c r="W71" s="60">
        <v>70</v>
      </c>
      <c r="X71" s="60" t="s">
        <v>816</v>
      </c>
      <c r="Y71" s="60">
        <v>4.5811744576680998E-4</v>
      </c>
      <c r="Z71" s="60">
        <v>156.4</v>
      </c>
      <c r="AA71" s="60" t="s">
        <v>792</v>
      </c>
      <c r="AB71" s="60">
        <v>8.9999999999999993E-3</v>
      </c>
      <c r="AC71" s="60"/>
      <c r="AD71" s="60" t="s">
        <v>793</v>
      </c>
      <c r="AE71" s="60"/>
      <c r="AF71" s="60"/>
      <c r="AG71" s="60" t="s">
        <v>641</v>
      </c>
      <c r="AH71" s="60" t="s">
        <v>640</v>
      </c>
      <c r="AI71" s="60" t="s">
        <v>816</v>
      </c>
      <c r="AJ71" s="60">
        <v>0</v>
      </c>
      <c r="AK71" s="60">
        <v>-24.398632049560501</v>
      </c>
      <c r="AL71" s="60">
        <v>1.2699884176254199</v>
      </c>
      <c r="AM71" s="60">
        <v>0</v>
      </c>
      <c r="AN71" s="60">
        <v>0</v>
      </c>
      <c r="AO71" s="60">
        <v>3</v>
      </c>
      <c r="AP71" s="60">
        <v>8.9999996125698003E-3</v>
      </c>
      <c r="AQ71" s="60">
        <v>0</v>
      </c>
      <c r="AR71" s="60">
        <v>150</v>
      </c>
      <c r="AS71" s="60">
        <v>1</v>
      </c>
      <c r="AT71" s="60">
        <v>204.2</v>
      </c>
      <c r="AU71" s="60">
        <v>25.096672058105401</v>
      </c>
    </row>
    <row r="72" spans="1:47" ht="15" customHeight="1" x14ac:dyDescent="0.2">
      <c r="A72" s="109">
        <v>17</v>
      </c>
      <c r="B72" s="109">
        <v>77.599999999999994</v>
      </c>
      <c r="C72" s="109">
        <v>156.4</v>
      </c>
      <c r="D72" s="109" t="s">
        <v>792</v>
      </c>
      <c r="E72" s="109">
        <v>8.9999999999999993E-3</v>
      </c>
      <c r="F72" s="109" t="s">
        <v>793</v>
      </c>
      <c r="G72" s="109" t="s">
        <v>740</v>
      </c>
      <c r="H72" s="109" t="s">
        <v>741</v>
      </c>
      <c r="I72" s="60" t="s">
        <v>284</v>
      </c>
      <c r="J72" s="109">
        <v>0</v>
      </c>
      <c r="K72" s="109">
        <v>-22.561313629150391</v>
      </c>
      <c r="L72" s="109">
        <v>1.1743530035018921</v>
      </c>
      <c r="M72" s="109">
        <v>8.3656482696533203</v>
      </c>
      <c r="N72" s="109">
        <v>8.999999612569809E-3</v>
      </c>
      <c r="O72" s="109">
        <v>150</v>
      </c>
      <c r="P72" s="109">
        <v>1</v>
      </c>
      <c r="Q72" s="109">
        <v>156.4</v>
      </c>
      <c r="R72" s="109">
        <f t="shared" si="2"/>
        <v>22.561313629150391</v>
      </c>
      <c r="T72" s="108" t="b">
        <f t="shared" si="3"/>
        <v>0</v>
      </c>
      <c r="W72" s="60">
        <v>71</v>
      </c>
      <c r="X72" s="60" t="s">
        <v>817</v>
      </c>
      <c r="Y72" s="60">
        <v>2.93695484685275E-4</v>
      </c>
      <c r="Z72" s="60">
        <v>156.4</v>
      </c>
      <c r="AA72" s="60" t="s">
        <v>792</v>
      </c>
      <c r="AB72" s="60">
        <v>8.9999999999999993E-3</v>
      </c>
      <c r="AC72" s="60"/>
      <c r="AD72" s="60" t="s">
        <v>793</v>
      </c>
      <c r="AE72" s="60"/>
      <c r="AF72" s="60"/>
      <c r="AG72" s="60" t="s">
        <v>639</v>
      </c>
      <c r="AH72" s="60" t="s">
        <v>638</v>
      </c>
      <c r="AI72" s="60" t="s">
        <v>817</v>
      </c>
      <c r="AJ72" s="60">
        <v>0</v>
      </c>
      <c r="AK72" s="60">
        <v>-25.773668289184499</v>
      </c>
      <c r="AL72" s="60">
        <v>1.3415613174438401</v>
      </c>
      <c r="AM72" s="60">
        <v>0</v>
      </c>
      <c r="AN72" s="60">
        <v>0</v>
      </c>
      <c r="AO72" s="60">
        <v>3</v>
      </c>
      <c r="AP72" s="60">
        <v>8.9999996125698003E-3</v>
      </c>
      <c r="AQ72" s="60">
        <v>0</v>
      </c>
      <c r="AR72" s="60">
        <v>150</v>
      </c>
      <c r="AS72" s="60">
        <v>1</v>
      </c>
      <c r="AT72" s="60">
        <v>204.2</v>
      </c>
      <c r="AU72" s="60">
        <v>26.235357284545898</v>
      </c>
    </row>
    <row r="73" spans="1:47" ht="15" customHeight="1" x14ac:dyDescent="0.2">
      <c r="A73" s="109">
        <v>18</v>
      </c>
      <c r="B73" s="109">
        <v>150.6</v>
      </c>
      <c r="C73" s="109">
        <v>156.4</v>
      </c>
      <c r="D73" s="109" t="s">
        <v>792</v>
      </c>
      <c r="E73" s="109">
        <v>8.9999999999999993E-3</v>
      </c>
      <c r="F73" s="109" t="s">
        <v>793</v>
      </c>
      <c r="G73" s="109" t="s">
        <v>741</v>
      </c>
      <c r="H73" s="109" t="s">
        <v>742</v>
      </c>
      <c r="I73" s="60" t="s">
        <v>283</v>
      </c>
      <c r="J73" s="109">
        <v>0</v>
      </c>
      <c r="K73" s="109">
        <v>-23.86788368225098</v>
      </c>
      <c r="L73" s="109">
        <v>1.2423620223999019</v>
      </c>
      <c r="M73" s="109">
        <v>9.3626575469970703</v>
      </c>
      <c r="N73" s="109">
        <v>8.999999612569809E-3</v>
      </c>
      <c r="O73" s="109">
        <v>150</v>
      </c>
      <c r="P73" s="109">
        <v>1</v>
      </c>
      <c r="Q73" s="109">
        <v>156.4</v>
      </c>
      <c r="R73" s="109">
        <f t="shared" si="2"/>
        <v>23.86788368225098</v>
      </c>
      <c r="T73" s="108" t="b">
        <f t="shared" si="3"/>
        <v>0</v>
      </c>
      <c r="W73" s="60">
        <v>72</v>
      </c>
      <c r="X73" s="60" t="s">
        <v>818</v>
      </c>
      <c r="Y73" s="60">
        <v>3.2912522592778098E-4</v>
      </c>
      <c r="Z73" s="60">
        <v>156.4</v>
      </c>
      <c r="AA73" s="60" t="s">
        <v>792</v>
      </c>
      <c r="AB73" s="60">
        <v>8.9999999999999993E-3</v>
      </c>
      <c r="AC73" s="60"/>
      <c r="AD73" s="60" t="s">
        <v>793</v>
      </c>
      <c r="AE73" s="60"/>
      <c r="AF73" s="60"/>
      <c r="AG73" s="60" t="s">
        <v>638</v>
      </c>
      <c r="AH73" s="60" t="s">
        <v>637</v>
      </c>
      <c r="AI73" s="60" t="s">
        <v>818</v>
      </c>
      <c r="AJ73" s="60">
        <v>0</v>
      </c>
      <c r="AK73" s="60">
        <v>-26.161647796630799</v>
      </c>
      <c r="AL73" s="60">
        <v>1.36175620555877</v>
      </c>
      <c r="AM73" s="60">
        <v>28.262062072753899</v>
      </c>
      <c r="AN73" s="60">
        <v>0</v>
      </c>
      <c r="AO73" s="60">
        <v>3</v>
      </c>
      <c r="AP73" s="60">
        <v>8.9999996125698003E-3</v>
      </c>
      <c r="AQ73" s="60">
        <v>0</v>
      </c>
      <c r="AR73" s="60">
        <v>150</v>
      </c>
      <c r="AS73" s="60">
        <v>1</v>
      </c>
      <c r="AT73" s="60">
        <v>204.2</v>
      </c>
      <c r="AU73" s="60">
        <v>26.556644439697202</v>
      </c>
    </row>
    <row r="74" spans="1:47" ht="15" customHeight="1" x14ac:dyDescent="0.2">
      <c r="A74" s="109">
        <v>19</v>
      </c>
      <c r="B74" s="109">
        <v>54.1</v>
      </c>
      <c r="C74" s="109">
        <v>156.4</v>
      </c>
      <c r="D74" s="109" t="s">
        <v>792</v>
      </c>
      <c r="E74" s="109">
        <v>8.9999999999999993E-3</v>
      </c>
      <c r="F74" s="109" t="s">
        <v>793</v>
      </c>
      <c r="G74" s="109" t="s">
        <v>742</v>
      </c>
      <c r="H74" s="109" t="s">
        <v>743</v>
      </c>
      <c r="I74" s="60" t="s">
        <v>280</v>
      </c>
      <c r="J74" s="109">
        <v>0</v>
      </c>
      <c r="K74" s="109">
        <v>-25.037521362304691</v>
      </c>
      <c r="L74" s="109">
        <v>1.3032436370849609</v>
      </c>
      <c r="M74" s="109">
        <v>10.30277156829834</v>
      </c>
      <c r="N74" s="109">
        <v>8.999999612569809E-3</v>
      </c>
      <c r="O74" s="109">
        <v>150</v>
      </c>
      <c r="P74" s="109">
        <v>1</v>
      </c>
      <c r="Q74" s="109">
        <v>156.4</v>
      </c>
      <c r="R74" s="109">
        <f t="shared" si="2"/>
        <v>25.037521362304691</v>
      </c>
      <c r="T74" s="108" t="b">
        <f t="shared" si="3"/>
        <v>0</v>
      </c>
      <c r="W74" s="60">
        <v>73</v>
      </c>
      <c r="X74" s="60" t="s">
        <v>819</v>
      </c>
      <c r="Y74" s="60">
        <v>6.8656698492067095E-4</v>
      </c>
      <c r="Z74" s="60">
        <v>204.2</v>
      </c>
      <c r="AA74" s="60" t="s">
        <v>792</v>
      </c>
      <c r="AB74" s="60">
        <v>8.9999999999999993E-3</v>
      </c>
      <c r="AC74" s="60"/>
      <c r="AD74" s="60" t="s">
        <v>793</v>
      </c>
      <c r="AE74" s="60"/>
      <c r="AF74" s="60"/>
      <c r="AG74" s="60" t="s">
        <v>637</v>
      </c>
      <c r="AH74" s="60" t="s">
        <v>636</v>
      </c>
      <c r="AI74" s="60" t="s">
        <v>819</v>
      </c>
      <c r="AJ74" s="60">
        <v>0</v>
      </c>
      <c r="AK74" s="60">
        <v>-26.8006687164306</v>
      </c>
      <c r="AL74" s="60">
        <v>0.81835532188415505</v>
      </c>
      <c r="AM74" s="60">
        <v>0</v>
      </c>
      <c r="AN74" s="60">
        <v>0</v>
      </c>
      <c r="AO74" s="60">
        <v>3</v>
      </c>
      <c r="AP74" s="60">
        <v>8.9999996125698003E-3</v>
      </c>
      <c r="AQ74" s="60">
        <v>0</v>
      </c>
      <c r="AR74" s="60">
        <v>200</v>
      </c>
      <c r="AS74" s="60">
        <v>1</v>
      </c>
      <c r="AT74" s="60">
        <v>204.2</v>
      </c>
      <c r="AU74" s="60">
        <v>27.0858249664306</v>
      </c>
    </row>
    <row r="75" spans="1:47" ht="15" customHeight="1" x14ac:dyDescent="0.2">
      <c r="A75" s="109">
        <v>20</v>
      </c>
      <c r="B75" s="109">
        <v>34.700000000000003</v>
      </c>
      <c r="C75" s="109">
        <v>156.4</v>
      </c>
      <c r="D75" s="109" t="s">
        <v>792</v>
      </c>
      <c r="E75" s="109">
        <v>8.9999999999999993E-3</v>
      </c>
      <c r="F75" s="109" t="s">
        <v>793</v>
      </c>
      <c r="G75" s="109" t="s">
        <v>743</v>
      </c>
      <c r="H75" s="109" t="s">
        <v>744</v>
      </c>
      <c r="I75" s="60" t="s">
        <v>282</v>
      </c>
      <c r="J75" s="109">
        <v>0</v>
      </c>
      <c r="K75" s="109">
        <v>-25.545314788818359</v>
      </c>
      <c r="L75" s="109">
        <v>1.329675078392029</v>
      </c>
      <c r="M75" s="109">
        <v>10.7249002456665</v>
      </c>
      <c r="N75" s="109">
        <v>8.999999612569809E-3</v>
      </c>
      <c r="O75" s="109">
        <v>150</v>
      </c>
      <c r="P75" s="109">
        <v>1</v>
      </c>
      <c r="Q75" s="109">
        <v>156.4</v>
      </c>
      <c r="R75" s="109">
        <f t="shared" si="2"/>
        <v>25.545314788818359</v>
      </c>
      <c r="T75" s="108" t="b">
        <f t="shared" si="3"/>
        <v>0</v>
      </c>
      <c r="W75" s="60">
        <v>74</v>
      </c>
      <c r="X75" s="60" t="s">
        <v>820</v>
      </c>
      <c r="Y75" s="60">
        <v>6.9669214638570602E-4</v>
      </c>
      <c r="Z75" s="60">
        <v>204.2</v>
      </c>
      <c r="AA75" s="60" t="s">
        <v>792</v>
      </c>
      <c r="AB75" s="60">
        <v>8.9999999999999993E-3</v>
      </c>
      <c r="AC75" s="60"/>
      <c r="AD75" s="60" t="s">
        <v>793</v>
      </c>
      <c r="AE75" s="60"/>
      <c r="AF75" s="60"/>
      <c r="AG75" s="60" t="s">
        <v>636</v>
      </c>
      <c r="AH75" s="60" t="s">
        <v>635</v>
      </c>
      <c r="AI75" s="60" t="s">
        <v>820</v>
      </c>
      <c r="AJ75" s="60">
        <v>0</v>
      </c>
      <c r="AK75" s="60">
        <v>-27.673618316650298</v>
      </c>
      <c r="AL75" s="60">
        <v>0.84501075744628895</v>
      </c>
      <c r="AM75" s="60">
        <v>0</v>
      </c>
      <c r="AN75" s="60">
        <v>0</v>
      </c>
      <c r="AO75" s="60">
        <v>3</v>
      </c>
      <c r="AP75" s="60">
        <v>8.9999996125698003E-3</v>
      </c>
      <c r="AQ75" s="60">
        <v>0</v>
      </c>
      <c r="AR75" s="60">
        <v>200</v>
      </c>
      <c r="AS75" s="60">
        <v>1</v>
      </c>
      <c r="AT75" s="60">
        <v>204.2</v>
      </c>
      <c r="AU75" s="60">
        <v>27.808723449706999</v>
      </c>
    </row>
    <row r="76" spans="1:47" ht="15" customHeight="1" x14ac:dyDescent="0.2">
      <c r="A76" s="109">
        <v>21</v>
      </c>
      <c r="B76" s="109">
        <v>88.4</v>
      </c>
      <c r="C76" s="109">
        <v>156.4</v>
      </c>
      <c r="D76" s="109" t="s">
        <v>792</v>
      </c>
      <c r="E76" s="109">
        <v>8.9999999999999993E-3</v>
      </c>
      <c r="F76" s="109" t="s">
        <v>793</v>
      </c>
      <c r="G76" s="109" t="s">
        <v>744</v>
      </c>
      <c r="H76" s="109" t="s">
        <v>745</v>
      </c>
      <c r="I76" s="60" t="s">
        <v>430</v>
      </c>
      <c r="J76" s="109">
        <v>0</v>
      </c>
      <c r="K76" s="109">
        <v>-26.247097015380859</v>
      </c>
      <c r="L76" s="109">
        <v>1.3662040233612061</v>
      </c>
      <c r="M76" s="109">
        <v>11.3223123550415</v>
      </c>
      <c r="N76" s="109">
        <v>8.999999612569809E-3</v>
      </c>
      <c r="O76" s="109">
        <v>150</v>
      </c>
      <c r="P76" s="109">
        <v>1</v>
      </c>
      <c r="Q76" s="109">
        <v>156.4</v>
      </c>
      <c r="R76" s="109">
        <f t="shared" si="2"/>
        <v>26.247097015380859</v>
      </c>
      <c r="T76" s="108" t="b">
        <f t="shared" si="3"/>
        <v>0</v>
      </c>
      <c r="W76" s="60">
        <v>75</v>
      </c>
      <c r="X76" s="60" t="s">
        <v>821</v>
      </c>
      <c r="Y76" s="60">
        <v>6.9909040527335901E-4</v>
      </c>
      <c r="Z76" s="60">
        <v>204.2</v>
      </c>
      <c r="AA76" s="60" t="s">
        <v>792</v>
      </c>
      <c r="AB76" s="60">
        <v>8.9999999999999993E-3</v>
      </c>
      <c r="AC76" s="60"/>
      <c r="AD76" s="60" t="s">
        <v>793</v>
      </c>
      <c r="AE76" s="60"/>
      <c r="AF76" s="60"/>
      <c r="AG76" s="60" t="s">
        <v>635</v>
      </c>
      <c r="AH76" s="60" t="s">
        <v>634</v>
      </c>
      <c r="AI76" s="60" t="s">
        <v>821</v>
      </c>
      <c r="AJ76" s="60">
        <v>0</v>
      </c>
      <c r="AK76" s="60">
        <v>-28.552272796630799</v>
      </c>
      <c r="AL76" s="60">
        <v>0.87184035778045599</v>
      </c>
      <c r="AM76" s="60">
        <v>0</v>
      </c>
      <c r="AN76" s="60">
        <v>0</v>
      </c>
      <c r="AO76" s="60">
        <v>3</v>
      </c>
      <c r="AP76" s="60">
        <v>8.9999996125698003E-3</v>
      </c>
      <c r="AQ76" s="60">
        <v>0</v>
      </c>
      <c r="AR76" s="60">
        <v>200</v>
      </c>
      <c r="AS76" s="60">
        <v>1</v>
      </c>
      <c r="AT76" s="60">
        <v>204.2</v>
      </c>
      <c r="AU76" s="60">
        <v>28.5363464355468</v>
      </c>
    </row>
    <row r="77" spans="1:47" ht="15" customHeight="1" x14ac:dyDescent="0.25">
      <c r="A77" s="109">
        <v>159</v>
      </c>
      <c r="B77" s="109">
        <v>96</v>
      </c>
      <c r="C77" s="109">
        <v>204.2</v>
      </c>
      <c r="D77" s="109" t="s">
        <v>792</v>
      </c>
      <c r="E77" s="109">
        <v>8.9999999999999993E-3</v>
      </c>
      <c r="F77" s="109" t="s">
        <v>793</v>
      </c>
      <c r="G77" s="109" t="s">
        <v>745</v>
      </c>
      <c r="H77" s="109" t="s">
        <v>664</v>
      </c>
      <c r="I77" s="106" t="s">
        <v>884</v>
      </c>
      <c r="J77" s="109">
        <v>0</v>
      </c>
      <c r="K77" s="109">
        <v>-27.296918869018551</v>
      </c>
      <c r="L77" s="109">
        <v>0.83350831270217896</v>
      </c>
      <c r="M77" s="109">
        <v>2.953453540802002</v>
      </c>
      <c r="N77" s="109">
        <v>8.999999612569809E-3</v>
      </c>
      <c r="O77" s="109">
        <v>200</v>
      </c>
      <c r="P77" s="109">
        <v>1</v>
      </c>
      <c r="Q77" s="109">
        <v>156.4</v>
      </c>
      <c r="R77" s="109">
        <f t="shared" si="2"/>
        <v>27.296918869018551</v>
      </c>
      <c r="T77" s="108" t="b">
        <f t="shared" si="3"/>
        <v>0</v>
      </c>
      <c r="W77" s="60">
        <v>76</v>
      </c>
      <c r="X77" s="60" t="s">
        <v>822</v>
      </c>
      <c r="Y77" s="60">
        <v>1.72973478190444E-3</v>
      </c>
      <c r="Z77" s="60">
        <v>204.2</v>
      </c>
      <c r="AA77" s="60" t="s">
        <v>792</v>
      </c>
      <c r="AB77" s="60">
        <v>8.9999999999999993E-3</v>
      </c>
      <c r="AC77" s="60"/>
      <c r="AD77" s="60" t="s">
        <v>793</v>
      </c>
      <c r="AE77" s="60"/>
      <c r="AF77" s="60"/>
      <c r="AG77" s="60" t="s">
        <v>634</v>
      </c>
      <c r="AH77" s="60" t="s">
        <v>633</v>
      </c>
      <c r="AI77" s="60" t="s">
        <v>822</v>
      </c>
      <c r="AJ77" s="60">
        <v>0</v>
      </c>
      <c r="AK77" s="60">
        <v>-30.081361770629801</v>
      </c>
      <c r="AL77" s="60">
        <v>0.91853088140487604</v>
      </c>
      <c r="AM77" s="60">
        <v>5.37756299972534</v>
      </c>
      <c r="AN77" s="60">
        <v>0</v>
      </c>
      <c r="AO77" s="60">
        <v>3</v>
      </c>
      <c r="AP77" s="60">
        <v>8.9999996125698003E-3</v>
      </c>
      <c r="AQ77" s="60">
        <v>0</v>
      </c>
      <c r="AR77" s="60">
        <v>200</v>
      </c>
      <c r="AS77" s="60">
        <v>1</v>
      </c>
      <c r="AT77" s="60">
        <v>204.2</v>
      </c>
      <c r="AU77" s="60">
        <v>29.802598953246999</v>
      </c>
    </row>
    <row r="78" spans="1:47" ht="15" customHeight="1" x14ac:dyDescent="0.2">
      <c r="A78" s="109">
        <v>36</v>
      </c>
      <c r="B78" s="109">
        <v>230.2</v>
      </c>
      <c r="C78" s="109">
        <v>156.4</v>
      </c>
      <c r="D78" s="109" t="s">
        <v>792</v>
      </c>
      <c r="E78" s="109">
        <v>8.9999999999999993E-3</v>
      </c>
      <c r="F78" s="109" t="s">
        <v>793</v>
      </c>
      <c r="G78" s="109" t="s">
        <v>746</v>
      </c>
      <c r="H78" s="109" t="s">
        <v>747</v>
      </c>
      <c r="I78" s="60" t="s">
        <v>252</v>
      </c>
      <c r="J78" s="109">
        <v>0</v>
      </c>
      <c r="K78" s="109">
        <v>11.791399002075201</v>
      </c>
      <c r="L78" s="109">
        <v>0.61376148462295532</v>
      </c>
      <c r="M78" s="109">
        <v>2.2850725650787349</v>
      </c>
      <c r="N78" s="109">
        <v>8.999999612569809E-3</v>
      </c>
      <c r="O78" s="109">
        <v>150</v>
      </c>
      <c r="P78" s="109">
        <v>1</v>
      </c>
      <c r="Q78" s="109">
        <v>72.8</v>
      </c>
      <c r="R78" s="109">
        <f t="shared" si="2"/>
        <v>11.791399002075201</v>
      </c>
      <c r="T78" s="108" t="b">
        <f t="shared" si="3"/>
        <v>0</v>
      </c>
      <c r="W78" s="60">
        <v>77</v>
      </c>
      <c r="X78" s="60" t="s">
        <v>823</v>
      </c>
      <c r="Y78" s="60">
        <v>8.5169552483874502E-4</v>
      </c>
      <c r="Z78" s="60">
        <v>204.2</v>
      </c>
      <c r="AA78" s="60" t="s">
        <v>792</v>
      </c>
      <c r="AB78" s="60">
        <v>8.9999999999999993E-3</v>
      </c>
      <c r="AC78" s="60"/>
      <c r="AD78" s="60" t="s">
        <v>793</v>
      </c>
      <c r="AE78" s="60"/>
      <c r="AF78" s="60"/>
      <c r="AG78" s="60" t="s">
        <v>633</v>
      </c>
      <c r="AH78" s="60" t="s">
        <v>632</v>
      </c>
      <c r="AI78" s="60" t="s">
        <v>823</v>
      </c>
      <c r="AJ78" s="60">
        <v>0</v>
      </c>
      <c r="AK78" s="60">
        <v>-31.707441329956001</v>
      </c>
      <c r="AL78" s="60">
        <v>0.96818310022354104</v>
      </c>
      <c r="AM78" s="60">
        <v>0</v>
      </c>
      <c r="AN78" s="60">
        <v>0</v>
      </c>
      <c r="AO78" s="60">
        <v>3</v>
      </c>
      <c r="AP78" s="60">
        <v>8.9999996125698003E-3</v>
      </c>
      <c r="AQ78" s="60">
        <v>0</v>
      </c>
      <c r="AR78" s="60">
        <v>200</v>
      </c>
      <c r="AS78" s="60">
        <v>1</v>
      </c>
      <c r="AT78" s="60">
        <v>204.2</v>
      </c>
      <c r="AU78" s="60">
        <v>31.149177551269499</v>
      </c>
    </row>
    <row r="79" spans="1:47" ht="15" customHeight="1" x14ac:dyDescent="0.2">
      <c r="A79" s="109">
        <v>38</v>
      </c>
      <c r="B79" s="109">
        <v>144.80000000000001</v>
      </c>
      <c r="C79" s="109">
        <v>108.4</v>
      </c>
      <c r="D79" s="109" t="s">
        <v>792</v>
      </c>
      <c r="E79" s="109">
        <v>8.9999999999999993E-3</v>
      </c>
      <c r="F79" s="109" t="s">
        <v>793</v>
      </c>
      <c r="G79" s="109" t="s">
        <v>747</v>
      </c>
      <c r="H79" s="109" t="s">
        <v>748</v>
      </c>
      <c r="I79" s="60" t="s">
        <v>253</v>
      </c>
      <c r="J79" s="109">
        <v>0</v>
      </c>
      <c r="K79" s="109">
        <v>9.6518192291259766</v>
      </c>
      <c r="L79" s="109">
        <v>1.045823454856873</v>
      </c>
      <c r="M79" s="109">
        <v>10.815413475036619</v>
      </c>
      <c r="N79" s="109">
        <v>8.999999612569809E-3</v>
      </c>
      <c r="O79" s="109">
        <v>100</v>
      </c>
      <c r="P79" s="109">
        <v>1</v>
      </c>
      <c r="Q79" s="109">
        <v>51.4</v>
      </c>
      <c r="R79" s="109">
        <f t="shared" si="2"/>
        <v>9.6518192291259766</v>
      </c>
      <c r="T79" s="108" t="b">
        <f t="shared" si="3"/>
        <v>0</v>
      </c>
      <c r="W79" s="60">
        <v>78</v>
      </c>
      <c r="X79" s="60" t="s">
        <v>181</v>
      </c>
      <c r="Y79" s="60">
        <v>7.2256124688816099E-4</v>
      </c>
      <c r="Z79" s="60">
        <v>252</v>
      </c>
      <c r="AA79" s="60" t="s">
        <v>792</v>
      </c>
      <c r="AB79" s="60">
        <v>8.9999999999999993E-3</v>
      </c>
      <c r="AC79" s="60"/>
      <c r="AD79" s="60" t="s">
        <v>793</v>
      </c>
      <c r="AE79" s="60"/>
      <c r="AF79" s="60"/>
      <c r="AG79" s="60" t="s">
        <v>652</v>
      </c>
      <c r="AH79" s="60" t="s">
        <v>653</v>
      </c>
      <c r="AI79" s="60" t="s">
        <v>181</v>
      </c>
      <c r="AJ79" s="60">
        <v>0</v>
      </c>
      <c r="AK79" s="60">
        <v>63.331504821777301</v>
      </c>
      <c r="AL79" s="60">
        <v>1.2697741985321001</v>
      </c>
      <c r="AM79" s="60">
        <v>12.8733139038085</v>
      </c>
      <c r="AN79" s="60">
        <v>0</v>
      </c>
      <c r="AO79" s="60">
        <v>3</v>
      </c>
      <c r="AP79" s="60">
        <v>8.9999996125698003E-3</v>
      </c>
      <c r="AQ79" s="60">
        <v>0</v>
      </c>
      <c r="AR79" s="60">
        <v>250</v>
      </c>
      <c r="AS79" s="60">
        <v>1</v>
      </c>
      <c r="AT79" s="60">
        <v>204.2</v>
      </c>
      <c r="AU79" s="60">
        <v>47.593242645263601</v>
      </c>
    </row>
    <row r="80" spans="1:47" ht="15" customHeight="1" x14ac:dyDescent="0.2">
      <c r="A80" s="109">
        <v>37</v>
      </c>
      <c r="B80" s="109">
        <v>129.5</v>
      </c>
      <c r="C80" s="109">
        <v>108.4</v>
      </c>
      <c r="D80" s="109" t="s">
        <v>792</v>
      </c>
      <c r="E80" s="109">
        <v>8.9999999999999993E-3</v>
      </c>
      <c r="F80" s="109" t="s">
        <v>793</v>
      </c>
      <c r="G80" s="109" t="s">
        <v>748</v>
      </c>
      <c r="H80" s="109" t="s">
        <v>749</v>
      </c>
      <c r="I80" s="60" t="s">
        <v>235</v>
      </c>
      <c r="J80" s="109">
        <v>0</v>
      </c>
      <c r="K80" s="109">
        <v>8.0884981155395508</v>
      </c>
      <c r="L80" s="109">
        <v>0.87642973661422729</v>
      </c>
      <c r="M80" s="109">
        <v>7.5955853462219238</v>
      </c>
      <c r="N80" s="109">
        <v>8.999999612569809E-3</v>
      </c>
      <c r="O80" s="109">
        <v>100</v>
      </c>
      <c r="P80" s="109">
        <v>1</v>
      </c>
      <c r="Q80" s="109">
        <v>51.4</v>
      </c>
      <c r="R80" s="109">
        <f t="shared" si="2"/>
        <v>8.0884981155395508</v>
      </c>
      <c r="T80" s="108" t="b">
        <f t="shared" si="3"/>
        <v>0</v>
      </c>
      <c r="W80" s="60">
        <v>79</v>
      </c>
      <c r="X80" s="60" t="s">
        <v>180</v>
      </c>
      <c r="Y80" s="60">
        <v>8.0425994205403199E-4</v>
      </c>
      <c r="Z80" s="60">
        <v>252</v>
      </c>
      <c r="AA80" s="60" t="s">
        <v>792</v>
      </c>
      <c r="AB80" s="60">
        <v>8.9999999999999993E-3</v>
      </c>
      <c r="AC80" s="60"/>
      <c r="AD80" s="60" t="s">
        <v>793</v>
      </c>
      <c r="AE80" s="60"/>
      <c r="AF80" s="60"/>
      <c r="AG80" s="60" t="s">
        <v>654</v>
      </c>
      <c r="AH80" s="60" t="s">
        <v>655</v>
      </c>
      <c r="AI80" s="60" t="s">
        <v>180</v>
      </c>
      <c r="AJ80" s="60">
        <v>0</v>
      </c>
      <c r="AK80" s="60">
        <v>61.374504089355398</v>
      </c>
      <c r="AL80" s="60">
        <v>1.2305370569229099</v>
      </c>
      <c r="AM80" s="60">
        <v>11.565610885620099</v>
      </c>
      <c r="AN80" s="60">
        <v>0</v>
      </c>
      <c r="AO80" s="60">
        <v>3</v>
      </c>
      <c r="AP80" s="60">
        <v>8.9999996125698003E-3</v>
      </c>
      <c r="AQ80" s="60">
        <v>0</v>
      </c>
      <c r="AR80" s="60">
        <v>250</v>
      </c>
      <c r="AS80" s="60">
        <v>1</v>
      </c>
      <c r="AT80" s="60">
        <v>204.2</v>
      </c>
      <c r="AU80" s="60">
        <v>45.972625732421797</v>
      </c>
    </row>
    <row r="81" spans="1:47" ht="15" customHeight="1" x14ac:dyDescent="0.2">
      <c r="A81" s="109">
        <v>39</v>
      </c>
      <c r="B81" s="109">
        <v>104.3</v>
      </c>
      <c r="C81" s="109">
        <v>94.4</v>
      </c>
      <c r="D81" s="109" t="s">
        <v>792</v>
      </c>
      <c r="E81" s="109">
        <v>8.9999999999999993E-3</v>
      </c>
      <c r="F81" s="109" t="s">
        <v>793</v>
      </c>
      <c r="G81" s="109" t="s">
        <v>749</v>
      </c>
      <c r="H81" s="109" t="s">
        <v>750</v>
      </c>
      <c r="I81" s="60" t="s">
        <v>236</v>
      </c>
      <c r="J81" s="109">
        <v>0</v>
      </c>
      <c r="K81" s="109">
        <v>6.7591056823730469</v>
      </c>
      <c r="L81" s="109">
        <v>0.96572393178939819</v>
      </c>
      <c r="M81" s="109">
        <v>11.08889007568359</v>
      </c>
      <c r="N81" s="109">
        <v>8.999999612569809E-3</v>
      </c>
      <c r="O81" s="109">
        <v>100</v>
      </c>
      <c r="P81" s="109">
        <v>1</v>
      </c>
      <c r="Q81" s="109">
        <v>72.8</v>
      </c>
      <c r="R81" s="109">
        <f t="shared" si="2"/>
        <v>6.7591056823730469</v>
      </c>
      <c r="T81" s="108" t="b">
        <f t="shared" si="3"/>
        <v>0</v>
      </c>
      <c r="W81" s="60">
        <v>80</v>
      </c>
      <c r="X81" s="60" t="s">
        <v>179</v>
      </c>
      <c r="Y81" s="60">
        <v>7.8918487580291105E-4</v>
      </c>
      <c r="Z81" s="60">
        <v>252</v>
      </c>
      <c r="AA81" s="60" t="s">
        <v>792</v>
      </c>
      <c r="AB81" s="60">
        <v>8.9999999999999993E-3</v>
      </c>
      <c r="AC81" s="60"/>
      <c r="AD81" s="60" t="s">
        <v>793</v>
      </c>
      <c r="AE81" s="60"/>
      <c r="AF81" s="60"/>
      <c r="AG81" s="60" t="s">
        <v>653</v>
      </c>
      <c r="AH81" s="60" t="s">
        <v>654</v>
      </c>
      <c r="AI81" s="60" t="s">
        <v>179</v>
      </c>
      <c r="AJ81" s="60">
        <v>0</v>
      </c>
      <c r="AK81" s="60">
        <v>62.3786811828613</v>
      </c>
      <c r="AL81" s="60">
        <v>1.25067043304443</v>
      </c>
      <c r="AM81" s="60">
        <v>0</v>
      </c>
      <c r="AN81" s="60">
        <v>0</v>
      </c>
      <c r="AO81" s="60">
        <v>3</v>
      </c>
      <c r="AP81" s="60">
        <v>8.9999996125698003E-3</v>
      </c>
      <c r="AQ81" s="60">
        <v>0</v>
      </c>
      <c r="AR81" s="60">
        <v>250</v>
      </c>
      <c r="AS81" s="60">
        <v>1</v>
      </c>
      <c r="AT81" s="60">
        <v>204.2</v>
      </c>
      <c r="AU81" s="60">
        <v>46.804195404052699</v>
      </c>
    </row>
    <row r="82" spans="1:47" ht="15" customHeight="1" x14ac:dyDescent="0.25">
      <c r="A82" s="109">
        <v>156</v>
      </c>
      <c r="B82" s="109">
        <v>414.3</v>
      </c>
      <c r="C82" s="109">
        <v>94.4</v>
      </c>
      <c r="D82" s="109" t="s">
        <v>792</v>
      </c>
      <c r="E82" s="109">
        <v>8.9999999999999993E-3</v>
      </c>
      <c r="F82" s="109" t="s">
        <v>793</v>
      </c>
      <c r="G82" s="109" t="s">
        <v>597</v>
      </c>
      <c r="H82" s="109" t="s">
        <v>596</v>
      </c>
      <c r="I82" t="s">
        <v>153</v>
      </c>
      <c r="J82" s="109">
        <v>0</v>
      </c>
      <c r="K82" s="109">
        <v>5.4791264533996582</v>
      </c>
      <c r="L82" s="109">
        <v>0.78284376859664917</v>
      </c>
      <c r="M82" s="109">
        <v>7.2867250442504883</v>
      </c>
      <c r="N82" s="109">
        <v>8.999999612569809E-3</v>
      </c>
      <c r="O82" s="109">
        <v>100</v>
      </c>
      <c r="P82" s="109">
        <v>1</v>
      </c>
      <c r="Q82" s="109">
        <v>156.4</v>
      </c>
      <c r="R82" s="109">
        <f t="shared" si="2"/>
        <v>5.4791264533996582</v>
      </c>
      <c r="T82" s="108" t="b">
        <f t="shared" si="3"/>
        <v>0</v>
      </c>
      <c r="W82" s="60">
        <v>81</v>
      </c>
      <c r="X82" s="60" t="s">
        <v>178</v>
      </c>
      <c r="Y82" s="60">
        <v>7.9648072680389703E-4</v>
      </c>
      <c r="Z82" s="60">
        <v>252</v>
      </c>
      <c r="AA82" s="60" t="s">
        <v>792</v>
      </c>
      <c r="AB82" s="60">
        <v>8.9999999999999993E-3</v>
      </c>
      <c r="AC82" s="60"/>
      <c r="AD82" s="60" t="s">
        <v>793</v>
      </c>
      <c r="AE82" s="60"/>
      <c r="AF82" s="60"/>
      <c r="AG82" s="60" t="s">
        <v>655</v>
      </c>
      <c r="AH82" s="60" t="s">
        <v>656</v>
      </c>
      <c r="AI82" s="60" t="s">
        <v>178</v>
      </c>
      <c r="AJ82" s="60">
        <v>0</v>
      </c>
      <c r="AK82" s="60">
        <v>60.364620208740199</v>
      </c>
      <c r="AL82" s="60">
        <v>1.21028912067413</v>
      </c>
      <c r="AM82" s="60">
        <v>0</v>
      </c>
      <c r="AN82" s="60">
        <v>0</v>
      </c>
      <c r="AO82" s="60">
        <v>3</v>
      </c>
      <c r="AP82" s="60">
        <v>8.9999996125698003E-3</v>
      </c>
      <c r="AQ82" s="60">
        <v>0</v>
      </c>
      <c r="AR82" s="60">
        <v>250</v>
      </c>
      <c r="AS82" s="60">
        <v>1</v>
      </c>
      <c r="AT82" s="60">
        <v>204.2</v>
      </c>
      <c r="AU82" s="60">
        <v>45.136333465576101</v>
      </c>
    </row>
    <row r="83" spans="1:47" ht="15" customHeight="1" x14ac:dyDescent="0.2">
      <c r="A83" s="109">
        <v>40</v>
      </c>
      <c r="B83" s="109">
        <v>79.099999999999994</v>
      </c>
      <c r="C83" s="109">
        <v>94.4</v>
      </c>
      <c r="D83" s="109" t="s">
        <v>792</v>
      </c>
      <c r="E83" s="109">
        <v>8.9999999999999993E-3</v>
      </c>
      <c r="F83" s="109" t="s">
        <v>793</v>
      </c>
      <c r="G83" s="109" t="s">
        <v>750</v>
      </c>
      <c r="H83" s="109" t="s">
        <v>751</v>
      </c>
      <c r="I83" s="60" t="s">
        <v>237</v>
      </c>
      <c r="J83" s="109">
        <v>0</v>
      </c>
      <c r="K83" s="109">
        <v>5.7149901390075684</v>
      </c>
      <c r="L83" s="109">
        <v>0.81654340028762817</v>
      </c>
      <c r="M83" s="109">
        <v>7.9276022911071777</v>
      </c>
      <c r="N83" s="109">
        <v>8.999999612569809E-3</v>
      </c>
      <c r="O83" s="109">
        <v>100</v>
      </c>
      <c r="P83" s="109">
        <v>1</v>
      </c>
      <c r="Q83" s="109">
        <v>72.8</v>
      </c>
      <c r="R83" s="109">
        <f t="shared" si="2"/>
        <v>5.7149901390075684</v>
      </c>
      <c r="T83" s="108" t="b">
        <f t="shared" si="3"/>
        <v>0</v>
      </c>
      <c r="W83" s="60">
        <v>82</v>
      </c>
      <c r="X83" s="60" t="s">
        <v>189</v>
      </c>
      <c r="Y83" s="60">
        <v>6.8857281521997695E-4</v>
      </c>
      <c r="Z83" s="60">
        <v>252</v>
      </c>
      <c r="AA83" s="60" t="s">
        <v>792</v>
      </c>
      <c r="AB83" s="60">
        <v>8.9999999999999993E-3</v>
      </c>
      <c r="AC83" s="60"/>
      <c r="AD83" s="60" t="s">
        <v>793</v>
      </c>
      <c r="AE83" s="60"/>
      <c r="AF83" s="60"/>
      <c r="AG83" s="60" t="s">
        <v>656</v>
      </c>
      <c r="AH83" s="60" t="s">
        <v>657</v>
      </c>
      <c r="AI83" s="60" t="s">
        <v>189</v>
      </c>
      <c r="AJ83" s="60">
        <v>0</v>
      </c>
      <c r="AK83" s="60">
        <v>59.428909301757798</v>
      </c>
      <c r="AL83" s="60">
        <v>1.19152855873107</v>
      </c>
      <c r="AM83" s="60">
        <v>0</v>
      </c>
      <c r="AN83" s="60">
        <v>0</v>
      </c>
      <c r="AO83" s="60">
        <v>3</v>
      </c>
      <c r="AP83" s="60">
        <v>8.9999996125698003E-3</v>
      </c>
      <c r="AQ83" s="60">
        <v>0</v>
      </c>
      <c r="AR83" s="60">
        <v>250</v>
      </c>
      <c r="AS83" s="60">
        <v>1</v>
      </c>
      <c r="AT83" s="60">
        <v>204.2</v>
      </c>
      <c r="AU83" s="60">
        <v>44.361461639404297</v>
      </c>
    </row>
    <row r="84" spans="1:47" ht="15" customHeight="1" x14ac:dyDescent="0.2">
      <c r="A84" s="109">
        <v>41</v>
      </c>
      <c r="B84" s="109">
        <v>89.2</v>
      </c>
      <c r="C84" s="109">
        <v>94.4</v>
      </c>
      <c r="D84" s="109" t="s">
        <v>792</v>
      </c>
      <c r="E84" s="109">
        <v>8.9999999999999993E-3</v>
      </c>
      <c r="F84" s="109" t="s">
        <v>793</v>
      </c>
      <c r="G84" s="109" t="s">
        <v>751</v>
      </c>
      <c r="H84" s="109" t="s">
        <v>752</v>
      </c>
      <c r="I84" s="60" t="s">
        <v>238</v>
      </c>
      <c r="J84" s="109">
        <v>0</v>
      </c>
      <c r="K84" s="109">
        <v>4.7564578056335449</v>
      </c>
      <c r="L84" s="109">
        <v>0.67959064245223999</v>
      </c>
      <c r="M84" s="109">
        <v>5.4913220405578613</v>
      </c>
      <c r="N84" s="109">
        <v>8.999999612569809E-3</v>
      </c>
      <c r="O84" s="109">
        <v>100</v>
      </c>
      <c r="P84" s="109">
        <v>1</v>
      </c>
      <c r="Q84" s="109">
        <v>94.4</v>
      </c>
      <c r="R84" s="109">
        <f t="shared" si="2"/>
        <v>4.7564578056335449</v>
      </c>
      <c r="T84" s="108" t="b">
        <f t="shared" si="3"/>
        <v>0</v>
      </c>
      <c r="W84" s="60">
        <v>83</v>
      </c>
      <c r="X84" s="60" t="s">
        <v>188</v>
      </c>
      <c r="Y84" s="60">
        <v>7.2243151815314804E-4</v>
      </c>
      <c r="Z84" s="60">
        <v>252</v>
      </c>
      <c r="AA84" s="60" t="s">
        <v>792</v>
      </c>
      <c r="AB84" s="60">
        <v>8.9999999999999993E-3</v>
      </c>
      <c r="AC84" s="60"/>
      <c r="AD84" s="60" t="s">
        <v>793</v>
      </c>
      <c r="AE84" s="60"/>
      <c r="AF84" s="60"/>
      <c r="AG84" s="60" t="s">
        <v>657</v>
      </c>
      <c r="AH84" s="60" t="s">
        <v>658</v>
      </c>
      <c r="AI84" s="60" t="s">
        <v>188</v>
      </c>
      <c r="AJ84" s="60">
        <v>0</v>
      </c>
      <c r="AK84" s="60">
        <v>58.538845062255803</v>
      </c>
      <c r="AL84" s="60">
        <v>1.17368304729461</v>
      </c>
      <c r="AM84" s="60">
        <v>12.8756256103515</v>
      </c>
      <c r="AN84" s="60">
        <v>0</v>
      </c>
      <c r="AO84" s="60">
        <v>3</v>
      </c>
      <c r="AP84" s="60">
        <v>8.9999996125698003E-3</v>
      </c>
      <c r="AQ84" s="60">
        <v>0</v>
      </c>
      <c r="AR84" s="60">
        <v>250</v>
      </c>
      <c r="AS84" s="60">
        <v>1</v>
      </c>
      <c r="AT84" s="60">
        <v>204.2</v>
      </c>
      <c r="AU84" s="60">
        <v>43.6243896484375</v>
      </c>
    </row>
    <row r="85" spans="1:47" ht="15" customHeight="1" x14ac:dyDescent="0.2">
      <c r="A85" s="109">
        <v>42</v>
      </c>
      <c r="B85" s="109">
        <v>88.8</v>
      </c>
      <c r="C85" s="109">
        <v>72.8</v>
      </c>
      <c r="D85" s="109" t="s">
        <v>792</v>
      </c>
      <c r="E85" s="109">
        <v>8.9999999999999993E-3</v>
      </c>
      <c r="F85" s="109" t="s">
        <v>793</v>
      </c>
      <c r="G85" s="109" t="s">
        <v>752</v>
      </c>
      <c r="H85" s="109" t="s">
        <v>753</v>
      </c>
      <c r="I85" s="60" t="s">
        <v>239</v>
      </c>
      <c r="J85" s="109">
        <v>0</v>
      </c>
      <c r="K85" s="109">
        <v>3.7408702373504639</v>
      </c>
      <c r="L85" s="109">
        <v>0.89870601892471313</v>
      </c>
      <c r="M85" s="109">
        <v>13.57794761657715</v>
      </c>
      <c r="N85" s="109">
        <v>8.999999612569809E-3</v>
      </c>
      <c r="O85" s="109">
        <v>75</v>
      </c>
      <c r="P85" s="109">
        <v>1</v>
      </c>
      <c r="Q85" s="109">
        <v>94.4</v>
      </c>
      <c r="R85" s="109">
        <f t="shared" si="2"/>
        <v>3.7408702373504639</v>
      </c>
      <c r="T85" s="108" t="b">
        <f t="shared" si="3"/>
        <v>0</v>
      </c>
      <c r="W85" s="60">
        <v>84</v>
      </c>
      <c r="X85" s="60" t="s">
        <v>186</v>
      </c>
      <c r="Y85" s="60">
        <v>1.4240286451631199E-3</v>
      </c>
      <c r="Z85" s="60">
        <v>252</v>
      </c>
      <c r="AA85" s="60" t="s">
        <v>792</v>
      </c>
      <c r="AB85" s="60">
        <v>8.9999999999999993E-3</v>
      </c>
      <c r="AC85" s="60"/>
      <c r="AD85" s="60" t="s">
        <v>793</v>
      </c>
      <c r="AE85" s="60"/>
      <c r="AF85" s="60"/>
      <c r="AG85" s="60" t="s">
        <v>658</v>
      </c>
      <c r="AH85" s="60" t="s">
        <v>659</v>
      </c>
      <c r="AI85" s="60" t="s">
        <v>186</v>
      </c>
      <c r="AJ85" s="60">
        <v>0</v>
      </c>
      <c r="AK85" s="60">
        <v>57.180923461913999</v>
      </c>
      <c r="AL85" s="60">
        <v>1.14645719528198</v>
      </c>
      <c r="AM85" s="60">
        <v>0</v>
      </c>
      <c r="AN85" s="60">
        <v>0</v>
      </c>
      <c r="AO85" s="60">
        <v>3</v>
      </c>
      <c r="AP85" s="60">
        <v>8.9999996125698003E-3</v>
      </c>
      <c r="AQ85" s="60">
        <v>0</v>
      </c>
      <c r="AR85" s="60">
        <v>250</v>
      </c>
      <c r="AS85" s="60">
        <v>1</v>
      </c>
      <c r="AT85" s="60">
        <v>204.2</v>
      </c>
      <c r="AU85" s="60">
        <v>42.4998779296875</v>
      </c>
    </row>
    <row r="86" spans="1:47" ht="15" customHeight="1" x14ac:dyDescent="0.2">
      <c r="A86" s="109">
        <v>43</v>
      </c>
      <c r="B86" s="109">
        <v>45.3</v>
      </c>
      <c r="C86" s="109">
        <v>72.8</v>
      </c>
      <c r="D86" s="109" t="s">
        <v>792</v>
      </c>
      <c r="E86" s="109">
        <v>8.9999999999999993E-3</v>
      </c>
      <c r="F86" s="109" t="s">
        <v>793</v>
      </c>
      <c r="G86" s="109" t="s">
        <v>753</v>
      </c>
      <c r="H86" s="109" t="s">
        <v>754</v>
      </c>
      <c r="I86" s="60" t="s">
        <v>240</v>
      </c>
      <c r="J86" s="109">
        <v>0</v>
      </c>
      <c r="K86" s="109">
        <v>2.976326465606689</v>
      </c>
      <c r="L86" s="109">
        <v>0.71503216028213501</v>
      </c>
      <c r="M86" s="109">
        <v>8.5950908660888672</v>
      </c>
      <c r="N86" s="109">
        <v>8.999999612569809E-3</v>
      </c>
      <c r="O86" s="109">
        <v>75</v>
      </c>
      <c r="P86" s="109">
        <v>1</v>
      </c>
      <c r="Q86" s="109">
        <v>94.4</v>
      </c>
      <c r="R86" s="109">
        <f t="shared" si="2"/>
        <v>2.976326465606689</v>
      </c>
      <c r="T86" s="108" t="b">
        <f t="shared" si="3"/>
        <v>0</v>
      </c>
      <c r="W86" s="60">
        <v>85</v>
      </c>
      <c r="X86" s="60" t="s">
        <v>824</v>
      </c>
      <c r="Y86" s="60">
        <v>6.3652478136478599E-4</v>
      </c>
      <c r="Z86" s="60">
        <v>252</v>
      </c>
      <c r="AA86" s="60" t="s">
        <v>792</v>
      </c>
      <c r="AB86" s="60">
        <v>8.9999999999999993E-3</v>
      </c>
      <c r="AC86" s="60"/>
      <c r="AD86" s="60" t="s">
        <v>793</v>
      </c>
      <c r="AE86" s="60"/>
      <c r="AF86" s="60"/>
      <c r="AG86" s="60" t="s">
        <v>660</v>
      </c>
      <c r="AH86" s="60" t="s">
        <v>659</v>
      </c>
      <c r="AI86" s="60" t="s">
        <v>824</v>
      </c>
      <c r="AJ86" s="60">
        <v>0</v>
      </c>
      <c r="AK86" s="60">
        <v>-55.880058288574197</v>
      </c>
      <c r="AL86" s="60">
        <v>1.1203752756118699</v>
      </c>
      <c r="AM86" s="60">
        <v>14.6133470535278</v>
      </c>
      <c r="AN86" s="60">
        <v>0</v>
      </c>
      <c r="AO86" s="60">
        <v>3</v>
      </c>
      <c r="AP86" s="60">
        <v>8.9999996125698003E-3</v>
      </c>
      <c r="AQ86" s="60">
        <v>0</v>
      </c>
      <c r="AR86" s="60">
        <v>250</v>
      </c>
      <c r="AS86" s="60">
        <v>1</v>
      </c>
      <c r="AT86" s="60">
        <v>204.2</v>
      </c>
      <c r="AU86" s="60">
        <v>41.422618865966797</v>
      </c>
    </row>
    <row r="87" spans="1:47" ht="15" customHeight="1" x14ac:dyDescent="0.2">
      <c r="A87" s="109">
        <v>44</v>
      </c>
      <c r="B87" s="109">
        <v>43.1</v>
      </c>
      <c r="C87" s="109">
        <v>72.8</v>
      </c>
      <c r="D87" s="109" t="s">
        <v>792</v>
      </c>
      <c r="E87" s="109">
        <v>8.9999999999999993E-3</v>
      </c>
      <c r="F87" s="109" t="s">
        <v>793</v>
      </c>
      <c r="G87" s="109" t="s">
        <v>754</v>
      </c>
      <c r="H87" s="109" t="s">
        <v>755</v>
      </c>
      <c r="I87" s="60" t="s">
        <v>241</v>
      </c>
      <c r="J87" s="109">
        <v>0</v>
      </c>
      <c r="K87" s="109">
        <v>2.4742381572723389</v>
      </c>
      <c r="L87" s="109">
        <v>0.59441053867340088</v>
      </c>
      <c r="M87" s="109">
        <v>5.939852237701416</v>
      </c>
      <c r="N87" s="109">
        <v>8.999999612569809E-3</v>
      </c>
      <c r="O87" s="109">
        <v>75</v>
      </c>
      <c r="P87" s="109">
        <v>1</v>
      </c>
      <c r="Q87" s="109">
        <v>94.4</v>
      </c>
      <c r="R87" s="109">
        <f t="shared" si="2"/>
        <v>2.4742381572723389</v>
      </c>
      <c r="T87" s="108" t="b">
        <f t="shared" si="3"/>
        <v>0</v>
      </c>
      <c r="W87" s="60">
        <v>86</v>
      </c>
      <c r="X87" s="60" t="s">
        <v>825</v>
      </c>
      <c r="Y87" s="60">
        <v>7.8453931830260899E-4</v>
      </c>
      <c r="Z87" s="60">
        <v>394.6</v>
      </c>
      <c r="AA87" s="60" t="s">
        <v>792</v>
      </c>
      <c r="AB87" s="60">
        <v>8.9999999999999993E-3</v>
      </c>
      <c r="AC87" s="60"/>
      <c r="AD87" s="60" t="s">
        <v>793</v>
      </c>
      <c r="AE87" s="60"/>
      <c r="AF87" s="60"/>
      <c r="AG87" s="60" t="s">
        <v>620</v>
      </c>
      <c r="AH87" s="60" t="s">
        <v>619</v>
      </c>
      <c r="AI87" s="60" t="s">
        <v>825</v>
      </c>
      <c r="AJ87" s="60">
        <v>0</v>
      </c>
      <c r="AK87" s="60">
        <v>-111.27293395996</v>
      </c>
      <c r="AL87" s="60">
        <v>0.90987795591354304</v>
      </c>
      <c r="AM87" s="60">
        <v>11.856330871581999</v>
      </c>
      <c r="AN87" s="60">
        <v>0</v>
      </c>
      <c r="AO87" s="60">
        <v>3</v>
      </c>
      <c r="AP87" s="60">
        <v>8.9999996125698003E-3</v>
      </c>
      <c r="AQ87" s="60">
        <v>0</v>
      </c>
      <c r="AR87" s="60">
        <v>400</v>
      </c>
      <c r="AS87" s="60">
        <v>1</v>
      </c>
      <c r="AT87" s="60">
        <v>204.2</v>
      </c>
      <c r="AU87" s="60">
        <v>16.0286254882812</v>
      </c>
    </row>
    <row r="88" spans="1:47" ht="15" customHeight="1" x14ac:dyDescent="0.2">
      <c r="A88" s="109">
        <v>46</v>
      </c>
      <c r="B88" s="109">
        <v>66.400000000000006</v>
      </c>
      <c r="C88" s="109">
        <v>51.4</v>
      </c>
      <c r="D88" s="109" t="s">
        <v>792</v>
      </c>
      <c r="E88" s="109">
        <v>8.9999999999999993E-3</v>
      </c>
      <c r="F88" s="109" t="s">
        <v>793</v>
      </c>
      <c r="G88" s="109" t="s">
        <v>755</v>
      </c>
      <c r="H88" s="109" t="s">
        <v>756</v>
      </c>
      <c r="I88" s="60" t="s">
        <v>243</v>
      </c>
      <c r="J88" s="109">
        <v>0</v>
      </c>
      <c r="K88" s="109">
        <v>1.8523334264755249</v>
      </c>
      <c r="L88" s="109">
        <v>0.89269006252288818</v>
      </c>
      <c r="M88" s="109">
        <v>21.306278228759769</v>
      </c>
      <c r="N88" s="109">
        <v>8.999999612569809E-3</v>
      </c>
      <c r="O88" s="109">
        <v>50</v>
      </c>
      <c r="P88" s="109">
        <v>1</v>
      </c>
      <c r="Q88" s="109">
        <v>97.8</v>
      </c>
      <c r="R88" s="109">
        <f t="shared" si="2"/>
        <v>1.8523334264755249</v>
      </c>
      <c r="T88" s="108" t="b">
        <f t="shared" si="3"/>
        <v>0</v>
      </c>
      <c r="W88" s="60">
        <v>87</v>
      </c>
      <c r="X88" s="60" t="s">
        <v>826</v>
      </c>
      <c r="Y88" s="60">
        <v>8.2189718826540005E-4</v>
      </c>
      <c r="Z88" s="60">
        <v>394.6</v>
      </c>
      <c r="AA88" s="60" t="s">
        <v>792</v>
      </c>
      <c r="AB88" s="60">
        <v>8.9999999999999993E-3</v>
      </c>
      <c r="AC88" s="60"/>
      <c r="AD88" s="60" t="s">
        <v>793</v>
      </c>
      <c r="AE88" s="60"/>
      <c r="AF88" s="60"/>
      <c r="AG88" s="60" t="s">
        <v>619</v>
      </c>
      <c r="AH88" s="60" t="s">
        <v>618</v>
      </c>
      <c r="AI88" s="60" t="s">
        <v>826</v>
      </c>
      <c r="AJ88" s="60">
        <v>0</v>
      </c>
      <c r="AK88" s="60">
        <v>-112.288520812988</v>
      </c>
      <c r="AL88" s="60">
        <v>0.918182432651519</v>
      </c>
      <c r="AM88" s="60">
        <v>0</v>
      </c>
      <c r="AN88" s="60">
        <v>0</v>
      </c>
      <c r="AO88" s="60">
        <v>3</v>
      </c>
      <c r="AP88" s="60">
        <v>8.9999996125698003E-3</v>
      </c>
      <c r="AQ88" s="60">
        <v>0</v>
      </c>
      <c r="AR88" s="60">
        <v>400</v>
      </c>
      <c r="AS88" s="60">
        <v>1</v>
      </c>
      <c r="AT88" s="60">
        <v>204.2</v>
      </c>
      <c r="AU88" s="60">
        <v>15.1876058578491</v>
      </c>
    </row>
    <row r="89" spans="1:47" ht="15" customHeight="1" x14ac:dyDescent="0.2">
      <c r="A89" s="109">
        <v>45</v>
      </c>
      <c r="B89" s="109">
        <v>48.1</v>
      </c>
      <c r="C89" s="109">
        <v>51.4</v>
      </c>
      <c r="D89" s="109" t="s">
        <v>792</v>
      </c>
      <c r="E89" s="109">
        <v>8.9999999999999993E-3</v>
      </c>
      <c r="F89" s="109" t="s">
        <v>793</v>
      </c>
      <c r="G89" s="109" t="s">
        <v>756</v>
      </c>
      <c r="H89" s="109" t="s">
        <v>757</v>
      </c>
      <c r="I89" s="60" t="s">
        <v>242</v>
      </c>
      <c r="J89" s="109">
        <v>0</v>
      </c>
      <c r="K89" s="109">
        <v>1.201900839805603</v>
      </c>
      <c r="L89" s="109">
        <v>0.57922881841659546</v>
      </c>
      <c r="M89" s="109">
        <v>8.9702978134155273</v>
      </c>
      <c r="N89" s="109">
        <v>8.999999612569809E-3</v>
      </c>
      <c r="O89" s="109">
        <v>50</v>
      </c>
      <c r="P89" s="109">
        <v>1</v>
      </c>
      <c r="Q89" s="109">
        <v>97.8</v>
      </c>
      <c r="R89" s="109">
        <f t="shared" si="2"/>
        <v>1.201900839805603</v>
      </c>
      <c r="T89" s="108" t="b">
        <f t="shared" si="3"/>
        <v>0</v>
      </c>
      <c r="W89" s="60">
        <v>88</v>
      </c>
      <c r="X89" s="60" t="s">
        <v>827</v>
      </c>
      <c r="Y89" s="60">
        <v>9.0951708467905195E-4</v>
      </c>
      <c r="Z89" s="60">
        <v>394.6</v>
      </c>
      <c r="AA89" s="60" t="s">
        <v>792</v>
      </c>
      <c r="AB89" s="60">
        <v>8.9999999999999993E-3</v>
      </c>
      <c r="AC89" s="60"/>
      <c r="AD89" s="60" t="s">
        <v>793</v>
      </c>
      <c r="AE89" s="60"/>
      <c r="AF89" s="60"/>
      <c r="AG89" s="60" t="s">
        <v>618</v>
      </c>
      <c r="AH89" s="60" t="s">
        <v>617</v>
      </c>
      <c r="AI89" s="60" t="s">
        <v>827</v>
      </c>
      <c r="AJ89" s="60">
        <v>0</v>
      </c>
      <c r="AK89" s="60">
        <v>-113.383987426757</v>
      </c>
      <c r="AL89" s="60">
        <v>0.92713999748229903</v>
      </c>
      <c r="AM89" s="60">
        <v>0</v>
      </c>
      <c r="AN89" s="60">
        <v>0</v>
      </c>
      <c r="AO89" s="60">
        <v>3</v>
      </c>
      <c r="AP89" s="60">
        <v>8.9999996125698003E-3</v>
      </c>
      <c r="AQ89" s="60">
        <v>0</v>
      </c>
      <c r="AR89" s="60">
        <v>400</v>
      </c>
      <c r="AS89" s="60">
        <v>1</v>
      </c>
      <c r="AT89" s="60">
        <v>204.2</v>
      </c>
      <c r="AU89" s="60">
        <v>14.280438423156699</v>
      </c>
    </row>
    <row r="90" spans="1:47" ht="15" customHeight="1" x14ac:dyDescent="0.2">
      <c r="A90" s="109">
        <v>47</v>
      </c>
      <c r="B90" s="109">
        <v>19</v>
      </c>
      <c r="C90" s="109">
        <v>51.4</v>
      </c>
      <c r="D90" s="109" t="s">
        <v>792</v>
      </c>
      <c r="E90" s="109">
        <v>8.9999999999999993E-3</v>
      </c>
      <c r="F90" s="109" t="s">
        <v>793</v>
      </c>
      <c r="G90" s="109" t="s">
        <v>757</v>
      </c>
      <c r="H90" s="109" t="s">
        <v>758</v>
      </c>
      <c r="I90" s="60" t="s">
        <v>244</v>
      </c>
      <c r="J90" s="109">
        <v>0</v>
      </c>
      <c r="K90" s="109">
        <v>0.81962907314300537</v>
      </c>
      <c r="L90" s="109">
        <v>0.395001620054245</v>
      </c>
      <c r="M90" s="109">
        <v>4.1715936660766602</v>
      </c>
      <c r="N90" s="109">
        <v>8.999999612569809E-3</v>
      </c>
      <c r="O90" s="109">
        <v>50</v>
      </c>
      <c r="P90" s="109">
        <v>1</v>
      </c>
      <c r="Q90" s="109">
        <v>100</v>
      </c>
      <c r="R90" s="109">
        <f t="shared" si="2"/>
        <v>0.81962907314300537</v>
      </c>
      <c r="T90" s="108" t="b">
        <f t="shared" si="3"/>
        <v>0</v>
      </c>
      <c r="W90" s="60">
        <v>89</v>
      </c>
      <c r="X90" s="60" t="s">
        <v>828</v>
      </c>
      <c r="Y90" s="60">
        <v>6.6402246844620599E-4</v>
      </c>
      <c r="Z90" s="60">
        <v>394.6</v>
      </c>
      <c r="AA90" s="60" t="s">
        <v>792</v>
      </c>
      <c r="AB90" s="60">
        <v>8.9999999999999993E-3</v>
      </c>
      <c r="AC90" s="60"/>
      <c r="AD90" s="60" t="s">
        <v>793</v>
      </c>
      <c r="AE90" s="60"/>
      <c r="AF90" s="60"/>
      <c r="AG90" s="60" t="s">
        <v>616</v>
      </c>
      <c r="AH90" s="60" t="s">
        <v>615</v>
      </c>
      <c r="AI90" s="60" t="s">
        <v>828</v>
      </c>
      <c r="AJ90" s="60">
        <v>0</v>
      </c>
      <c r="AK90" s="60">
        <v>-115.301048278808</v>
      </c>
      <c r="AL90" s="60">
        <v>0.94281578063964799</v>
      </c>
      <c r="AM90" s="60">
        <v>0</v>
      </c>
      <c r="AN90" s="60">
        <v>0</v>
      </c>
      <c r="AO90" s="60">
        <v>3</v>
      </c>
      <c r="AP90" s="60">
        <v>8.9999996125698003E-3</v>
      </c>
      <c r="AQ90" s="60">
        <v>0</v>
      </c>
      <c r="AR90" s="60">
        <v>400</v>
      </c>
      <c r="AS90" s="60">
        <v>1</v>
      </c>
      <c r="AT90" s="60">
        <v>204.2</v>
      </c>
      <c r="AU90" s="60">
        <v>12.6928968429565</v>
      </c>
    </row>
    <row r="91" spans="1:47" ht="15" customHeight="1" x14ac:dyDescent="0.2">
      <c r="A91" s="109">
        <v>48</v>
      </c>
      <c r="B91" s="109">
        <v>58.5</v>
      </c>
      <c r="C91" s="109">
        <v>51.4</v>
      </c>
      <c r="D91" s="109" t="s">
        <v>792</v>
      </c>
      <c r="E91" s="109">
        <v>8.9999999999999993E-3</v>
      </c>
      <c r="F91" s="109" t="s">
        <v>793</v>
      </c>
      <c r="G91" s="109" t="s">
        <v>758</v>
      </c>
      <c r="H91" s="109" t="s">
        <v>759</v>
      </c>
      <c r="I91" s="60" t="s">
        <v>245</v>
      </c>
      <c r="J91" s="109">
        <v>0</v>
      </c>
      <c r="K91" s="109">
        <v>0.38030180335044861</v>
      </c>
      <c r="L91" s="109">
        <v>0.18327781558036799</v>
      </c>
      <c r="M91" s="109">
        <v>0.89813637733459473</v>
      </c>
      <c r="N91" s="109">
        <v>8.999999612569809E-3</v>
      </c>
      <c r="O91" s="109">
        <v>50</v>
      </c>
      <c r="P91" s="109">
        <v>1</v>
      </c>
      <c r="Q91" s="109">
        <v>108.4</v>
      </c>
      <c r="R91" s="109">
        <f t="shared" si="2"/>
        <v>0.38030180335044861</v>
      </c>
      <c r="T91" s="108" t="b">
        <f t="shared" si="3"/>
        <v>0</v>
      </c>
      <c r="W91" s="60">
        <v>90</v>
      </c>
      <c r="X91" s="60" t="s">
        <v>829</v>
      </c>
      <c r="Y91" s="60">
        <v>7.3478104111406799E-4</v>
      </c>
      <c r="Z91" s="60">
        <v>394.6</v>
      </c>
      <c r="AA91" s="60" t="s">
        <v>792</v>
      </c>
      <c r="AB91" s="60">
        <v>8.9999999999999993E-3</v>
      </c>
      <c r="AC91" s="60"/>
      <c r="AD91" s="60" t="s">
        <v>793</v>
      </c>
      <c r="AE91" s="60"/>
      <c r="AF91" s="60"/>
      <c r="AG91" s="60" t="s">
        <v>617</v>
      </c>
      <c r="AH91" s="60" t="s">
        <v>616</v>
      </c>
      <c r="AI91" s="60" t="s">
        <v>829</v>
      </c>
      <c r="AJ91" s="60">
        <v>0</v>
      </c>
      <c r="AK91" s="60">
        <v>-114.422393798828</v>
      </c>
      <c r="AL91" s="60">
        <v>0.93563103675842196</v>
      </c>
      <c r="AM91" s="60">
        <v>0</v>
      </c>
      <c r="AN91" s="60">
        <v>0</v>
      </c>
      <c r="AO91" s="60">
        <v>3</v>
      </c>
      <c r="AP91" s="60">
        <v>8.9999996125698003E-3</v>
      </c>
      <c r="AQ91" s="60">
        <v>0</v>
      </c>
      <c r="AR91" s="60">
        <v>400</v>
      </c>
      <c r="AS91" s="60">
        <v>1</v>
      </c>
      <c r="AT91" s="60">
        <v>204.2</v>
      </c>
      <c r="AU91" s="60">
        <v>13.4205207824707</v>
      </c>
    </row>
    <row r="92" spans="1:47" ht="15" customHeight="1" x14ac:dyDescent="0.2">
      <c r="A92" s="109">
        <v>49</v>
      </c>
      <c r="B92" s="109">
        <v>84</v>
      </c>
      <c r="C92" s="109">
        <v>53.4</v>
      </c>
      <c r="D92" s="109" t="s">
        <v>792</v>
      </c>
      <c r="E92" s="109">
        <v>8.9999999999999993E-3</v>
      </c>
      <c r="F92" s="109" t="s">
        <v>793</v>
      </c>
      <c r="G92" s="109" t="s">
        <v>759</v>
      </c>
      <c r="H92" s="109" t="s">
        <v>760</v>
      </c>
      <c r="I92" s="60" t="s">
        <v>246</v>
      </c>
      <c r="J92" s="109">
        <v>0</v>
      </c>
      <c r="K92" s="109">
        <v>-0.42988613247871399</v>
      </c>
      <c r="L92" s="109">
        <v>0.19194583594799039</v>
      </c>
      <c r="M92" s="109">
        <v>0.93621087074279785</v>
      </c>
      <c r="N92" s="109">
        <v>8.999999612569809E-3</v>
      </c>
      <c r="O92" s="109">
        <v>50</v>
      </c>
      <c r="P92" s="109">
        <v>1</v>
      </c>
      <c r="Q92" s="109">
        <v>108.4</v>
      </c>
      <c r="R92" s="109">
        <f t="shared" si="2"/>
        <v>0.42988613247871399</v>
      </c>
      <c r="T92" s="108" t="b">
        <f t="shared" si="3"/>
        <v>0</v>
      </c>
      <c r="W92" s="60">
        <v>91</v>
      </c>
      <c r="X92" s="60" t="s">
        <v>830</v>
      </c>
      <c r="Y92" s="60">
        <v>6.2359147582156601E-4</v>
      </c>
      <c r="Z92" s="60">
        <v>394.6</v>
      </c>
      <c r="AA92" s="60" t="s">
        <v>792</v>
      </c>
      <c r="AB92" s="60">
        <v>8.9999999999999993E-3</v>
      </c>
      <c r="AC92" s="60"/>
      <c r="AD92" s="60" t="s">
        <v>793</v>
      </c>
      <c r="AE92" s="60"/>
      <c r="AF92" s="60"/>
      <c r="AG92" s="60" t="s">
        <v>615</v>
      </c>
      <c r="AH92" s="60" t="s">
        <v>614</v>
      </c>
      <c r="AI92" s="60" t="s">
        <v>830</v>
      </c>
      <c r="AJ92" s="60">
        <v>0</v>
      </c>
      <c r="AK92" s="60">
        <v>-116.11124420166</v>
      </c>
      <c r="AL92" s="60">
        <v>0.949440777301788</v>
      </c>
      <c r="AM92" s="60">
        <v>0</v>
      </c>
      <c r="AN92" s="60">
        <v>0</v>
      </c>
      <c r="AO92" s="60">
        <v>3</v>
      </c>
      <c r="AP92" s="60">
        <v>8.9999996125698003E-3</v>
      </c>
      <c r="AQ92" s="60">
        <v>0</v>
      </c>
      <c r="AR92" s="60">
        <v>400</v>
      </c>
      <c r="AS92" s="60">
        <v>1</v>
      </c>
      <c r="AT92" s="60">
        <v>204.2</v>
      </c>
      <c r="AU92" s="60">
        <v>12.0219717025756</v>
      </c>
    </row>
    <row r="93" spans="1:47" ht="15" customHeight="1" x14ac:dyDescent="0.25">
      <c r="A93" s="109">
        <v>140</v>
      </c>
      <c r="B93" s="109">
        <v>93</v>
      </c>
      <c r="C93" s="109">
        <v>489.4</v>
      </c>
      <c r="D93" s="109" t="s">
        <v>792</v>
      </c>
      <c r="E93" s="109">
        <v>8.9999999999999993E-3</v>
      </c>
      <c r="F93" s="109" t="s">
        <v>793</v>
      </c>
      <c r="G93" s="109" t="s">
        <v>598</v>
      </c>
      <c r="H93" s="109" t="s">
        <v>583</v>
      </c>
      <c r="I93" t="s">
        <v>399</v>
      </c>
      <c r="J93" s="109">
        <v>0</v>
      </c>
      <c r="K93" s="109">
        <v>-209.16310119628909</v>
      </c>
      <c r="L93" s="109">
        <v>1.111897826194763</v>
      </c>
      <c r="M93" s="109">
        <v>1.6392097473144529</v>
      </c>
      <c r="N93" s="109">
        <v>8.999999612569809E-3</v>
      </c>
      <c r="O93" s="109">
        <v>500</v>
      </c>
      <c r="P93" s="109">
        <v>1</v>
      </c>
      <c r="Q93" s="109">
        <v>156.4</v>
      </c>
      <c r="R93" s="109">
        <f t="shared" si="2"/>
        <v>209.16310119628909</v>
      </c>
      <c r="T93" s="108" t="b">
        <f t="shared" si="3"/>
        <v>0</v>
      </c>
      <c r="W93" s="60">
        <v>92</v>
      </c>
      <c r="X93" s="60" t="s">
        <v>831</v>
      </c>
      <c r="Y93" s="60">
        <v>7.4498782764928603E-4</v>
      </c>
      <c r="Z93" s="60">
        <v>394.6</v>
      </c>
      <c r="AA93" s="60" t="s">
        <v>792</v>
      </c>
      <c r="AB93" s="60">
        <v>8.9999999999999993E-3</v>
      </c>
      <c r="AC93" s="60"/>
      <c r="AD93" s="60" t="s">
        <v>793</v>
      </c>
      <c r="AE93" s="60"/>
      <c r="AF93" s="60"/>
      <c r="AG93" s="60" t="s">
        <v>614</v>
      </c>
      <c r="AH93" s="60" t="s">
        <v>613</v>
      </c>
      <c r="AI93" s="60" t="s">
        <v>831</v>
      </c>
      <c r="AJ93" s="60">
        <v>0</v>
      </c>
      <c r="AK93" s="60">
        <v>-116.972778320312</v>
      </c>
      <c r="AL93" s="60">
        <v>0.95648550987243597</v>
      </c>
      <c r="AM93" s="60">
        <v>0</v>
      </c>
      <c r="AN93" s="60">
        <v>0</v>
      </c>
      <c r="AO93" s="60">
        <v>3</v>
      </c>
      <c r="AP93" s="60">
        <v>8.9999996125698003E-3</v>
      </c>
      <c r="AQ93" s="60">
        <v>0</v>
      </c>
      <c r="AR93" s="60">
        <v>400</v>
      </c>
      <c r="AS93" s="60">
        <v>1</v>
      </c>
      <c r="AT93" s="60">
        <v>204.2</v>
      </c>
      <c r="AU93" s="60">
        <v>11.308523178100501</v>
      </c>
    </row>
    <row r="94" spans="1:47" ht="15" customHeight="1" x14ac:dyDescent="0.2">
      <c r="A94" s="109">
        <v>50</v>
      </c>
      <c r="B94" s="109">
        <v>105.1</v>
      </c>
      <c r="C94" s="109">
        <v>72.8</v>
      </c>
      <c r="D94" s="109" t="s">
        <v>792</v>
      </c>
      <c r="E94" s="109">
        <v>8.9999999999999993E-3</v>
      </c>
      <c r="F94" s="109" t="s">
        <v>793</v>
      </c>
      <c r="G94" s="109" t="s">
        <v>760</v>
      </c>
      <c r="H94" s="109" t="s">
        <v>761</v>
      </c>
      <c r="I94" s="60" t="s">
        <v>247</v>
      </c>
      <c r="J94" s="109">
        <v>0</v>
      </c>
      <c r="K94" s="109">
        <v>-1.508234858512878</v>
      </c>
      <c r="L94" s="109">
        <v>0.36233809590339661</v>
      </c>
      <c r="M94" s="109">
        <v>2.207109689712524</v>
      </c>
      <c r="N94" s="109">
        <v>8.999999612569809E-3</v>
      </c>
      <c r="O94" s="109">
        <v>75</v>
      </c>
      <c r="P94" s="109">
        <v>1</v>
      </c>
      <c r="Q94" s="109">
        <v>156.4</v>
      </c>
      <c r="R94" s="109">
        <f t="shared" si="2"/>
        <v>1.508234858512878</v>
      </c>
      <c r="T94" s="108" t="b">
        <f t="shared" si="3"/>
        <v>0</v>
      </c>
      <c r="W94" s="60">
        <v>93</v>
      </c>
      <c r="X94" s="60" t="s">
        <v>832</v>
      </c>
      <c r="Y94" s="60">
        <v>1.4176202055513701E-3</v>
      </c>
      <c r="Z94" s="60">
        <v>394.6</v>
      </c>
      <c r="AA94" s="60" t="s">
        <v>792</v>
      </c>
      <c r="AB94" s="60">
        <v>8.9999999999999993E-3</v>
      </c>
      <c r="AC94" s="60"/>
      <c r="AD94" s="60" t="s">
        <v>793</v>
      </c>
      <c r="AE94" s="60"/>
      <c r="AF94" s="60"/>
      <c r="AG94" s="60" t="s">
        <v>613</v>
      </c>
      <c r="AH94" s="60" t="s">
        <v>612</v>
      </c>
      <c r="AI94" s="60" t="s">
        <v>832</v>
      </c>
      <c r="AJ94" s="60">
        <v>0</v>
      </c>
      <c r="AK94" s="60">
        <v>-118.33640289306599</v>
      </c>
      <c r="AL94" s="60">
        <v>0.96763586997985795</v>
      </c>
      <c r="AM94" s="60">
        <v>6.5615301132202104</v>
      </c>
      <c r="AN94" s="60">
        <v>0</v>
      </c>
      <c r="AO94" s="60">
        <v>3</v>
      </c>
      <c r="AP94" s="60">
        <v>8.9999996125698003E-3</v>
      </c>
      <c r="AQ94" s="60">
        <v>0</v>
      </c>
      <c r="AR94" s="60">
        <v>400</v>
      </c>
      <c r="AS94" s="60">
        <v>1</v>
      </c>
      <c r="AT94" s="60">
        <v>204.2</v>
      </c>
      <c r="AU94" s="60">
        <v>10.17928981781</v>
      </c>
    </row>
    <row r="95" spans="1:47" ht="15" customHeight="1" x14ac:dyDescent="0.2">
      <c r="A95" s="109">
        <v>51</v>
      </c>
      <c r="B95" s="109">
        <v>90.1</v>
      </c>
      <c r="C95" s="109">
        <v>77.2</v>
      </c>
      <c r="D95" s="109" t="s">
        <v>792</v>
      </c>
      <c r="E95" s="109">
        <v>8.9999999999999993E-3</v>
      </c>
      <c r="F95" s="109" t="s">
        <v>793</v>
      </c>
      <c r="G95" s="109" t="s">
        <v>761</v>
      </c>
      <c r="H95" s="109" t="s">
        <v>762</v>
      </c>
      <c r="I95" s="60" t="s">
        <v>248</v>
      </c>
      <c r="J95" s="109">
        <v>0</v>
      </c>
      <c r="K95" s="109">
        <v>-2.6208169460296631</v>
      </c>
      <c r="L95" s="109">
        <v>0.55989921092987061</v>
      </c>
      <c r="M95" s="109">
        <v>4.8735637664794922</v>
      </c>
      <c r="N95" s="109">
        <v>8.999999612569809E-3</v>
      </c>
      <c r="O95" s="109">
        <v>75</v>
      </c>
      <c r="P95" s="109">
        <v>1</v>
      </c>
      <c r="Q95" s="109">
        <v>156.4</v>
      </c>
      <c r="R95" s="109">
        <f t="shared" si="2"/>
        <v>2.6208169460296631</v>
      </c>
      <c r="T95" s="108" t="b">
        <f t="shared" si="3"/>
        <v>0</v>
      </c>
      <c r="W95" s="60">
        <v>94</v>
      </c>
      <c r="X95" s="60" t="s">
        <v>833</v>
      </c>
      <c r="Y95" s="60">
        <v>4.4814187658315501E-3</v>
      </c>
      <c r="Z95" s="60">
        <v>156.4</v>
      </c>
      <c r="AA95" s="60" t="s">
        <v>792</v>
      </c>
      <c r="AB95" s="60">
        <v>8.9999999999999993E-3</v>
      </c>
      <c r="AC95" s="60"/>
      <c r="AD95" s="60" t="s">
        <v>793</v>
      </c>
      <c r="AE95" s="60"/>
      <c r="AF95" s="60"/>
      <c r="AG95" s="60" t="s">
        <v>596</v>
      </c>
      <c r="AH95" s="60" t="s">
        <v>595</v>
      </c>
      <c r="AI95" s="60" t="s">
        <v>833</v>
      </c>
      <c r="AJ95" s="60">
        <v>0</v>
      </c>
      <c r="AK95" s="60">
        <v>0.28733703494071899</v>
      </c>
      <c r="AL95" s="60">
        <v>1.49563578888773E-2</v>
      </c>
      <c r="AM95" s="60">
        <v>0</v>
      </c>
      <c r="AN95" s="60">
        <v>0</v>
      </c>
      <c r="AO95" s="60">
        <v>3</v>
      </c>
      <c r="AP95" s="60">
        <v>8.9999996125698003E-3</v>
      </c>
      <c r="AQ95" s="60">
        <v>0</v>
      </c>
      <c r="AR95" s="60">
        <v>150</v>
      </c>
      <c r="AS95" s="60">
        <v>1</v>
      </c>
      <c r="AT95" s="60">
        <v>156.4</v>
      </c>
      <c r="AU95" s="60">
        <v>8.6715745925903303</v>
      </c>
    </row>
    <row r="96" spans="1:47" ht="15" customHeight="1" x14ac:dyDescent="0.2">
      <c r="A96" s="109">
        <v>52</v>
      </c>
      <c r="B96" s="109">
        <v>78.3</v>
      </c>
      <c r="C96" s="109">
        <v>94.4</v>
      </c>
      <c r="D96" s="109" t="s">
        <v>792</v>
      </c>
      <c r="E96" s="109">
        <v>8.9999999999999993E-3</v>
      </c>
      <c r="F96" s="109" t="s">
        <v>793</v>
      </c>
      <c r="G96" s="109" t="s">
        <v>762</v>
      </c>
      <c r="H96" s="109" t="s">
        <v>763</v>
      </c>
      <c r="I96" s="60" t="s">
        <v>249</v>
      </c>
      <c r="J96" s="109">
        <v>0</v>
      </c>
      <c r="K96" s="109">
        <v>-3.579349279403687</v>
      </c>
      <c r="L96" s="109">
        <v>0.51140838861465454</v>
      </c>
      <c r="M96" s="109">
        <v>3.1096739768981929</v>
      </c>
      <c r="N96" s="109">
        <v>8.999999612569809E-3</v>
      </c>
      <c r="O96" s="109">
        <v>100</v>
      </c>
      <c r="P96" s="109">
        <v>1</v>
      </c>
      <c r="Q96" s="109">
        <v>156.4</v>
      </c>
      <c r="R96" s="109">
        <f t="shared" si="2"/>
        <v>3.579349279403687</v>
      </c>
      <c r="T96" s="108" t="b">
        <f t="shared" si="3"/>
        <v>0</v>
      </c>
      <c r="W96" s="60">
        <v>95</v>
      </c>
      <c r="X96" s="60" t="s">
        <v>834</v>
      </c>
      <c r="Y96" s="60">
        <v>7.1823175457073202E-3</v>
      </c>
      <c r="Z96" s="60">
        <v>156.4</v>
      </c>
      <c r="AA96" s="60" t="s">
        <v>792</v>
      </c>
      <c r="AB96" s="60">
        <v>8.9999999999999993E-3</v>
      </c>
      <c r="AC96" s="60"/>
      <c r="AD96" s="60" t="s">
        <v>793</v>
      </c>
      <c r="AE96" s="60"/>
      <c r="AF96" s="60"/>
      <c r="AG96" s="60" t="s">
        <v>595</v>
      </c>
      <c r="AH96" s="60" t="s">
        <v>594</v>
      </c>
      <c r="AI96" s="60" t="s">
        <v>834</v>
      </c>
      <c r="AJ96" s="60">
        <v>0</v>
      </c>
      <c r="AK96" s="60">
        <v>-7.0785269737243599</v>
      </c>
      <c r="AL96" s="60">
        <v>0.36844879388809199</v>
      </c>
      <c r="AM96" s="60">
        <v>0</v>
      </c>
      <c r="AN96" s="60">
        <v>0</v>
      </c>
      <c r="AO96" s="60">
        <v>3</v>
      </c>
      <c r="AP96" s="60">
        <v>8.9999996125698003E-3</v>
      </c>
      <c r="AQ96" s="60">
        <v>0</v>
      </c>
      <c r="AR96" s="60">
        <v>150</v>
      </c>
      <c r="AS96" s="60">
        <v>1</v>
      </c>
      <c r="AT96" s="60">
        <v>94.4</v>
      </c>
      <c r="AU96" s="60">
        <v>2.5718228816986</v>
      </c>
    </row>
    <row r="97" spans="1:47" ht="15" customHeight="1" x14ac:dyDescent="0.2">
      <c r="A97" s="109">
        <v>53</v>
      </c>
      <c r="B97" s="109">
        <v>83.4</v>
      </c>
      <c r="C97" s="109">
        <v>94.4</v>
      </c>
      <c r="D97" s="109" t="s">
        <v>792</v>
      </c>
      <c r="E97" s="109">
        <v>8.9999999999999993E-3</v>
      </c>
      <c r="F97" s="109" t="s">
        <v>793</v>
      </c>
      <c r="G97" s="109" t="s">
        <v>763</v>
      </c>
      <c r="H97" s="109" t="s">
        <v>764</v>
      </c>
      <c r="I97" s="60" t="s">
        <v>250</v>
      </c>
      <c r="J97" s="109">
        <v>0</v>
      </c>
      <c r="K97" s="109">
        <v>-4.4979424476623544</v>
      </c>
      <c r="L97" s="109">
        <v>0.6426546573638916</v>
      </c>
      <c r="M97" s="109">
        <v>4.9106364250183114</v>
      </c>
      <c r="N97" s="109">
        <v>8.999999612569809E-3</v>
      </c>
      <c r="O97" s="109">
        <v>100</v>
      </c>
      <c r="P97" s="109">
        <v>1</v>
      </c>
      <c r="Q97" s="109">
        <v>156.4</v>
      </c>
      <c r="R97" s="109">
        <f t="shared" si="2"/>
        <v>4.4979424476623544</v>
      </c>
      <c r="T97" s="108" t="b">
        <f t="shared" si="3"/>
        <v>0</v>
      </c>
      <c r="W97" s="60">
        <v>96</v>
      </c>
      <c r="X97" s="60" t="s">
        <v>835</v>
      </c>
      <c r="Y97" s="60">
        <v>3.1195716598976801E-3</v>
      </c>
      <c r="Z97" s="60">
        <v>156.4</v>
      </c>
      <c r="AA97" s="60" t="s">
        <v>792</v>
      </c>
      <c r="AB97" s="60">
        <v>8.9999999999999993E-3</v>
      </c>
      <c r="AC97" s="60"/>
      <c r="AD97" s="60" t="s">
        <v>793</v>
      </c>
      <c r="AE97" s="60"/>
      <c r="AF97" s="60"/>
      <c r="AG97" s="60" t="s">
        <v>594</v>
      </c>
      <c r="AH97" s="60" t="s">
        <v>593</v>
      </c>
      <c r="AI97" s="60" t="s">
        <v>835</v>
      </c>
      <c r="AJ97" s="60">
        <v>0</v>
      </c>
      <c r="AK97" s="60">
        <v>-13.582852363586399</v>
      </c>
      <c r="AL97" s="60">
        <v>0.70700949430465698</v>
      </c>
      <c r="AM97" s="60">
        <v>2.9817419052124001</v>
      </c>
      <c r="AN97" s="60">
        <v>0</v>
      </c>
      <c r="AO97" s="60">
        <v>3</v>
      </c>
      <c r="AP97" s="60">
        <v>8.9999996125698003E-3</v>
      </c>
      <c r="AQ97" s="60">
        <v>0</v>
      </c>
      <c r="AR97" s="60">
        <v>150</v>
      </c>
      <c r="AS97" s="60">
        <v>1</v>
      </c>
      <c r="AT97" s="60">
        <v>51.4</v>
      </c>
      <c r="AU97" s="60">
        <v>2.8144793510436998</v>
      </c>
    </row>
    <row r="98" spans="1:47" ht="15" customHeight="1" x14ac:dyDescent="0.2">
      <c r="A98" s="109">
        <v>54</v>
      </c>
      <c r="B98" s="109">
        <v>174.8</v>
      </c>
      <c r="C98" s="109">
        <v>100</v>
      </c>
      <c r="D98" s="109" t="s">
        <v>792</v>
      </c>
      <c r="E98" s="109">
        <v>8.9999999999999993E-3</v>
      </c>
      <c r="F98" s="109" t="s">
        <v>793</v>
      </c>
      <c r="G98" s="109" t="s">
        <v>764</v>
      </c>
      <c r="H98" s="109" t="s">
        <v>765</v>
      </c>
      <c r="I98" s="60" t="s">
        <v>432</v>
      </c>
      <c r="J98" s="109">
        <v>0</v>
      </c>
      <c r="K98" s="109">
        <v>-5.9699740409851074</v>
      </c>
      <c r="L98" s="109">
        <v>0.7601165771484375</v>
      </c>
      <c r="M98" s="109">
        <v>6.3618330955505371</v>
      </c>
      <c r="N98" s="109">
        <v>8.999999612569809E-3</v>
      </c>
      <c r="O98" s="109">
        <v>100</v>
      </c>
      <c r="P98" s="109">
        <v>1</v>
      </c>
      <c r="Q98" s="109">
        <v>156.4</v>
      </c>
      <c r="R98" s="109">
        <f t="shared" si="2"/>
        <v>5.9699740409851074</v>
      </c>
      <c r="T98" s="108" t="b">
        <f t="shared" si="3"/>
        <v>0</v>
      </c>
      <c r="W98" s="60">
        <v>97</v>
      </c>
      <c r="X98" s="60" t="s">
        <v>836</v>
      </c>
      <c r="Y98" s="60">
        <v>4.8162614763130399E-3</v>
      </c>
      <c r="Z98" s="60">
        <v>204.2</v>
      </c>
      <c r="AA98" s="60" t="s">
        <v>792</v>
      </c>
      <c r="AB98" s="60">
        <v>8.9999999999999993E-3</v>
      </c>
      <c r="AC98" s="60"/>
      <c r="AD98" s="60" t="s">
        <v>793</v>
      </c>
      <c r="AE98" s="60"/>
      <c r="AF98" s="60"/>
      <c r="AG98" s="60" t="s">
        <v>593</v>
      </c>
      <c r="AH98" s="60" t="s">
        <v>592</v>
      </c>
      <c r="AI98" s="60" t="s">
        <v>836</v>
      </c>
      <c r="AJ98" s="60">
        <v>0</v>
      </c>
      <c r="AK98" s="60">
        <v>-18.5923252105712</v>
      </c>
      <c r="AL98" s="60">
        <v>0.56771451234817505</v>
      </c>
      <c r="AM98" s="60">
        <v>1.93132328987121</v>
      </c>
      <c r="AN98" s="60">
        <v>0</v>
      </c>
      <c r="AO98" s="60">
        <v>3</v>
      </c>
      <c r="AP98" s="60">
        <v>8.9999996125698003E-3</v>
      </c>
      <c r="AQ98" s="60">
        <v>0</v>
      </c>
      <c r="AR98" s="60">
        <v>200</v>
      </c>
      <c r="AS98" s="60">
        <v>1</v>
      </c>
      <c r="AT98" s="60">
        <v>94.4</v>
      </c>
      <c r="AU98" s="60">
        <v>6.9628767967224103</v>
      </c>
    </row>
    <row r="99" spans="1:47" ht="15" customHeight="1" x14ac:dyDescent="0.2">
      <c r="A99" s="109">
        <v>55</v>
      </c>
      <c r="B99" s="109">
        <v>169</v>
      </c>
      <c r="C99" s="109">
        <v>108.4</v>
      </c>
      <c r="D99" s="109" t="s">
        <v>792</v>
      </c>
      <c r="E99" s="109">
        <v>8.9999999999999993E-3</v>
      </c>
      <c r="F99" s="109" t="s">
        <v>793</v>
      </c>
      <c r="G99" s="109" t="s">
        <v>765</v>
      </c>
      <c r="H99" s="109" t="s">
        <v>766</v>
      </c>
      <c r="I99" s="60" t="s">
        <v>269</v>
      </c>
      <c r="J99" s="109">
        <v>0</v>
      </c>
      <c r="K99" s="109">
        <v>-7.9326825141906738</v>
      </c>
      <c r="L99" s="109">
        <v>0.85954630374908447</v>
      </c>
      <c r="M99" s="109">
        <v>7.3057327270507813</v>
      </c>
      <c r="N99" s="109">
        <v>8.999999612569809E-3</v>
      </c>
      <c r="O99" s="109">
        <v>100</v>
      </c>
      <c r="P99" s="109">
        <v>1</v>
      </c>
      <c r="Q99" s="109">
        <v>156.4</v>
      </c>
      <c r="R99" s="109">
        <f t="shared" si="2"/>
        <v>7.9326825141906738</v>
      </c>
      <c r="T99" s="108" t="b">
        <f t="shared" si="3"/>
        <v>0</v>
      </c>
      <c r="W99" s="60">
        <v>98</v>
      </c>
      <c r="X99" s="60" t="s">
        <v>837</v>
      </c>
      <c r="Y99" s="60">
        <v>1.5735864029030201E-3</v>
      </c>
      <c r="Z99" s="60">
        <v>204.2</v>
      </c>
      <c r="AA99" s="60" t="s">
        <v>792</v>
      </c>
      <c r="AB99" s="60">
        <v>8.9999999999999993E-3</v>
      </c>
      <c r="AC99" s="60"/>
      <c r="AD99" s="60" t="s">
        <v>793</v>
      </c>
      <c r="AE99" s="60"/>
      <c r="AF99" s="60"/>
      <c r="AG99" s="60" t="s">
        <v>591</v>
      </c>
      <c r="AH99" s="60" t="s">
        <v>590</v>
      </c>
      <c r="AI99" s="60" t="s">
        <v>837</v>
      </c>
      <c r="AJ99" s="60">
        <v>0</v>
      </c>
      <c r="AK99" s="60">
        <v>-25.216466903686499</v>
      </c>
      <c r="AL99" s="60">
        <v>0.76998192071914595</v>
      </c>
      <c r="AM99" s="60">
        <v>0</v>
      </c>
      <c r="AN99" s="60">
        <v>0</v>
      </c>
      <c r="AO99" s="60">
        <v>3</v>
      </c>
      <c r="AP99" s="60">
        <v>8.9999996125698003E-3</v>
      </c>
      <c r="AQ99" s="60">
        <v>0</v>
      </c>
      <c r="AR99" s="60">
        <v>200</v>
      </c>
      <c r="AS99" s="60">
        <v>1</v>
      </c>
      <c r="AT99" s="60">
        <v>156.4</v>
      </c>
      <c r="AU99" s="60">
        <v>12.448401451110801</v>
      </c>
    </row>
    <row r="100" spans="1:47" ht="15" customHeight="1" x14ac:dyDescent="0.2">
      <c r="A100" s="109">
        <v>56</v>
      </c>
      <c r="B100" s="109">
        <v>169.1</v>
      </c>
      <c r="C100" s="109">
        <v>156.4</v>
      </c>
      <c r="D100" s="109" t="s">
        <v>792</v>
      </c>
      <c r="E100" s="109">
        <v>8.9999999999999993E-3</v>
      </c>
      <c r="F100" s="109" t="s">
        <v>793</v>
      </c>
      <c r="G100" s="109" t="s">
        <v>766</v>
      </c>
      <c r="H100" s="109" t="s">
        <v>767</v>
      </c>
      <c r="I100" s="60" t="s">
        <v>270</v>
      </c>
      <c r="J100" s="109">
        <v>0</v>
      </c>
      <c r="K100" s="109">
        <v>-9.8611583709716797</v>
      </c>
      <c r="L100" s="109">
        <v>0.51328927278518677</v>
      </c>
      <c r="M100" s="109">
        <v>1.598186135292053</v>
      </c>
      <c r="N100" s="109">
        <v>8.999999612569809E-3</v>
      </c>
      <c r="O100" s="109">
        <v>150</v>
      </c>
      <c r="P100" s="109">
        <v>1</v>
      </c>
      <c r="Q100" s="109">
        <v>156.4</v>
      </c>
      <c r="R100" s="109">
        <f t="shared" si="2"/>
        <v>9.8611583709716797</v>
      </c>
      <c r="T100" s="108" t="b">
        <f t="shared" si="3"/>
        <v>0</v>
      </c>
      <c r="W100" s="60">
        <v>99</v>
      </c>
      <c r="X100" s="60" t="s">
        <v>838</v>
      </c>
      <c r="Y100" s="60">
        <v>2.0539852844984399E-3</v>
      </c>
      <c r="Z100" s="60">
        <v>204.2</v>
      </c>
      <c r="AA100" s="60" t="s">
        <v>792</v>
      </c>
      <c r="AB100" s="60">
        <v>8.9999999999999993E-3</v>
      </c>
      <c r="AC100" s="60"/>
      <c r="AD100" s="60" t="s">
        <v>793</v>
      </c>
      <c r="AE100" s="60"/>
      <c r="AF100" s="60"/>
      <c r="AG100" s="60" t="s">
        <v>592</v>
      </c>
      <c r="AH100" s="60" t="s">
        <v>591</v>
      </c>
      <c r="AI100" s="60" t="s">
        <v>838</v>
      </c>
      <c r="AJ100" s="60">
        <v>0</v>
      </c>
      <c r="AK100" s="60">
        <v>-22.928541183471602</v>
      </c>
      <c r="AL100" s="60">
        <v>0.700120389461517</v>
      </c>
      <c r="AM100" s="60">
        <v>4.5286388397216797</v>
      </c>
      <c r="AN100" s="60">
        <v>0</v>
      </c>
      <c r="AO100" s="60">
        <v>3</v>
      </c>
      <c r="AP100" s="60">
        <v>8.9999996125698003E-3</v>
      </c>
      <c r="AQ100" s="60">
        <v>0</v>
      </c>
      <c r="AR100" s="60">
        <v>200</v>
      </c>
      <c r="AS100" s="60">
        <v>1</v>
      </c>
      <c r="AT100" s="60">
        <v>108.4</v>
      </c>
      <c r="AU100" s="60">
        <v>10.5537452697753</v>
      </c>
    </row>
    <row r="101" spans="1:47" ht="15" customHeight="1" x14ac:dyDescent="0.2">
      <c r="A101" s="109">
        <v>57</v>
      </c>
      <c r="B101" s="109">
        <v>134</v>
      </c>
      <c r="C101" s="109">
        <v>156.4</v>
      </c>
      <c r="D101" s="109" t="s">
        <v>792</v>
      </c>
      <c r="E101" s="109">
        <v>8.9999999999999993E-3</v>
      </c>
      <c r="F101" s="109" t="s">
        <v>793</v>
      </c>
      <c r="G101" s="109" t="s">
        <v>767</v>
      </c>
      <c r="H101" s="109" t="s">
        <v>768</v>
      </c>
      <c r="I101" s="60" t="s">
        <v>272</v>
      </c>
      <c r="J101" s="109">
        <v>0</v>
      </c>
      <c r="K101" s="109">
        <v>-11.589940071105961</v>
      </c>
      <c r="L101" s="109">
        <v>0.60327517986297607</v>
      </c>
      <c r="M101" s="109">
        <v>2.2076749801635742</v>
      </c>
      <c r="N101" s="109">
        <v>8.999999612569809E-3</v>
      </c>
      <c r="O101" s="109">
        <v>150</v>
      </c>
      <c r="P101" s="109">
        <v>1</v>
      </c>
      <c r="Q101" s="109">
        <v>156.4</v>
      </c>
      <c r="R101" s="109">
        <f t="shared" si="2"/>
        <v>11.589940071105961</v>
      </c>
      <c r="T101" s="108" t="b">
        <f t="shared" si="3"/>
        <v>0</v>
      </c>
      <c r="W101" s="60">
        <v>100</v>
      </c>
      <c r="X101" s="60" t="s">
        <v>839</v>
      </c>
      <c r="Y101" s="60">
        <v>1.7891236929578301E-3</v>
      </c>
      <c r="Z101" s="60">
        <v>204.2</v>
      </c>
      <c r="AA101" s="60" t="s">
        <v>792</v>
      </c>
      <c r="AB101" s="60">
        <v>8.9999999999999993E-3</v>
      </c>
      <c r="AC101" s="60"/>
      <c r="AD101" s="60" t="s">
        <v>793</v>
      </c>
      <c r="AE101" s="60"/>
      <c r="AF101" s="60"/>
      <c r="AG101" s="60" t="s">
        <v>590</v>
      </c>
      <c r="AH101" s="60" t="s">
        <v>589</v>
      </c>
      <c r="AI101" s="60" t="s">
        <v>839</v>
      </c>
      <c r="AJ101" s="60">
        <v>0</v>
      </c>
      <c r="AK101" s="60">
        <v>-27.338930130004801</v>
      </c>
      <c r="AL101" s="60">
        <v>0.83479112386703402</v>
      </c>
      <c r="AM101" s="60">
        <v>5.1990580558776802</v>
      </c>
      <c r="AN101" s="60">
        <v>0</v>
      </c>
      <c r="AO101" s="60">
        <v>3</v>
      </c>
      <c r="AP101" s="60">
        <v>8.9999996125698003E-3</v>
      </c>
      <c r="AQ101" s="60">
        <v>0</v>
      </c>
      <c r="AR101" s="60">
        <v>200</v>
      </c>
      <c r="AS101" s="60">
        <v>1</v>
      </c>
      <c r="AT101" s="60">
        <v>156.4</v>
      </c>
      <c r="AU101" s="60">
        <v>14.206035614013601</v>
      </c>
    </row>
    <row r="102" spans="1:47" ht="15" customHeight="1" x14ac:dyDescent="0.2">
      <c r="A102" s="109">
        <v>58</v>
      </c>
      <c r="B102" s="109">
        <v>262.7</v>
      </c>
      <c r="C102" s="109">
        <v>156.4</v>
      </c>
      <c r="D102" s="109" t="s">
        <v>792</v>
      </c>
      <c r="E102" s="109">
        <v>8.9999999999999993E-3</v>
      </c>
      <c r="F102" s="109" t="s">
        <v>793</v>
      </c>
      <c r="G102" s="109" t="s">
        <v>768</v>
      </c>
      <c r="H102" s="109" t="s">
        <v>769</v>
      </c>
      <c r="I102" s="60" t="s">
        <v>271</v>
      </c>
      <c r="J102" s="109">
        <v>0</v>
      </c>
      <c r="K102" s="109">
        <v>-13.85504245758057</v>
      </c>
      <c r="L102" s="109">
        <v>0.72117745876312256</v>
      </c>
      <c r="M102" s="109">
        <v>3.1549141407012939</v>
      </c>
      <c r="N102" s="109">
        <v>8.999999612569809E-3</v>
      </c>
      <c r="O102" s="109">
        <v>150</v>
      </c>
      <c r="P102" s="109">
        <v>1</v>
      </c>
      <c r="Q102" s="109">
        <v>156.4</v>
      </c>
      <c r="R102" s="109">
        <f t="shared" si="2"/>
        <v>13.85504245758057</v>
      </c>
      <c r="T102" s="108" t="b">
        <f t="shared" si="3"/>
        <v>0</v>
      </c>
      <c r="W102" s="60">
        <v>101</v>
      </c>
      <c r="X102" s="60" t="s">
        <v>840</v>
      </c>
      <c r="Y102" s="60">
        <v>1.6066291582585699E-3</v>
      </c>
      <c r="Z102" s="60">
        <v>204.2</v>
      </c>
      <c r="AA102" s="60" t="s">
        <v>792</v>
      </c>
      <c r="AB102" s="60">
        <v>8.9999999999999993E-3</v>
      </c>
      <c r="AC102" s="60"/>
      <c r="AD102" s="60" t="s">
        <v>793</v>
      </c>
      <c r="AE102" s="60"/>
      <c r="AF102" s="60"/>
      <c r="AG102" s="60" t="s">
        <v>589</v>
      </c>
      <c r="AH102" s="60" t="s">
        <v>588</v>
      </c>
      <c r="AI102" s="60" t="s">
        <v>840</v>
      </c>
      <c r="AJ102" s="60">
        <v>0</v>
      </c>
      <c r="AK102" s="60">
        <v>-29.484218597412099</v>
      </c>
      <c r="AL102" s="60">
        <v>0.90029722452163696</v>
      </c>
      <c r="AM102" s="60">
        <v>0</v>
      </c>
      <c r="AN102" s="60">
        <v>0</v>
      </c>
      <c r="AO102" s="60">
        <v>3</v>
      </c>
      <c r="AP102" s="60">
        <v>8.9999996125698003E-3</v>
      </c>
      <c r="AQ102" s="60">
        <v>0</v>
      </c>
      <c r="AR102" s="60">
        <v>200</v>
      </c>
      <c r="AS102" s="60">
        <v>1</v>
      </c>
      <c r="AT102" s="60">
        <v>156.4</v>
      </c>
      <c r="AU102" s="60">
        <v>15.982570648193301</v>
      </c>
    </row>
    <row r="103" spans="1:47" ht="15" customHeight="1" x14ac:dyDescent="0.2">
      <c r="A103" s="109">
        <v>59</v>
      </c>
      <c r="B103" s="109">
        <v>256.5</v>
      </c>
      <c r="C103" s="109">
        <v>156.4</v>
      </c>
      <c r="D103" s="109" t="s">
        <v>792</v>
      </c>
      <c r="E103" s="109">
        <v>8.9999999999999993E-3</v>
      </c>
      <c r="F103" s="109" t="s">
        <v>793</v>
      </c>
      <c r="G103" s="109" t="s">
        <v>769</v>
      </c>
      <c r="H103" s="109" t="s">
        <v>770</v>
      </c>
      <c r="I103" s="60" t="s">
        <v>273</v>
      </c>
      <c r="J103" s="109">
        <v>0</v>
      </c>
      <c r="K103" s="109">
        <v>-16.821928024291989</v>
      </c>
      <c r="L103" s="109">
        <v>0.87560862302780151</v>
      </c>
      <c r="M103" s="109">
        <v>4.650752067565918</v>
      </c>
      <c r="N103" s="109">
        <v>8.999999612569809E-3</v>
      </c>
      <c r="O103" s="109">
        <v>150</v>
      </c>
      <c r="P103" s="109">
        <v>1</v>
      </c>
      <c r="Q103" s="109">
        <v>156.4</v>
      </c>
      <c r="R103" s="109">
        <f t="shared" si="2"/>
        <v>16.821928024291989</v>
      </c>
      <c r="T103" s="108" t="b">
        <f t="shared" si="3"/>
        <v>0</v>
      </c>
      <c r="W103" s="60">
        <v>102</v>
      </c>
      <c r="X103" s="60" t="s">
        <v>258</v>
      </c>
      <c r="Y103" s="60">
        <v>1.9698973359714099E-3</v>
      </c>
      <c r="Z103" s="60">
        <v>299.8</v>
      </c>
      <c r="AA103" s="60" t="s">
        <v>792</v>
      </c>
      <c r="AB103" s="60">
        <v>8.9999999999999993E-3</v>
      </c>
      <c r="AC103" s="60"/>
      <c r="AD103" s="60" t="s">
        <v>793</v>
      </c>
      <c r="AE103" s="60"/>
      <c r="AF103" s="60"/>
      <c r="AG103" s="60" t="s">
        <v>686</v>
      </c>
      <c r="AH103" s="60" t="s">
        <v>687</v>
      </c>
      <c r="AI103" s="60" t="s">
        <v>258</v>
      </c>
      <c r="AJ103" s="60">
        <v>0</v>
      </c>
      <c r="AK103" s="60">
        <v>76.200813293457003</v>
      </c>
      <c r="AL103" s="60">
        <v>1.0794539451599099</v>
      </c>
      <c r="AM103" s="60">
        <v>4.7219505310058496</v>
      </c>
      <c r="AN103" s="60">
        <v>0</v>
      </c>
      <c r="AO103" s="60">
        <v>3</v>
      </c>
      <c r="AP103" s="60">
        <v>8.9999996125698003E-3</v>
      </c>
      <c r="AQ103" s="60">
        <v>0</v>
      </c>
      <c r="AR103" s="60">
        <v>300</v>
      </c>
      <c r="AS103" s="60">
        <v>1</v>
      </c>
      <c r="AT103" s="60">
        <v>156.4</v>
      </c>
      <c r="AU103" s="60">
        <v>33.246627807617102</v>
      </c>
    </row>
    <row r="104" spans="1:47" ht="15" customHeight="1" x14ac:dyDescent="0.25">
      <c r="A104" s="109">
        <v>139</v>
      </c>
      <c r="B104" s="109">
        <v>55.7</v>
      </c>
      <c r="C104" s="109">
        <v>489.4</v>
      </c>
      <c r="D104" s="109" t="s">
        <v>792</v>
      </c>
      <c r="E104" s="109">
        <v>8.9999999999999993E-3</v>
      </c>
      <c r="F104" s="109" t="s">
        <v>793</v>
      </c>
      <c r="G104" s="109" t="s">
        <v>599</v>
      </c>
      <c r="H104" s="109" t="s">
        <v>598</v>
      </c>
      <c r="I104" t="s">
        <v>151</v>
      </c>
      <c r="J104" s="109">
        <v>0</v>
      </c>
      <c r="K104" s="109">
        <v>-208.31297302246091</v>
      </c>
      <c r="L104" s="109">
        <v>1.1073787212371831</v>
      </c>
      <c r="M104" s="109">
        <v>1.6258871555328369</v>
      </c>
      <c r="N104" s="109">
        <v>8.999999612569809E-3</v>
      </c>
      <c r="O104" s="109">
        <v>500</v>
      </c>
      <c r="P104" s="109">
        <v>1</v>
      </c>
      <c r="Q104" s="109">
        <v>156.4</v>
      </c>
      <c r="R104" s="109">
        <f t="shared" si="2"/>
        <v>208.31297302246091</v>
      </c>
      <c r="T104" s="108" t="b">
        <f t="shared" si="3"/>
        <v>0</v>
      </c>
      <c r="W104" s="60">
        <v>103</v>
      </c>
      <c r="X104" s="60" t="s">
        <v>396</v>
      </c>
      <c r="Y104" s="60">
        <v>8.4819450781012005E-4</v>
      </c>
      <c r="Z104" s="60">
        <v>489.4</v>
      </c>
      <c r="AA104" s="60" t="s">
        <v>792</v>
      </c>
      <c r="AB104" s="60">
        <v>8.9999999999999993E-3</v>
      </c>
      <c r="AC104" s="60"/>
      <c r="AD104" s="60" t="s">
        <v>793</v>
      </c>
      <c r="AE104" s="60"/>
      <c r="AF104" s="60"/>
      <c r="AG104" s="60" t="s">
        <v>586</v>
      </c>
      <c r="AH104" s="60" t="s">
        <v>587</v>
      </c>
      <c r="AI104" s="60" t="s">
        <v>396</v>
      </c>
      <c r="AJ104" s="60">
        <v>0</v>
      </c>
      <c r="AK104" s="60">
        <v>113.672798156738</v>
      </c>
      <c r="AL104" s="60">
        <v>0.60427743196487405</v>
      </c>
      <c r="AM104" s="60">
        <v>0</v>
      </c>
      <c r="AN104" s="60">
        <v>0</v>
      </c>
      <c r="AO104" s="60">
        <v>3</v>
      </c>
      <c r="AP104" s="60">
        <v>8.9999996125698003E-3</v>
      </c>
      <c r="AQ104" s="60">
        <v>0</v>
      </c>
      <c r="AR104" s="60">
        <v>500</v>
      </c>
      <c r="AS104" s="60">
        <v>1</v>
      </c>
      <c r="AT104" s="60">
        <v>204.2</v>
      </c>
      <c r="AU104" s="60">
        <v>55.843952178955</v>
      </c>
    </row>
    <row r="105" spans="1:47" ht="15" customHeight="1" x14ac:dyDescent="0.2">
      <c r="A105" s="109">
        <v>60</v>
      </c>
      <c r="B105" s="109">
        <v>173.3</v>
      </c>
      <c r="C105" s="109">
        <v>156.4</v>
      </c>
      <c r="D105" s="109" t="s">
        <v>792</v>
      </c>
      <c r="E105" s="109">
        <v>8.9999999999999993E-3</v>
      </c>
      <c r="F105" s="109" t="s">
        <v>793</v>
      </c>
      <c r="G105" s="109" t="s">
        <v>770</v>
      </c>
      <c r="H105" s="109" t="s">
        <v>771</v>
      </c>
      <c r="I105" s="60" t="s">
        <v>274</v>
      </c>
      <c r="J105" s="109">
        <v>0</v>
      </c>
      <c r="K105" s="109">
        <v>-19.275314331054691</v>
      </c>
      <c r="L105" s="109">
        <v>1.003311395645142</v>
      </c>
      <c r="M105" s="109">
        <v>6.1062579154968262</v>
      </c>
      <c r="N105" s="109">
        <v>8.999999612569809E-3</v>
      </c>
      <c r="O105" s="109">
        <v>150</v>
      </c>
      <c r="P105" s="109">
        <v>1</v>
      </c>
      <c r="Q105" s="109">
        <v>204.2</v>
      </c>
      <c r="R105" s="109">
        <f t="shared" si="2"/>
        <v>19.275314331054691</v>
      </c>
      <c r="T105" s="108" t="b">
        <f t="shared" si="3"/>
        <v>0</v>
      </c>
      <c r="W105" s="60">
        <v>104</v>
      </c>
      <c r="X105" s="60" t="s">
        <v>409</v>
      </c>
      <c r="Y105" s="60">
        <v>2.9086525242774798E-3</v>
      </c>
      <c r="Z105" s="60">
        <v>299.8</v>
      </c>
      <c r="AA105" s="60" t="s">
        <v>792</v>
      </c>
      <c r="AB105" s="60">
        <v>8.9999999999999993E-3</v>
      </c>
      <c r="AC105" s="60"/>
      <c r="AD105" s="60" t="s">
        <v>793</v>
      </c>
      <c r="AE105" s="60"/>
      <c r="AF105" s="60"/>
      <c r="AG105" s="60" t="s">
        <v>587</v>
      </c>
      <c r="AH105" s="60" t="s">
        <v>686</v>
      </c>
      <c r="AI105" s="60" t="s">
        <v>409</v>
      </c>
      <c r="AJ105" s="60">
        <v>0</v>
      </c>
      <c r="AK105" s="60">
        <v>79.281806945800696</v>
      </c>
      <c r="AL105" s="60">
        <v>1.1230989694595299</v>
      </c>
      <c r="AM105" s="60">
        <v>3.1979610919952299</v>
      </c>
      <c r="AN105" s="60">
        <v>0</v>
      </c>
      <c r="AO105" s="60">
        <v>3</v>
      </c>
      <c r="AP105" s="60">
        <v>8.9999996125698003E-3</v>
      </c>
      <c r="AQ105" s="60">
        <v>0</v>
      </c>
      <c r="AR105" s="60">
        <v>300</v>
      </c>
      <c r="AS105" s="60">
        <v>1</v>
      </c>
      <c r="AT105" s="60">
        <v>156.4</v>
      </c>
      <c r="AU105" s="60">
        <v>35.7980346679687</v>
      </c>
    </row>
    <row r="106" spans="1:47" ht="15" customHeight="1" x14ac:dyDescent="0.2">
      <c r="A106" s="109">
        <v>180</v>
      </c>
      <c r="B106" s="109">
        <v>46.9</v>
      </c>
      <c r="C106" s="109">
        <v>156.4</v>
      </c>
      <c r="D106" s="109" t="s">
        <v>792</v>
      </c>
      <c r="E106" s="109">
        <v>8.9999999999999993E-3</v>
      </c>
      <c r="F106" s="109" t="s">
        <v>793</v>
      </c>
      <c r="G106" s="109" t="s">
        <v>771</v>
      </c>
      <c r="H106" s="109" t="s">
        <v>772</v>
      </c>
      <c r="I106" s="60" t="s">
        <v>275</v>
      </c>
      <c r="J106" s="109">
        <v>0</v>
      </c>
      <c r="K106" s="109">
        <v>-20.530534744262699</v>
      </c>
      <c r="L106" s="109">
        <v>1.068647623062134</v>
      </c>
      <c r="M106" s="109">
        <v>6.9274296760559082</v>
      </c>
      <c r="N106" s="109">
        <v>8.999999612569809E-3</v>
      </c>
      <c r="O106" s="109">
        <v>150</v>
      </c>
      <c r="P106" s="109">
        <v>1</v>
      </c>
      <c r="Q106" s="109">
        <v>204.2</v>
      </c>
      <c r="R106" s="109">
        <f t="shared" si="2"/>
        <v>20.530534744262699</v>
      </c>
      <c r="T106" s="108" t="b">
        <f t="shared" si="3"/>
        <v>0</v>
      </c>
      <c r="W106" s="60">
        <v>105</v>
      </c>
      <c r="X106" s="60" t="s">
        <v>259</v>
      </c>
      <c r="Y106" s="60">
        <v>9.1154643865088304E-4</v>
      </c>
      <c r="Z106" s="60">
        <v>299.8</v>
      </c>
      <c r="AA106" s="60" t="s">
        <v>792</v>
      </c>
      <c r="AB106" s="60">
        <v>8.9999999999999993E-3</v>
      </c>
      <c r="AC106" s="60"/>
      <c r="AD106" s="60" t="s">
        <v>793</v>
      </c>
      <c r="AE106" s="60"/>
      <c r="AF106" s="60"/>
      <c r="AG106" s="60" t="s">
        <v>687</v>
      </c>
      <c r="AH106" s="60" t="s">
        <v>688</v>
      </c>
      <c r="AI106" s="60" t="s">
        <v>259</v>
      </c>
      <c r="AJ106" s="60">
        <v>0</v>
      </c>
      <c r="AK106" s="60">
        <v>74.3807373046875</v>
      </c>
      <c r="AL106" s="60">
        <v>1.053671002388</v>
      </c>
      <c r="AM106" s="60">
        <v>0</v>
      </c>
      <c r="AN106" s="60">
        <v>0</v>
      </c>
      <c r="AO106" s="60">
        <v>3</v>
      </c>
      <c r="AP106" s="60">
        <v>8.9999996125698003E-3</v>
      </c>
      <c r="AQ106" s="60">
        <v>0</v>
      </c>
      <c r="AR106" s="60">
        <v>300</v>
      </c>
      <c r="AS106" s="60">
        <v>1</v>
      </c>
      <c r="AT106" s="60">
        <v>156.4</v>
      </c>
      <c r="AU106" s="60">
        <v>31.739404678344702</v>
      </c>
    </row>
    <row r="107" spans="1:47" ht="15" customHeight="1" x14ac:dyDescent="0.2">
      <c r="A107" s="109">
        <v>179</v>
      </c>
      <c r="B107" s="109">
        <v>350.7</v>
      </c>
      <c r="C107" s="109">
        <v>156.4</v>
      </c>
      <c r="D107" s="109" t="s">
        <v>792</v>
      </c>
      <c r="E107" s="109">
        <v>8.9999999999999993E-3</v>
      </c>
      <c r="F107" s="109" t="s">
        <v>793</v>
      </c>
      <c r="G107" s="109" t="s">
        <v>773</v>
      </c>
      <c r="H107" s="109" t="s">
        <v>772</v>
      </c>
      <c r="I107" s="60" t="s">
        <v>277</v>
      </c>
      <c r="J107" s="109">
        <v>0</v>
      </c>
      <c r="K107" s="109">
        <v>-14.03542900085449</v>
      </c>
      <c r="L107" s="109">
        <v>0.73056685924530029</v>
      </c>
      <c r="M107" s="109">
        <v>3.2376058101654048</v>
      </c>
      <c r="N107" s="109">
        <v>8.999999612569809E-3</v>
      </c>
      <c r="O107" s="109">
        <v>150</v>
      </c>
      <c r="P107" s="109">
        <v>1</v>
      </c>
      <c r="Q107" s="109">
        <v>156.4</v>
      </c>
      <c r="R107" s="109">
        <f t="shared" si="2"/>
        <v>14.03542900085449</v>
      </c>
      <c r="T107" s="108" t="b">
        <f t="shared" si="3"/>
        <v>0</v>
      </c>
      <c r="W107" s="60">
        <v>106</v>
      </c>
      <c r="X107" s="60" t="s">
        <v>261</v>
      </c>
      <c r="Y107" s="60">
        <v>1.3482574355891601E-3</v>
      </c>
      <c r="Z107" s="60">
        <v>299.8</v>
      </c>
      <c r="AA107" s="60" t="s">
        <v>792</v>
      </c>
      <c r="AB107" s="60">
        <v>8.9999999999999993E-3</v>
      </c>
      <c r="AC107" s="60"/>
      <c r="AD107" s="60" t="s">
        <v>793</v>
      </c>
      <c r="AE107" s="60"/>
      <c r="AF107" s="60"/>
      <c r="AG107" s="60" t="s">
        <v>688</v>
      </c>
      <c r="AH107" s="60" t="s">
        <v>689</v>
      </c>
      <c r="AI107" s="60" t="s">
        <v>261</v>
      </c>
      <c r="AJ107" s="60">
        <v>0</v>
      </c>
      <c r="AK107" s="60">
        <v>72.954353332519503</v>
      </c>
      <c r="AL107" s="60">
        <v>1.03346490859985</v>
      </c>
      <c r="AM107" s="60">
        <v>6.8990960121154696</v>
      </c>
      <c r="AN107" s="60">
        <v>0</v>
      </c>
      <c r="AO107" s="60">
        <v>3</v>
      </c>
      <c r="AP107" s="60">
        <v>8.9999996125698003E-3</v>
      </c>
      <c r="AQ107" s="60">
        <v>0</v>
      </c>
      <c r="AR107" s="60">
        <v>300</v>
      </c>
      <c r="AS107" s="60">
        <v>1</v>
      </c>
      <c r="AT107" s="60">
        <v>156.4</v>
      </c>
      <c r="AU107" s="60">
        <v>30.558198928833001</v>
      </c>
    </row>
    <row r="108" spans="1:47" ht="15" customHeight="1" x14ac:dyDescent="0.25">
      <c r="A108" s="109">
        <v>181</v>
      </c>
      <c r="B108" s="109">
        <v>210.5</v>
      </c>
      <c r="C108" s="109">
        <v>204.2</v>
      </c>
      <c r="D108" s="109" t="s">
        <v>792</v>
      </c>
      <c r="E108" s="109">
        <v>8.9999999999999993E-3</v>
      </c>
      <c r="F108" s="109" t="s">
        <v>793</v>
      </c>
      <c r="G108" s="109" t="s">
        <v>772</v>
      </c>
      <c r="H108" s="109" t="s">
        <v>651</v>
      </c>
      <c r="I108" t="s">
        <v>428</v>
      </c>
      <c r="J108" s="109">
        <v>0</v>
      </c>
      <c r="K108" s="109">
        <v>-38.040641784667969</v>
      </c>
      <c r="L108" s="109">
        <v>1.1615666151046751</v>
      </c>
      <c r="M108" s="109">
        <v>5.7359366416931152</v>
      </c>
      <c r="N108" s="109">
        <v>8.999999612569809E-3</v>
      </c>
      <c r="O108" s="109">
        <v>200</v>
      </c>
      <c r="P108" s="109">
        <v>1</v>
      </c>
      <c r="Q108" s="109">
        <v>97.8</v>
      </c>
      <c r="R108" s="109">
        <f t="shared" si="2"/>
        <v>38.040641784667969</v>
      </c>
      <c r="T108" s="108" t="b">
        <f t="shared" si="3"/>
        <v>0</v>
      </c>
      <c r="W108" s="60">
        <v>107</v>
      </c>
      <c r="X108" s="60" t="s">
        <v>260</v>
      </c>
      <c r="Y108" s="60">
        <v>2.3497519317191599E-3</v>
      </c>
      <c r="Z108" s="60">
        <v>299.8</v>
      </c>
      <c r="AA108" s="60" t="s">
        <v>792</v>
      </c>
      <c r="AB108" s="60">
        <v>8.9999999999999993E-3</v>
      </c>
      <c r="AC108" s="60"/>
      <c r="AD108" s="60" t="s">
        <v>793</v>
      </c>
      <c r="AE108" s="60"/>
      <c r="AF108" s="60"/>
      <c r="AG108" s="60" t="s">
        <v>689</v>
      </c>
      <c r="AH108" s="60" t="s">
        <v>690</v>
      </c>
      <c r="AI108" s="60" t="s">
        <v>260</v>
      </c>
      <c r="AJ108" s="60">
        <v>0</v>
      </c>
      <c r="AK108" s="60">
        <v>70.620780944824205</v>
      </c>
      <c r="AL108" s="60">
        <v>1.0004076957702599</v>
      </c>
      <c r="AM108" s="60">
        <v>0</v>
      </c>
      <c r="AN108" s="60">
        <v>0</v>
      </c>
      <c r="AO108" s="60">
        <v>3</v>
      </c>
      <c r="AP108" s="60">
        <v>8.9999996125698003E-3</v>
      </c>
      <c r="AQ108" s="60">
        <v>0</v>
      </c>
      <c r="AR108" s="60">
        <v>300</v>
      </c>
      <c r="AS108" s="60">
        <v>1</v>
      </c>
      <c r="AT108" s="60">
        <v>156.4</v>
      </c>
      <c r="AU108" s="60">
        <v>28.625747680663999</v>
      </c>
    </row>
    <row r="109" spans="1:47" ht="15" customHeight="1" x14ac:dyDescent="0.2">
      <c r="A109" s="109">
        <v>178</v>
      </c>
      <c r="B109" s="109">
        <v>169.5</v>
      </c>
      <c r="C109" s="109">
        <v>156.4</v>
      </c>
      <c r="D109" s="109" t="s">
        <v>792</v>
      </c>
      <c r="E109" s="109">
        <v>8.9999999999999993E-3</v>
      </c>
      <c r="F109" s="109" t="s">
        <v>793</v>
      </c>
      <c r="G109" s="109" t="s">
        <v>774</v>
      </c>
      <c r="H109" s="109" t="s">
        <v>773</v>
      </c>
      <c r="I109" s="60" t="s">
        <v>427</v>
      </c>
      <c r="J109" s="109">
        <v>0</v>
      </c>
      <c r="K109" s="109">
        <v>-11.06854343414307</v>
      </c>
      <c r="L109" s="109">
        <v>0.57613563537597656</v>
      </c>
      <c r="M109" s="109">
        <v>2.013487577438354</v>
      </c>
      <c r="N109" s="109">
        <v>8.999999612569809E-3</v>
      </c>
      <c r="O109" s="109">
        <v>150</v>
      </c>
      <c r="P109" s="109">
        <v>1</v>
      </c>
      <c r="Q109" s="109">
        <v>204.2</v>
      </c>
      <c r="R109" s="109">
        <f t="shared" si="2"/>
        <v>11.06854343414307</v>
      </c>
      <c r="T109" s="108" t="b">
        <f t="shared" si="3"/>
        <v>0</v>
      </c>
      <c r="W109" s="60">
        <v>108</v>
      </c>
      <c r="X109" s="60" t="s">
        <v>410</v>
      </c>
      <c r="Y109" s="60">
        <v>7.2833950791078303E-4</v>
      </c>
      <c r="Z109" s="60">
        <v>299.8</v>
      </c>
      <c r="AA109" s="60" t="s">
        <v>792</v>
      </c>
      <c r="AB109" s="60">
        <v>8.9999999999999993E-3</v>
      </c>
      <c r="AC109" s="60"/>
      <c r="AD109" s="60" t="s">
        <v>793</v>
      </c>
      <c r="AE109" s="60"/>
      <c r="AF109" s="60"/>
      <c r="AG109" s="60" t="s">
        <v>690</v>
      </c>
      <c r="AH109" s="60" t="s">
        <v>701</v>
      </c>
      <c r="AI109" s="60" t="s">
        <v>410</v>
      </c>
      <c r="AJ109" s="60">
        <v>0</v>
      </c>
      <c r="AK109" s="60">
        <v>68.675193786621094</v>
      </c>
      <c r="AL109" s="60">
        <v>0.97284662723541204</v>
      </c>
      <c r="AM109" s="60">
        <v>12.7711839675903</v>
      </c>
      <c r="AN109" s="60">
        <v>0</v>
      </c>
      <c r="AO109" s="60">
        <v>3</v>
      </c>
      <c r="AP109" s="60">
        <v>8.9999996125698003E-3</v>
      </c>
      <c r="AQ109" s="60">
        <v>0</v>
      </c>
      <c r="AR109" s="60">
        <v>300</v>
      </c>
      <c r="AS109" s="60">
        <v>1</v>
      </c>
      <c r="AT109" s="60">
        <v>108.4</v>
      </c>
      <c r="AU109" s="60">
        <v>27.014579772949201</v>
      </c>
    </row>
    <row r="110" spans="1:47" ht="15" customHeight="1" x14ac:dyDescent="0.2">
      <c r="A110" s="109">
        <v>176</v>
      </c>
      <c r="B110" s="109">
        <v>183.6</v>
      </c>
      <c r="C110" s="109">
        <v>156.4</v>
      </c>
      <c r="D110" s="109" t="s">
        <v>792</v>
      </c>
      <c r="E110" s="109">
        <v>8.9999999999999993E-3</v>
      </c>
      <c r="F110" s="109" t="s">
        <v>793</v>
      </c>
      <c r="G110" s="109" t="s">
        <v>679</v>
      </c>
      <c r="H110" s="109" t="s">
        <v>774</v>
      </c>
      <c r="I110" s="60" t="s">
        <v>426</v>
      </c>
      <c r="J110" s="109">
        <v>0</v>
      </c>
      <c r="K110" s="109">
        <v>-9.0544853210449219</v>
      </c>
      <c r="L110" s="109">
        <v>0.4713006317615509</v>
      </c>
      <c r="M110" s="109">
        <v>1.3474123477935791</v>
      </c>
      <c r="N110" s="109">
        <v>8.999999612569809E-3</v>
      </c>
      <c r="O110" s="109">
        <v>150</v>
      </c>
      <c r="P110" s="109">
        <v>1</v>
      </c>
      <c r="Q110" s="109">
        <v>204.2</v>
      </c>
      <c r="R110" s="109">
        <f t="shared" si="2"/>
        <v>9.0544853210449219</v>
      </c>
      <c r="T110" s="108" t="b">
        <f t="shared" si="3"/>
        <v>0</v>
      </c>
      <c r="W110" s="60">
        <v>109</v>
      </c>
      <c r="X110" s="60" t="s">
        <v>841</v>
      </c>
      <c r="Y110" s="60">
        <v>1.20088400871773E-3</v>
      </c>
      <c r="Z110" s="60">
        <v>108.4</v>
      </c>
      <c r="AA110" s="60" t="s">
        <v>792</v>
      </c>
      <c r="AB110" s="60">
        <v>8.9999999999999993E-3</v>
      </c>
      <c r="AC110" s="60"/>
      <c r="AD110" s="60" t="s">
        <v>793</v>
      </c>
      <c r="AE110" s="60"/>
      <c r="AF110" s="60"/>
      <c r="AG110" s="60" t="s">
        <v>701</v>
      </c>
      <c r="AH110" s="60" t="s">
        <v>700</v>
      </c>
      <c r="AI110" s="60" t="s">
        <v>841</v>
      </c>
      <c r="AJ110" s="60">
        <v>0</v>
      </c>
      <c r="AK110" s="60">
        <v>9.4182024002075195</v>
      </c>
      <c r="AL110" s="60">
        <v>1.0205098390579199</v>
      </c>
      <c r="AM110" s="60">
        <v>7.7457585334777797</v>
      </c>
      <c r="AN110" s="60">
        <v>0</v>
      </c>
      <c r="AO110" s="60">
        <v>3</v>
      </c>
      <c r="AP110" s="60">
        <v>8.9999996125698003E-3</v>
      </c>
      <c r="AQ110" s="60">
        <v>0</v>
      </c>
      <c r="AR110" s="60">
        <v>100</v>
      </c>
      <c r="AS110" s="60">
        <v>1</v>
      </c>
      <c r="AT110" s="60">
        <v>156.4</v>
      </c>
      <c r="AU110" s="60">
        <v>2.4037406444549498</v>
      </c>
    </row>
    <row r="111" spans="1:47" ht="15" customHeight="1" x14ac:dyDescent="0.25">
      <c r="A111" s="109">
        <v>115</v>
      </c>
      <c r="B111" s="109">
        <v>75.8</v>
      </c>
      <c r="C111" s="109">
        <v>51.4</v>
      </c>
      <c r="D111" s="109" t="s">
        <v>792</v>
      </c>
      <c r="E111" s="109">
        <v>8.9999999999999993E-3</v>
      </c>
      <c r="F111" s="109" t="s">
        <v>793</v>
      </c>
      <c r="G111" s="109" t="s">
        <v>775</v>
      </c>
      <c r="H111" s="109" t="s">
        <v>696</v>
      </c>
      <c r="I111" t="s">
        <v>412</v>
      </c>
      <c r="J111" s="109">
        <v>0</v>
      </c>
      <c r="K111" s="109">
        <v>0.56893038749694824</v>
      </c>
      <c r="L111" s="109">
        <v>0.27418306469917297</v>
      </c>
      <c r="M111" s="109">
        <v>2.0100018978118901</v>
      </c>
      <c r="N111" s="109">
        <v>8.999999612569809E-3</v>
      </c>
      <c r="O111" s="109">
        <v>50</v>
      </c>
      <c r="P111" s="109">
        <v>1</v>
      </c>
      <c r="Q111" s="109">
        <v>204.2</v>
      </c>
      <c r="R111" s="109">
        <f t="shared" si="2"/>
        <v>0.56893038749694824</v>
      </c>
      <c r="T111" s="108" t="b">
        <f t="shared" si="3"/>
        <v>0</v>
      </c>
      <c r="W111" s="60">
        <v>110</v>
      </c>
      <c r="X111" s="60" t="s">
        <v>311</v>
      </c>
      <c r="Y111" s="60">
        <v>6.5269411726945803E-4</v>
      </c>
      <c r="Z111" s="60">
        <v>252</v>
      </c>
      <c r="AA111" s="60" t="s">
        <v>792</v>
      </c>
      <c r="AB111" s="60">
        <v>8.9999999999999993E-3</v>
      </c>
      <c r="AC111" s="60"/>
      <c r="AD111" s="60" t="s">
        <v>793</v>
      </c>
      <c r="AE111" s="60"/>
      <c r="AF111" s="60"/>
      <c r="AG111" s="60" t="s">
        <v>701</v>
      </c>
      <c r="AH111" s="60" t="s">
        <v>702</v>
      </c>
      <c r="AI111" s="60" t="s">
        <v>311</v>
      </c>
      <c r="AJ111" s="60">
        <v>0</v>
      </c>
      <c r="AK111" s="60">
        <v>57.625198364257798</v>
      </c>
      <c r="AL111" s="60">
        <v>1.1553647518157899</v>
      </c>
      <c r="AM111" s="60">
        <v>0</v>
      </c>
      <c r="AN111" s="60">
        <v>0</v>
      </c>
      <c r="AO111" s="60">
        <v>3</v>
      </c>
      <c r="AP111" s="60">
        <v>8.9999996125698003E-3</v>
      </c>
      <c r="AQ111" s="60">
        <v>0</v>
      </c>
      <c r="AR111" s="60">
        <v>250</v>
      </c>
      <c r="AS111" s="60">
        <v>1</v>
      </c>
      <c r="AT111" s="60">
        <v>204.2</v>
      </c>
      <c r="AU111" s="60">
        <v>28.067020416259702</v>
      </c>
    </row>
    <row r="112" spans="1:47" ht="15" customHeight="1" x14ac:dyDescent="0.25">
      <c r="A112" s="109">
        <v>129</v>
      </c>
      <c r="B112" s="109">
        <v>74.7</v>
      </c>
      <c r="C112" s="109">
        <v>489.4</v>
      </c>
      <c r="D112" s="109" t="s">
        <v>792</v>
      </c>
      <c r="E112" s="109">
        <v>8.9999999999999993E-3</v>
      </c>
      <c r="F112" s="109" t="s">
        <v>793</v>
      </c>
      <c r="G112" s="109" t="s">
        <v>776</v>
      </c>
      <c r="H112" s="109" t="s">
        <v>608</v>
      </c>
      <c r="I112" t="s">
        <v>398</v>
      </c>
      <c r="J112" s="109">
        <v>0</v>
      </c>
      <c r="K112" s="109">
        <v>-198.505126953125</v>
      </c>
      <c r="L112" s="109">
        <v>1.055240750312805</v>
      </c>
      <c r="M112" s="109">
        <v>1.4764517545700071</v>
      </c>
      <c r="N112" s="109">
        <v>8.999999612569809E-3</v>
      </c>
      <c r="O112" s="109">
        <v>500</v>
      </c>
      <c r="P112" s="109">
        <v>1</v>
      </c>
      <c r="Q112" s="109">
        <v>156.4</v>
      </c>
      <c r="R112" s="109">
        <f t="shared" si="2"/>
        <v>198.505126953125</v>
      </c>
      <c r="T112" s="108" t="b">
        <f t="shared" si="3"/>
        <v>0</v>
      </c>
      <c r="W112" s="60">
        <v>111</v>
      </c>
      <c r="X112" s="60" t="s">
        <v>842</v>
      </c>
      <c r="Y112" s="60">
        <v>1.9180665134812501E-3</v>
      </c>
      <c r="Z112" s="60">
        <v>100</v>
      </c>
      <c r="AA112" s="60" t="s">
        <v>792</v>
      </c>
      <c r="AB112" s="60">
        <v>8.9999999999999993E-3</v>
      </c>
      <c r="AC112" s="60"/>
      <c r="AD112" s="60" t="s">
        <v>793</v>
      </c>
      <c r="AE112" s="60"/>
      <c r="AF112" s="60"/>
      <c r="AG112" s="60" t="s">
        <v>699</v>
      </c>
      <c r="AH112" s="60" t="s">
        <v>698</v>
      </c>
      <c r="AI112" s="60" t="s">
        <v>842</v>
      </c>
      <c r="AJ112" s="60">
        <v>0</v>
      </c>
      <c r="AK112" s="60">
        <v>5.47566795349121</v>
      </c>
      <c r="AL112" s="60">
        <v>0.69717991352081299</v>
      </c>
      <c r="AM112" s="60">
        <v>4.8495492935180602</v>
      </c>
      <c r="AN112" s="60">
        <v>0</v>
      </c>
      <c r="AO112" s="60">
        <v>3</v>
      </c>
      <c r="AP112" s="60">
        <v>8.9999996125698003E-3</v>
      </c>
      <c r="AQ112" s="60">
        <v>0</v>
      </c>
      <c r="AR112" s="60">
        <v>100</v>
      </c>
      <c r="AS112" s="60">
        <v>1</v>
      </c>
      <c r="AT112" s="60">
        <v>156.4</v>
      </c>
      <c r="AU112" s="60">
        <v>5.66859579086303</v>
      </c>
    </row>
    <row r="113" spans="1:47" ht="15" customHeight="1" x14ac:dyDescent="0.2">
      <c r="A113" s="109">
        <v>203</v>
      </c>
      <c r="B113" s="109">
        <v>166.9</v>
      </c>
      <c r="C113" s="109">
        <v>700</v>
      </c>
      <c r="D113" s="109" t="s">
        <v>792</v>
      </c>
      <c r="E113" s="109">
        <v>8.9999999999999993E-3</v>
      </c>
      <c r="F113" s="109" t="s">
        <v>793</v>
      </c>
      <c r="G113" s="109" t="s">
        <v>582</v>
      </c>
      <c r="H113" s="109" t="s">
        <v>583</v>
      </c>
      <c r="I113" s="60" t="s">
        <v>407</v>
      </c>
      <c r="J113" s="109">
        <v>0</v>
      </c>
      <c r="K113" s="109">
        <v>329.29580688476563</v>
      </c>
      <c r="L113" s="109">
        <v>0.85565346479415894</v>
      </c>
      <c r="M113" s="109">
        <v>0.60241281986236572</v>
      </c>
      <c r="N113" s="109">
        <v>8.999999612569809E-3</v>
      </c>
      <c r="O113" s="109">
        <v>800</v>
      </c>
      <c r="P113" s="109">
        <v>1</v>
      </c>
      <c r="Q113" s="109">
        <v>252</v>
      </c>
      <c r="R113" s="109">
        <f t="shared" si="2"/>
        <v>329.29580688476563</v>
      </c>
      <c r="T113" s="108" t="b">
        <f t="shared" si="3"/>
        <v>0</v>
      </c>
      <c r="W113" s="60">
        <v>112</v>
      </c>
      <c r="X113" s="60" t="s">
        <v>843</v>
      </c>
      <c r="Y113" s="60">
        <v>1.5624082990355699E-3</v>
      </c>
      <c r="Z113" s="60">
        <v>100</v>
      </c>
      <c r="AA113" s="60" t="s">
        <v>792</v>
      </c>
      <c r="AB113" s="60">
        <v>8.9999999999999993E-3</v>
      </c>
      <c r="AC113" s="60"/>
      <c r="AD113" s="60" t="s">
        <v>793</v>
      </c>
      <c r="AE113" s="60"/>
      <c r="AF113" s="60"/>
      <c r="AG113" s="60" t="s">
        <v>700</v>
      </c>
      <c r="AH113" s="60" t="s">
        <v>699</v>
      </c>
      <c r="AI113" s="60" t="s">
        <v>843</v>
      </c>
      <c r="AJ113" s="60">
        <v>0</v>
      </c>
      <c r="AK113" s="60">
        <v>7.6723041534423801</v>
      </c>
      <c r="AL113" s="60">
        <v>0.97686284780502297</v>
      </c>
      <c r="AM113" s="60">
        <v>11.906949043273899</v>
      </c>
      <c r="AN113" s="60">
        <v>0</v>
      </c>
      <c r="AO113" s="60">
        <v>3</v>
      </c>
      <c r="AP113" s="60">
        <v>8.9999996125698003E-3</v>
      </c>
      <c r="AQ113" s="60">
        <v>0</v>
      </c>
      <c r="AR113" s="60">
        <v>100</v>
      </c>
      <c r="AS113" s="60">
        <v>1</v>
      </c>
      <c r="AT113" s="60">
        <v>156.4</v>
      </c>
      <c r="AU113" s="60">
        <v>3.84953737258911</v>
      </c>
    </row>
    <row r="114" spans="1:47" ht="15" customHeight="1" x14ac:dyDescent="0.25">
      <c r="A114" s="109">
        <v>138</v>
      </c>
      <c r="B114" s="109">
        <v>59.9</v>
      </c>
      <c r="C114" s="109">
        <v>489.4</v>
      </c>
      <c r="D114" s="109" t="s">
        <v>792</v>
      </c>
      <c r="E114" s="109">
        <v>8.9999999999999993E-3</v>
      </c>
      <c r="F114" s="109" t="s">
        <v>793</v>
      </c>
      <c r="G114" s="109" t="s">
        <v>600</v>
      </c>
      <c r="H114" s="109" t="s">
        <v>599</v>
      </c>
      <c r="I114" t="s">
        <v>150</v>
      </c>
      <c r="J114" s="109">
        <v>0</v>
      </c>
      <c r="K114" s="109">
        <v>-207.651123046875</v>
      </c>
      <c r="L114" s="109">
        <v>1.1038602590560911</v>
      </c>
      <c r="M114" s="109">
        <v>1.615462183952332</v>
      </c>
      <c r="N114" s="109">
        <v>8.999999612569809E-3</v>
      </c>
      <c r="O114" s="109">
        <v>500</v>
      </c>
      <c r="P114" s="109">
        <v>1</v>
      </c>
      <c r="Q114" s="109">
        <v>156.4</v>
      </c>
      <c r="R114" s="109">
        <f t="shared" si="2"/>
        <v>207.651123046875</v>
      </c>
      <c r="T114" s="108" t="b">
        <f t="shared" si="3"/>
        <v>0</v>
      </c>
      <c r="W114" s="60">
        <v>113</v>
      </c>
      <c r="X114" s="60" t="s">
        <v>844</v>
      </c>
      <c r="Y114" s="60">
        <v>1.19000183340696E-3</v>
      </c>
      <c r="Z114" s="60">
        <v>100</v>
      </c>
      <c r="AA114" s="60" t="s">
        <v>792</v>
      </c>
      <c r="AB114" s="60">
        <v>8.9999999999999993E-3</v>
      </c>
      <c r="AC114" s="60"/>
      <c r="AD114" s="60" t="s">
        <v>793</v>
      </c>
      <c r="AE114" s="60"/>
      <c r="AF114" s="60"/>
      <c r="AG114" s="60" t="s">
        <v>698</v>
      </c>
      <c r="AH114" s="60" t="s">
        <v>697</v>
      </c>
      <c r="AI114" s="60" t="s">
        <v>844</v>
      </c>
      <c r="AJ114" s="60">
        <v>0</v>
      </c>
      <c r="AK114" s="60">
        <v>3.5129590034484801</v>
      </c>
      <c r="AL114" s="60">
        <v>0.44728142023086498</v>
      </c>
      <c r="AM114" s="60">
        <v>0</v>
      </c>
      <c r="AN114" s="60">
        <v>0</v>
      </c>
      <c r="AO114" s="60">
        <v>3</v>
      </c>
      <c r="AP114" s="60">
        <v>8.9999996125698003E-3</v>
      </c>
      <c r="AQ114" s="60">
        <v>0</v>
      </c>
      <c r="AR114" s="60">
        <v>100</v>
      </c>
      <c r="AS114" s="60">
        <v>1</v>
      </c>
      <c r="AT114" s="60">
        <v>156.4</v>
      </c>
      <c r="AU114" s="60">
        <v>7.2939362525939897</v>
      </c>
    </row>
    <row r="115" spans="1:47" ht="15" customHeight="1" x14ac:dyDescent="0.25">
      <c r="A115" s="109">
        <v>137</v>
      </c>
      <c r="B115" s="109">
        <v>66.7</v>
      </c>
      <c r="C115" s="109">
        <v>489.4</v>
      </c>
      <c r="D115" s="109" t="s">
        <v>792</v>
      </c>
      <c r="E115" s="109">
        <v>8.9999999999999993E-3</v>
      </c>
      <c r="F115" s="109" t="s">
        <v>793</v>
      </c>
      <c r="G115" s="109" t="s">
        <v>601</v>
      </c>
      <c r="H115" s="109" t="s">
        <v>600</v>
      </c>
      <c r="I115" t="s">
        <v>149</v>
      </c>
      <c r="J115" s="109">
        <v>0</v>
      </c>
      <c r="K115" s="109">
        <v>-206.926513671875</v>
      </c>
      <c r="L115" s="109">
        <v>1.100008368492126</v>
      </c>
      <c r="M115" s="109">
        <v>1.60430920124054</v>
      </c>
      <c r="N115" s="109">
        <v>8.999999612569809E-3</v>
      </c>
      <c r="O115" s="109">
        <v>500</v>
      </c>
      <c r="P115" s="109">
        <v>1</v>
      </c>
      <c r="Q115" s="109">
        <v>156.4</v>
      </c>
      <c r="R115" s="109">
        <f t="shared" si="2"/>
        <v>206.926513671875</v>
      </c>
      <c r="T115" s="108" t="b">
        <f t="shared" si="3"/>
        <v>0</v>
      </c>
      <c r="W115" s="60">
        <v>114</v>
      </c>
      <c r="X115" s="60" t="s">
        <v>411</v>
      </c>
      <c r="Y115" s="60">
        <v>1.39611073665078E-3</v>
      </c>
      <c r="Z115" s="60">
        <v>51.4</v>
      </c>
      <c r="AA115" s="60" t="s">
        <v>792</v>
      </c>
      <c r="AB115" s="60">
        <v>8.9999999999999993E-3</v>
      </c>
      <c r="AC115" s="60"/>
      <c r="AD115" s="60" t="s">
        <v>793</v>
      </c>
      <c r="AE115" s="60"/>
      <c r="AF115" s="60"/>
      <c r="AG115" s="60" t="s">
        <v>697</v>
      </c>
      <c r="AH115" s="60" t="s">
        <v>775</v>
      </c>
      <c r="AI115" s="60" t="s">
        <v>411</v>
      </c>
      <c r="AJ115" s="60">
        <v>0</v>
      </c>
      <c r="AK115" s="60">
        <v>1.8811720609664899</v>
      </c>
      <c r="AL115" s="60">
        <v>0.90658813714981001</v>
      </c>
      <c r="AM115" s="60">
        <v>19.987865447998001</v>
      </c>
      <c r="AN115" s="60">
        <v>0</v>
      </c>
      <c r="AO115" s="60">
        <v>3</v>
      </c>
      <c r="AP115" s="60">
        <v>8.9999996125698003E-3</v>
      </c>
      <c r="AQ115" s="60">
        <v>0</v>
      </c>
      <c r="AR115" s="60">
        <v>50</v>
      </c>
      <c r="AS115" s="60">
        <v>1</v>
      </c>
      <c r="AT115" s="60">
        <v>204.2</v>
      </c>
      <c r="AU115" s="60">
        <v>8.6452369689941406</v>
      </c>
    </row>
    <row r="116" spans="1:47" ht="15" customHeight="1" x14ac:dyDescent="0.25">
      <c r="A116" s="109">
        <v>136</v>
      </c>
      <c r="B116" s="109">
        <v>194.1</v>
      </c>
      <c r="C116" s="109">
        <v>489.4</v>
      </c>
      <c r="D116" s="109" t="s">
        <v>792</v>
      </c>
      <c r="E116" s="109">
        <v>8.9999999999999993E-3</v>
      </c>
      <c r="F116" s="109" t="s">
        <v>793</v>
      </c>
      <c r="G116" s="109" t="s">
        <v>602</v>
      </c>
      <c r="H116" s="109" t="s">
        <v>601</v>
      </c>
      <c r="I116" t="s">
        <v>148</v>
      </c>
      <c r="J116" s="109">
        <v>0</v>
      </c>
      <c r="K116" s="109">
        <v>-205.43736267089841</v>
      </c>
      <c r="L116" s="109">
        <v>1.0920921564102171</v>
      </c>
      <c r="M116" s="109">
        <v>1.581346750259399</v>
      </c>
      <c r="N116" s="109">
        <v>8.999999612569809E-3</v>
      </c>
      <c r="O116" s="109">
        <v>500</v>
      </c>
      <c r="P116" s="109">
        <v>1</v>
      </c>
      <c r="Q116" s="109">
        <v>156.4</v>
      </c>
      <c r="R116" s="109">
        <f t="shared" si="2"/>
        <v>205.43736267089841</v>
      </c>
      <c r="T116" s="108" t="b">
        <f t="shared" si="3"/>
        <v>0</v>
      </c>
      <c r="W116" s="60">
        <v>115</v>
      </c>
      <c r="X116" s="60" t="s">
        <v>845</v>
      </c>
      <c r="Y116" s="60">
        <v>6.8537629825038502E-4</v>
      </c>
      <c r="Z116" s="60">
        <v>51.4</v>
      </c>
      <c r="AA116" s="60" t="s">
        <v>792</v>
      </c>
      <c r="AB116" s="60">
        <v>8.9999999999999993E-3</v>
      </c>
      <c r="AC116" s="60"/>
      <c r="AD116" s="60" t="s">
        <v>793</v>
      </c>
      <c r="AE116" s="60"/>
      <c r="AF116" s="60"/>
      <c r="AG116" s="60" t="s">
        <v>775</v>
      </c>
      <c r="AH116" s="60" t="s">
        <v>696</v>
      </c>
      <c r="AI116" s="60" t="s">
        <v>845</v>
      </c>
      <c r="AJ116" s="60">
        <v>0</v>
      </c>
      <c r="AK116" s="60">
        <v>0.56889575719833296</v>
      </c>
      <c r="AL116" s="60">
        <v>0.27416640520095797</v>
      </c>
      <c r="AM116" s="60">
        <v>0</v>
      </c>
      <c r="AN116" s="60">
        <v>0</v>
      </c>
      <c r="AO116" s="60">
        <v>3</v>
      </c>
      <c r="AP116" s="60">
        <v>8.9999996125698003E-3</v>
      </c>
      <c r="AQ116" s="60">
        <v>0</v>
      </c>
      <c r="AR116" s="60">
        <v>50</v>
      </c>
      <c r="AS116" s="60">
        <v>1</v>
      </c>
      <c r="AT116" s="60">
        <v>204.2</v>
      </c>
      <c r="AU116" s="60">
        <v>9.7319469451904297</v>
      </c>
    </row>
    <row r="117" spans="1:47" ht="15" customHeight="1" x14ac:dyDescent="0.25">
      <c r="A117" s="109">
        <v>135</v>
      </c>
      <c r="B117" s="109">
        <v>74</v>
      </c>
      <c r="C117" s="109">
        <v>489.4</v>
      </c>
      <c r="D117" s="109" t="s">
        <v>792</v>
      </c>
      <c r="E117" s="109">
        <v>8.9999999999999993E-3</v>
      </c>
      <c r="F117" s="109" t="s">
        <v>793</v>
      </c>
      <c r="G117" s="109" t="s">
        <v>603</v>
      </c>
      <c r="H117" s="109" t="s">
        <v>602</v>
      </c>
      <c r="I117" t="s">
        <v>147</v>
      </c>
      <c r="J117" s="109">
        <v>0</v>
      </c>
      <c r="K117" s="109">
        <v>-203.90827941894531</v>
      </c>
      <c r="L117" s="109">
        <v>1.0839636325836179</v>
      </c>
      <c r="M117" s="109">
        <v>1.557793021202087</v>
      </c>
      <c r="N117" s="109">
        <v>8.999999612569809E-3</v>
      </c>
      <c r="O117" s="109">
        <v>500</v>
      </c>
      <c r="P117" s="109">
        <v>1</v>
      </c>
      <c r="Q117" s="109">
        <v>156.4</v>
      </c>
      <c r="R117" s="109">
        <f t="shared" si="2"/>
        <v>203.90827941894531</v>
      </c>
      <c r="T117" s="108" t="b">
        <f t="shared" si="3"/>
        <v>0</v>
      </c>
      <c r="W117" s="60">
        <v>116</v>
      </c>
      <c r="X117" s="60" t="s">
        <v>846</v>
      </c>
      <c r="Y117" s="60">
        <v>5.4875897615675503E-4</v>
      </c>
      <c r="Z117" s="60">
        <v>51.4</v>
      </c>
      <c r="AA117" s="60" t="s">
        <v>792</v>
      </c>
      <c r="AB117" s="60">
        <v>8.9999999999999993E-3</v>
      </c>
      <c r="AC117" s="60"/>
      <c r="AD117" s="60" t="s">
        <v>793</v>
      </c>
      <c r="AE117" s="60"/>
      <c r="AF117" s="60"/>
      <c r="AG117" s="60" t="s">
        <v>696</v>
      </c>
      <c r="AH117" s="60" t="s">
        <v>695</v>
      </c>
      <c r="AI117" s="60" t="s">
        <v>846</v>
      </c>
      <c r="AJ117" s="60">
        <v>0</v>
      </c>
      <c r="AK117" s="60">
        <v>-0.21276444196701</v>
      </c>
      <c r="AL117" s="60">
        <v>0.102536991238594</v>
      </c>
      <c r="AM117" s="60">
        <v>0</v>
      </c>
      <c r="AN117" s="60">
        <v>0</v>
      </c>
      <c r="AO117" s="60">
        <v>3</v>
      </c>
      <c r="AP117" s="60">
        <v>8.9999996125698003E-3</v>
      </c>
      <c r="AQ117" s="60">
        <v>0</v>
      </c>
      <c r="AR117" s="60">
        <v>50</v>
      </c>
      <c r="AS117" s="60">
        <v>1</v>
      </c>
      <c r="AT117" s="60">
        <v>204.2</v>
      </c>
      <c r="AU117" s="60">
        <v>10.379247665405201</v>
      </c>
    </row>
    <row r="118" spans="1:47" ht="15" customHeight="1" x14ac:dyDescent="0.25">
      <c r="A118" s="109">
        <v>134</v>
      </c>
      <c r="B118" s="109">
        <v>92.1</v>
      </c>
      <c r="C118" s="109">
        <v>489.4</v>
      </c>
      <c r="D118" s="109" t="s">
        <v>792</v>
      </c>
      <c r="E118" s="109">
        <v>8.9999999999999993E-3</v>
      </c>
      <c r="F118" s="109" t="s">
        <v>793</v>
      </c>
      <c r="G118" s="109" t="s">
        <v>604</v>
      </c>
      <c r="H118" s="109" t="s">
        <v>603</v>
      </c>
      <c r="I118" t="s">
        <v>146</v>
      </c>
      <c r="J118" s="109">
        <v>0</v>
      </c>
      <c r="K118" s="109">
        <v>-202.96116638183591</v>
      </c>
      <c r="L118" s="109">
        <v>1.0789288282394409</v>
      </c>
      <c r="M118" s="109">
        <v>1.5434252023696899</v>
      </c>
      <c r="N118" s="109">
        <v>8.999999612569809E-3</v>
      </c>
      <c r="O118" s="109">
        <v>500</v>
      </c>
      <c r="P118" s="109">
        <v>1</v>
      </c>
      <c r="Q118" s="109">
        <v>156.4</v>
      </c>
      <c r="R118" s="109">
        <f t="shared" si="2"/>
        <v>202.96116638183591</v>
      </c>
      <c r="T118" s="108" t="b">
        <f t="shared" si="3"/>
        <v>0</v>
      </c>
      <c r="W118" s="60">
        <v>117</v>
      </c>
      <c r="X118" s="60" t="s">
        <v>847</v>
      </c>
      <c r="Y118" s="60">
        <v>2.1750896714949099E-3</v>
      </c>
      <c r="Z118" s="60">
        <v>51.4</v>
      </c>
      <c r="AA118" s="60" t="s">
        <v>792</v>
      </c>
      <c r="AB118" s="60">
        <v>8.9999999999999993E-3</v>
      </c>
      <c r="AC118" s="60"/>
      <c r="AD118" s="60" t="s">
        <v>793</v>
      </c>
      <c r="AE118" s="60"/>
      <c r="AF118" s="60"/>
      <c r="AG118" s="60" t="s">
        <v>695</v>
      </c>
      <c r="AH118" s="60" t="s">
        <v>694</v>
      </c>
      <c r="AI118" s="60" t="s">
        <v>847</v>
      </c>
      <c r="AJ118" s="60">
        <v>0</v>
      </c>
      <c r="AK118" s="60">
        <v>-1.93584024906158</v>
      </c>
      <c r="AL118" s="60">
        <v>0.93293422460555997</v>
      </c>
      <c r="AM118" s="60">
        <v>21.382469177246001</v>
      </c>
      <c r="AN118" s="60">
        <v>0</v>
      </c>
      <c r="AO118" s="60">
        <v>3</v>
      </c>
      <c r="AP118" s="60">
        <v>8.9999996125698003E-3</v>
      </c>
      <c r="AQ118" s="60">
        <v>0</v>
      </c>
      <c r="AR118" s="60">
        <v>50</v>
      </c>
      <c r="AS118" s="60">
        <v>1</v>
      </c>
      <c r="AT118" s="60">
        <v>204.2</v>
      </c>
      <c r="AU118" s="60">
        <v>11.8061456680297</v>
      </c>
    </row>
    <row r="119" spans="1:47" ht="15" customHeight="1" x14ac:dyDescent="0.25">
      <c r="A119" s="109">
        <v>133</v>
      </c>
      <c r="B119" s="109">
        <v>74.8</v>
      </c>
      <c r="C119" s="109">
        <v>489.4</v>
      </c>
      <c r="D119" s="109" t="s">
        <v>792</v>
      </c>
      <c r="E119" s="109">
        <v>8.9999999999999993E-3</v>
      </c>
      <c r="F119" s="109" t="s">
        <v>793</v>
      </c>
      <c r="G119" s="109" t="s">
        <v>605</v>
      </c>
      <c r="H119" s="109" t="s">
        <v>604</v>
      </c>
      <c r="I119" t="s">
        <v>145</v>
      </c>
      <c r="J119" s="109">
        <v>0</v>
      </c>
      <c r="K119" s="109">
        <v>-202.00834655761719</v>
      </c>
      <c r="L119" s="109">
        <v>1.073863625526428</v>
      </c>
      <c r="M119" s="109">
        <v>1.528945326805115</v>
      </c>
      <c r="N119" s="109">
        <v>8.999999612569809E-3</v>
      </c>
      <c r="O119" s="109">
        <v>500</v>
      </c>
      <c r="P119" s="109">
        <v>1</v>
      </c>
      <c r="Q119" s="109">
        <v>156.4</v>
      </c>
      <c r="R119" s="109">
        <f t="shared" si="2"/>
        <v>202.00834655761719</v>
      </c>
      <c r="T119" s="108" t="b">
        <f t="shared" si="3"/>
        <v>0</v>
      </c>
      <c r="W119" s="60">
        <v>118</v>
      </c>
      <c r="X119" s="60" t="s">
        <v>848</v>
      </c>
      <c r="Y119" s="60">
        <v>7.1796949686958502E-4</v>
      </c>
      <c r="Z119" s="60">
        <v>100</v>
      </c>
      <c r="AA119" s="60" t="s">
        <v>792</v>
      </c>
      <c r="AB119" s="60">
        <v>8.9999999999999993E-3</v>
      </c>
      <c r="AC119" s="60"/>
      <c r="AD119" s="60" t="s">
        <v>793</v>
      </c>
      <c r="AE119" s="60"/>
      <c r="AF119" s="60"/>
      <c r="AG119" s="60" t="s">
        <v>694</v>
      </c>
      <c r="AH119" s="60" t="s">
        <v>693</v>
      </c>
      <c r="AI119" s="60" t="s">
        <v>848</v>
      </c>
      <c r="AJ119" s="60">
        <v>0</v>
      </c>
      <c r="AK119" s="60">
        <v>-3.7616157531738201</v>
      </c>
      <c r="AL119" s="60">
        <v>0.47894120216369601</v>
      </c>
      <c r="AM119" s="60">
        <v>0</v>
      </c>
      <c r="AN119" s="60">
        <v>0</v>
      </c>
      <c r="AO119" s="60">
        <v>3</v>
      </c>
      <c r="AP119" s="60">
        <v>8.9999996125698003E-3</v>
      </c>
      <c r="AQ119" s="60">
        <v>0</v>
      </c>
      <c r="AR119" s="60">
        <v>100</v>
      </c>
      <c r="AS119" s="60">
        <v>1</v>
      </c>
      <c r="AT119" s="60">
        <v>204.2</v>
      </c>
      <c r="AU119" s="60">
        <v>13.3180894851684</v>
      </c>
    </row>
    <row r="120" spans="1:47" ht="15" customHeight="1" x14ac:dyDescent="0.25">
      <c r="A120" s="109">
        <v>132</v>
      </c>
      <c r="B120" s="109">
        <v>76.099999999999994</v>
      </c>
      <c r="C120" s="109">
        <v>489.4</v>
      </c>
      <c r="D120" s="109" t="s">
        <v>792</v>
      </c>
      <c r="E120" s="109">
        <v>8.9999999999999993E-3</v>
      </c>
      <c r="F120" s="109" t="s">
        <v>793</v>
      </c>
      <c r="G120" s="109" t="s">
        <v>606</v>
      </c>
      <c r="H120" s="109" t="s">
        <v>605</v>
      </c>
      <c r="I120" t="s">
        <v>144</v>
      </c>
      <c r="J120" s="109">
        <v>0</v>
      </c>
      <c r="K120" s="109">
        <v>-201.14678955078119</v>
      </c>
      <c r="L120" s="109">
        <v>1.069283723831177</v>
      </c>
      <c r="M120" s="109">
        <v>1.516027569770813</v>
      </c>
      <c r="N120" s="109">
        <v>8.999999612569809E-3</v>
      </c>
      <c r="O120" s="109">
        <v>500</v>
      </c>
      <c r="P120" s="109">
        <v>1</v>
      </c>
      <c r="Q120" s="109">
        <v>156.4</v>
      </c>
      <c r="R120" s="109">
        <f t="shared" si="2"/>
        <v>201.14678955078119</v>
      </c>
      <c r="T120" s="108" t="b">
        <f t="shared" si="3"/>
        <v>0</v>
      </c>
      <c r="W120" s="60">
        <v>119</v>
      </c>
      <c r="X120" s="60" t="s">
        <v>849</v>
      </c>
      <c r="Y120" s="60">
        <v>2.1127600048214401E-3</v>
      </c>
      <c r="Z120" s="60">
        <v>100</v>
      </c>
      <c r="AA120" s="60" t="s">
        <v>792</v>
      </c>
      <c r="AB120" s="60">
        <v>8.9999999999999993E-3</v>
      </c>
      <c r="AC120" s="60"/>
      <c r="AD120" s="60" t="s">
        <v>793</v>
      </c>
      <c r="AE120" s="60"/>
      <c r="AF120" s="60"/>
      <c r="AG120" s="60" t="s">
        <v>692</v>
      </c>
      <c r="AH120" s="60" t="s">
        <v>691</v>
      </c>
      <c r="AI120" s="60" t="s">
        <v>849</v>
      </c>
      <c r="AJ120" s="60">
        <v>0</v>
      </c>
      <c r="AK120" s="60">
        <v>-6.3918738365173304</v>
      </c>
      <c r="AL120" s="60">
        <v>0.81383424997329701</v>
      </c>
      <c r="AM120" s="60">
        <v>8.80531406402587</v>
      </c>
      <c r="AN120" s="60">
        <v>0</v>
      </c>
      <c r="AO120" s="60">
        <v>3</v>
      </c>
      <c r="AP120" s="60">
        <v>8.9999996125698003E-3</v>
      </c>
      <c r="AQ120" s="60">
        <v>0</v>
      </c>
      <c r="AR120" s="60">
        <v>100</v>
      </c>
      <c r="AS120" s="60">
        <v>1</v>
      </c>
      <c r="AT120" s="60">
        <v>204.2</v>
      </c>
      <c r="AU120" s="60">
        <v>15.4962348937988</v>
      </c>
    </row>
    <row r="121" spans="1:47" ht="15" customHeight="1" x14ac:dyDescent="0.25">
      <c r="A121" s="109">
        <v>130</v>
      </c>
      <c r="B121" s="109">
        <v>76.099999999999994</v>
      </c>
      <c r="C121" s="109">
        <v>489.4</v>
      </c>
      <c r="D121" s="109" t="s">
        <v>792</v>
      </c>
      <c r="E121" s="109">
        <v>8.9999999999999993E-3</v>
      </c>
      <c r="F121" s="109" t="s">
        <v>793</v>
      </c>
      <c r="G121" s="109" t="s">
        <v>607</v>
      </c>
      <c r="H121" s="109" t="s">
        <v>606</v>
      </c>
      <c r="I121" t="s">
        <v>142</v>
      </c>
      <c r="J121" s="109">
        <v>0</v>
      </c>
      <c r="K121" s="109">
        <v>-200.27955627441409</v>
      </c>
      <c r="L121" s="109">
        <v>1.064673542976379</v>
      </c>
      <c r="M121" s="109">
        <v>1.5028266906738279</v>
      </c>
      <c r="N121" s="109">
        <v>8.999999612569809E-3</v>
      </c>
      <c r="O121" s="109">
        <v>500</v>
      </c>
      <c r="P121" s="109">
        <v>1</v>
      </c>
      <c r="Q121" s="109">
        <v>156.4</v>
      </c>
      <c r="R121" s="109">
        <f t="shared" si="2"/>
        <v>200.27955627441409</v>
      </c>
      <c r="T121" s="108" t="b">
        <f t="shared" si="3"/>
        <v>0</v>
      </c>
      <c r="W121" s="60">
        <v>120</v>
      </c>
      <c r="X121" s="60" t="s">
        <v>850</v>
      </c>
      <c r="Y121" s="60">
        <v>6.6683954611242797E-4</v>
      </c>
      <c r="Z121" s="60">
        <v>100</v>
      </c>
      <c r="AA121" s="60" t="s">
        <v>792</v>
      </c>
      <c r="AB121" s="60">
        <v>8.9999999999999993E-3</v>
      </c>
      <c r="AC121" s="60"/>
      <c r="AD121" s="60" t="s">
        <v>793</v>
      </c>
      <c r="AE121" s="60"/>
      <c r="AF121" s="60"/>
      <c r="AG121" s="60" t="s">
        <v>693</v>
      </c>
      <c r="AH121" s="60" t="s">
        <v>692</v>
      </c>
      <c r="AI121" s="60" t="s">
        <v>850</v>
      </c>
      <c r="AJ121" s="60">
        <v>0</v>
      </c>
      <c r="AK121" s="60">
        <v>-4.6345648765563903</v>
      </c>
      <c r="AL121" s="60">
        <v>0.590087950229644</v>
      </c>
      <c r="AM121" s="60">
        <v>0</v>
      </c>
      <c r="AN121" s="60">
        <v>0</v>
      </c>
      <c r="AO121" s="60">
        <v>3</v>
      </c>
      <c r="AP121" s="60">
        <v>8.9999996125698003E-3</v>
      </c>
      <c r="AQ121" s="60">
        <v>0</v>
      </c>
      <c r="AR121" s="60">
        <v>100</v>
      </c>
      <c r="AS121" s="60">
        <v>1</v>
      </c>
      <c r="AT121" s="60">
        <v>204.2</v>
      </c>
      <c r="AU121" s="60">
        <v>14.0409889221191</v>
      </c>
    </row>
    <row r="122" spans="1:47" ht="15" customHeight="1" x14ac:dyDescent="0.25">
      <c r="A122" s="109">
        <v>131</v>
      </c>
      <c r="B122" s="109">
        <v>80.3</v>
      </c>
      <c r="C122" s="109">
        <v>489.4</v>
      </c>
      <c r="D122" s="109" t="s">
        <v>792</v>
      </c>
      <c r="E122" s="109">
        <v>8.9999999999999993E-3</v>
      </c>
      <c r="F122" s="109" t="s">
        <v>793</v>
      </c>
      <c r="G122" s="109" t="s">
        <v>608</v>
      </c>
      <c r="H122" s="109" t="s">
        <v>607</v>
      </c>
      <c r="I122" t="s">
        <v>143</v>
      </c>
      <c r="J122" s="109">
        <v>0</v>
      </c>
      <c r="K122" s="109">
        <v>-199.38948059082031</v>
      </c>
      <c r="L122" s="109">
        <v>1.0599420070648189</v>
      </c>
      <c r="M122" s="109">
        <v>1.4895554780960081</v>
      </c>
      <c r="N122" s="109">
        <v>8.999999612569809E-3</v>
      </c>
      <c r="O122" s="109">
        <v>500</v>
      </c>
      <c r="P122" s="109">
        <v>1</v>
      </c>
      <c r="Q122" s="109">
        <v>156.4</v>
      </c>
      <c r="R122" s="109">
        <f t="shared" si="2"/>
        <v>199.38948059082031</v>
      </c>
      <c r="T122" s="108" t="b">
        <f t="shared" si="3"/>
        <v>0</v>
      </c>
      <c r="W122" s="60">
        <v>121</v>
      </c>
      <c r="X122" s="60" t="s">
        <v>851</v>
      </c>
      <c r="Y122" s="60">
        <v>2.0161928535263802E-3</v>
      </c>
      <c r="Z122" s="60">
        <v>204.2</v>
      </c>
      <c r="AA122" s="60" t="s">
        <v>792</v>
      </c>
      <c r="AB122" s="60">
        <v>8.9999999999999993E-3</v>
      </c>
      <c r="AC122" s="60"/>
      <c r="AD122" s="60" t="s">
        <v>793</v>
      </c>
      <c r="AE122" s="60"/>
      <c r="AF122" s="60"/>
      <c r="AG122" s="60" t="s">
        <v>632</v>
      </c>
      <c r="AH122" s="60" t="s">
        <v>622</v>
      </c>
      <c r="AI122" s="60" t="s">
        <v>851</v>
      </c>
      <c r="AJ122" s="60">
        <v>0</v>
      </c>
      <c r="AK122" s="60">
        <v>-33.516101837158203</v>
      </c>
      <c r="AL122" s="60">
        <v>1.02341032028198</v>
      </c>
      <c r="AM122" s="60">
        <v>4.6135258674621502</v>
      </c>
      <c r="AN122" s="60">
        <v>0</v>
      </c>
      <c r="AO122" s="60">
        <v>3</v>
      </c>
      <c r="AP122" s="60">
        <v>8.9999996125698003E-3</v>
      </c>
      <c r="AQ122" s="60">
        <v>0</v>
      </c>
      <c r="AR122" s="60">
        <v>200</v>
      </c>
      <c r="AS122" s="60">
        <v>1</v>
      </c>
      <c r="AT122" s="60">
        <v>204.2</v>
      </c>
      <c r="AU122" s="60">
        <v>32.646945953369098</v>
      </c>
    </row>
    <row r="123" spans="1:47" ht="15" customHeight="1" x14ac:dyDescent="0.25">
      <c r="A123" s="109">
        <v>128</v>
      </c>
      <c r="B123" s="109">
        <v>69</v>
      </c>
      <c r="C123" s="109">
        <v>489.4</v>
      </c>
      <c r="D123" s="109" t="s">
        <v>792</v>
      </c>
      <c r="E123" s="109">
        <v>8.9999999999999993E-3</v>
      </c>
      <c r="F123" s="109" t="s">
        <v>793</v>
      </c>
      <c r="G123" s="109" t="s">
        <v>609</v>
      </c>
      <c r="H123" s="109" t="s">
        <v>776</v>
      </c>
      <c r="I123" t="s">
        <v>909</v>
      </c>
      <c r="J123" s="109">
        <v>0</v>
      </c>
      <c r="K123" s="109">
        <v>-197.68353271484381</v>
      </c>
      <c r="L123" s="109">
        <v>1.0508731603622441</v>
      </c>
      <c r="M123" s="109">
        <v>1.464150547981262</v>
      </c>
      <c r="N123" s="109">
        <v>8.999999612569809E-3</v>
      </c>
      <c r="O123" s="109">
        <v>500</v>
      </c>
      <c r="P123" s="109">
        <v>1</v>
      </c>
      <c r="Q123" s="109">
        <v>156.4</v>
      </c>
      <c r="R123" s="109">
        <f t="shared" si="2"/>
        <v>197.68353271484381</v>
      </c>
      <c r="T123" s="108" t="b">
        <f t="shared" si="3"/>
        <v>0</v>
      </c>
      <c r="W123" s="60">
        <v>122</v>
      </c>
      <c r="X123" s="60" t="s">
        <v>421</v>
      </c>
      <c r="Y123" s="60">
        <v>8.2230437044992599E-4</v>
      </c>
      <c r="Z123" s="60">
        <v>252</v>
      </c>
      <c r="AA123" s="60" t="s">
        <v>792</v>
      </c>
      <c r="AB123" s="60">
        <v>8.9999999999999993E-3</v>
      </c>
      <c r="AC123" s="60"/>
      <c r="AD123" s="60" t="s">
        <v>793</v>
      </c>
      <c r="AE123" s="60"/>
      <c r="AF123" s="60"/>
      <c r="AG123" s="60" t="s">
        <v>622</v>
      </c>
      <c r="AH123" s="60" t="s">
        <v>652</v>
      </c>
      <c r="AI123" s="60" t="s">
        <v>421</v>
      </c>
      <c r="AJ123" s="60">
        <v>0</v>
      </c>
      <c r="AK123" s="60">
        <v>64.307151794433594</v>
      </c>
      <c r="AL123" s="60">
        <v>1.28933560848236</v>
      </c>
      <c r="AM123" s="60">
        <v>0</v>
      </c>
      <c r="AN123" s="60">
        <v>0</v>
      </c>
      <c r="AO123" s="60">
        <v>3</v>
      </c>
      <c r="AP123" s="60">
        <v>8.9999996125698003E-3</v>
      </c>
      <c r="AQ123" s="60">
        <v>0</v>
      </c>
      <c r="AR123" s="60">
        <v>250</v>
      </c>
      <c r="AS123" s="60">
        <v>1</v>
      </c>
      <c r="AT123" s="60">
        <v>204.2</v>
      </c>
      <c r="AU123" s="60">
        <v>48.401187896728501</v>
      </c>
    </row>
    <row r="124" spans="1:47" ht="15" customHeight="1" x14ac:dyDescent="0.2">
      <c r="A124" s="109">
        <v>141</v>
      </c>
      <c r="B124" s="109">
        <v>181.4</v>
      </c>
      <c r="C124" s="109">
        <v>489.4</v>
      </c>
      <c r="D124" s="109" t="s">
        <v>792</v>
      </c>
      <c r="E124" s="109">
        <v>8.9999999999999993E-3</v>
      </c>
      <c r="F124" s="109" t="s">
        <v>793</v>
      </c>
      <c r="G124" s="109" t="s">
        <v>583</v>
      </c>
      <c r="H124" s="109" t="s">
        <v>584</v>
      </c>
      <c r="I124" s="60" t="s">
        <v>400</v>
      </c>
      <c r="J124" s="109">
        <v>0</v>
      </c>
      <c r="K124" s="109">
        <v>117.61656188964839</v>
      </c>
      <c r="L124" s="109">
        <v>0.62524229288101196</v>
      </c>
      <c r="M124" s="109">
        <v>0.51831406354904175</v>
      </c>
      <c r="N124" s="109">
        <v>8.999999612569809E-3</v>
      </c>
      <c r="O124" s="109">
        <v>500</v>
      </c>
      <c r="P124" s="109">
        <v>1</v>
      </c>
      <c r="Q124" s="109">
        <v>204.2</v>
      </c>
      <c r="R124" s="109">
        <f t="shared" si="2"/>
        <v>117.61656188964839</v>
      </c>
      <c r="T124" s="108" t="b">
        <f t="shared" si="3"/>
        <v>0</v>
      </c>
      <c r="W124" s="60">
        <v>123</v>
      </c>
      <c r="X124" s="60" t="s">
        <v>852</v>
      </c>
      <c r="Y124" s="60">
        <v>8.47697332168042E-4</v>
      </c>
      <c r="Z124" s="60">
        <v>394.6</v>
      </c>
      <c r="AA124" s="60" t="s">
        <v>792</v>
      </c>
      <c r="AB124" s="60">
        <v>8.9999999999999993E-3</v>
      </c>
      <c r="AC124" s="60"/>
      <c r="AD124" s="60" t="s">
        <v>793</v>
      </c>
      <c r="AE124" s="60"/>
      <c r="AF124" s="60"/>
      <c r="AG124" s="60" t="s">
        <v>621</v>
      </c>
      <c r="AH124" s="60" t="s">
        <v>620</v>
      </c>
      <c r="AI124" s="60" t="s">
        <v>852</v>
      </c>
      <c r="AJ124" s="60">
        <v>0</v>
      </c>
      <c r="AK124" s="60">
        <v>-109.846542358398</v>
      </c>
      <c r="AL124" s="60">
        <v>0.89821434020996005</v>
      </c>
      <c r="AM124" s="60">
        <v>0</v>
      </c>
      <c r="AN124" s="60">
        <v>0</v>
      </c>
      <c r="AO124" s="60">
        <v>3</v>
      </c>
      <c r="AP124" s="60">
        <v>8.9999996125698003E-3</v>
      </c>
      <c r="AQ124" s="60">
        <v>0</v>
      </c>
      <c r="AR124" s="60">
        <v>400</v>
      </c>
      <c r="AS124" s="60">
        <v>1</v>
      </c>
      <c r="AT124" s="60">
        <v>204.2</v>
      </c>
      <c r="AU124" s="60">
        <v>17.209831237792901</v>
      </c>
    </row>
    <row r="125" spans="1:47" ht="15" customHeight="1" x14ac:dyDescent="0.25">
      <c r="A125" s="109">
        <v>127</v>
      </c>
      <c r="B125" s="109">
        <v>76.099999999999994</v>
      </c>
      <c r="C125" s="109">
        <v>489.4</v>
      </c>
      <c r="D125" s="109" t="s">
        <v>792</v>
      </c>
      <c r="E125" s="109">
        <v>8.9999999999999993E-3</v>
      </c>
      <c r="F125" s="109" t="s">
        <v>793</v>
      </c>
      <c r="G125" s="109" t="s">
        <v>610</v>
      </c>
      <c r="H125" s="109" t="s">
        <v>609</v>
      </c>
      <c r="I125" t="s">
        <v>140</v>
      </c>
      <c r="J125" s="109">
        <v>0</v>
      </c>
      <c r="K125" s="109">
        <v>-196.85621643066409</v>
      </c>
      <c r="L125" s="109">
        <v>1.046475291252136</v>
      </c>
      <c r="M125" s="109">
        <v>1.4519786834716799</v>
      </c>
      <c r="N125" s="109">
        <v>8.999999612569809E-3</v>
      </c>
      <c r="O125" s="109">
        <v>500</v>
      </c>
      <c r="P125" s="109">
        <v>1</v>
      </c>
      <c r="Q125" s="109">
        <v>156.4</v>
      </c>
      <c r="R125" s="109">
        <f t="shared" si="2"/>
        <v>196.85621643066409</v>
      </c>
      <c r="T125" s="108" t="b">
        <f t="shared" si="3"/>
        <v>0</v>
      </c>
      <c r="W125" s="60">
        <v>124</v>
      </c>
      <c r="X125" s="60" t="s">
        <v>853</v>
      </c>
      <c r="Y125" s="60">
        <v>5.3229977883408801E-4</v>
      </c>
      <c r="Z125" s="60">
        <v>156.4</v>
      </c>
      <c r="AA125" s="60" t="s">
        <v>792</v>
      </c>
      <c r="AB125" s="60">
        <v>8.9999999999999993E-3</v>
      </c>
      <c r="AC125" s="60"/>
      <c r="AD125" s="60" t="s">
        <v>793</v>
      </c>
      <c r="AE125" s="60"/>
      <c r="AF125" s="60"/>
      <c r="AG125" s="60" t="s">
        <v>691</v>
      </c>
      <c r="AH125" s="60" t="s">
        <v>622</v>
      </c>
      <c r="AI125" s="60" t="s">
        <v>853</v>
      </c>
      <c r="AJ125" s="60">
        <v>0</v>
      </c>
      <c r="AK125" s="60">
        <v>-8.0635995864868093</v>
      </c>
      <c r="AL125" s="60">
        <v>0.41972342133522</v>
      </c>
      <c r="AM125" s="60">
        <v>0</v>
      </c>
      <c r="AN125" s="60">
        <v>0</v>
      </c>
      <c r="AO125" s="60">
        <v>3</v>
      </c>
      <c r="AP125" s="60">
        <v>8.9999996125698003E-3</v>
      </c>
      <c r="AQ125" s="60">
        <v>0</v>
      </c>
      <c r="AR125" s="60">
        <v>150</v>
      </c>
      <c r="AS125" s="60">
        <v>1</v>
      </c>
      <c r="AT125" s="60">
        <v>204.2</v>
      </c>
      <c r="AU125" s="60">
        <v>16.880607604980401</v>
      </c>
    </row>
    <row r="126" spans="1:47" ht="15" customHeight="1" x14ac:dyDescent="0.2">
      <c r="A126" s="109">
        <v>155</v>
      </c>
      <c r="B126" s="109">
        <v>211.3</v>
      </c>
      <c r="C126" s="109">
        <v>394.6</v>
      </c>
      <c r="D126" s="109" t="s">
        <v>792</v>
      </c>
      <c r="E126" s="109">
        <v>8.9999999999999993E-3</v>
      </c>
      <c r="F126" s="109" t="s">
        <v>793</v>
      </c>
      <c r="G126" s="109" t="s">
        <v>611</v>
      </c>
      <c r="H126" s="109" t="s">
        <v>597</v>
      </c>
      <c r="I126" s="60" t="s">
        <v>404</v>
      </c>
      <c r="J126" s="109">
        <v>0</v>
      </c>
      <c r="K126" s="109">
        <v>71.654319763183594</v>
      </c>
      <c r="L126" s="109">
        <v>0.58591687679290771</v>
      </c>
      <c r="M126" s="109">
        <v>0.60648518800735474</v>
      </c>
      <c r="N126" s="109">
        <v>8.999999612569809E-3</v>
      </c>
      <c r="O126" s="109">
        <v>400</v>
      </c>
      <c r="P126" s="109">
        <v>1</v>
      </c>
      <c r="Q126" s="109">
        <v>204.2</v>
      </c>
      <c r="R126" s="109">
        <f t="shared" si="2"/>
        <v>71.654319763183594</v>
      </c>
      <c r="T126" s="108" t="b">
        <f t="shared" si="3"/>
        <v>0</v>
      </c>
      <c r="W126" s="60">
        <v>125</v>
      </c>
      <c r="X126" s="60" t="s">
        <v>854</v>
      </c>
      <c r="Y126" s="60">
        <v>1.16729258395144E-3</v>
      </c>
      <c r="Z126" s="60">
        <v>394.6</v>
      </c>
      <c r="AA126" s="60" t="s">
        <v>792</v>
      </c>
      <c r="AB126" s="60">
        <v>8.9999999999999993E-3</v>
      </c>
      <c r="AC126" s="60"/>
      <c r="AD126" s="60" t="s">
        <v>793</v>
      </c>
      <c r="AE126" s="60"/>
      <c r="AF126" s="60"/>
      <c r="AG126" s="60" t="s">
        <v>612</v>
      </c>
      <c r="AH126" s="60" t="s">
        <v>611</v>
      </c>
      <c r="AI126" s="60" t="s">
        <v>854</v>
      </c>
      <c r="AJ126" s="60">
        <v>0</v>
      </c>
      <c r="AK126" s="60">
        <v>-119.96819305419901</v>
      </c>
      <c r="AL126" s="60">
        <v>0.98097902536392201</v>
      </c>
      <c r="AM126" s="60">
        <v>0</v>
      </c>
      <c r="AN126" s="60">
        <v>0</v>
      </c>
      <c r="AO126" s="60">
        <v>3</v>
      </c>
      <c r="AP126" s="60">
        <v>8.9999996125698003E-3</v>
      </c>
      <c r="AQ126" s="60">
        <v>0</v>
      </c>
      <c r="AR126" s="60">
        <v>400</v>
      </c>
      <c r="AS126" s="60">
        <v>1</v>
      </c>
      <c r="AT126" s="60">
        <v>204.2</v>
      </c>
      <c r="AU126" s="60">
        <v>8.8279895782470703</v>
      </c>
    </row>
    <row r="127" spans="1:47" ht="15" customHeight="1" x14ac:dyDescent="0.25">
      <c r="A127" s="109">
        <v>126</v>
      </c>
      <c r="B127" s="109">
        <v>250.6</v>
      </c>
      <c r="C127" s="109">
        <v>489.4</v>
      </c>
      <c r="D127" s="109" t="s">
        <v>792</v>
      </c>
      <c r="E127" s="109">
        <v>8.9999999999999993E-3</v>
      </c>
      <c r="F127" s="109" t="s">
        <v>793</v>
      </c>
      <c r="G127" s="109" t="s">
        <v>611</v>
      </c>
      <c r="H127" s="109" t="s">
        <v>610</v>
      </c>
      <c r="I127" t="s">
        <v>139</v>
      </c>
      <c r="J127" s="109">
        <v>0</v>
      </c>
      <c r="K127" s="109">
        <v>-194.9905090332031</v>
      </c>
      <c r="L127" s="109">
        <v>1.0365573167800901</v>
      </c>
      <c r="M127" s="109">
        <v>1.4245868921279909</v>
      </c>
      <c r="N127" s="109">
        <v>8.999999612569809E-3</v>
      </c>
      <c r="O127" s="109">
        <v>500</v>
      </c>
      <c r="P127" s="109">
        <v>1</v>
      </c>
      <c r="Q127" s="109">
        <v>156.4</v>
      </c>
      <c r="R127" s="109">
        <f t="shared" si="2"/>
        <v>194.9905090332031</v>
      </c>
      <c r="T127" s="108" t="b">
        <f t="shared" si="3"/>
        <v>0</v>
      </c>
      <c r="W127" s="60">
        <v>126</v>
      </c>
      <c r="X127" s="60" t="s">
        <v>855</v>
      </c>
      <c r="Y127" s="60">
        <v>2.2642728527017498E-3</v>
      </c>
      <c r="Z127" s="60">
        <v>489.4</v>
      </c>
      <c r="AA127" s="60" t="s">
        <v>792</v>
      </c>
      <c r="AB127" s="60">
        <v>8.9999999999999993E-3</v>
      </c>
      <c r="AC127" s="60"/>
      <c r="AD127" s="60" t="s">
        <v>793</v>
      </c>
      <c r="AE127" s="60"/>
      <c r="AF127" s="60"/>
      <c r="AG127" s="60" t="s">
        <v>611</v>
      </c>
      <c r="AH127" s="60" t="s">
        <v>610</v>
      </c>
      <c r="AI127" s="60" t="s">
        <v>855</v>
      </c>
      <c r="AJ127" s="60">
        <v>0</v>
      </c>
      <c r="AK127" s="60">
        <v>-194.99179077148401</v>
      </c>
      <c r="AL127" s="60">
        <v>1.0365641117095901</v>
      </c>
      <c r="AM127" s="60">
        <v>0</v>
      </c>
      <c r="AN127" s="60">
        <v>0</v>
      </c>
      <c r="AO127" s="60">
        <v>3</v>
      </c>
      <c r="AP127" s="60">
        <v>8.9999996125698003E-3</v>
      </c>
      <c r="AQ127" s="60">
        <v>0</v>
      </c>
      <c r="AR127" s="60">
        <v>500</v>
      </c>
      <c r="AS127" s="60">
        <v>1</v>
      </c>
      <c r="AT127" s="60">
        <v>156.4</v>
      </c>
      <c r="AU127" s="60">
        <v>30.764980316162099</v>
      </c>
    </row>
    <row r="128" spans="1:47" ht="15" customHeight="1" x14ac:dyDescent="0.25">
      <c r="A128" s="109">
        <v>125</v>
      </c>
      <c r="B128" s="109">
        <v>129.1</v>
      </c>
      <c r="C128" s="109">
        <v>394.6</v>
      </c>
      <c r="D128" s="109" t="s">
        <v>792</v>
      </c>
      <c r="E128" s="109">
        <v>8.9999999999999993E-3</v>
      </c>
      <c r="F128" s="109" t="s">
        <v>793</v>
      </c>
      <c r="G128" s="109" t="s">
        <v>612</v>
      </c>
      <c r="H128" s="109" t="s">
        <v>611</v>
      </c>
      <c r="I128" t="s">
        <v>138</v>
      </c>
      <c r="J128" s="109">
        <v>0</v>
      </c>
      <c r="K128" s="109">
        <v>-119.96421051025391</v>
      </c>
      <c r="L128" s="109">
        <v>0.98094642162322998</v>
      </c>
      <c r="M128" s="109">
        <v>1.6999664306640621</v>
      </c>
      <c r="N128" s="109">
        <v>8.999999612569809E-3</v>
      </c>
      <c r="O128" s="109">
        <v>400</v>
      </c>
      <c r="P128" s="109">
        <v>1</v>
      </c>
      <c r="Q128" s="109">
        <v>204.2</v>
      </c>
      <c r="R128" s="109">
        <f t="shared" si="2"/>
        <v>119.96421051025391</v>
      </c>
      <c r="T128" s="108" t="b">
        <f t="shared" si="3"/>
        <v>0</v>
      </c>
      <c r="W128" s="60">
        <v>127</v>
      </c>
      <c r="X128" s="60" t="s">
        <v>856</v>
      </c>
      <c r="Y128" s="60">
        <v>6.8808650057871799E-4</v>
      </c>
      <c r="Z128" s="60">
        <v>489.4</v>
      </c>
      <c r="AA128" s="60" t="s">
        <v>792</v>
      </c>
      <c r="AB128" s="60">
        <v>8.9999999999999993E-3</v>
      </c>
      <c r="AC128" s="60"/>
      <c r="AD128" s="60" t="s">
        <v>793</v>
      </c>
      <c r="AE128" s="60"/>
      <c r="AF128" s="60"/>
      <c r="AG128" s="60" t="s">
        <v>610</v>
      </c>
      <c r="AH128" s="60" t="s">
        <v>609</v>
      </c>
      <c r="AI128" s="60" t="s">
        <v>856</v>
      </c>
      <c r="AJ128" s="60">
        <v>0</v>
      </c>
      <c r="AK128" s="60">
        <v>-196.857498168945</v>
      </c>
      <c r="AL128" s="60">
        <v>1.04648208618164</v>
      </c>
      <c r="AM128" s="60">
        <v>0</v>
      </c>
      <c r="AN128" s="60">
        <v>0</v>
      </c>
      <c r="AO128" s="60">
        <v>3</v>
      </c>
      <c r="AP128" s="60">
        <v>8.9999996125698003E-3</v>
      </c>
      <c r="AQ128" s="60">
        <v>0</v>
      </c>
      <c r="AR128" s="60">
        <v>500</v>
      </c>
      <c r="AS128" s="60">
        <v>1</v>
      </c>
      <c r="AT128" s="60">
        <v>156.4</v>
      </c>
      <c r="AU128" s="60">
        <v>32.3099975585937</v>
      </c>
    </row>
    <row r="129" spans="1:47" ht="15" customHeight="1" x14ac:dyDescent="0.25">
      <c r="A129" s="109">
        <v>93</v>
      </c>
      <c r="B129" s="109">
        <v>156.80000000000001</v>
      </c>
      <c r="C129" s="109">
        <v>394.6</v>
      </c>
      <c r="D129" s="109" t="s">
        <v>792</v>
      </c>
      <c r="E129" s="109">
        <v>8.9999999999999993E-3</v>
      </c>
      <c r="F129" s="109" t="s">
        <v>793</v>
      </c>
      <c r="G129" s="109" t="s">
        <v>613</v>
      </c>
      <c r="H129" s="109" t="s">
        <v>612</v>
      </c>
      <c r="I129" t="s">
        <v>137</v>
      </c>
      <c r="J129" s="109">
        <v>0</v>
      </c>
      <c r="K129" s="109">
        <v>-118.33242034912109</v>
      </c>
      <c r="L129" s="109">
        <v>0.96760332584381104</v>
      </c>
      <c r="M129" s="109">
        <v>1.653968811035156</v>
      </c>
      <c r="N129" s="109">
        <v>8.999999612569809E-3</v>
      </c>
      <c r="O129" s="109">
        <v>400</v>
      </c>
      <c r="P129" s="109">
        <v>1</v>
      </c>
      <c r="Q129" s="109">
        <v>204.2</v>
      </c>
      <c r="R129" s="109">
        <f t="shared" si="2"/>
        <v>118.33242034912109</v>
      </c>
      <c r="T129" s="108" t="b">
        <f t="shared" si="3"/>
        <v>0</v>
      </c>
      <c r="W129" s="60">
        <v>128</v>
      </c>
      <c r="X129" s="60" t="s">
        <v>857</v>
      </c>
      <c r="Y129" s="60">
        <v>6.2314039948336598E-4</v>
      </c>
      <c r="Z129" s="60">
        <v>489.4</v>
      </c>
      <c r="AA129" s="60" t="s">
        <v>792</v>
      </c>
      <c r="AB129" s="60">
        <v>8.9999999999999993E-3</v>
      </c>
      <c r="AC129" s="60"/>
      <c r="AD129" s="60" t="s">
        <v>793</v>
      </c>
      <c r="AE129" s="60"/>
      <c r="AF129" s="60"/>
      <c r="AG129" s="60" t="s">
        <v>609</v>
      </c>
      <c r="AH129" s="60" t="s">
        <v>776</v>
      </c>
      <c r="AI129" s="60" t="s">
        <v>857</v>
      </c>
      <c r="AJ129" s="60">
        <v>0</v>
      </c>
      <c r="AK129" s="60">
        <v>-197.684799194335</v>
      </c>
      <c r="AL129" s="60">
        <v>1.0508799552917401</v>
      </c>
      <c r="AM129" s="60">
        <v>0</v>
      </c>
      <c r="AN129" s="60">
        <v>0</v>
      </c>
      <c r="AO129" s="60">
        <v>3</v>
      </c>
      <c r="AP129" s="60">
        <v>8.9999996125698003E-3</v>
      </c>
      <c r="AQ129" s="60">
        <v>0</v>
      </c>
      <c r="AR129" s="60">
        <v>500</v>
      </c>
      <c r="AS129" s="60">
        <v>1</v>
      </c>
      <c r="AT129" s="60">
        <v>156.4</v>
      </c>
      <c r="AU129" s="60">
        <v>32.995098114013601</v>
      </c>
    </row>
    <row r="130" spans="1:47" ht="15" customHeight="1" x14ac:dyDescent="0.25">
      <c r="A130" s="109">
        <v>92</v>
      </c>
      <c r="B130" s="109">
        <v>82.4</v>
      </c>
      <c r="C130" s="109">
        <v>394.6</v>
      </c>
      <c r="D130" s="109" t="s">
        <v>792</v>
      </c>
      <c r="E130" s="109">
        <v>8.9999999999999993E-3</v>
      </c>
      <c r="F130" s="109" t="s">
        <v>793</v>
      </c>
      <c r="G130" s="109" t="s">
        <v>614</v>
      </c>
      <c r="H130" s="109" t="s">
        <v>613</v>
      </c>
      <c r="I130" t="s">
        <v>136</v>
      </c>
      <c r="J130" s="109">
        <v>0</v>
      </c>
      <c r="K130" s="109">
        <v>-116.9687957763672</v>
      </c>
      <c r="L130" s="109">
        <v>0.95645296573638916</v>
      </c>
      <c r="M130" s="109">
        <v>1.616180419921875</v>
      </c>
      <c r="N130" s="109">
        <v>8.999999612569809E-3</v>
      </c>
      <c r="O130" s="109">
        <v>400</v>
      </c>
      <c r="P130" s="109">
        <v>1</v>
      </c>
      <c r="Q130" s="109">
        <v>204.2</v>
      </c>
      <c r="R130" s="109">
        <f t="shared" ref="R130:R193" si="4">ABS(K130)</f>
        <v>116.9687957763672</v>
      </c>
      <c r="T130" s="108" t="b">
        <f t="shared" si="3"/>
        <v>0</v>
      </c>
      <c r="W130" s="60">
        <v>129</v>
      </c>
      <c r="X130" s="60" t="s">
        <v>858</v>
      </c>
      <c r="Y130" s="60">
        <v>6.7472432567117603E-4</v>
      </c>
      <c r="Z130" s="60">
        <v>489.4</v>
      </c>
      <c r="AA130" s="60" t="s">
        <v>792</v>
      </c>
      <c r="AB130" s="60">
        <v>8.9999999999999993E-3</v>
      </c>
      <c r="AC130" s="60"/>
      <c r="AD130" s="60" t="s">
        <v>793</v>
      </c>
      <c r="AE130" s="60"/>
      <c r="AF130" s="60"/>
      <c r="AG130" s="60" t="s">
        <v>776</v>
      </c>
      <c r="AH130" s="60" t="s">
        <v>608</v>
      </c>
      <c r="AI130" s="60" t="s">
        <v>858</v>
      </c>
      <c r="AJ130" s="60">
        <v>0</v>
      </c>
      <c r="AK130" s="60">
        <v>-198.50640869140599</v>
      </c>
      <c r="AL130" s="60">
        <v>1.0552475452423</v>
      </c>
      <c r="AM130" s="60">
        <v>0</v>
      </c>
      <c r="AN130" s="60">
        <v>0</v>
      </c>
      <c r="AO130" s="60">
        <v>3</v>
      </c>
      <c r="AP130" s="60">
        <v>8.9999996125698003E-3</v>
      </c>
      <c r="AQ130" s="60">
        <v>0</v>
      </c>
      <c r="AR130" s="60">
        <v>500</v>
      </c>
      <c r="AS130" s="60">
        <v>1</v>
      </c>
      <c r="AT130" s="60">
        <v>156.4</v>
      </c>
      <c r="AU130" s="60">
        <v>33.6754760742187</v>
      </c>
    </row>
    <row r="131" spans="1:47" ht="15" customHeight="1" x14ac:dyDescent="0.25">
      <c r="A131" s="109">
        <v>91</v>
      </c>
      <c r="B131" s="109">
        <v>69</v>
      </c>
      <c r="C131" s="109">
        <v>394.6</v>
      </c>
      <c r="D131" s="109" t="s">
        <v>792</v>
      </c>
      <c r="E131" s="109">
        <v>8.9999999999999993E-3</v>
      </c>
      <c r="F131" s="109" t="s">
        <v>793</v>
      </c>
      <c r="G131" s="109" t="s">
        <v>615</v>
      </c>
      <c r="H131" s="109" t="s">
        <v>614</v>
      </c>
      <c r="I131" t="s">
        <v>134</v>
      </c>
      <c r="J131" s="109">
        <v>0</v>
      </c>
      <c r="K131" s="109">
        <v>-116.1072616577148</v>
      </c>
      <c r="L131" s="109">
        <v>0.94940817356109619</v>
      </c>
      <c r="M131" s="109">
        <v>1.5923531055450439</v>
      </c>
      <c r="N131" s="109">
        <v>8.999999612569809E-3</v>
      </c>
      <c r="O131" s="109">
        <v>400</v>
      </c>
      <c r="P131" s="109">
        <v>1</v>
      </c>
      <c r="Q131" s="109">
        <v>204.2</v>
      </c>
      <c r="R131" s="109">
        <f t="shared" si="4"/>
        <v>116.1072616577148</v>
      </c>
      <c r="T131" s="108" t="b">
        <f t="shared" ref="T131:T194" si="5">IF(I131=X131,TRUE,FALSE)</f>
        <v>0</v>
      </c>
      <c r="W131" s="60">
        <v>130</v>
      </c>
      <c r="X131" s="60" t="s">
        <v>859</v>
      </c>
      <c r="Y131" s="60">
        <v>6.8779454674311197E-4</v>
      </c>
      <c r="Z131" s="60">
        <v>489.4</v>
      </c>
      <c r="AA131" s="60" t="s">
        <v>792</v>
      </c>
      <c r="AB131" s="60">
        <v>8.9999999999999993E-3</v>
      </c>
      <c r="AC131" s="60"/>
      <c r="AD131" s="60" t="s">
        <v>793</v>
      </c>
      <c r="AE131" s="60"/>
      <c r="AF131" s="60"/>
      <c r="AG131" s="60" t="s">
        <v>607</v>
      </c>
      <c r="AH131" s="60" t="s">
        <v>606</v>
      </c>
      <c r="AI131" s="60" t="s">
        <v>859</v>
      </c>
      <c r="AJ131" s="60">
        <v>0</v>
      </c>
      <c r="AK131" s="60">
        <v>-200.28082275390599</v>
      </c>
      <c r="AL131" s="60">
        <v>1.06468021869659</v>
      </c>
      <c r="AM131" s="60">
        <v>0</v>
      </c>
      <c r="AN131" s="60">
        <v>0</v>
      </c>
      <c r="AO131" s="60">
        <v>3</v>
      </c>
      <c r="AP131" s="60">
        <v>8.9999996125698003E-3</v>
      </c>
      <c r="AQ131" s="60">
        <v>0</v>
      </c>
      <c r="AR131" s="60">
        <v>500</v>
      </c>
      <c r="AS131" s="60">
        <v>1</v>
      </c>
      <c r="AT131" s="60">
        <v>156.4</v>
      </c>
      <c r="AU131" s="60">
        <v>35.1448974609375</v>
      </c>
    </row>
    <row r="132" spans="1:47" ht="15" customHeight="1" x14ac:dyDescent="0.25">
      <c r="A132" s="109">
        <v>89</v>
      </c>
      <c r="B132" s="109">
        <v>73.400000000000006</v>
      </c>
      <c r="C132" s="109">
        <v>394.6</v>
      </c>
      <c r="D132" s="109" t="s">
        <v>792</v>
      </c>
      <c r="E132" s="109">
        <v>8.9999999999999993E-3</v>
      </c>
      <c r="F132" s="109" t="s">
        <v>793</v>
      </c>
      <c r="G132" s="109" t="s">
        <v>616</v>
      </c>
      <c r="H132" s="109" t="s">
        <v>615</v>
      </c>
      <c r="I132" t="s">
        <v>135</v>
      </c>
      <c r="J132" s="109">
        <v>0</v>
      </c>
      <c r="K132" s="109">
        <v>-115.2970657348633</v>
      </c>
      <c r="L132" s="109">
        <v>0.94278323650360107</v>
      </c>
      <c r="M132" s="109">
        <v>1.570273637771606</v>
      </c>
      <c r="N132" s="109">
        <v>8.999999612569809E-3</v>
      </c>
      <c r="O132" s="109">
        <v>400</v>
      </c>
      <c r="P132" s="109">
        <v>1</v>
      </c>
      <c r="Q132" s="109">
        <v>204.2</v>
      </c>
      <c r="R132" s="109">
        <f t="shared" si="4"/>
        <v>115.2970657348633</v>
      </c>
      <c r="T132" s="108" t="b">
        <f t="shared" si="5"/>
        <v>0</v>
      </c>
      <c r="W132" s="60">
        <v>131</v>
      </c>
      <c r="X132" s="60" t="s">
        <v>860</v>
      </c>
      <c r="Y132" s="60">
        <v>7.2544632502614904E-4</v>
      </c>
      <c r="Z132" s="60">
        <v>489.4</v>
      </c>
      <c r="AA132" s="60" t="s">
        <v>792</v>
      </c>
      <c r="AB132" s="60">
        <v>8.9999999999999993E-3</v>
      </c>
      <c r="AC132" s="60"/>
      <c r="AD132" s="60" t="s">
        <v>793</v>
      </c>
      <c r="AE132" s="60"/>
      <c r="AF132" s="60"/>
      <c r="AG132" s="60" t="s">
        <v>608</v>
      </c>
      <c r="AH132" s="60" t="s">
        <v>607</v>
      </c>
      <c r="AI132" s="60" t="s">
        <v>860</v>
      </c>
      <c r="AJ132" s="60">
        <v>0</v>
      </c>
      <c r="AK132" s="60">
        <v>-199.39076232910099</v>
      </c>
      <c r="AL132" s="60">
        <v>1.05994868278503</v>
      </c>
      <c r="AM132" s="60">
        <v>12.8221168518066</v>
      </c>
      <c r="AN132" s="60">
        <v>0</v>
      </c>
      <c r="AO132" s="60">
        <v>3</v>
      </c>
      <c r="AP132" s="60">
        <v>8.9999996125698003E-3</v>
      </c>
      <c r="AQ132" s="60">
        <v>0</v>
      </c>
      <c r="AR132" s="60">
        <v>500</v>
      </c>
      <c r="AS132" s="60">
        <v>1</v>
      </c>
      <c r="AT132" s="60">
        <v>156.4</v>
      </c>
      <c r="AU132" s="60">
        <v>34.407821655273402</v>
      </c>
    </row>
    <row r="133" spans="1:47" ht="15" customHeight="1" x14ac:dyDescent="0.25">
      <c r="A133" s="109">
        <v>90</v>
      </c>
      <c r="B133" s="109">
        <v>81.3</v>
      </c>
      <c r="C133" s="109">
        <v>394.6</v>
      </c>
      <c r="D133" s="109" t="s">
        <v>792</v>
      </c>
      <c r="E133" s="109">
        <v>8.9999999999999993E-3</v>
      </c>
      <c r="F133" s="109" t="s">
        <v>793</v>
      </c>
      <c r="G133" s="109" t="s">
        <v>617</v>
      </c>
      <c r="H133" s="109" t="s">
        <v>616</v>
      </c>
      <c r="I133" t="s">
        <v>133</v>
      </c>
      <c r="J133" s="109">
        <v>0</v>
      </c>
      <c r="K133" s="109">
        <v>-114.4184112548828</v>
      </c>
      <c r="L133" s="109">
        <v>0.93559849262237549</v>
      </c>
      <c r="M133" s="109">
        <v>1.5464029312133789</v>
      </c>
      <c r="N133" s="109">
        <v>8.999999612569809E-3</v>
      </c>
      <c r="O133" s="109">
        <v>400</v>
      </c>
      <c r="P133" s="109">
        <v>1</v>
      </c>
      <c r="Q133" s="109">
        <v>204.2</v>
      </c>
      <c r="R133" s="109">
        <f t="shared" si="4"/>
        <v>114.4184112548828</v>
      </c>
      <c r="T133" s="108" t="b">
        <f t="shared" si="5"/>
        <v>0</v>
      </c>
      <c r="W133" s="60">
        <v>132</v>
      </c>
      <c r="X133" s="60" t="s">
        <v>861</v>
      </c>
      <c r="Y133" s="60">
        <v>6.8779454674332502E-4</v>
      </c>
      <c r="Z133" s="60">
        <v>489.4</v>
      </c>
      <c r="AA133" s="60" t="s">
        <v>792</v>
      </c>
      <c r="AB133" s="60">
        <v>8.9999999999999993E-3</v>
      </c>
      <c r="AC133" s="60"/>
      <c r="AD133" s="60" t="s">
        <v>793</v>
      </c>
      <c r="AE133" s="60"/>
      <c r="AF133" s="60"/>
      <c r="AG133" s="60" t="s">
        <v>606</v>
      </c>
      <c r="AH133" s="60" t="s">
        <v>605</v>
      </c>
      <c r="AI133" s="60" t="s">
        <v>861</v>
      </c>
      <c r="AJ133" s="60">
        <v>0</v>
      </c>
      <c r="AK133" s="60">
        <v>-201.14807128906199</v>
      </c>
      <c r="AL133" s="60">
        <v>1.06929051876068</v>
      </c>
      <c r="AM133" s="60">
        <v>0</v>
      </c>
      <c r="AN133" s="60">
        <v>0</v>
      </c>
      <c r="AO133" s="60">
        <v>3</v>
      </c>
      <c r="AP133" s="60">
        <v>8.9999996125698003E-3</v>
      </c>
      <c r="AQ133" s="60">
        <v>0</v>
      </c>
      <c r="AR133" s="60">
        <v>500</v>
      </c>
      <c r="AS133" s="60">
        <v>1</v>
      </c>
      <c r="AT133" s="60">
        <v>156.4</v>
      </c>
      <c r="AU133" s="60">
        <v>35.863067626953097</v>
      </c>
    </row>
    <row r="134" spans="1:47" ht="15" customHeight="1" x14ac:dyDescent="0.25">
      <c r="A134" s="109">
        <v>88</v>
      </c>
      <c r="B134" s="109">
        <v>100.6</v>
      </c>
      <c r="C134" s="109">
        <v>394.6</v>
      </c>
      <c r="D134" s="109" t="s">
        <v>792</v>
      </c>
      <c r="E134" s="109">
        <v>8.9999999999999993E-3</v>
      </c>
      <c r="F134" s="109" t="s">
        <v>793</v>
      </c>
      <c r="G134" s="109" t="s">
        <v>618</v>
      </c>
      <c r="H134" s="109" t="s">
        <v>617</v>
      </c>
      <c r="I134" t="s">
        <v>132</v>
      </c>
      <c r="J134" s="109">
        <v>0</v>
      </c>
      <c r="K134" s="109">
        <v>-113.3800048828125</v>
      </c>
      <c r="L134" s="109">
        <v>0.92710745334625244</v>
      </c>
      <c r="M134" s="109">
        <v>1.5184241533279419</v>
      </c>
      <c r="N134" s="109">
        <v>8.999999612569809E-3</v>
      </c>
      <c r="O134" s="109">
        <v>400</v>
      </c>
      <c r="P134" s="109">
        <v>1</v>
      </c>
      <c r="Q134" s="109">
        <v>204.2</v>
      </c>
      <c r="R134" s="109">
        <f t="shared" si="4"/>
        <v>113.3800048828125</v>
      </c>
      <c r="T134" s="108" t="b">
        <f t="shared" si="5"/>
        <v>0</v>
      </c>
      <c r="W134" s="60">
        <v>133</v>
      </c>
      <c r="X134" s="60" t="s">
        <v>862</v>
      </c>
      <c r="Y134" s="60">
        <v>6.7585453457011196E-4</v>
      </c>
      <c r="Z134" s="60">
        <v>489.4</v>
      </c>
      <c r="AA134" s="60" t="s">
        <v>792</v>
      </c>
      <c r="AB134" s="60">
        <v>8.9999999999999993E-3</v>
      </c>
      <c r="AC134" s="60"/>
      <c r="AD134" s="60" t="s">
        <v>793</v>
      </c>
      <c r="AE134" s="60"/>
      <c r="AF134" s="60"/>
      <c r="AG134" s="60" t="s">
        <v>605</v>
      </c>
      <c r="AH134" s="60" t="s">
        <v>604</v>
      </c>
      <c r="AI134" s="60" t="s">
        <v>862</v>
      </c>
      <c r="AJ134" s="60">
        <v>0</v>
      </c>
      <c r="AK134" s="60">
        <v>-202.00961303710901</v>
      </c>
      <c r="AL134" s="60">
        <v>1.07387042045593</v>
      </c>
      <c r="AM134" s="60">
        <v>0</v>
      </c>
      <c r="AN134" s="60">
        <v>0</v>
      </c>
      <c r="AO134" s="60">
        <v>3</v>
      </c>
      <c r="AP134" s="60">
        <v>8.9999996125698003E-3</v>
      </c>
      <c r="AQ134" s="60">
        <v>0</v>
      </c>
      <c r="AR134" s="60">
        <v>500</v>
      </c>
      <c r="AS134" s="60">
        <v>1</v>
      </c>
      <c r="AT134" s="60">
        <v>156.4</v>
      </c>
      <c r="AU134" s="60">
        <v>36.576519012451101</v>
      </c>
    </row>
    <row r="135" spans="1:47" ht="15" customHeight="1" x14ac:dyDescent="0.25">
      <c r="A135" s="109">
        <v>87</v>
      </c>
      <c r="B135" s="109">
        <v>90.9</v>
      </c>
      <c r="C135" s="109">
        <v>394.6</v>
      </c>
      <c r="D135" s="109" t="s">
        <v>792</v>
      </c>
      <c r="E135" s="109">
        <v>8.9999999999999993E-3</v>
      </c>
      <c r="F135" s="109" t="s">
        <v>793</v>
      </c>
      <c r="G135" s="109" t="s">
        <v>619</v>
      </c>
      <c r="H135" s="109" t="s">
        <v>618</v>
      </c>
      <c r="I135" t="s">
        <v>408</v>
      </c>
      <c r="J135" s="109">
        <v>0</v>
      </c>
      <c r="K135" s="109">
        <v>-112.284538269043</v>
      </c>
      <c r="L135" s="109">
        <v>0.91814982891082764</v>
      </c>
      <c r="M135" s="109">
        <v>1.4892022609710689</v>
      </c>
      <c r="N135" s="109">
        <v>8.999999612569809E-3</v>
      </c>
      <c r="O135" s="109">
        <v>400</v>
      </c>
      <c r="P135" s="109">
        <v>1</v>
      </c>
      <c r="Q135" s="109">
        <v>204.2</v>
      </c>
      <c r="R135" s="109">
        <f t="shared" si="4"/>
        <v>112.284538269043</v>
      </c>
      <c r="T135" s="108" t="b">
        <f t="shared" si="5"/>
        <v>0</v>
      </c>
      <c r="W135" s="60">
        <v>134</v>
      </c>
      <c r="X135" s="60" t="s">
        <v>863</v>
      </c>
      <c r="Y135" s="60">
        <v>8.3240311005118605E-4</v>
      </c>
      <c r="Z135" s="60">
        <v>489.4</v>
      </c>
      <c r="AA135" s="60" t="s">
        <v>792</v>
      </c>
      <c r="AB135" s="60">
        <v>8.9999999999999993E-3</v>
      </c>
      <c r="AC135" s="60"/>
      <c r="AD135" s="60" t="s">
        <v>793</v>
      </c>
      <c r="AE135" s="60"/>
      <c r="AF135" s="60"/>
      <c r="AG135" s="60" t="s">
        <v>604</v>
      </c>
      <c r="AH135" s="60" t="s">
        <v>603</v>
      </c>
      <c r="AI135" s="60" t="s">
        <v>863</v>
      </c>
      <c r="AJ135" s="60">
        <v>0</v>
      </c>
      <c r="AK135" s="60">
        <v>-202.96243286132801</v>
      </c>
      <c r="AL135" s="60">
        <v>1.07893550395965</v>
      </c>
      <c r="AM135" s="60">
        <v>0</v>
      </c>
      <c r="AN135" s="60">
        <v>0</v>
      </c>
      <c r="AO135" s="60">
        <v>3</v>
      </c>
      <c r="AP135" s="60">
        <v>8.9999996125698003E-3</v>
      </c>
      <c r="AQ135" s="60">
        <v>0</v>
      </c>
      <c r="AR135" s="60">
        <v>500</v>
      </c>
      <c r="AS135" s="60">
        <v>1</v>
      </c>
      <c r="AT135" s="60">
        <v>156.4</v>
      </c>
      <c r="AU135" s="60">
        <v>37.365562438964801</v>
      </c>
    </row>
    <row r="136" spans="1:47" ht="15" customHeight="1" x14ac:dyDescent="0.2">
      <c r="A136" s="109">
        <v>142</v>
      </c>
      <c r="B136" s="109">
        <v>133.1</v>
      </c>
      <c r="C136" s="109">
        <v>489.4</v>
      </c>
      <c r="D136" s="109" t="s">
        <v>792</v>
      </c>
      <c r="E136" s="109">
        <v>8.9999999999999993E-3</v>
      </c>
      <c r="F136" s="109" t="s">
        <v>793</v>
      </c>
      <c r="G136" s="109" t="s">
        <v>584</v>
      </c>
      <c r="H136" s="109" t="s">
        <v>585</v>
      </c>
      <c r="I136" s="60" t="s">
        <v>401</v>
      </c>
      <c r="J136" s="109">
        <v>0</v>
      </c>
      <c r="K136" s="109">
        <v>115.8250274658203</v>
      </c>
      <c r="L136" s="109">
        <v>0.6157185435295105</v>
      </c>
      <c r="M136" s="109">
        <v>0.50261640548706055</v>
      </c>
      <c r="N136" s="109">
        <v>8.999999612569809E-3</v>
      </c>
      <c r="O136" s="109">
        <v>500</v>
      </c>
      <c r="P136" s="109">
        <v>1</v>
      </c>
      <c r="Q136" s="109">
        <v>204.2</v>
      </c>
      <c r="R136" s="109">
        <f t="shared" si="4"/>
        <v>115.8250274658203</v>
      </c>
      <c r="T136" s="108" t="b">
        <f t="shared" si="5"/>
        <v>0</v>
      </c>
      <c r="W136" s="60">
        <v>135</v>
      </c>
      <c r="X136" s="60" t="s">
        <v>864</v>
      </c>
      <c r="Y136" s="60">
        <v>6.6890453529448702E-4</v>
      </c>
      <c r="Z136" s="60">
        <v>489.4</v>
      </c>
      <c r="AA136" s="60" t="s">
        <v>792</v>
      </c>
      <c r="AB136" s="60">
        <v>8.9999999999999993E-3</v>
      </c>
      <c r="AC136" s="60"/>
      <c r="AD136" s="60" t="s">
        <v>793</v>
      </c>
      <c r="AE136" s="60"/>
      <c r="AF136" s="60"/>
      <c r="AG136" s="60" t="s">
        <v>603</v>
      </c>
      <c r="AH136" s="60" t="s">
        <v>602</v>
      </c>
      <c r="AI136" s="60" t="s">
        <v>864</v>
      </c>
      <c r="AJ136" s="60">
        <v>0</v>
      </c>
      <c r="AK136" s="60">
        <v>-203.90954589843699</v>
      </c>
      <c r="AL136" s="60">
        <v>1.0839703083038299</v>
      </c>
      <c r="AM136" s="60">
        <v>0</v>
      </c>
      <c r="AN136" s="60">
        <v>0</v>
      </c>
      <c r="AO136" s="60">
        <v>3</v>
      </c>
      <c r="AP136" s="60">
        <v>8.9999996125698003E-3</v>
      </c>
      <c r="AQ136" s="60">
        <v>0</v>
      </c>
      <c r="AR136" s="60">
        <v>500</v>
      </c>
      <c r="AS136" s="60">
        <v>1</v>
      </c>
      <c r="AT136" s="60">
        <v>156.4</v>
      </c>
      <c r="AU136" s="60">
        <v>38.149887084960902</v>
      </c>
    </row>
    <row r="137" spans="1:47" ht="15" customHeight="1" x14ac:dyDescent="0.25">
      <c r="A137" s="109">
        <v>86</v>
      </c>
      <c r="B137" s="109">
        <v>86.8</v>
      </c>
      <c r="C137" s="109">
        <v>394.6</v>
      </c>
      <c r="D137" s="109" t="s">
        <v>792</v>
      </c>
      <c r="E137" s="109">
        <v>8.9999999999999993E-3</v>
      </c>
      <c r="F137" s="109" t="s">
        <v>793</v>
      </c>
      <c r="G137" s="109" t="s">
        <v>620</v>
      </c>
      <c r="H137" s="109" t="s">
        <v>619</v>
      </c>
      <c r="I137" t="s">
        <v>172</v>
      </c>
      <c r="J137" s="109">
        <v>0</v>
      </c>
      <c r="K137" s="109">
        <v>-111.26894378662109</v>
      </c>
      <c r="L137" s="109">
        <v>0.90984535217285156</v>
      </c>
      <c r="M137" s="109">
        <v>1.4624549150466919</v>
      </c>
      <c r="N137" s="109">
        <v>8.999999612569809E-3</v>
      </c>
      <c r="O137" s="109">
        <v>400</v>
      </c>
      <c r="P137" s="109">
        <v>1</v>
      </c>
      <c r="Q137" s="109">
        <v>204.2</v>
      </c>
      <c r="R137" s="109">
        <f t="shared" si="4"/>
        <v>111.26894378662109</v>
      </c>
      <c r="T137" s="108" t="b">
        <f t="shared" si="5"/>
        <v>0</v>
      </c>
      <c r="W137" s="60">
        <v>136</v>
      </c>
      <c r="X137" s="60" t="s">
        <v>865</v>
      </c>
      <c r="Y137" s="60">
        <v>1.7542298175349099E-3</v>
      </c>
      <c r="Z137" s="60">
        <v>489.4</v>
      </c>
      <c r="AA137" s="60" t="s">
        <v>792</v>
      </c>
      <c r="AB137" s="60">
        <v>8.9999999999999993E-3</v>
      </c>
      <c r="AC137" s="60"/>
      <c r="AD137" s="60" t="s">
        <v>793</v>
      </c>
      <c r="AE137" s="60"/>
      <c r="AF137" s="60"/>
      <c r="AG137" s="60" t="s">
        <v>602</v>
      </c>
      <c r="AH137" s="60" t="s">
        <v>601</v>
      </c>
      <c r="AI137" s="60" t="s">
        <v>865</v>
      </c>
      <c r="AJ137" s="60">
        <v>0</v>
      </c>
      <c r="AK137" s="60">
        <v>-205.43862915039</v>
      </c>
      <c r="AL137" s="60">
        <v>1.0920988321304299</v>
      </c>
      <c r="AM137" s="60">
        <v>0</v>
      </c>
      <c r="AN137" s="60">
        <v>0</v>
      </c>
      <c r="AO137" s="60">
        <v>3</v>
      </c>
      <c r="AP137" s="60">
        <v>8.9999996125698003E-3</v>
      </c>
      <c r="AQ137" s="60">
        <v>0</v>
      </c>
      <c r="AR137" s="60">
        <v>500</v>
      </c>
      <c r="AS137" s="60">
        <v>1</v>
      </c>
      <c r="AT137" s="60">
        <v>156.4</v>
      </c>
      <c r="AU137" s="60">
        <v>39.4161376953125</v>
      </c>
    </row>
    <row r="138" spans="1:47" ht="15" customHeight="1" x14ac:dyDescent="0.25">
      <c r="A138" s="109">
        <v>123</v>
      </c>
      <c r="B138" s="109">
        <v>93.8</v>
      </c>
      <c r="C138" s="109">
        <v>394.6</v>
      </c>
      <c r="D138" s="109" t="s">
        <v>792</v>
      </c>
      <c r="E138" s="109">
        <v>8.9999999999999993E-3</v>
      </c>
      <c r="F138" s="109" t="s">
        <v>793</v>
      </c>
      <c r="G138" s="109" t="s">
        <v>621</v>
      </c>
      <c r="H138" s="109" t="s">
        <v>620</v>
      </c>
      <c r="I138" t="s">
        <v>170</v>
      </c>
      <c r="J138" s="109">
        <v>0</v>
      </c>
      <c r="K138" s="109">
        <v>-109.8425598144531</v>
      </c>
      <c r="L138" s="109">
        <v>0.89818179607391357</v>
      </c>
      <c r="M138" s="109">
        <v>1.4252117872238159</v>
      </c>
      <c r="N138" s="109">
        <v>8.999999612569809E-3</v>
      </c>
      <c r="O138" s="109">
        <v>400</v>
      </c>
      <c r="P138" s="109">
        <v>1</v>
      </c>
      <c r="Q138" s="109">
        <v>204.2</v>
      </c>
      <c r="R138" s="109">
        <f t="shared" si="4"/>
        <v>109.8425598144531</v>
      </c>
      <c r="T138" s="108" t="b">
        <f t="shared" si="5"/>
        <v>0</v>
      </c>
      <c r="W138" s="60">
        <v>137</v>
      </c>
      <c r="X138" s="60" t="s">
        <v>866</v>
      </c>
      <c r="Y138" s="60">
        <v>6.0271473111849199E-4</v>
      </c>
      <c r="Z138" s="60">
        <v>489.4</v>
      </c>
      <c r="AA138" s="60" t="s">
        <v>792</v>
      </c>
      <c r="AB138" s="60">
        <v>8.9999999999999993E-3</v>
      </c>
      <c r="AC138" s="60"/>
      <c r="AD138" s="60" t="s">
        <v>793</v>
      </c>
      <c r="AE138" s="60"/>
      <c r="AF138" s="60"/>
      <c r="AG138" s="60" t="s">
        <v>601</v>
      </c>
      <c r="AH138" s="60" t="s">
        <v>600</v>
      </c>
      <c r="AI138" s="60" t="s">
        <v>866</v>
      </c>
      <c r="AJ138" s="60">
        <v>0</v>
      </c>
      <c r="AK138" s="60">
        <v>-206.92778015136699</v>
      </c>
      <c r="AL138" s="60">
        <v>1.10001504421234</v>
      </c>
      <c r="AM138" s="60">
        <v>15.433101654052701</v>
      </c>
      <c r="AN138" s="60">
        <v>0</v>
      </c>
      <c r="AO138" s="60">
        <v>3</v>
      </c>
      <c r="AP138" s="60">
        <v>8.9999996125698003E-3</v>
      </c>
      <c r="AQ138" s="60">
        <v>0</v>
      </c>
      <c r="AR138" s="60">
        <v>500</v>
      </c>
      <c r="AS138" s="60">
        <v>1</v>
      </c>
      <c r="AT138" s="60">
        <v>156.4</v>
      </c>
      <c r="AU138" s="60">
        <v>40.649318695068303</v>
      </c>
    </row>
    <row r="139" spans="1:47" ht="15" customHeight="1" x14ac:dyDescent="0.2">
      <c r="A139" s="109">
        <v>205</v>
      </c>
      <c r="B139" s="109">
        <v>69.7</v>
      </c>
      <c r="C139" s="109">
        <v>394.6</v>
      </c>
      <c r="D139" s="109" t="s">
        <v>792</v>
      </c>
      <c r="E139" s="109">
        <v>8.9999999999999993E-3</v>
      </c>
      <c r="F139" s="109" t="s">
        <v>793</v>
      </c>
      <c r="G139" s="109" t="s">
        <v>621</v>
      </c>
      <c r="H139" s="109" t="s">
        <v>622</v>
      </c>
      <c r="I139" s="60" t="s">
        <v>171</v>
      </c>
      <c r="J139" s="109">
        <v>0</v>
      </c>
      <c r="K139" s="109">
        <v>108.4104309082031</v>
      </c>
      <c r="L139" s="109">
        <v>0.88647133111953735</v>
      </c>
      <c r="M139" s="109">
        <v>1.388324022293091</v>
      </c>
      <c r="N139" s="109">
        <v>8.999999612569809E-3</v>
      </c>
      <c r="O139" s="109">
        <v>400</v>
      </c>
      <c r="P139" s="109">
        <v>1</v>
      </c>
      <c r="Q139" s="109">
        <v>299.8</v>
      </c>
      <c r="R139" s="109">
        <f t="shared" si="4"/>
        <v>108.4104309082031</v>
      </c>
      <c r="T139" s="108" t="b">
        <f t="shared" si="5"/>
        <v>0</v>
      </c>
      <c r="W139" s="60">
        <v>138</v>
      </c>
      <c r="X139" s="60" t="s">
        <v>867</v>
      </c>
      <c r="Y139" s="60">
        <v>5.4156255041622496E-4</v>
      </c>
      <c r="Z139" s="60">
        <v>489.4</v>
      </c>
      <c r="AA139" s="60" t="s">
        <v>792</v>
      </c>
      <c r="AB139" s="60">
        <v>8.9999999999999993E-3</v>
      </c>
      <c r="AC139" s="60"/>
      <c r="AD139" s="60" t="s">
        <v>793</v>
      </c>
      <c r="AE139" s="60"/>
      <c r="AF139" s="60"/>
      <c r="AG139" s="60" t="s">
        <v>600</v>
      </c>
      <c r="AH139" s="60" t="s">
        <v>599</v>
      </c>
      <c r="AI139" s="60" t="s">
        <v>867</v>
      </c>
      <c r="AJ139" s="60">
        <v>0</v>
      </c>
      <c r="AK139" s="60">
        <v>-207.65238952636699</v>
      </c>
      <c r="AL139" s="60">
        <v>1.1038670539855899</v>
      </c>
      <c r="AM139" s="60">
        <v>0</v>
      </c>
      <c r="AN139" s="60">
        <v>0</v>
      </c>
      <c r="AO139" s="60">
        <v>3</v>
      </c>
      <c r="AP139" s="60">
        <v>8.9999996125698003E-3</v>
      </c>
      <c r="AQ139" s="60">
        <v>0</v>
      </c>
      <c r="AR139" s="60">
        <v>500</v>
      </c>
      <c r="AS139" s="60">
        <v>1</v>
      </c>
      <c r="AT139" s="60">
        <v>156.4</v>
      </c>
      <c r="AU139" s="60">
        <v>41.249374389648402</v>
      </c>
    </row>
    <row r="140" spans="1:47" ht="15" customHeight="1" x14ac:dyDescent="0.2">
      <c r="A140" s="109">
        <v>122</v>
      </c>
      <c r="B140" s="109">
        <v>91</v>
      </c>
      <c r="C140" s="109">
        <v>252</v>
      </c>
      <c r="D140" s="109" t="s">
        <v>792</v>
      </c>
      <c r="E140" s="109">
        <v>8.9999999999999993E-3</v>
      </c>
      <c r="F140" s="109" t="s">
        <v>793</v>
      </c>
      <c r="G140" s="109" t="s">
        <v>622</v>
      </c>
      <c r="H140" s="109" t="s">
        <v>652</v>
      </c>
      <c r="I140" s="60" t="s">
        <v>421</v>
      </c>
      <c r="J140" s="109">
        <v>0</v>
      </c>
      <c r="K140" s="109">
        <v>64.305412292480469</v>
      </c>
      <c r="L140" s="109">
        <v>1.289300680160522</v>
      </c>
      <c r="M140" s="109">
        <v>5.3390045166015616</v>
      </c>
      <c r="N140" s="109">
        <v>8.999999612569809E-3</v>
      </c>
      <c r="O140" s="109">
        <v>250</v>
      </c>
      <c r="P140" s="109">
        <v>1</v>
      </c>
      <c r="Q140" s="109">
        <v>204.2</v>
      </c>
      <c r="R140" s="109">
        <f t="shared" si="4"/>
        <v>64.305412292480469</v>
      </c>
      <c r="T140" s="108" t="b">
        <f t="shared" si="5"/>
        <v>0</v>
      </c>
      <c r="W140" s="60">
        <v>139</v>
      </c>
      <c r="X140" s="60" t="s">
        <v>868</v>
      </c>
      <c r="Y140" s="60">
        <v>5.0364294174383797E-4</v>
      </c>
      <c r="Z140" s="60">
        <v>489.4</v>
      </c>
      <c r="AA140" s="60" t="s">
        <v>792</v>
      </c>
      <c r="AB140" s="60">
        <v>8.9999999999999993E-3</v>
      </c>
      <c r="AC140" s="60"/>
      <c r="AD140" s="60" t="s">
        <v>793</v>
      </c>
      <c r="AE140" s="60"/>
      <c r="AF140" s="60"/>
      <c r="AG140" s="60" t="s">
        <v>599</v>
      </c>
      <c r="AH140" s="60" t="s">
        <v>598</v>
      </c>
      <c r="AI140" s="60" t="s">
        <v>868</v>
      </c>
      <c r="AJ140" s="60">
        <v>0</v>
      </c>
      <c r="AK140" s="60">
        <v>-208.31422424316401</v>
      </c>
      <c r="AL140" s="60">
        <v>1.1073853969573899</v>
      </c>
      <c r="AM140" s="60">
        <v>0</v>
      </c>
      <c r="AN140" s="60">
        <v>0</v>
      </c>
      <c r="AO140" s="60">
        <v>3</v>
      </c>
      <c r="AP140" s="60">
        <v>8.9999996125698003E-3</v>
      </c>
      <c r="AQ140" s="60">
        <v>0</v>
      </c>
      <c r="AR140" s="60">
        <v>500</v>
      </c>
      <c r="AS140" s="60">
        <v>1</v>
      </c>
      <c r="AT140" s="60">
        <v>156.4</v>
      </c>
      <c r="AU140" s="60">
        <v>41.797451019287102</v>
      </c>
    </row>
    <row r="141" spans="1:47" ht="15" customHeight="1" x14ac:dyDescent="0.25">
      <c r="A141" s="109">
        <v>158</v>
      </c>
      <c r="B141" s="109">
        <v>232.4</v>
      </c>
      <c r="C141" s="109">
        <v>252</v>
      </c>
      <c r="D141" s="109" t="s">
        <v>792</v>
      </c>
      <c r="E141" s="109">
        <v>8.9999999999999993E-3</v>
      </c>
      <c r="F141" s="109" t="s">
        <v>793</v>
      </c>
      <c r="G141" s="109" t="s">
        <v>623</v>
      </c>
      <c r="H141" s="109" t="s">
        <v>597</v>
      </c>
      <c r="I141" t="s">
        <v>416</v>
      </c>
      <c r="J141" s="109">
        <v>0</v>
      </c>
      <c r="K141" s="109">
        <v>-61.285545349121087</v>
      </c>
      <c r="L141" s="109">
        <v>1.228753328323364</v>
      </c>
      <c r="M141" s="109">
        <v>4.8493218421936044</v>
      </c>
      <c r="N141" s="109">
        <v>8.999999612569809E-3</v>
      </c>
      <c r="O141" s="109">
        <v>250</v>
      </c>
      <c r="P141" s="109">
        <v>1</v>
      </c>
      <c r="Q141" s="109">
        <v>156.4</v>
      </c>
      <c r="R141" s="109">
        <f t="shared" si="4"/>
        <v>61.285545349121087</v>
      </c>
      <c r="T141" s="108" t="b">
        <f t="shared" si="5"/>
        <v>0</v>
      </c>
      <c r="W141" s="60">
        <v>140</v>
      </c>
      <c r="X141" s="60" t="s">
        <v>869</v>
      </c>
      <c r="Y141" s="60">
        <v>8.4020033008641202E-4</v>
      </c>
      <c r="Z141" s="60">
        <v>489.4</v>
      </c>
      <c r="AA141" s="60" t="s">
        <v>792</v>
      </c>
      <c r="AB141" s="60">
        <v>8.9999999999999993E-3</v>
      </c>
      <c r="AC141" s="60"/>
      <c r="AD141" s="60" t="s">
        <v>793</v>
      </c>
      <c r="AE141" s="60"/>
      <c r="AF141" s="60"/>
      <c r="AG141" s="60" t="s">
        <v>598</v>
      </c>
      <c r="AH141" s="60" t="s">
        <v>583</v>
      </c>
      <c r="AI141" s="60" t="s">
        <v>869</v>
      </c>
      <c r="AJ141" s="60">
        <v>0</v>
      </c>
      <c r="AK141" s="60">
        <v>-209.16435241699199</v>
      </c>
      <c r="AL141" s="60">
        <v>1.11190450191497</v>
      </c>
      <c r="AM141" s="60">
        <v>0</v>
      </c>
      <c r="AN141" s="60">
        <v>0</v>
      </c>
      <c r="AO141" s="60">
        <v>3</v>
      </c>
      <c r="AP141" s="60">
        <v>8.9999996125698003E-3</v>
      </c>
      <c r="AQ141" s="60">
        <v>0</v>
      </c>
      <c r="AR141" s="60">
        <v>500</v>
      </c>
      <c r="AS141" s="60">
        <v>1</v>
      </c>
      <c r="AT141" s="60">
        <v>156.4</v>
      </c>
      <c r="AU141" s="60">
        <v>42.501453399658203</v>
      </c>
    </row>
    <row r="142" spans="1:47" ht="15" customHeight="1" x14ac:dyDescent="0.25">
      <c r="A142" s="109">
        <v>157</v>
      </c>
      <c r="B142" s="109">
        <v>339.6</v>
      </c>
      <c r="C142" s="109">
        <v>252</v>
      </c>
      <c r="D142" s="109" t="s">
        <v>792</v>
      </c>
      <c r="E142" s="109">
        <v>8.9999999999999993E-3</v>
      </c>
      <c r="F142" s="109" t="s">
        <v>793</v>
      </c>
      <c r="G142" s="109" t="s">
        <v>624</v>
      </c>
      <c r="H142" s="109" t="s">
        <v>623</v>
      </c>
      <c r="I142" t="s">
        <v>168</v>
      </c>
      <c r="J142" s="109">
        <v>0</v>
      </c>
      <c r="K142" s="109">
        <v>-58.02197265625</v>
      </c>
      <c r="L142" s="109">
        <v>1.163319945335388</v>
      </c>
      <c r="M142" s="109">
        <v>4.3466272354125977</v>
      </c>
      <c r="N142" s="109">
        <v>8.999999612569809E-3</v>
      </c>
      <c r="O142" s="109">
        <v>250</v>
      </c>
      <c r="P142" s="109">
        <v>1</v>
      </c>
      <c r="Q142" s="109">
        <v>156.4</v>
      </c>
      <c r="R142" s="109">
        <f t="shared" si="4"/>
        <v>58.02197265625</v>
      </c>
      <c r="T142" s="108" t="b">
        <f t="shared" si="5"/>
        <v>0</v>
      </c>
      <c r="W142" s="60">
        <v>141</v>
      </c>
      <c r="X142" s="60" t="s">
        <v>400</v>
      </c>
      <c r="Y142" s="60">
        <v>1.63922645954776E-3</v>
      </c>
      <c r="Z142" s="60">
        <v>489.4</v>
      </c>
      <c r="AA142" s="60" t="s">
        <v>792</v>
      </c>
      <c r="AB142" s="60">
        <v>8.9999999999999993E-3</v>
      </c>
      <c r="AC142" s="60"/>
      <c r="AD142" s="60" t="s">
        <v>793</v>
      </c>
      <c r="AE142" s="60"/>
      <c r="AF142" s="60"/>
      <c r="AG142" s="60" t="s">
        <v>583</v>
      </c>
      <c r="AH142" s="60" t="s">
        <v>584</v>
      </c>
      <c r="AI142" s="60" t="s">
        <v>400</v>
      </c>
      <c r="AJ142" s="60">
        <v>0</v>
      </c>
      <c r="AK142" s="60">
        <v>117.61532592773401</v>
      </c>
      <c r="AL142" s="60">
        <v>0.62523567676544101</v>
      </c>
      <c r="AM142" s="60">
        <v>0</v>
      </c>
      <c r="AN142" s="60">
        <v>0</v>
      </c>
      <c r="AO142" s="60">
        <v>3</v>
      </c>
      <c r="AP142" s="60">
        <v>8.9999996125698003E-3</v>
      </c>
      <c r="AQ142" s="60">
        <v>0</v>
      </c>
      <c r="AR142" s="60">
        <v>500</v>
      </c>
      <c r="AS142" s="60">
        <v>1</v>
      </c>
      <c r="AT142" s="60">
        <v>204.2</v>
      </c>
      <c r="AU142" s="60">
        <v>59.108810424804602</v>
      </c>
    </row>
    <row r="143" spans="1:47" ht="15" customHeight="1" x14ac:dyDescent="0.25">
      <c r="A143" s="109">
        <v>154</v>
      </c>
      <c r="B143" s="109">
        <v>205.2</v>
      </c>
      <c r="C143" s="109">
        <v>252</v>
      </c>
      <c r="D143" s="109" t="s">
        <v>792</v>
      </c>
      <c r="E143" s="109">
        <v>8.9999999999999993E-3</v>
      </c>
      <c r="F143" s="109" t="s">
        <v>793</v>
      </c>
      <c r="G143" s="109" t="s">
        <v>625</v>
      </c>
      <c r="H143" s="109" t="s">
        <v>624</v>
      </c>
      <c r="I143" t="s">
        <v>167</v>
      </c>
      <c r="J143" s="109">
        <v>0</v>
      </c>
      <c r="K143" s="109">
        <v>-54.912445068359382</v>
      </c>
      <c r="L143" s="109">
        <v>1.100975036621094</v>
      </c>
      <c r="M143" s="109">
        <v>3.8932299613952641</v>
      </c>
      <c r="N143" s="109">
        <v>8.999999612569809E-3</v>
      </c>
      <c r="O143" s="109">
        <v>250</v>
      </c>
      <c r="P143" s="109">
        <v>1</v>
      </c>
      <c r="Q143" s="109">
        <v>156.4</v>
      </c>
      <c r="R143" s="109">
        <f t="shared" si="4"/>
        <v>54.912445068359382</v>
      </c>
      <c r="T143" s="108" t="b">
        <f t="shared" si="5"/>
        <v>0</v>
      </c>
      <c r="W143" s="60">
        <v>142</v>
      </c>
      <c r="X143" s="60" t="s">
        <v>401</v>
      </c>
      <c r="Y143" s="60">
        <v>1.2029498498939801E-3</v>
      </c>
      <c r="Z143" s="60">
        <v>489.4</v>
      </c>
      <c r="AA143" s="60" t="s">
        <v>792</v>
      </c>
      <c r="AB143" s="60">
        <v>8.9999999999999993E-3</v>
      </c>
      <c r="AC143" s="60"/>
      <c r="AD143" s="60" t="s">
        <v>793</v>
      </c>
      <c r="AE143" s="60"/>
      <c r="AF143" s="60"/>
      <c r="AG143" s="60" t="s">
        <v>584</v>
      </c>
      <c r="AH143" s="60" t="s">
        <v>585</v>
      </c>
      <c r="AI143" s="60" t="s">
        <v>401</v>
      </c>
      <c r="AJ143" s="60">
        <v>0</v>
      </c>
      <c r="AK143" s="60">
        <v>115.82378387451099</v>
      </c>
      <c r="AL143" s="60">
        <v>0.61571198701858498</v>
      </c>
      <c r="AM143" s="60">
        <v>0</v>
      </c>
      <c r="AN143" s="60">
        <v>0</v>
      </c>
      <c r="AO143" s="60">
        <v>3</v>
      </c>
      <c r="AP143" s="60">
        <v>8.9999996125698003E-3</v>
      </c>
      <c r="AQ143" s="60">
        <v>0</v>
      </c>
      <c r="AR143" s="60">
        <v>500</v>
      </c>
      <c r="AS143" s="60">
        <v>1</v>
      </c>
      <c r="AT143" s="60">
        <v>204.2</v>
      </c>
      <c r="AU143" s="60">
        <v>57.625213623046797</v>
      </c>
    </row>
    <row r="144" spans="1:47" ht="15" customHeight="1" x14ac:dyDescent="0.25">
      <c r="A144" s="109">
        <v>153</v>
      </c>
      <c r="B144" s="109">
        <v>195.7</v>
      </c>
      <c r="C144" s="109">
        <v>252</v>
      </c>
      <c r="D144" s="109" t="s">
        <v>792</v>
      </c>
      <c r="E144" s="109">
        <v>8.9999999999999993E-3</v>
      </c>
      <c r="F144" s="109" t="s">
        <v>793</v>
      </c>
      <c r="G144" s="109" t="s">
        <v>626</v>
      </c>
      <c r="H144" s="109" t="s">
        <v>625</v>
      </c>
      <c r="I144" t="s">
        <v>166</v>
      </c>
      <c r="J144" s="109">
        <v>0</v>
      </c>
      <c r="K144" s="109">
        <v>-52.624523162841797</v>
      </c>
      <c r="L144" s="109">
        <v>1.055102944374084</v>
      </c>
      <c r="M144" s="109">
        <v>3.5755443572998051</v>
      </c>
      <c r="N144" s="109">
        <v>8.999999612569809E-3</v>
      </c>
      <c r="O144" s="109">
        <v>250</v>
      </c>
      <c r="P144" s="109">
        <v>1</v>
      </c>
      <c r="Q144" s="109">
        <v>156.4</v>
      </c>
      <c r="R144" s="109">
        <f t="shared" si="4"/>
        <v>52.624523162841797</v>
      </c>
      <c r="T144" s="108" t="b">
        <f t="shared" si="5"/>
        <v>0</v>
      </c>
      <c r="W144" s="60">
        <v>143</v>
      </c>
      <c r="X144" s="60" t="s">
        <v>870</v>
      </c>
      <c r="Y144" s="60">
        <v>1.2047183467927599E-3</v>
      </c>
      <c r="Z144" s="60">
        <v>204.2</v>
      </c>
      <c r="AA144" s="60" t="s">
        <v>792</v>
      </c>
      <c r="AB144" s="60">
        <v>8.9999999999999993E-3</v>
      </c>
      <c r="AC144" s="60"/>
      <c r="AD144" s="60" t="s">
        <v>793</v>
      </c>
      <c r="AE144" s="60"/>
      <c r="AF144" s="60"/>
      <c r="AG144" s="60" t="s">
        <v>588</v>
      </c>
      <c r="AH144" s="60" t="s">
        <v>587</v>
      </c>
      <c r="AI144" s="60" t="s">
        <v>870</v>
      </c>
      <c r="AJ144" s="60">
        <v>0</v>
      </c>
      <c r="AK144" s="60">
        <v>-31.258642196655199</v>
      </c>
      <c r="AL144" s="60">
        <v>0.95447903871536199</v>
      </c>
      <c r="AM144" s="60">
        <v>7.7211055755615199</v>
      </c>
      <c r="AN144" s="60">
        <v>0</v>
      </c>
      <c r="AO144" s="60">
        <v>3</v>
      </c>
      <c r="AP144" s="60">
        <v>8.9999996125698003E-3</v>
      </c>
      <c r="AQ144" s="60">
        <v>0</v>
      </c>
      <c r="AR144" s="60">
        <v>200</v>
      </c>
      <c r="AS144" s="60">
        <v>1</v>
      </c>
      <c r="AT144" s="60">
        <v>156.4</v>
      </c>
      <c r="AU144" s="60">
        <v>17.451992034912099</v>
      </c>
    </row>
    <row r="145" spans="1:47" ht="15" customHeight="1" x14ac:dyDescent="0.25">
      <c r="A145" s="109">
        <v>152</v>
      </c>
      <c r="B145" s="109">
        <v>274.89999999999998</v>
      </c>
      <c r="C145" s="109">
        <v>252</v>
      </c>
      <c r="D145" s="109" t="s">
        <v>792</v>
      </c>
      <c r="E145" s="109">
        <v>8.9999999999999993E-3</v>
      </c>
      <c r="F145" s="109" t="s">
        <v>793</v>
      </c>
      <c r="G145" s="109" t="s">
        <v>627</v>
      </c>
      <c r="H145" s="109" t="s">
        <v>626</v>
      </c>
      <c r="I145" t="s">
        <v>165</v>
      </c>
      <c r="J145" s="109">
        <v>0</v>
      </c>
      <c r="K145" s="109">
        <v>-49.937206268310547</v>
      </c>
      <c r="L145" s="109">
        <v>1.0012233257293699</v>
      </c>
      <c r="M145" s="109">
        <v>3.2196974754333501</v>
      </c>
      <c r="N145" s="109">
        <v>8.999999612569809E-3</v>
      </c>
      <c r="O145" s="109">
        <v>250</v>
      </c>
      <c r="P145" s="109">
        <v>1</v>
      </c>
      <c r="Q145" s="109">
        <v>156.4</v>
      </c>
      <c r="R145" s="109">
        <f t="shared" si="4"/>
        <v>49.937206268310547</v>
      </c>
      <c r="T145" s="108" t="b">
        <f t="shared" si="5"/>
        <v>0</v>
      </c>
      <c r="W145" s="60">
        <v>144</v>
      </c>
      <c r="X145" s="60" t="s">
        <v>403</v>
      </c>
      <c r="Y145" s="60">
        <v>6.8153640539728795E-4</v>
      </c>
      <c r="Z145" s="60">
        <v>489.4</v>
      </c>
      <c r="AA145" s="60" t="s">
        <v>792</v>
      </c>
      <c r="AB145" s="60">
        <v>8.9999999999999993E-3</v>
      </c>
      <c r="AC145" s="60"/>
      <c r="AD145" s="60" t="s">
        <v>793</v>
      </c>
      <c r="AE145" s="60"/>
      <c r="AF145" s="60"/>
      <c r="AG145" s="60" t="s">
        <v>585</v>
      </c>
      <c r="AH145" s="60" t="s">
        <v>586</v>
      </c>
      <c r="AI145" s="60" t="s">
        <v>403</v>
      </c>
      <c r="AJ145" s="60">
        <v>0</v>
      </c>
      <c r="AK145" s="60">
        <v>114.637031555175</v>
      </c>
      <c r="AL145" s="60">
        <v>0.60940325260162298</v>
      </c>
      <c r="AM145" s="60">
        <v>0</v>
      </c>
      <c r="AN145" s="60">
        <v>0</v>
      </c>
      <c r="AO145" s="60">
        <v>3</v>
      </c>
      <c r="AP145" s="60">
        <v>8.9999996125698003E-3</v>
      </c>
      <c r="AQ145" s="60">
        <v>0</v>
      </c>
      <c r="AR145" s="60">
        <v>500</v>
      </c>
      <c r="AS145" s="60">
        <v>1</v>
      </c>
      <c r="AT145" s="60">
        <v>204.2</v>
      </c>
      <c r="AU145" s="60">
        <v>56.642452239990199</v>
      </c>
    </row>
    <row r="146" spans="1:47" ht="15" customHeight="1" x14ac:dyDescent="0.25">
      <c r="A146" s="109">
        <v>150</v>
      </c>
      <c r="B146" s="109">
        <v>407.3</v>
      </c>
      <c r="C146" s="109">
        <v>252</v>
      </c>
      <c r="D146" s="109" t="s">
        <v>792</v>
      </c>
      <c r="E146" s="109">
        <v>8.9999999999999993E-3</v>
      </c>
      <c r="F146" s="109" t="s">
        <v>793</v>
      </c>
      <c r="G146" s="109" t="s">
        <v>628</v>
      </c>
      <c r="H146" s="109" t="s">
        <v>627</v>
      </c>
      <c r="I146" t="s">
        <v>164</v>
      </c>
      <c r="J146" s="109">
        <v>0</v>
      </c>
      <c r="K146" s="109">
        <v>-46.0460205078125</v>
      </c>
      <c r="L146" s="109">
        <v>0.9232063889503479</v>
      </c>
      <c r="M146" s="109">
        <v>2.7374870777130131</v>
      </c>
      <c r="N146" s="109">
        <v>8.999999612569809E-3</v>
      </c>
      <c r="O146" s="109">
        <v>250</v>
      </c>
      <c r="P146" s="109">
        <v>1</v>
      </c>
      <c r="Q146" s="109">
        <v>108.4</v>
      </c>
      <c r="R146" s="109">
        <f t="shared" si="4"/>
        <v>46.0460205078125</v>
      </c>
      <c r="T146" s="108" t="b">
        <f t="shared" si="5"/>
        <v>0</v>
      </c>
      <c r="W146" s="60">
        <v>145</v>
      </c>
      <c r="X146" s="60" t="s">
        <v>871</v>
      </c>
      <c r="Y146" s="60">
        <v>1.50114901769029E-3</v>
      </c>
      <c r="Z146" s="60">
        <v>252</v>
      </c>
      <c r="AA146" s="60" t="s">
        <v>792</v>
      </c>
      <c r="AB146" s="60">
        <v>8.9999999999999993E-3</v>
      </c>
      <c r="AC146" s="60"/>
      <c r="AD146" s="60" t="s">
        <v>793</v>
      </c>
      <c r="AE146" s="60"/>
      <c r="AF146" s="60"/>
      <c r="AG146" s="60" t="s">
        <v>650</v>
      </c>
      <c r="AH146" s="60" t="s">
        <v>649</v>
      </c>
      <c r="AI146" s="60" t="s">
        <v>871</v>
      </c>
      <c r="AJ146" s="60">
        <v>0</v>
      </c>
      <c r="AK146" s="60">
        <v>-46.854946136474602</v>
      </c>
      <c r="AL146" s="60">
        <v>0.93942505121231001</v>
      </c>
      <c r="AM146" s="60">
        <v>0</v>
      </c>
      <c r="AN146" s="60">
        <v>0</v>
      </c>
      <c r="AO146" s="60">
        <v>3</v>
      </c>
      <c r="AP146" s="60">
        <v>8.9999996125698003E-3</v>
      </c>
      <c r="AQ146" s="60">
        <v>0</v>
      </c>
      <c r="AR146" s="60">
        <v>250</v>
      </c>
      <c r="AS146" s="60">
        <v>1</v>
      </c>
      <c r="AT146" s="60">
        <v>156.4</v>
      </c>
      <c r="AU146" s="60">
        <v>12.724483489990201</v>
      </c>
    </row>
    <row r="147" spans="1:47" ht="15" customHeight="1" x14ac:dyDescent="0.25">
      <c r="A147" s="109">
        <v>151</v>
      </c>
      <c r="B147" s="109">
        <v>394.9</v>
      </c>
      <c r="C147" s="109">
        <v>204.2</v>
      </c>
      <c r="D147" s="109" t="s">
        <v>792</v>
      </c>
      <c r="E147" s="109">
        <v>8.9999999999999993E-3</v>
      </c>
      <c r="F147" s="109" t="s">
        <v>793</v>
      </c>
      <c r="G147" s="109" t="s">
        <v>629</v>
      </c>
      <c r="H147" s="109" t="s">
        <v>628</v>
      </c>
      <c r="I147" t="s">
        <v>163</v>
      </c>
      <c r="J147" s="109">
        <v>0</v>
      </c>
      <c r="K147" s="109">
        <v>-41.470172882080078</v>
      </c>
      <c r="L147" s="109">
        <v>1.266286969184875</v>
      </c>
      <c r="M147" s="109">
        <v>6.8167939186096191</v>
      </c>
      <c r="N147" s="109">
        <v>8.999999612569809E-3</v>
      </c>
      <c r="O147" s="109">
        <v>200</v>
      </c>
      <c r="P147" s="109">
        <v>1</v>
      </c>
      <c r="Q147" s="109">
        <v>94.4</v>
      </c>
      <c r="R147" s="109">
        <f t="shared" si="4"/>
        <v>41.470172882080078</v>
      </c>
      <c r="T147" s="108" t="b">
        <f t="shared" si="5"/>
        <v>0</v>
      </c>
      <c r="W147" s="60">
        <v>146</v>
      </c>
      <c r="X147" s="60" t="s">
        <v>872</v>
      </c>
      <c r="Y147" s="60">
        <v>1.8274356767230999E-3</v>
      </c>
      <c r="Z147" s="60">
        <v>156.4</v>
      </c>
      <c r="AA147" s="60" t="s">
        <v>792</v>
      </c>
      <c r="AB147" s="60">
        <v>8.9999999999999993E-3</v>
      </c>
      <c r="AC147" s="60"/>
      <c r="AD147" s="60" t="s">
        <v>793</v>
      </c>
      <c r="AE147" s="60"/>
      <c r="AF147" s="60"/>
      <c r="AG147" s="60" t="s">
        <v>649</v>
      </c>
      <c r="AH147" s="60" t="s">
        <v>648</v>
      </c>
      <c r="AI147" s="60" t="s">
        <v>872</v>
      </c>
      <c r="AJ147" s="60">
        <v>0</v>
      </c>
      <c r="AK147" s="60">
        <v>-15.7661361694335</v>
      </c>
      <c r="AL147" s="60">
        <v>0.82065296173095703</v>
      </c>
      <c r="AM147" s="60">
        <v>5.0900602340698198</v>
      </c>
      <c r="AN147" s="60">
        <v>0</v>
      </c>
      <c r="AO147" s="60">
        <v>3</v>
      </c>
      <c r="AP147" s="60">
        <v>8.9999996125698003E-3</v>
      </c>
      <c r="AQ147" s="60">
        <v>0</v>
      </c>
      <c r="AR147" s="60">
        <v>150</v>
      </c>
      <c r="AS147" s="60">
        <v>1</v>
      </c>
      <c r="AT147" s="60">
        <v>156.4</v>
      </c>
      <c r="AU147" s="60">
        <v>17.948011398315401</v>
      </c>
    </row>
    <row r="148" spans="1:47" ht="15" customHeight="1" x14ac:dyDescent="0.2">
      <c r="A148" s="109">
        <v>144</v>
      </c>
      <c r="B148" s="109">
        <v>75.400000000000006</v>
      </c>
      <c r="C148" s="109">
        <v>489.4</v>
      </c>
      <c r="D148" s="109" t="s">
        <v>792</v>
      </c>
      <c r="E148" s="109">
        <v>8.9999999999999993E-3</v>
      </c>
      <c r="F148" s="109" t="s">
        <v>793</v>
      </c>
      <c r="G148" s="109" t="s">
        <v>585</v>
      </c>
      <c r="H148" s="109" t="s">
        <v>586</v>
      </c>
      <c r="I148" s="60" t="s">
        <v>403</v>
      </c>
      <c r="J148" s="109">
        <v>0</v>
      </c>
      <c r="K148" s="109">
        <v>114.6382675170898</v>
      </c>
      <c r="L148" s="109">
        <v>0.6094098687171936</v>
      </c>
      <c r="M148" s="109">
        <v>0.49247503280639648</v>
      </c>
      <c r="N148" s="109">
        <v>8.999999612569809E-3</v>
      </c>
      <c r="O148" s="109">
        <v>500</v>
      </c>
      <c r="P148" s="109">
        <v>1</v>
      </c>
      <c r="Q148" s="109">
        <v>204.2</v>
      </c>
      <c r="R148" s="109">
        <f t="shared" si="4"/>
        <v>114.6382675170898</v>
      </c>
      <c r="T148" s="108" t="b">
        <f t="shared" si="5"/>
        <v>0</v>
      </c>
      <c r="W148" s="60">
        <v>147</v>
      </c>
      <c r="X148" s="60" t="s">
        <v>873</v>
      </c>
      <c r="Y148" s="60">
        <v>1.7259454272735501E-3</v>
      </c>
      <c r="Z148" s="60">
        <v>204.2</v>
      </c>
      <c r="AA148" s="60" t="s">
        <v>792</v>
      </c>
      <c r="AB148" s="60">
        <v>8.9999999999999993E-3</v>
      </c>
      <c r="AC148" s="60"/>
      <c r="AD148" s="60" t="s">
        <v>793</v>
      </c>
      <c r="AE148" s="60"/>
      <c r="AF148" s="60"/>
      <c r="AG148" s="60" t="s">
        <v>649</v>
      </c>
      <c r="AH148" s="60" t="s">
        <v>631</v>
      </c>
      <c r="AI148" s="60" t="s">
        <v>873</v>
      </c>
      <c r="AJ148" s="60">
        <v>0</v>
      </c>
      <c r="AK148" s="60">
        <v>-34.278209686279297</v>
      </c>
      <c r="AL148" s="60">
        <v>1.04668128490448</v>
      </c>
      <c r="AM148" s="60">
        <v>5.3893694877624503</v>
      </c>
      <c r="AN148" s="60">
        <v>0</v>
      </c>
      <c r="AO148" s="60">
        <v>3</v>
      </c>
      <c r="AP148" s="60">
        <v>8.9999996125698003E-3</v>
      </c>
      <c r="AQ148" s="60">
        <v>0</v>
      </c>
      <c r="AR148" s="60">
        <v>200</v>
      </c>
      <c r="AS148" s="60">
        <v>1</v>
      </c>
      <c r="AT148" s="60">
        <v>72.8</v>
      </c>
      <c r="AU148" s="60">
        <v>2.5823490619659402</v>
      </c>
    </row>
    <row r="149" spans="1:47" ht="15" customHeight="1" x14ac:dyDescent="0.25">
      <c r="A149" s="109">
        <v>149</v>
      </c>
      <c r="B149" s="109">
        <v>151.5</v>
      </c>
      <c r="C149" s="109">
        <v>204.2</v>
      </c>
      <c r="D149" s="109" t="s">
        <v>792</v>
      </c>
      <c r="E149" s="109">
        <v>8.9999999999999993E-3</v>
      </c>
      <c r="F149" s="109" t="s">
        <v>793</v>
      </c>
      <c r="G149" s="109" t="s">
        <v>630</v>
      </c>
      <c r="H149" s="109" t="s">
        <v>629</v>
      </c>
      <c r="I149" t="s">
        <v>162</v>
      </c>
      <c r="J149" s="109">
        <v>0</v>
      </c>
      <c r="K149" s="109">
        <v>-38.354942321777337</v>
      </c>
      <c r="L149" s="109">
        <v>1.17116379737854</v>
      </c>
      <c r="M149" s="109">
        <v>5.8311276435852051</v>
      </c>
      <c r="N149" s="109">
        <v>8.999999612569809E-3</v>
      </c>
      <c r="O149" s="109">
        <v>200</v>
      </c>
      <c r="P149" s="109">
        <v>1</v>
      </c>
      <c r="Q149" s="109">
        <v>54.6</v>
      </c>
      <c r="R149" s="109">
        <f t="shared" si="4"/>
        <v>38.354942321777337</v>
      </c>
      <c r="T149" s="108" t="b">
        <f t="shared" si="5"/>
        <v>0</v>
      </c>
      <c r="W149" s="60">
        <v>148</v>
      </c>
      <c r="X149" s="60" t="s">
        <v>874</v>
      </c>
      <c r="Y149" s="60">
        <v>1.68040066017331E-3</v>
      </c>
      <c r="Z149" s="60">
        <v>204.2</v>
      </c>
      <c r="AA149" s="60" t="s">
        <v>792</v>
      </c>
      <c r="AB149" s="60">
        <v>8.9999999999999993E-3</v>
      </c>
      <c r="AC149" s="60"/>
      <c r="AD149" s="60" t="s">
        <v>793</v>
      </c>
      <c r="AE149" s="60"/>
      <c r="AF149" s="60"/>
      <c r="AG149" s="60" t="s">
        <v>631</v>
      </c>
      <c r="AH149" s="60" t="s">
        <v>630</v>
      </c>
      <c r="AI149" s="60" t="s">
        <v>874</v>
      </c>
      <c r="AJ149" s="60">
        <v>0</v>
      </c>
      <c r="AK149" s="60">
        <v>-36.429203033447202</v>
      </c>
      <c r="AL149" s="60">
        <v>1.1123615503311099</v>
      </c>
      <c r="AM149" s="60">
        <v>5.5354404449462802</v>
      </c>
      <c r="AN149" s="60">
        <v>0</v>
      </c>
      <c r="AO149" s="60">
        <v>3</v>
      </c>
      <c r="AP149" s="60">
        <v>8.9999996125698003E-3</v>
      </c>
      <c r="AQ149" s="60">
        <v>0</v>
      </c>
      <c r="AR149" s="60">
        <v>200</v>
      </c>
      <c r="AS149" s="60">
        <v>1</v>
      </c>
      <c r="AT149" s="60">
        <v>51.4</v>
      </c>
      <c r="AU149" s="60">
        <v>0.80108952522277799</v>
      </c>
    </row>
    <row r="150" spans="1:47" ht="15" customHeight="1" x14ac:dyDescent="0.25">
      <c r="A150" s="109">
        <v>148</v>
      </c>
      <c r="B150" s="109">
        <v>185.9</v>
      </c>
      <c r="C150" s="109">
        <v>204.2</v>
      </c>
      <c r="D150" s="109" t="s">
        <v>792</v>
      </c>
      <c r="E150" s="109">
        <v>8.9999999999999993E-3</v>
      </c>
      <c r="F150" s="109" t="s">
        <v>793</v>
      </c>
      <c r="G150" s="109" t="s">
        <v>631</v>
      </c>
      <c r="H150" s="109" t="s">
        <v>630</v>
      </c>
      <c r="I150" t="s">
        <v>161</v>
      </c>
      <c r="J150" s="109">
        <v>0</v>
      </c>
      <c r="K150" s="109">
        <v>-36.432170867919922</v>
      </c>
      <c r="L150" s="109">
        <v>1.1124521493911741</v>
      </c>
      <c r="M150" s="109">
        <v>5.2611222267150879</v>
      </c>
      <c r="N150" s="109">
        <v>8.999999612569809E-3</v>
      </c>
      <c r="O150" s="109">
        <v>200</v>
      </c>
      <c r="P150" s="109">
        <v>1</v>
      </c>
      <c r="Q150" s="109">
        <v>51.4</v>
      </c>
      <c r="R150" s="109">
        <f t="shared" si="4"/>
        <v>36.432170867919922</v>
      </c>
      <c r="T150" s="108" t="b">
        <f t="shared" si="5"/>
        <v>0</v>
      </c>
      <c r="W150" s="60">
        <v>149</v>
      </c>
      <c r="X150" s="60" t="s">
        <v>875</v>
      </c>
      <c r="Y150" s="60">
        <v>1.3695628012427099E-3</v>
      </c>
      <c r="Z150" s="60">
        <v>204.2</v>
      </c>
      <c r="AA150" s="60" t="s">
        <v>792</v>
      </c>
      <c r="AB150" s="60">
        <v>8.9999999999999993E-3</v>
      </c>
      <c r="AC150" s="60"/>
      <c r="AD150" s="60" t="s">
        <v>793</v>
      </c>
      <c r="AE150" s="60"/>
      <c r="AF150" s="60"/>
      <c r="AG150" s="60" t="s">
        <v>630</v>
      </c>
      <c r="AH150" s="60" t="s">
        <v>629</v>
      </c>
      <c r="AI150" s="60" t="s">
        <v>875</v>
      </c>
      <c r="AJ150" s="60">
        <v>0</v>
      </c>
      <c r="AK150" s="60">
        <v>-38.351970672607401</v>
      </c>
      <c r="AL150" s="60">
        <v>1.1710730791091899</v>
      </c>
      <c r="AM150" s="60">
        <v>6.7917718887329102</v>
      </c>
      <c r="AN150" s="60">
        <v>0</v>
      </c>
      <c r="AO150" s="60">
        <v>3</v>
      </c>
      <c r="AP150" s="60">
        <v>8.9999996125698003E-3</v>
      </c>
      <c r="AQ150" s="60">
        <v>0</v>
      </c>
      <c r="AR150" s="60">
        <v>200</v>
      </c>
      <c r="AS150" s="60">
        <v>1</v>
      </c>
      <c r="AT150" s="60">
        <v>54.6</v>
      </c>
      <c r="AU150" s="60">
        <v>0.79117703437805098</v>
      </c>
    </row>
    <row r="151" spans="1:47" ht="15" customHeight="1" x14ac:dyDescent="0.25">
      <c r="A151" s="109">
        <v>121</v>
      </c>
      <c r="B151" s="109">
        <v>223.1</v>
      </c>
      <c r="C151" s="109">
        <v>204.2</v>
      </c>
      <c r="D151" s="109" t="s">
        <v>792</v>
      </c>
      <c r="E151" s="109">
        <v>8.9999999999999993E-3</v>
      </c>
      <c r="F151" s="109" t="s">
        <v>793</v>
      </c>
      <c r="G151" s="109" t="s">
        <v>632</v>
      </c>
      <c r="H151" s="109" t="s">
        <v>622</v>
      </c>
      <c r="I151" t="s">
        <v>414</v>
      </c>
      <c r="J151" s="109">
        <v>0</v>
      </c>
      <c r="K151" s="109">
        <v>-33.513900756835938</v>
      </c>
      <c r="L151" s="109">
        <v>1.023343086242676</v>
      </c>
      <c r="M151" s="109">
        <v>4.4520230293273926</v>
      </c>
      <c r="N151" s="109">
        <v>8.999999612569809E-3</v>
      </c>
      <c r="O151" s="109">
        <v>200</v>
      </c>
      <c r="P151" s="109">
        <v>1</v>
      </c>
      <c r="Q151" s="109">
        <v>204.2</v>
      </c>
      <c r="R151" s="109">
        <f t="shared" si="4"/>
        <v>33.513900756835938</v>
      </c>
      <c r="T151" s="108" t="b">
        <f t="shared" si="5"/>
        <v>0</v>
      </c>
      <c r="W151" s="60">
        <v>150</v>
      </c>
      <c r="X151" s="60" t="s">
        <v>876</v>
      </c>
      <c r="Y151" s="60">
        <v>3.6811218761796699E-3</v>
      </c>
      <c r="Z151" s="60">
        <v>252</v>
      </c>
      <c r="AA151" s="60" t="s">
        <v>792</v>
      </c>
      <c r="AB151" s="60">
        <v>8.9999999999999993E-3</v>
      </c>
      <c r="AC151" s="60"/>
      <c r="AD151" s="60" t="s">
        <v>793</v>
      </c>
      <c r="AE151" s="60"/>
      <c r="AF151" s="60"/>
      <c r="AG151" s="60" t="s">
        <v>628</v>
      </c>
      <c r="AH151" s="60" t="s">
        <v>627</v>
      </c>
      <c r="AI151" s="60" t="s">
        <v>876</v>
      </c>
      <c r="AJ151" s="60">
        <v>0</v>
      </c>
      <c r="AK151" s="60">
        <v>-46.043052673339801</v>
      </c>
      <c r="AL151" s="60">
        <v>0.92314684391021695</v>
      </c>
      <c r="AM151" s="60">
        <v>2.5268812179565399</v>
      </c>
      <c r="AN151" s="60">
        <v>0</v>
      </c>
      <c r="AO151" s="60">
        <v>3</v>
      </c>
      <c r="AP151" s="60">
        <v>8.9999996125698003E-3</v>
      </c>
      <c r="AQ151" s="60">
        <v>0</v>
      </c>
      <c r="AR151" s="60">
        <v>250</v>
      </c>
      <c r="AS151" s="60">
        <v>1</v>
      </c>
      <c r="AT151" s="60">
        <v>108.4</v>
      </c>
      <c r="AU151" s="60">
        <v>7.1602435111999503</v>
      </c>
    </row>
    <row r="152" spans="1:47" ht="15" customHeight="1" x14ac:dyDescent="0.25">
      <c r="A152" s="109">
        <v>77</v>
      </c>
      <c r="B152" s="109">
        <v>94.3</v>
      </c>
      <c r="C152" s="109">
        <v>204.2</v>
      </c>
      <c r="D152" s="109" t="s">
        <v>792</v>
      </c>
      <c r="E152" s="109">
        <v>8.9999999999999993E-3</v>
      </c>
      <c r="F152" s="109" t="s">
        <v>793</v>
      </c>
      <c r="G152" s="109" t="s">
        <v>633</v>
      </c>
      <c r="H152" s="109" t="s">
        <v>632</v>
      </c>
      <c r="I152" t="s">
        <v>159</v>
      </c>
      <c r="J152" s="109">
        <v>0</v>
      </c>
      <c r="K152" s="109">
        <v>-31.705240249633789</v>
      </c>
      <c r="L152" s="109">
        <v>0.96811586618423462</v>
      </c>
      <c r="M152" s="109">
        <v>3.984466552734375</v>
      </c>
      <c r="N152" s="109">
        <v>8.999999612569809E-3</v>
      </c>
      <c r="O152" s="109">
        <v>200</v>
      </c>
      <c r="P152" s="109">
        <v>1</v>
      </c>
      <c r="Q152" s="109">
        <v>204.2</v>
      </c>
      <c r="R152" s="109">
        <f t="shared" si="4"/>
        <v>31.705240249633789</v>
      </c>
      <c r="T152" s="108" t="b">
        <f t="shared" si="5"/>
        <v>0</v>
      </c>
      <c r="W152" s="60">
        <v>151</v>
      </c>
      <c r="X152" s="60" t="s">
        <v>877</v>
      </c>
      <c r="Y152" s="60">
        <v>3.5704377348699801E-3</v>
      </c>
      <c r="Z152" s="60">
        <v>204.2</v>
      </c>
      <c r="AA152" s="60" t="s">
        <v>792</v>
      </c>
      <c r="AB152" s="60">
        <v>8.9999999999999993E-3</v>
      </c>
      <c r="AC152" s="60"/>
      <c r="AD152" s="60" t="s">
        <v>793</v>
      </c>
      <c r="AE152" s="60"/>
      <c r="AF152" s="60"/>
      <c r="AG152" s="60" t="s">
        <v>629</v>
      </c>
      <c r="AH152" s="60" t="s">
        <v>628</v>
      </c>
      <c r="AI152" s="60" t="s">
        <v>877</v>
      </c>
      <c r="AJ152" s="60">
        <v>0</v>
      </c>
      <c r="AK152" s="60">
        <v>-41.467201232910099</v>
      </c>
      <c r="AL152" s="60">
        <v>1.26619625091552</v>
      </c>
      <c r="AM152" s="60">
        <v>7.8156447410583496</v>
      </c>
      <c r="AN152" s="60">
        <v>0</v>
      </c>
      <c r="AO152" s="60">
        <v>3</v>
      </c>
      <c r="AP152" s="60">
        <v>8.9999996125698003E-3</v>
      </c>
      <c r="AQ152" s="60">
        <v>0</v>
      </c>
      <c r="AR152" s="60">
        <v>200</v>
      </c>
      <c r="AS152" s="60">
        <v>1</v>
      </c>
      <c r="AT152" s="60">
        <v>94.4</v>
      </c>
      <c r="AU152" s="60">
        <v>3.3709323406219398</v>
      </c>
    </row>
    <row r="153" spans="1:47" ht="15" customHeight="1" x14ac:dyDescent="0.25">
      <c r="A153" s="109">
        <v>76</v>
      </c>
      <c r="B153" s="109">
        <v>191.4</v>
      </c>
      <c r="C153" s="109">
        <v>204.2</v>
      </c>
      <c r="D153" s="109" t="s">
        <v>792</v>
      </c>
      <c r="E153" s="109">
        <v>8.9999999999999993E-3</v>
      </c>
      <c r="F153" s="109" t="s">
        <v>793</v>
      </c>
      <c r="G153" s="109" t="s">
        <v>634</v>
      </c>
      <c r="H153" s="109" t="s">
        <v>633</v>
      </c>
      <c r="I153" t="s">
        <v>158</v>
      </c>
      <c r="J153" s="109">
        <v>0</v>
      </c>
      <c r="K153" s="109">
        <v>-30.079156875610352</v>
      </c>
      <c r="L153" s="109">
        <v>0.91846358776092529</v>
      </c>
      <c r="M153" s="109">
        <v>3.5862553119659419</v>
      </c>
      <c r="N153" s="109">
        <v>8.999999612569809E-3</v>
      </c>
      <c r="O153" s="109">
        <v>200</v>
      </c>
      <c r="P153" s="109">
        <v>1</v>
      </c>
      <c r="Q153" s="109">
        <v>204.2</v>
      </c>
      <c r="R153" s="109">
        <f t="shared" si="4"/>
        <v>30.079156875610352</v>
      </c>
      <c r="T153" s="108" t="b">
        <f t="shared" si="5"/>
        <v>0</v>
      </c>
      <c r="W153" s="60">
        <v>152</v>
      </c>
      <c r="X153" s="60" t="s">
        <v>878</v>
      </c>
      <c r="Y153" s="60">
        <v>2.4846607766811401E-3</v>
      </c>
      <c r="Z153" s="60">
        <v>252</v>
      </c>
      <c r="AA153" s="60" t="s">
        <v>792</v>
      </c>
      <c r="AB153" s="60">
        <v>8.9999999999999993E-3</v>
      </c>
      <c r="AC153" s="60"/>
      <c r="AD153" s="60" t="s">
        <v>793</v>
      </c>
      <c r="AE153" s="60"/>
      <c r="AF153" s="60"/>
      <c r="AG153" s="60" t="s">
        <v>627</v>
      </c>
      <c r="AH153" s="60" t="s">
        <v>626</v>
      </c>
      <c r="AI153" s="60" t="s">
        <v>878</v>
      </c>
      <c r="AJ153" s="60">
        <v>0</v>
      </c>
      <c r="AK153" s="60">
        <v>-49.934238433837798</v>
      </c>
      <c r="AL153" s="60">
        <v>1.0011637210845901</v>
      </c>
      <c r="AM153" s="60">
        <v>3.7436730861663801</v>
      </c>
      <c r="AN153" s="60">
        <v>0</v>
      </c>
      <c r="AO153" s="60">
        <v>3</v>
      </c>
      <c r="AP153" s="60">
        <v>8.9999996125698003E-3</v>
      </c>
      <c r="AQ153" s="60">
        <v>0</v>
      </c>
      <c r="AR153" s="60">
        <v>250</v>
      </c>
      <c r="AS153" s="60">
        <v>1</v>
      </c>
      <c r="AT153" s="60">
        <v>156.4</v>
      </c>
      <c r="AU153" s="60">
        <v>10.382575035095201</v>
      </c>
    </row>
    <row r="154" spans="1:47" ht="15" customHeight="1" x14ac:dyDescent="0.25">
      <c r="A154" s="109">
        <v>75</v>
      </c>
      <c r="B154" s="109">
        <v>77.400000000000006</v>
      </c>
      <c r="C154" s="109">
        <v>204.2</v>
      </c>
      <c r="D154" s="109" t="s">
        <v>792</v>
      </c>
      <c r="E154" s="109">
        <v>8.9999999999999993E-3</v>
      </c>
      <c r="F154" s="109" t="s">
        <v>793</v>
      </c>
      <c r="G154" s="109" t="s">
        <v>635</v>
      </c>
      <c r="H154" s="109" t="s">
        <v>634</v>
      </c>
      <c r="I154" t="s">
        <v>130</v>
      </c>
      <c r="J154" s="109">
        <v>0</v>
      </c>
      <c r="K154" s="109">
        <v>-28.55007171630859</v>
      </c>
      <c r="L154" s="109">
        <v>0.87177318334579468</v>
      </c>
      <c r="M154" s="109">
        <v>3.2308585643768311</v>
      </c>
      <c r="N154" s="109">
        <v>8.999999612569809E-3</v>
      </c>
      <c r="O154" s="109">
        <v>200</v>
      </c>
      <c r="P154" s="109">
        <v>1</v>
      </c>
      <c r="Q154" s="109">
        <v>204.2</v>
      </c>
      <c r="R154" s="109">
        <f t="shared" si="4"/>
        <v>28.55007171630859</v>
      </c>
      <c r="T154" s="108" t="b">
        <f t="shared" si="5"/>
        <v>0</v>
      </c>
      <c r="W154" s="60">
        <v>153</v>
      </c>
      <c r="X154" s="60" t="s">
        <v>879</v>
      </c>
      <c r="Y154" s="60">
        <v>1.7686926689941299E-3</v>
      </c>
      <c r="Z154" s="60">
        <v>252</v>
      </c>
      <c r="AA154" s="60" t="s">
        <v>792</v>
      </c>
      <c r="AB154" s="60">
        <v>8.9999999999999993E-3</v>
      </c>
      <c r="AC154" s="60"/>
      <c r="AD154" s="60" t="s">
        <v>793</v>
      </c>
      <c r="AE154" s="60"/>
      <c r="AF154" s="60"/>
      <c r="AG154" s="60" t="s">
        <v>626</v>
      </c>
      <c r="AH154" s="60" t="s">
        <v>625</v>
      </c>
      <c r="AI154" s="60" t="s">
        <v>879</v>
      </c>
      <c r="AJ154" s="60">
        <v>0</v>
      </c>
      <c r="AK154" s="60">
        <v>-52.621547698974602</v>
      </c>
      <c r="AL154" s="60">
        <v>1.0550433397293</v>
      </c>
      <c r="AM154" s="60">
        <v>0</v>
      </c>
      <c r="AN154" s="60">
        <v>0</v>
      </c>
      <c r="AO154" s="60">
        <v>3</v>
      </c>
      <c r="AP154" s="60">
        <v>8.9999996125698003E-3</v>
      </c>
      <c r="AQ154" s="60">
        <v>0</v>
      </c>
      <c r="AR154" s="60">
        <v>250</v>
      </c>
      <c r="AS154" s="60">
        <v>1</v>
      </c>
      <c r="AT154" s="60">
        <v>156.4</v>
      </c>
      <c r="AU154" s="60">
        <v>12.607968330383301</v>
      </c>
    </row>
    <row r="155" spans="1:47" ht="15" customHeight="1" x14ac:dyDescent="0.25">
      <c r="A155" s="109">
        <v>74</v>
      </c>
      <c r="B155" s="109">
        <v>77.099999999999994</v>
      </c>
      <c r="C155" s="109">
        <v>204.2</v>
      </c>
      <c r="D155" s="109" t="s">
        <v>792</v>
      </c>
      <c r="E155" s="109">
        <v>8.9999999999999993E-3</v>
      </c>
      <c r="F155" s="109" t="s">
        <v>793</v>
      </c>
      <c r="G155" s="109" t="s">
        <v>636</v>
      </c>
      <c r="H155" s="109" t="s">
        <v>635</v>
      </c>
      <c r="I155" t="s">
        <v>129</v>
      </c>
      <c r="J155" s="109">
        <v>0</v>
      </c>
      <c r="K155" s="109">
        <v>-27.671417236328121</v>
      </c>
      <c r="L155" s="109">
        <v>0.84494352340698242</v>
      </c>
      <c r="M155" s="109">
        <v>3.0351357460021968</v>
      </c>
      <c r="N155" s="109">
        <v>8.999999612569809E-3</v>
      </c>
      <c r="O155" s="109">
        <v>200</v>
      </c>
      <c r="P155" s="109">
        <v>1</v>
      </c>
      <c r="Q155" s="109">
        <v>204.2</v>
      </c>
      <c r="R155" s="109">
        <f t="shared" si="4"/>
        <v>27.671417236328121</v>
      </c>
      <c r="T155" s="108" t="b">
        <f t="shared" si="5"/>
        <v>0</v>
      </c>
      <c r="W155" s="60">
        <v>154</v>
      </c>
      <c r="X155" s="60" t="s">
        <v>880</v>
      </c>
      <c r="Y155" s="60">
        <v>1.8549853321852101E-3</v>
      </c>
      <c r="Z155" s="60">
        <v>252</v>
      </c>
      <c r="AA155" s="60" t="s">
        <v>792</v>
      </c>
      <c r="AB155" s="60">
        <v>8.9999999999999993E-3</v>
      </c>
      <c r="AC155" s="60"/>
      <c r="AD155" s="60" t="s">
        <v>793</v>
      </c>
      <c r="AE155" s="60"/>
      <c r="AF155" s="60"/>
      <c r="AG155" s="60" t="s">
        <v>625</v>
      </c>
      <c r="AH155" s="60" t="s">
        <v>624</v>
      </c>
      <c r="AI155" s="60" t="s">
        <v>880</v>
      </c>
      <c r="AJ155" s="60">
        <v>0</v>
      </c>
      <c r="AK155" s="60">
        <v>-54.909473419189403</v>
      </c>
      <c r="AL155" s="60">
        <v>1.1009154319763099</v>
      </c>
      <c r="AM155" s="60">
        <v>5.01446437835693</v>
      </c>
      <c r="AN155" s="60">
        <v>0</v>
      </c>
      <c r="AO155" s="60">
        <v>3</v>
      </c>
      <c r="AP155" s="60">
        <v>8.9999996125698003E-3</v>
      </c>
      <c r="AQ155" s="60">
        <v>0</v>
      </c>
      <c r="AR155" s="60">
        <v>250</v>
      </c>
      <c r="AS155" s="60">
        <v>1</v>
      </c>
      <c r="AT155" s="60">
        <v>156.4</v>
      </c>
      <c r="AU155" s="60">
        <v>14.5026235580444</v>
      </c>
    </row>
    <row r="156" spans="1:47" ht="15" customHeight="1" x14ac:dyDescent="0.25">
      <c r="A156" s="109">
        <v>73</v>
      </c>
      <c r="B156" s="109">
        <v>76</v>
      </c>
      <c r="C156" s="109">
        <v>204.2</v>
      </c>
      <c r="D156" s="109" t="s">
        <v>792</v>
      </c>
      <c r="E156" s="109">
        <v>8.9999999999999993E-3</v>
      </c>
      <c r="F156" s="109" t="s">
        <v>793</v>
      </c>
      <c r="G156" s="109" t="s">
        <v>637</v>
      </c>
      <c r="H156" s="109" t="s">
        <v>636</v>
      </c>
      <c r="I156" t="s">
        <v>128</v>
      </c>
      <c r="J156" s="109">
        <v>0</v>
      </c>
      <c r="K156" s="109">
        <v>-26.798467636108398</v>
      </c>
      <c r="L156" s="109">
        <v>0.81828814744949341</v>
      </c>
      <c r="M156" s="109">
        <v>2.8465826511383061</v>
      </c>
      <c r="N156" s="109">
        <v>8.999999612569809E-3</v>
      </c>
      <c r="O156" s="109">
        <v>200</v>
      </c>
      <c r="P156" s="109">
        <v>1</v>
      </c>
      <c r="Q156" s="109">
        <v>204.2</v>
      </c>
      <c r="R156" s="109">
        <f t="shared" si="4"/>
        <v>26.798467636108398</v>
      </c>
      <c r="T156" s="108" t="b">
        <f t="shared" si="5"/>
        <v>0</v>
      </c>
      <c r="W156" s="60">
        <v>155</v>
      </c>
      <c r="X156" s="60" t="s">
        <v>404</v>
      </c>
      <c r="Y156" s="60">
        <v>1.9104633368773299E-3</v>
      </c>
      <c r="Z156" s="60">
        <v>394.6</v>
      </c>
      <c r="AA156" s="60" t="s">
        <v>792</v>
      </c>
      <c r="AB156" s="60">
        <v>8.9999999999999993E-3</v>
      </c>
      <c r="AC156" s="60"/>
      <c r="AD156" s="60" t="s">
        <v>793</v>
      </c>
      <c r="AE156" s="60"/>
      <c r="AF156" s="60"/>
      <c r="AG156" s="60" t="s">
        <v>611</v>
      </c>
      <c r="AH156" s="60" t="s">
        <v>597</v>
      </c>
      <c r="AI156" s="60" t="s">
        <v>404</v>
      </c>
      <c r="AJ156" s="60">
        <v>0</v>
      </c>
      <c r="AK156" s="60">
        <v>71.651618957519503</v>
      </c>
      <c r="AL156" s="60">
        <v>0.58589476346969604</v>
      </c>
      <c r="AM156" s="60">
        <v>0</v>
      </c>
      <c r="AN156" s="60">
        <v>0</v>
      </c>
      <c r="AO156" s="60">
        <v>3</v>
      </c>
      <c r="AP156" s="60">
        <v>8.9999996125698003E-3</v>
      </c>
      <c r="AQ156" s="60">
        <v>0</v>
      </c>
      <c r="AR156" s="60">
        <v>400</v>
      </c>
      <c r="AS156" s="60">
        <v>1</v>
      </c>
      <c r="AT156" s="60">
        <v>204.2</v>
      </c>
      <c r="AU156" s="60">
        <v>36.8005981445312</v>
      </c>
    </row>
    <row r="157" spans="1:47" ht="15" customHeight="1" x14ac:dyDescent="0.25">
      <c r="A157" s="109">
        <v>72</v>
      </c>
      <c r="B157" s="109">
        <v>36.4</v>
      </c>
      <c r="C157" s="109">
        <v>156.4</v>
      </c>
      <c r="D157" s="109" t="s">
        <v>792</v>
      </c>
      <c r="E157" s="109">
        <v>8.9999999999999993E-3</v>
      </c>
      <c r="F157" s="109" t="s">
        <v>793</v>
      </c>
      <c r="G157" s="109" t="s">
        <v>638</v>
      </c>
      <c r="H157" s="109" t="s">
        <v>637</v>
      </c>
      <c r="I157" t="s">
        <v>127</v>
      </c>
      <c r="J157" s="109">
        <v>0</v>
      </c>
      <c r="K157" s="109">
        <v>-26.159444808959961</v>
      </c>
      <c r="L157" s="109">
        <v>1.361641526222229</v>
      </c>
      <c r="M157" s="109">
        <v>11.24682140350342</v>
      </c>
      <c r="N157" s="109">
        <v>8.999999612569809E-3</v>
      </c>
      <c r="O157" s="109">
        <v>150</v>
      </c>
      <c r="P157" s="109">
        <v>1</v>
      </c>
      <c r="Q157" s="109">
        <v>204.2</v>
      </c>
      <c r="R157" s="109">
        <f t="shared" si="4"/>
        <v>26.159444808959961</v>
      </c>
      <c r="T157" s="108" t="b">
        <f t="shared" si="5"/>
        <v>0</v>
      </c>
      <c r="W157" s="60">
        <v>156</v>
      </c>
      <c r="X157" s="60" t="s">
        <v>881</v>
      </c>
      <c r="Y157" s="60">
        <v>3.7454521052196202E-3</v>
      </c>
      <c r="Z157" s="60">
        <v>94.4</v>
      </c>
      <c r="AA157" s="60" t="s">
        <v>792</v>
      </c>
      <c r="AB157" s="60">
        <v>8.9999999999999993E-3</v>
      </c>
      <c r="AC157" s="60"/>
      <c r="AD157" s="60" t="s">
        <v>793</v>
      </c>
      <c r="AE157" s="60"/>
      <c r="AF157" s="60"/>
      <c r="AG157" s="60" t="s">
        <v>597</v>
      </c>
      <c r="AH157" s="60" t="s">
        <v>596</v>
      </c>
      <c r="AI157" s="60" t="s">
        <v>881</v>
      </c>
      <c r="AJ157" s="60">
        <v>0</v>
      </c>
      <c r="AK157" s="60">
        <v>5.47938632965087</v>
      </c>
      <c r="AL157" s="60">
        <v>0.78288090229034402</v>
      </c>
      <c r="AM157" s="60">
        <v>7.4504418373107901</v>
      </c>
      <c r="AN157" s="60">
        <v>0</v>
      </c>
      <c r="AO157" s="60">
        <v>3</v>
      </c>
      <c r="AP157" s="60">
        <v>8.9999996125698003E-3</v>
      </c>
      <c r="AQ157" s="60">
        <v>0</v>
      </c>
      <c r="AR157" s="60">
        <v>100</v>
      </c>
      <c r="AS157" s="60">
        <v>1</v>
      </c>
      <c r="AT157" s="60">
        <v>156.4</v>
      </c>
      <c r="AU157" s="60">
        <v>12.9711656570434</v>
      </c>
    </row>
    <row r="158" spans="1:47" ht="15" customHeight="1" x14ac:dyDescent="0.25">
      <c r="A158" s="109">
        <v>71</v>
      </c>
      <c r="B158" s="109">
        <v>32.5</v>
      </c>
      <c r="C158" s="109">
        <v>156.4</v>
      </c>
      <c r="D158" s="109" t="s">
        <v>792</v>
      </c>
      <c r="E158" s="109">
        <v>8.9999999999999993E-3</v>
      </c>
      <c r="F158" s="109" t="s">
        <v>793</v>
      </c>
      <c r="G158" s="109" t="s">
        <v>639</v>
      </c>
      <c r="H158" s="109" t="s">
        <v>638</v>
      </c>
      <c r="I158" t="s">
        <v>126</v>
      </c>
      <c r="J158" s="109">
        <v>0</v>
      </c>
      <c r="K158" s="109">
        <v>-25.771469116210941</v>
      </c>
      <c r="L158" s="109">
        <v>1.3414467573165889</v>
      </c>
      <c r="M158" s="109">
        <v>10.915684700012211</v>
      </c>
      <c r="N158" s="109">
        <v>8.999999612569809E-3</v>
      </c>
      <c r="O158" s="109">
        <v>150</v>
      </c>
      <c r="P158" s="109">
        <v>1</v>
      </c>
      <c r="Q158" s="109">
        <v>204.2</v>
      </c>
      <c r="R158" s="109">
        <f t="shared" si="4"/>
        <v>25.771469116210941</v>
      </c>
      <c r="T158" s="108" t="b">
        <f t="shared" si="5"/>
        <v>0</v>
      </c>
      <c r="W158" s="60">
        <v>157</v>
      </c>
      <c r="X158" s="60" t="s">
        <v>882</v>
      </c>
      <c r="Y158" s="60">
        <v>3.0704606917146102E-3</v>
      </c>
      <c r="Z158" s="60">
        <v>252</v>
      </c>
      <c r="AA158" s="60" t="s">
        <v>792</v>
      </c>
      <c r="AB158" s="60">
        <v>8.9999999999999993E-3</v>
      </c>
      <c r="AC158" s="60"/>
      <c r="AD158" s="60" t="s">
        <v>793</v>
      </c>
      <c r="AE158" s="60"/>
      <c r="AF158" s="60"/>
      <c r="AG158" s="60" t="s">
        <v>624</v>
      </c>
      <c r="AH158" s="60" t="s">
        <v>623</v>
      </c>
      <c r="AI158" s="60" t="s">
        <v>882</v>
      </c>
      <c r="AJ158" s="60">
        <v>0</v>
      </c>
      <c r="AK158" s="60">
        <v>-58.018993377685497</v>
      </c>
      <c r="AL158" s="60">
        <v>1.1632602214813199</v>
      </c>
      <c r="AM158" s="60">
        <v>6.0588679313659597</v>
      </c>
      <c r="AN158" s="60">
        <v>0</v>
      </c>
      <c r="AO158" s="60">
        <v>3</v>
      </c>
      <c r="AP158" s="60">
        <v>8.9999996125698003E-3</v>
      </c>
      <c r="AQ158" s="60">
        <v>0</v>
      </c>
      <c r="AR158" s="60">
        <v>250</v>
      </c>
      <c r="AS158" s="60">
        <v>1</v>
      </c>
      <c r="AT158" s="60">
        <v>156.4</v>
      </c>
      <c r="AU158" s="60">
        <v>17.077653884887599</v>
      </c>
    </row>
    <row r="159" spans="1:47" ht="15" customHeight="1" x14ac:dyDescent="0.2">
      <c r="A159" s="109">
        <v>103</v>
      </c>
      <c r="B159" s="109">
        <v>93.9</v>
      </c>
      <c r="C159" s="109">
        <v>489.4</v>
      </c>
      <c r="D159" s="109" t="s">
        <v>792</v>
      </c>
      <c r="E159" s="109">
        <v>8.9999999999999993E-3</v>
      </c>
      <c r="F159" s="109" t="s">
        <v>793</v>
      </c>
      <c r="G159" s="109" t="s">
        <v>586</v>
      </c>
      <c r="H159" s="109" t="s">
        <v>587</v>
      </c>
      <c r="I159" s="60" t="s">
        <v>396</v>
      </c>
      <c r="J159" s="109">
        <v>0</v>
      </c>
      <c r="K159" s="109">
        <v>113.6740341186523</v>
      </c>
      <c r="L159" s="109">
        <v>0.60428404808044434</v>
      </c>
      <c r="M159" s="109">
        <v>0.48410746455192571</v>
      </c>
      <c r="N159" s="109">
        <v>8.999999612569809E-3</v>
      </c>
      <c r="O159" s="109">
        <v>500</v>
      </c>
      <c r="P159" s="109">
        <v>1</v>
      </c>
      <c r="Q159" s="109">
        <v>204.2</v>
      </c>
      <c r="R159" s="109">
        <f t="shared" si="4"/>
        <v>113.6740341186523</v>
      </c>
      <c r="T159" s="108" t="b">
        <f t="shared" si="5"/>
        <v>0</v>
      </c>
      <c r="W159" s="60">
        <v>158</v>
      </c>
      <c r="X159" s="60" t="s">
        <v>883</v>
      </c>
      <c r="Y159" s="60">
        <v>2.10038209547615E-3</v>
      </c>
      <c r="Z159" s="60">
        <v>252</v>
      </c>
      <c r="AA159" s="60" t="s">
        <v>792</v>
      </c>
      <c r="AB159" s="60">
        <v>8.9999999999999993E-3</v>
      </c>
      <c r="AC159" s="60"/>
      <c r="AD159" s="60" t="s">
        <v>793</v>
      </c>
      <c r="AE159" s="60"/>
      <c r="AF159" s="60"/>
      <c r="AG159" s="60" t="s">
        <v>623</v>
      </c>
      <c r="AH159" s="60" t="s">
        <v>597</v>
      </c>
      <c r="AI159" s="60" t="s">
        <v>883</v>
      </c>
      <c r="AJ159" s="60">
        <v>0</v>
      </c>
      <c r="AK159" s="60">
        <v>-61.282573699951101</v>
      </c>
      <c r="AL159" s="60">
        <v>1.22869384288787</v>
      </c>
      <c r="AM159" s="60">
        <v>4.4286026954650799</v>
      </c>
      <c r="AN159" s="60">
        <v>0</v>
      </c>
      <c r="AO159" s="60">
        <v>3</v>
      </c>
      <c r="AP159" s="60">
        <v>8.9999996125698003E-3</v>
      </c>
      <c r="AQ159" s="60">
        <v>0</v>
      </c>
      <c r="AR159" s="60">
        <v>250</v>
      </c>
      <c r="AS159" s="60">
        <v>1</v>
      </c>
      <c r="AT159" s="60">
        <v>156.4</v>
      </c>
      <c r="AU159" s="60">
        <v>19.780254364013601</v>
      </c>
    </row>
    <row r="160" spans="1:47" ht="15" customHeight="1" x14ac:dyDescent="0.25">
      <c r="A160" s="109">
        <v>69</v>
      </c>
      <c r="B160" s="109">
        <v>79</v>
      </c>
      <c r="C160" s="109">
        <v>156.4</v>
      </c>
      <c r="D160" s="109" t="s">
        <v>792</v>
      </c>
      <c r="E160" s="109">
        <v>8.9999999999999993E-3</v>
      </c>
      <c r="F160" s="109" t="s">
        <v>793</v>
      </c>
      <c r="G160" s="109" t="s">
        <v>640</v>
      </c>
      <c r="H160" s="109" t="s">
        <v>639</v>
      </c>
      <c r="I160" t="s">
        <v>125</v>
      </c>
      <c r="J160" s="109">
        <v>0</v>
      </c>
      <c r="K160" s="109">
        <v>-25.138153076171879</v>
      </c>
      <c r="L160" s="109">
        <v>1.3084815740585329</v>
      </c>
      <c r="M160" s="109">
        <v>10.385706901550289</v>
      </c>
      <c r="N160" s="109">
        <v>8.999999612569809E-3</v>
      </c>
      <c r="O160" s="109">
        <v>150</v>
      </c>
      <c r="P160" s="109">
        <v>1</v>
      </c>
      <c r="Q160" s="109">
        <v>204.2</v>
      </c>
      <c r="R160" s="109">
        <f t="shared" si="4"/>
        <v>25.138153076171879</v>
      </c>
      <c r="T160" s="108" t="b">
        <f t="shared" si="5"/>
        <v>0</v>
      </c>
      <c r="W160" s="60">
        <v>159</v>
      </c>
      <c r="X160" s="60" t="s">
        <v>884</v>
      </c>
      <c r="Y160" s="60">
        <v>8.6792257304496405E-4</v>
      </c>
      <c r="Z160" s="60">
        <v>204.2</v>
      </c>
      <c r="AA160" s="60" t="s">
        <v>792</v>
      </c>
      <c r="AB160" s="60">
        <v>8.9999999999999993E-3</v>
      </c>
      <c r="AC160" s="60"/>
      <c r="AD160" s="60" t="s">
        <v>793</v>
      </c>
      <c r="AE160" s="60"/>
      <c r="AF160" s="60"/>
      <c r="AG160" s="60" t="s">
        <v>745</v>
      </c>
      <c r="AH160" s="60" t="s">
        <v>664</v>
      </c>
      <c r="AI160" s="60" t="s">
        <v>884</v>
      </c>
      <c r="AJ160" s="60">
        <v>0</v>
      </c>
      <c r="AK160" s="60">
        <v>-27.297904968261701</v>
      </c>
      <c r="AL160" s="60">
        <v>0.83353841304778997</v>
      </c>
      <c r="AM160" s="60">
        <v>0</v>
      </c>
      <c r="AN160" s="60">
        <v>0</v>
      </c>
      <c r="AO160" s="60">
        <v>3</v>
      </c>
      <c r="AP160" s="60">
        <v>8.9999996125698003E-3</v>
      </c>
      <c r="AQ160" s="60">
        <v>0</v>
      </c>
      <c r="AR160" s="60">
        <v>200</v>
      </c>
      <c r="AS160" s="60">
        <v>1</v>
      </c>
      <c r="AT160" s="60">
        <v>156.4</v>
      </c>
      <c r="AU160" s="60">
        <v>23.015022277831999</v>
      </c>
    </row>
    <row r="161" spans="1:47" ht="15" customHeight="1" x14ac:dyDescent="0.25">
      <c r="A161" s="109">
        <v>70</v>
      </c>
      <c r="B161" s="109">
        <v>50.7</v>
      </c>
      <c r="C161" s="109">
        <v>156.4</v>
      </c>
      <c r="D161" s="109" t="s">
        <v>792</v>
      </c>
      <c r="E161" s="109">
        <v>8.9999999999999993E-3</v>
      </c>
      <c r="F161" s="109" t="s">
        <v>793</v>
      </c>
      <c r="G161" s="109" t="s">
        <v>641</v>
      </c>
      <c r="H161" s="109" t="s">
        <v>640</v>
      </c>
      <c r="I161" t="s">
        <v>124</v>
      </c>
      <c r="J161" s="109">
        <v>0</v>
      </c>
      <c r="K161" s="109">
        <v>-24.396430969238281</v>
      </c>
      <c r="L161" s="109">
        <v>1.2698738574981689</v>
      </c>
      <c r="M161" s="109">
        <v>9.7819814682006836</v>
      </c>
      <c r="N161" s="109">
        <v>8.999999612569809E-3</v>
      </c>
      <c r="O161" s="109">
        <v>150</v>
      </c>
      <c r="P161" s="109">
        <v>1</v>
      </c>
      <c r="Q161" s="109">
        <v>204.2</v>
      </c>
      <c r="R161" s="109">
        <f t="shared" si="4"/>
        <v>24.396430969238281</v>
      </c>
      <c r="T161" s="108" t="b">
        <f t="shared" si="5"/>
        <v>0</v>
      </c>
      <c r="W161" s="60">
        <v>160</v>
      </c>
      <c r="X161" s="60" t="s">
        <v>885</v>
      </c>
      <c r="Y161" s="60">
        <v>6.7400953305925401E-4</v>
      </c>
      <c r="Z161" s="60">
        <v>204.2</v>
      </c>
      <c r="AA161" s="60" t="s">
        <v>792</v>
      </c>
      <c r="AB161" s="60">
        <v>8.9999999999999993E-3</v>
      </c>
      <c r="AC161" s="60"/>
      <c r="AD161" s="60" t="s">
        <v>793</v>
      </c>
      <c r="AE161" s="60"/>
      <c r="AF161" s="60"/>
      <c r="AG161" s="60" t="s">
        <v>664</v>
      </c>
      <c r="AH161" s="60" t="s">
        <v>663</v>
      </c>
      <c r="AI161" s="60" t="s">
        <v>885</v>
      </c>
      <c r="AJ161" s="60">
        <v>0</v>
      </c>
      <c r="AK161" s="60">
        <v>-48.899845123291001</v>
      </c>
      <c r="AL161" s="60">
        <v>1.4931510686874301</v>
      </c>
      <c r="AM161" s="60">
        <v>0</v>
      </c>
      <c r="AN161" s="60">
        <v>0</v>
      </c>
      <c r="AO161" s="60">
        <v>3</v>
      </c>
      <c r="AP161" s="60">
        <v>8.9999996125698003E-3</v>
      </c>
      <c r="AQ161" s="60">
        <v>0</v>
      </c>
      <c r="AR161" s="60">
        <v>200</v>
      </c>
      <c r="AS161" s="60">
        <v>1</v>
      </c>
      <c r="AT161" s="60">
        <v>156.4</v>
      </c>
      <c r="AU161" s="60">
        <v>23.410839080810501</v>
      </c>
    </row>
    <row r="162" spans="1:47" ht="15" customHeight="1" x14ac:dyDescent="0.25">
      <c r="A162" s="109">
        <v>68</v>
      </c>
      <c r="B162" s="109">
        <v>73.099999999999994</v>
      </c>
      <c r="C162" s="109">
        <v>156.4</v>
      </c>
      <c r="D162" s="109" t="s">
        <v>792</v>
      </c>
      <c r="E162" s="109">
        <v>8.9999999999999993E-3</v>
      </c>
      <c r="F162" s="109" t="s">
        <v>793</v>
      </c>
      <c r="G162" s="109" t="s">
        <v>642</v>
      </c>
      <c r="H162" s="109" t="s">
        <v>641</v>
      </c>
      <c r="I162" t="s">
        <v>123</v>
      </c>
      <c r="J162" s="109">
        <v>0</v>
      </c>
      <c r="K162" s="109">
        <v>-23.688943862915039</v>
      </c>
      <c r="L162" s="109">
        <v>1.2330479621887209</v>
      </c>
      <c r="M162" s="109">
        <v>9.2228012084960938</v>
      </c>
      <c r="N162" s="109">
        <v>8.999999612569809E-3</v>
      </c>
      <c r="O162" s="109">
        <v>150</v>
      </c>
      <c r="P162" s="109">
        <v>1</v>
      </c>
      <c r="Q162" s="109">
        <v>204.2</v>
      </c>
      <c r="R162" s="109">
        <f t="shared" si="4"/>
        <v>23.688943862915039</v>
      </c>
      <c r="T162" s="108" t="b">
        <f t="shared" si="5"/>
        <v>0</v>
      </c>
      <c r="W162" s="60">
        <v>161</v>
      </c>
      <c r="X162" s="60" t="s">
        <v>201</v>
      </c>
      <c r="Y162" s="60">
        <v>8.5948349349113898E-4</v>
      </c>
      <c r="Z162" s="60">
        <v>156.4</v>
      </c>
      <c r="AA162" s="60" t="s">
        <v>792</v>
      </c>
      <c r="AB162" s="60">
        <v>8.9999999999999993E-3</v>
      </c>
      <c r="AC162" s="60"/>
      <c r="AD162" s="60" t="s">
        <v>793</v>
      </c>
      <c r="AE162" s="60"/>
      <c r="AF162" s="60"/>
      <c r="AG162" s="60" t="s">
        <v>664</v>
      </c>
      <c r="AH162" s="60" t="s">
        <v>665</v>
      </c>
      <c r="AI162" s="60" t="s">
        <v>201</v>
      </c>
      <c r="AJ162" s="60">
        <v>0</v>
      </c>
      <c r="AK162" s="60">
        <v>20.084264755248999</v>
      </c>
      <c r="AL162" s="60">
        <v>1.0454186201095499</v>
      </c>
      <c r="AM162" s="60">
        <v>10.8224973678588</v>
      </c>
      <c r="AN162" s="60">
        <v>0</v>
      </c>
      <c r="AO162" s="60">
        <v>3</v>
      </c>
      <c r="AP162" s="60">
        <v>8.9999996125698003E-3</v>
      </c>
      <c r="AQ162" s="60">
        <v>0</v>
      </c>
      <c r="AR162" s="60">
        <v>150</v>
      </c>
      <c r="AS162" s="60">
        <v>1</v>
      </c>
      <c r="AT162" s="60">
        <v>108.4</v>
      </c>
      <c r="AU162" s="60">
        <v>0.86098748445510798</v>
      </c>
    </row>
    <row r="163" spans="1:47" ht="15" customHeight="1" x14ac:dyDescent="0.25">
      <c r="A163" s="109">
        <v>67</v>
      </c>
      <c r="B163" s="109">
        <v>58.1</v>
      </c>
      <c r="C163" s="109">
        <v>156.4</v>
      </c>
      <c r="D163" s="109" t="s">
        <v>792</v>
      </c>
      <c r="E163" s="109">
        <v>8.9999999999999993E-3</v>
      </c>
      <c r="F163" s="109" t="s">
        <v>793</v>
      </c>
      <c r="G163" s="109" t="s">
        <v>643</v>
      </c>
      <c r="H163" s="109" t="s">
        <v>642</v>
      </c>
      <c r="I163" t="s">
        <v>122</v>
      </c>
      <c r="J163" s="109">
        <v>0</v>
      </c>
      <c r="K163" s="109">
        <v>-22.9415168762207</v>
      </c>
      <c r="L163" s="109">
        <v>1.1941431760787959</v>
      </c>
      <c r="M163" s="109">
        <v>8.649993896484375</v>
      </c>
      <c r="N163" s="109">
        <v>8.999999612569809E-3</v>
      </c>
      <c r="O163" s="109">
        <v>150</v>
      </c>
      <c r="P163" s="109">
        <v>1</v>
      </c>
      <c r="Q163" s="109">
        <v>204.2</v>
      </c>
      <c r="R163" s="109">
        <f t="shared" si="4"/>
        <v>22.9415168762207</v>
      </c>
      <c r="T163" s="108" t="b">
        <f t="shared" si="5"/>
        <v>0</v>
      </c>
      <c r="W163" s="60">
        <v>162</v>
      </c>
      <c r="X163" s="60" t="s">
        <v>199</v>
      </c>
      <c r="Y163" s="60">
        <v>6.6271046897451705E-4</v>
      </c>
      <c r="Z163" s="60">
        <v>156.4</v>
      </c>
      <c r="AA163" s="60" t="s">
        <v>792</v>
      </c>
      <c r="AB163" s="60">
        <v>8.9999999999999993E-3</v>
      </c>
      <c r="AC163" s="60"/>
      <c r="AD163" s="60" t="s">
        <v>793</v>
      </c>
      <c r="AE163" s="60"/>
      <c r="AF163" s="60"/>
      <c r="AG163" s="60" t="s">
        <v>665</v>
      </c>
      <c r="AH163" s="60" t="s">
        <v>666</v>
      </c>
      <c r="AI163" s="60" t="s">
        <v>199</v>
      </c>
      <c r="AJ163" s="60">
        <v>0</v>
      </c>
      <c r="AK163" s="60">
        <v>19.125732421875</v>
      </c>
      <c r="AL163" s="60">
        <v>0.99552541971206598</v>
      </c>
      <c r="AM163" s="60">
        <v>0</v>
      </c>
      <c r="AN163" s="60">
        <v>0</v>
      </c>
      <c r="AO163" s="60">
        <v>3</v>
      </c>
      <c r="AP163" s="60">
        <v>8.9999996125698003E-3</v>
      </c>
      <c r="AQ163" s="60">
        <v>0</v>
      </c>
      <c r="AR163" s="60">
        <v>150</v>
      </c>
      <c r="AS163" s="60">
        <v>1</v>
      </c>
      <c r="AT163" s="60">
        <v>156.4</v>
      </c>
      <c r="AU163" s="60">
        <v>1.65475833415985</v>
      </c>
    </row>
    <row r="164" spans="1:47" ht="15" customHeight="1" x14ac:dyDescent="0.25">
      <c r="A164" s="109">
        <v>66</v>
      </c>
      <c r="B164" s="109">
        <v>216.2</v>
      </c>
      <c r="C164" s="109">
        <v>156.4</v>
      </c>
      <c r="D164" s="109" t="s">
        <v>792</v>
      </c>
      <c r="E164" s="109">
        <v>8.9999999999999993E-3</v>
      </c>
      <c r="F164" s="109" t="s">
        <v>793</v>
      </c>
      <c r="G164" s="109" t="s">
        <v>644</v>
      </c>
      <c r="H164" s="109" t="s">
        <v>643</v>
      </c>
      <c r="I164" t="s">
        <v>121</v>
      </c>
      <c r="J164" s="109">
        <v>0</v>
      </c>
      <c r="K164" s="109">
        <v>-21.378194808959961</v>
      </c>
      <c r="L164" s="109">
        <v>1.112769722938538</v>
      </c>
      <c r="M164" s="109">
        <v>7.5112552642822266</v>
      </c>
      <c r="N164" s="109">
        <v>8.999999612569809E-3</v>
      </c>
      <c r="O164" s="109">
        <v>150</v>
      </c>
      <c r="P164" s="109">
        <v>1</v>
      </c>
      <c r="Q164" s="109">
        <v>156.4</v>
      </c>
      <c r="R164" s="109">
        <f t="shared" si="4"/>
        <v>21.378194808959961</v>
      </c>
      <c r="T164" s="108" t="b">
        <f t="shared" si="5"/>
        <v>0</v>
      </c>
      <c r="W164" s="60">
        <v>163</v>
      </c>
      <c r="X164" s="60" t="s">
        <v>198</v>
      </c>
      <c r="Y164" s="60">
        <v>6.9669214638570602E-4</v>
      </c>
      <c r="Z164" s="60">
        <v>156.4</v>
      </c>
      <c r="AA164" s="60" t="s">
        <v>792</v>
      </c>
      <c r="AB164" s="60">
        <v>8.9999999999999993E-3</v>
      </c>
      <c r="AC164" s="60"/>
      <c r="AD164" s="60" t="s">
        <v>793</v>
      </c>
      <c r="AE164" s="60"/>
      <c r="AF164" s="60"/>
      <c r="AG164" s="60" t="s">
        <v>666</v>
      </c>
      <c r="AH164" s="60" t="s">
        <v>667</v>
      </c>
      <c r="AI164" s="60" t="s">
        <v>198</v>
      </c>
      <c r="AJ164" s="60">
        <v>0</v>
      </c>
      <c r="AK164" s="60">
        <v>18.269899368286101</v>
      </c>
      <c r="AL164" s="60">
        <v>0.95097792148589999</v>
      </c>
      <c r="AM164" s="60">
        <v>13.3513174057006</v>
      </c>
      <c r="AN164" s="60">
        <v>0</v>
      </c>
      <c r="AO164" s="60">
        <v>3</v>
      </c>
      <c r="AP164" s="60">
        <v>8.9999996125698003E-3</v>
      </c>
      <c r="AQ164" s="60">
        <v>0</v>
      </c>
      <c r="AR164" s="60">
        <v>150</v>
      </c>
      <c r="AS164" s="60">
        <v>1</v>
      </c>
      <c r="AT164" s="60">
        <v>156.4</v>
      </c>
      <c r="AU164" s="60">
        <v>2.36348223686218</v>
      </c>
    </row>
    <row r="165" spans="1:47" ht="15" customHeight="1" x14ac:dyDescent="0.25">
      <c r="A165" s="109">
        <v>65</v>
      </c>
      <c r="B165" s="109">
        <v>73.099999999999994</v>
      </c>
      <c r="C165" s="109">
        <v>156.4</v>
      </c>
      <c r="D165" s="109" t="s">
        <v>792</v>
      </c>
      <c r="E165" s="109">
        <v>8.9999999999999993E-3</v>
      </c>
      <c r="F165" s="109" t="s">
        <v>793</v>
      </c>
      <c r="G165" s="109" t="s">
        <v>645</v>
      </c>
      <c r="H165" s="109" t="s">
        <v>644</v>
      </c>
      <c r="I165" t="s">
        <v>119</v>
      </c>
      <c r="J165" s="109">
        <v>0</v>
      </c>
      <c r="K165" s="109">
        <v>-19.729291915893551</v>
      </c>
      <c r="L165" s="109">
        <v>1.026941657066345</v>
      </c>
      <c r="M165" s="109">
        <v>6.3972806930541992</v>
      </c>
      <c r="N165" s="109">
        <v>8.999999612569809E-3</v>
      </c>
      <c r="O165" s="109">
        <v>150</v>
      </c>
      <c r="P165" s="109">
        <v>1</v>
      </c>
      <c r="Q165" s="109">
        <v>156.4</v>
      </c>
      <c r="R165" s="109">
        <f t="shared" si="4"/>
        <v>19.729291915893551</v>
      </c>
      <c r="T165" s="108" t="b">
        <f t="shared" si="5"/>
        <v>0</v>
      </c>
      <c r="W165" s="60">
        <v>164</v>
      </c>
      <c r="X165" s="60" t="s">
        <v>197</v>
      </c>
      <c r="Y165" s="60">
        <v>2.2615198278899901E-3</v>
      </c>
      <c r="Z165" s="60">
        <v>156.4</v>
      </c>
      <c r="AA165" s="60" t="s">
        <v>792</v>
      </c>
      <c r="AB165" s="60">
        <v>8.9999999999999993E-3</v>
      </c>
      <c r="AC165" s="60"/>
      <c r="AD165" s="60" t="s">
        <v>793</v>
      </c>
      <c r="AE165" s="60"/>
      <c r="AF165" s="60"/>
      <c r="AG165" s="60" t="s">
        <v>667</v>
      </c>
      <c r="AH165" s="60" t="s">
        <v>668</v>
      </c>
      <c r="AI165" s="60" t="s">
        <v>197</v>
      </c>
      <c r="AJ165" s="60">
        <v>0</v>
      </c>
      <c r="AK165" s="60">
        <v>16.404186248779201</v>
      </c>
      <c r="AL165" s="60">
        <v>0.85386449098587003</v>
      </c>
      <c r="AM165" s="60">
        <v>4.1130561828613201</v>
      </c>
      <c r="AN165" s="60">
        <v>0</v>
      </c>
      <c r="AO165" s="60">
        <v>3</v>
      </c>
      <c r="AP165" s="60">
        <v>8.9999996125698003E-3</v>
      </c>
      <c r="AQ165" s="60">
        <v>0</v>
      </c>
      <c r="AR165" s="60">
        <v>150</v>
      </c>
      <c r="AS165" s="60">
        <v>1</v>
      </c>
      <c r="AT165" s="60">
        <v>156.4</v>
      </c>
      <c r="AU165" s="60">
        <v>3.9085006713867099</v>
      </c>
    </row>
    <row r="166" spans="1:47" ht="15" customHeight="1" x14ac:dyDescent="0.25">
      <c r="A166" s="109">
        <v>64</v>
      </c>
      <c r="B166" s="109">
        <v>64.8</v>
      </c>
      <c r="C166" s="109">
        <v>156.4</v>
      </c>
      <c r="D166" s="109" t="s">
        <v>792</v>
      </c>
      <c r="E166" s="109">
        <v>8.9999999999999993E-3</v>
      </c>
      <c r="F166" s="109" t="s">
        <v>793</v>
      </c>
      <c r="G166" s="109" t="s">
        <v>646</v>
      </c>
      <c r="H166" s="109" t="s">
        <v>645</v>
      </c>
      <c r="I166" t="s">
        <v>120</v>
      </c>
      <c r="J166" s="109">
        <v>0</v>
      </c>
      <c r="K166" s="109">
        <v>-18.941926956176761</v>
      </c>
      <c r="L166" s="109">
        <v>0.9859580397605896</v>
      </c>
      <c r="M166" s="109">
        <v>5.8968548774719238</v>
      </c>
      <c r="N166" s="109">
        <v>8.999999612569809E-3</v>
      </c>
      <c r="O166" s="109">
        <v>150</v>
      </c>
      <c r="P166" s="109">
        <v>1</v>
      </c>
      <c r="Q166" s="109">
        <v>156.4</v>
      </c>
      <c r="R166" s="109">
        <f t="shared" si="4"/>
        <v>18.941926956176761</v>
      </c>
      <c r="T166" s="108" t="b">
        <f t="shared" si="5"/>
        <v>0</v>
      </c>
      <c r="W166" s="60">
        <v>165</v>
      </c>
      <c r="X166" s="60" t="s">
        <v>196</v>
      </c>
      <c r="Y166" s="60">
        <v>5.6860347243265896E-4</v>
      </c>
      <c r="Z166" s="60">
        <v>156.4</v>
      </c>
      <c r="AA166" s="60" t="s">
        <v>792</v>
      </c>
      <c r="AB166" s="60">
        <v>8.9999999999999993E-3</v>
      </c>
      <c r="AC166" s="60"/>
      <c r="AD166" s="60" t="s">
        <v>793</v>
      </c>
      <c r="AE166" s="60"/>
      <c r="AF166" s="60"/>
      <c r="AG166" s="60" t="s">
        <v>668</v>
      </c>
      <c r="AH166" s="60" t="s">
        <v>669</v>
      </c>
      <c r="AI166" s="60" t="s">
        <v>196</v>
      </c>
      <c r="AJ166" s="60">
        <v>0</v>
      </c>
      <c r="AK166" s="60">
        <v>14.618348121643001</v>
      </c>
      <c r="AL166" s="60">
        <v>0.760908722877502</v>
      </c>
      <c r="AM166" s="60">
        <v>0</v>
      </c>
      <c r="AN166" s="60">
        <v>0</v>
      </c>
      <c r="AO166" s="60">
        <v>3</v>
      </c>
      <c r="AP166" s="60">
        <v>8.9999996125698003E-3</v>
      </c>
      <c r="AQ166" s="60">
        <v>0</v>
      </c>
      <c r="AR166" s="60">
        <v>150</v>
      </c>
      <c r="AS166" s="60">
        <v>1</v>
      </c>
      <c r="AT166" s="60">
        <v>156.4</v>
      </c>
      <c r="AU166" s="60">
        <v>5.3873715400695801</v>
      </c>
    </row>
    <row r="167" spans="1:47" ht="15" customHeight="1" x14ac:dyDescent="0.25">
      <c r="A167" s="109">
        <v>63</v>
      </c>
      <c r="B167" s="109">
        <v>44.9</v>
      </c>
      <c r="C167" s="109">
        <v>156.4</v>
      </c>
      <c r="D167" s="109" t="s">
        <v>792</v>
      </c>
      <c r="E167" s="109">
        <v>8.9999999999999993E-3</v>
      </c>
      <c r="F167" s="109" t="s">
        <v>793</v>
      </c>
      <c r="G167" s="109" t="s">
        <v>647</v>
      </c>
      <c r="H167" s="109" t="s">
        <v>646</v>
      </c>
      <c r="I167" t="s">
        <v>118</v>
      </c>
      <c r="J167" s="109">
        <v>0</v>
      </c>
      <c r="K167" s="109">
        <v>-18.314315795898441</v>
      </c>
      <c r="L167" s="109">
        <v>0.95328986644744873</v>
      </c>
      <c r="M167" s="109">
        <v>5.5125861167907706</v>
      </c>
      <c r="N167" s="109">
        <v>8.999999612569809E-3</v>
      </c>
      <c r="O167" s="109">
        <v>150</v>
      </c>
      <c r="P167" s="109">
        <v>1</v>
      </c>
      <c r="Q167" s="109">
        <v>156.4</v>
      </c>
      <c r="R167" s="109">
        <f t="shared" si="4"/>
        <v>18.314315795898441</v>
      </c>
      <c r="T167" s="108" t="b">
        <f t="shared" si="5"/>
        <v>0</v>
      </c>
      <c r="W167" s="60">
        <v>166</v>
      </c>
      <c r="X167" s="60" t="s">
        <v>195</v>
      </c>
      <c r="Y167" s="60">
        <v>3.7100816436672898E-4</v>
      </c>
      <c r="Z167" s="60">
        <v>156.4</v>
      </c>
      <c r="AA167" s="60" t="s">
        <v>792</v>
      </c>
      <c r="AB167" s="60">
        <v>8.9999999999999993E-3</v>
      </c>
      <c r="AC167" s="60"/>
      <c r="AD167" s="60" t="s">
        <v>793</v>
      </c>
      <c r="AE167" s="60"/>
      <c r="AF167" s="60"/>
      <c r="AG167" s="60" t="s">
        <v>669</v>
      </c>
      <c r="AH167" s="60" t="s">
        <v>670</v>
      </c>
      <c r="AI167" s="60" t="s">
        <v>195</v>
      </c>
      <c r="AJ167" s="60">
        <v>0</v>
      </c>
      <c r="AK167" s="60">
        <v>14.0249710083007</v>
      </c>
      <c r="AL167" s="60">
        <v>0.73002249002456598</v>
      </c>
      <c r="AM167" s="60">
        <v>0</v>
      </c>
      <c r="AN167" s="60">
        <v>0</v>
      </c>
      <c r="AO167" s="60">
        <v>3</v>
      </c>
      <c r="AP167" s="60">
        <v>8.9999996125698003E-3</v>
      </c>
      <c r="AQ167" s="60">
        <v>0</v>
      </c>
      <c r="AR167" s="60">
        <v>150</v>
      </c>
      <c r="AS167" s="60">
        <v>1</v>
      </c>
      <c r="AT167" s="60">
        <v>156.4</v>
      </c>
      <c r="AU167" s="60">
        <v>5.8787536621093697</v>
      </c>
    </row>
    <row r="168" spans="1:47" ht="15" customHeight="1" x14ac:dyDescent="0.25">
      <c r="A168" s="109">
        <v>62</v>
      </c>
      <c r="B168" s="109">
        <v>100.4</v>
      </c>
      <c r="C168" s="109">
        <v>156.4</v>
      </c>
      <c r="D168" s="109" t="s">
        <v>792</v>
      </c>
      <c r="E168" s="109">
        <v>8.9999999999999993E-3</v>
      </c>
      <c r="F168" s="109" t="s">
        <v>793</v>
      </c>
      <c r="G168" s="109" t="s">
        <v>648</v>
      </c>
      <c r="H168" s="109" t="s">
        <v>647</v>
      </c>
      <c r="I168" t="s">
        <v>117</v>
      </c>
      <c r="J168" s="109">
        <v>0</v>
      </c>
      <c r="K168" s="109">
        <v>-17.48701095581055</v>
      </c>
      <c r="L168" s="109">
        <v>0.91022735834121704</v>
      </c>
      <c r="M168" s="109">
        <v>5.0257749557495117</v>
      </c>
      <c r="N168" s="109">
        <v>8.999999612569809E-3</v>
      </c>
      <c r="O168" s="109">
        <v>150</v>
      </c>
      <c r="P168" s="109">
        <v>1</v>
      </c>
      <c r="Q168" s="109">
        <v>156.4</v>
      </c>
      <c r="R168" s="109">
        <f t="shared" si="4"/>
        <v>17.48701095581055</v>
      </c>
      <c r="T168" s="108" t="b">
        <f t="shared" si="5"/>
        <v>0</v>
      </c>
      <c r="W168" s="60">
        <v>167</v>
      </c>
      <c r="X168" s="60" t="s">
        <v>194</v>
      </c>
      <c r="Y168" s="60">
        <v>1.8197553979764801E-3</v>
      </c>
      <c r="Z168" s="60">
        <v>156.4</v>
      </c>
      <c r="AA168" s="60" t="s">
        <v>792</v>
      </c>
      <c r="AB168" s="60">
        <v>8.9999999999999993E-3</v>
      </c>
      <c r="AC168" s="60"/>
      <c r="AD168" s="60" t="s">
        <v>793</v>
      </c>
      <c r="AE168" s="60"/>
      <c r="AF168" s="60"/>
      <c r="AG168" s="60" t="s">
        <v>670</v>
      </c>
      <c r="AH168" s="60" t="s">
        <v>671</v>
      </c>
      <c r="AI168" s="60" t="s">
        <v>194</v>
      </c>
      <c r="AJ168" s="60">
        <v>0</v>
      </c>
      <c r="AK168" s="60">
        <v>12.644228935241699</v>
      </c>
      <c r="AL168" s="60">
        <v>0.65815263986587502</v>
      </c>
      <c r="AM168" s="60">
        <v>5.1115427017211896</v>
      </c>
      <c r="AN168" s="60">
        <v>0</v>
      </c>
      <c r="AO168" s="60">
        <v>3</v>
      </c>
      <c r="AP168" s="60">
        <v>8.9999996125698003E-3</v>
      </c>
      <c r="AQ168" s="60">
        <v>0</v>
      </c>
      <c r="AR168" s="60">
        <v>150</v>
      </c>
      <c r="AS168" s="60">
        <v>1</v>
      </c>
      <c r="AT168" s="60">
        <v>156.4</v>
      </c>
      <c r="AU168" s="60">
        <v>7.0221614837646396</v>
      </c>
    </row>
    <row r="169" spans="1:47" ht="15" customHeight="1" x14ac:dyDescent="0.25">
      <c r="A169" s="109">
        <v>147</v>
      </c>
      <c r="B169" s="109">
        <v>191</v>
      </c>
      <c r="C169" s="109">
        <v>204.2</v>
      </c>
      <c r="D169" s="109" t="s">
        <v>792</v>
      </c>
      <c r="E169" s="109">
        <v>8.9999999999999993E-3</v>
      </c>
      <c r="F169" s="109" t="s">
        <v>793</v>
      </c>
      <c r="G169" s="109" t="s">
        <v>649</v>
      </c>
      <c r="H169" s="109" t="s">
        <v>631</v>
      </c>
      <c r="I169" t="s">
        <v>415</v>
      </c>
      <c r="J169" s="109">
        <v>0</v>
      </c>
      <c r="K169" s="109">
        <v>-34.281181335449219</v>
      </c>
      <c r="L169" s="109">
        <v>1.0467720031738279</v>
      </c>
      <c r="M169" s="109">
        <v>4.6582083702087402</v>
      </c>
      <c r="N169" s="109">
        <v>8.999999612569809E-3</v>
      </c>
      <c r="O169" s="109">
        <v>200</v>
      </c>
      <c r="P169" s="109">
        <v>1</v>
      </c>
      <c r="Q169" s="109">
        <v>72.8</v>
      </c>
      <c r="R169" s="109">
        <f t="shared" si="4"/>
        <v>34.281181335449219</v>
      </c>
      <c r="T169" s="108" t="b">
        <f t="shared" si="5"/>
        <v>0</v>
      </c>
      <c r="W169" s="60">
        <v>168</v>
      </c>
      <c r="X169" s="60" t="s">
        <v>425</v>
      </c>
      <c r="Y169" s="60">
        <v>1.1652604817420299E-3</v>
      </c>
      <c r="Z169" s="60">
        <v>156.4</v>
      </c>
      <c r="AA169" s="60" t="s">
        <v>792</v>
      </c>
      <c r="AB169" s="60">
        <v>8.9999999999999993E-3</v>
      </c>
      <c r="AC169" s="60"/>
      <c r="AD169" s="60" t="s">
        <v>793</v>
      </c>
      <c r="AE169" s="60"/>
      <c r="AF169" s="60"/>
      <c r="AG169" s="60" t="s">
        <v>671</v>
      </c>
      <c r="AH169" s="60" t="s">
        <v>672</v>
      </c>
      <c r="AI169" s="60" t="s">
        <v>425</v>
      </c>
      <c r="AJ169" s="60">
        <v>0</v>
      </c>
      <c r="AK169" s="60">
        <v>10.7613973617553</v>
      </c>
      <c r="AL169" s="60">
        <v>0.56014817953109697</v>
      </c>
      <c r="AM169" s="60">
        <v>0</v>
      </c>
      <c r="AN169" s="60">
        <v>0</v>
      </c>
      <c r="AO169" s="60">
        <v>3</v>
      </c>
      <c r="AP169" s="60">
        <v>8.9999996125698003E-3</v>
      </c>
      <c r="AQ169" s="60">
        <v>0</v>
      </c>
      <c r="AR169" s="60">
        <v>150</v>
      </c>
      <c r="AS169" s="60">
        <v>1</v>
      </c>
      <c r="AT169" s="60">
        <v>156.4</v>
      </c>
      <c r="AU169" s="60">
        <v>8.5813541412353498</v>
      </c>
    </row>
    <row r="170" spans="1:47" ht="15" customHeight="1" x14ac:dyDescent="0.25">
      <c r="A170" s="109">
        <v>146</v>
      </c>
      <c r="B170" s="109">
        <v>202.2</v>
      </c>
      <c r="C170" s="109">
        <v>156.4</v>
      </c>
      <c r="D170" s="109" t="s">
        <v>792</v>
      </c>
      <c r="E170" s="109">
        <v>8.9999999999999993E-3</v>
      </c>
      <c r="F170" s="109" t="s">
        <v>793</v>
      </c>
      <c r="G170" s="109" t="s">
        <v>649</v>
      </c>
      <c r="H170" s="109" t="s">
        <v>648</v>
      </c>
      <c r="I170" t="s">
        <v>116</v>
      </c>
      <c r="J170" s="109">
        <v>0</v>
      </c>
      <c r="K170" s="109">
        <v>-15.76393508911133</v>
      </c>
      <c r="L170" s="109">
        <v>0.82053840160369873</v>
      </c>
      <c r="M170" s="109">
        <v>4.0841250419616699</v>
      </c>
      <c r="N170" s="109">
        <v>8.999999612569809E-3</v>
      </c>
      <c r="O170" s="109">
        <v>150</v>
      </c>
      <c r="P170" s="109">
        <v>1</v>
      </c>
      <c r="Q170" s="109">
        <v>156.4</v>
      </c>
      <c r="R170" s="109">
        <f t="shared" si="4"/>
        <v>15.76393508911133</v>
      </c>
      <c r="T170" s="108" t="b">
        <f t="shared" si="5"/>
        <v>0</v>
      </c>
      <c r="W170" s="60">
        <v>169</v>
      </c>
      <c r="X170" s="60" t="s">
        <v>183</v>
      </c>
      <c r="Y170" s="60">
        <v>1.0040905094101801E-3</v>
      </c>
      <c r="Z170" s="60">
        <v>108.4</v>
      </c>
      <c r="AA170" s="60" t="s">
        <v>792</v>
      </c>
      <c r="AB170" s="60">
        <v>8.9999999999999993E-3</v>
      </c>
      <c r="AC170" s="60"/>
      <c r="AD170" s="60" t="s">
        <v>793</v>
      </c>
      <c r="AE170" s="60"/>
      <c r="AF170" s="60"/>
      <c r="AG170" s="60" t="s">
        <v>672</v>
      </c>
      <c r="AH170" s="60" t="s">
        <v>673</v>
      </c>
      <c r="AI170" s="60" t="s">
        <v>183</v>
      </c>
      <c r="AJ170" s="60">
        <v>0</v>
      </c>
      <c r="AK170" s="60">
        <v>9.3920660018920898</v>
      </c>
      <c r="AL170" s="60">
        <v>1.01767790317535</v>
      </c>
      <c r="AM170" s="60">
        <v>9.2638635635375906</v>
      </c>
      <c r="AN170" s="60">
        <v>0</v>
      </c>
      <c r="AO170" s="60">
        <v>3</v>
      </c>
      <c r="AP170" s="60">
        <v>8.9999996125698003E-3</v>
      </c>
      <c r="AQ170" s="60">
        <v>0</v>
      </c>
      <c r="AR170" s="60">
        <v>100</v>
      </c>
      <c r="AS170" s="60">
        <v>1</v>
      </c>
      <c r="AT170" s="60">
        <v>156.4</v>
      </c>
      <c r="AU170" s="60">
        <v>9.7153120040893501</v>
      </c>
    </row>
    <row r="171" spans="1:47" ht="15" customHeight="1" x14ac:dyDescent="0.2">
      <c r="A171" s="109">
        <v>104</v>
      </c>
      <c r="B171" s="109">
        <v>321.7</v>
      </c>
      <c r="C171" s="109">
        <v>299.8</v>
      </c>
      <c r="D171" s="109" t="s">
        <v>792</v>
      </c>
      <c r="E171" s="109">
        <v>8.9999999999999993E-3</v>
      </c>
      <c r="F171" s="109" t="s">
        <v>793</v>
      </c>
      <c r="G171" s="109" t="s">
        <v>587</v>
      </c>
      <c r="H171" s="109" t="s">
        <v>686</v>
      </c>
      <c r="I171" s="60" t="s">
        <v>409</v>
      </c>
      <c r="J171" s="109">
        <v>0</v>
      </c>
      <c r="K171" s="109">
        <v>79.282783508300781</v>
      </c>
      <c r="L171" s="109">
        <v>1.1231129169464109</v>
      </c>
      <c r="M171" s="109">
        <v>3.2140364646911621</v>
      </c>
      <c r="N171" s="109">
        <v>8.999999612569809E-3</v>
      </c>
      <c r="O171" s="109">
        <v>300</v>
      </c>
      <c r="P171" s="109">
        <v>1</v>
      </c>
      <c r="Q171" s="109">
        <v>156.4</v>
      </c>
      <c r="R171" s="109">
        <f t="shared" si="4"/>
        <v>79.282783508300781</v>
      </c>
      <c r="T171" s="108" t="b">
        <f t="shared" si="5"/>
        <v>0</v>
      </c>
      <c r="W171" s="60">
        <v>170</v>
      </c>
      <c r="X171" s="60" t="s">
        <v>192</v>
      </c>
      <c r="Y171" s="60">
        <v>7.9478098257336905E-4</v>
      </c>
      <c r="Z171" s="60">
        <v>108.4</v>
      </c>
      <c r="AA171" s="60" t="s">
        <v>792</v>
      </c>
      <c r="AB171" s="60">
        <v>8.9999999999999993E-3</v>
      </c>
      <c r="AC171" s="60"/>
      <c r="AD171" s="60" t="s">
        <v>793</v>
      </c>
      <c r="AE171" s="60"/>
      <c r="AF171" s="60"/>
      <c r="AG171" s="60" t="s">
        <v>673</v>
      </c>
      <c r="AH171" s="60" t="s">
        <v>674</v>
      </c>
      <c r="AI171" s="60" t="s">
        <v>192</v>
      </c>
      <c r="AJ171" s="60">
        <v>0</v>
      </c>
      <c r="AK171" s="60">
        <v>8.2566614151000906</v>
      </c>
      <c r="AL171" s="60">
        <v>0.89465105533599798</v>
      </c>
      <c r="AM171" s="60">
        <v>11.703548431396401</v>
      </c>
      <c r="AN171" s="60">
        <v>0</v>
      </c>
      <c r="AO171" s="60">
        <v>3</v>
      </c>
      <c r="AP171" s="60">
        <v>8.9999996125698003E-3</v>
      </c>
      <c r="AQ171" s="60">
        <v>0</v>
      </c>
      <c r="AR171" s="60">
        <v>100</v>
      </c>
      <c r="AS171" s="60">
        <v>1</v>
      </c>
      <c r="AT171" s="60">
        <v>156.4</v>
      </c>
      <c r="AU171" s="60">
        <v>10.6555528640747</v>
      </c>
    </row>
    <row r="172" spans="1:47" ht="15" customHeight="1" x14ac:dyDescent="0.25">
      <c r="A172" s="109">
        <v>145</v>
      </c>
      <c r="B172" s="109">
        <v>166.1</v>
      </c>
      <c r="C172" s="109">
        <v>252</v>
      </c>
      <c r="D172" s="109" t="s">
        <v>792</v>
      </c>
      <c r="E172" s="109">
        <v>8.9999999999999993E-3</v>
      </c>
      <c r="F172" s="109" t="s">
        <v>793</v>
      </c>
      <c r="G172" s="109" t="s">
        <v>650</v>
      </c>
      <c r="H172" s="109" t="s">
        <v>649</v>
      </c>
      <c r="I172" t="s">
        <v>115</v>
      </c>
      <c r="J172" s="109">
        <v>0</v>
      </c>
      <c r="K172" s="109">
        <v>-46.855716705322273</v>
      </c>
      <c r="L172" s="109">
        <v>0.93944048881530762</v>
      </c>
      <c r="M172" s="109">
        <v>2.8346002101898189</v>
      </c>
      <c r="N172" s="109">
        <v>8.999999612569809E-3</v>
      </c>
      <c r="O172" s="109">
        <v>250</v>
      </c>
      <c r="P172" s="109">
        <v>1</v>
      </c>
      <c r="Q172" s="109">
        <v>156.4</v>
      </c>
      <c r="R172" s="109">
        <f t="shared" si="4"/>
        <v>46.855716705322273</v>
      </c>
      <c r="T172" s="108" t="b">
        <f t="shared" si="5"/>
        <v>0</v>
      </c>
      <c r="W172" s="60">
        <v>171</v>
      </c>
      <c r="X172" s="60" t="s">
        <v>230</v>
      </c>
      <c r="Y172" s="60">
        <v>6.6754195798771597E-4</v>
      </c>
      <c r="Z172" s="60">
        <v>97.8</v>
      </c>
      <c r="AA172" s="60" t="s">
        <v>792</v>
      </c>
      <c r="AB172" s="60">
        <v>8.9999999999999993E-3</v>
      </c>
      <c r="AC172" s="60"/>
      <c r="AD172" s="60" t="s">
        <v>793</v>
      </c>
      <c r="AE172" s="60"/>
      <c r="AF172" s="60"/>
      <c r="AG172" s="60" t="s">
        <v>674</v>
      </c>
      <c r="AH172" s="60" t="s">
        <v>675</v>
      </c>
      <c r="AI172" s="60" t="s">
        <v>230</v>
      </c>
      <c r="AJ172" s="60">
        <v>0</v>
      </c>
      <c r="AK172" s="60">
        <v>7.3323631286620996</v>
      </c>
      <c r="AL172" s="60">
        <v>0.97605437040328902</v>
      </c>
      <c r="AM172" s="60">
        <v>0</v>
      </c>
      <c r="AN172" s="60">
        <v>0</v>
      </c>
      <c r="AO172" s="60">
        <v>3</v>
      </c>
      <c r="AP172" s="60">
        <v>8.9999996125698003E-3</v>
      </c>
      <c r="AQ172" s="60">
        <v>0</v>
      </c>
      <c r="AR172" s="60">
        <v>100</v>
      </c>
      <c r="AS172" s="60">
        <v>1</v>
      </c>
      <c r="AT172" s="60">
        <v>156.4</v>
      </c>
      <c r="AU172" s="60">
        <v>11.4209747314453</v>
      </c>
    </row>
    <row r="173" spans="1:47" ht="15" customHeight="1" x14ac:dyDescent="0.25">
      <c r="A173" s="109">
        <v>61</v>
      </c>
      <c r="B173" s="109">
        <v>584.1</v>
      </c>
      <c r="C173" s="109">
        <v>204.2</v>
      </c>
      <c r="D173" s="109" t="s">
        <v>792</v>
      </c>
      <c r="E173" s="109">
        <v>8.9999999999999993E-3</v>
      </c>
      <c r="F173" s="109" t="s">
        <v>793</v>
      </c>
      <c r="G173" s="109" t="s">
        <v>651</v>
      </c>
      <c r="H173" s="109" t="s">
        <v>650</v>
      </c>
      <c r="I173" t="s">
        <v>424</v>
      </c>
      <c r="J173" s="109">
        <v>0</v>
      </c>
      <c r="K173" s="109">
        <v>-42.576553344726563</v>
      </c>
      <c r="L173" s="109">
        <v>1.30007016658783</v>
      </c>
      <c r="M173" s="109">
        <v>7.1853809356689453</v>
      </c>
      <c r="N173" s="109">
        <v>8.999999612569809E-3</v>
      </c>
      <c r="O173" s="109">
        <v>200</v>
      </c>
      <c r="P173" s="109">
        <v>1</v>
      </c>
      <c r="Q173" s="109">
        <v>156.4</v>
      </c>
      <c r="R173" s="109">
        <f t="shared" si="4"/>
        <v>42.576553344726563</v>
      </c>
      <c r="T173" s="108" t="b">
        <f t="shared" si="5"/>
        <v>0</v>
      </c>
      <c r="W173" s="60">
        <v>172</v>
      </c>
      <c r="X173" s="60" t="s">
        <v>214</v>
      </c>
      <c r="Y173" s="60">
        <v>1.05206161947854E-3</v>
      </c>
      <c r="Z173" s="60">
        <v>72.8</v>
      </c>
      <c r="AA173" s="60" t="s">
        <v>792</v>
      </c>
      <c r="AB173" s="60">
        <v>8.9999999999999993E-3</v>
      </c>
      <c r="AC173" s="60"/>
      <c r="AD173" s="60" t="s">
        <v>793</v>
      </c>
      <c r="AE173" s="60"/>
      <c r="AF173" s="60"/>
      <c r="AG173" s="60" t="s">
        <v>676</v>
      </c>
      <c r="AH173" s="60" t="s">
        <v>677</v>
      </c>
      <c r="AI173" s="60" t="s">
        <v>214</v>
      </c>
      <c r="AJ173" s="60">
        <v>0</v>
      </c>
      <c r="AK173" s="60">
        <v>3.41835618019104</v>
      </c>
      <c r="AL173" s="60">
        <v>0.821225345134735</v>
      </c>
      <c r="AM173" s="60">
        <v>8.8414573669433594</v>
      </c>
      <c r="AN173" s="60">
        <v>0</v>
      </c>
      <c r="AO173" s="60">
        <v>3</v>
      </c>
      <c r="AP173" s="60">
        <v>8.9999996125698003E-3</v>
      </c>
      <c r="AQ173" s="60">
        <v>0</v>
      </c>
      <c r="AR173" s="60">
        <v>75</v>
      </c>
      <c r="AS173" s="60">
        <v>1</v>
      </c>
      <c r="AT173" s="60">
        <v>156.4</v>
      </c>
      <c r="AU173" s="60">
        <v>14.6622056961059</v>
      </c>
    </row>
    <row r="174" spans="1:47" ht="15" customHeight="1" x14ac:dyDescent="0.2">
      <c r="A174" s="109">
        <v>78</v>
      </c>
      <c r="B174" s="109">
        <v>79.900000000000006</v>
      </c>
      <c r="C174" s="109">
        <v>252</v>
      </c>
      <c r="D174" s="109" t="s">
        <v>792</v>
      </c>
      <c r="E174" s="109">
        <v>8.9999999999999993E-3</v>
      </c>
      <c r="F174" s="109" t="s">
        <v>793</v>
      </c>
      <c r="G174" s="109" t="s">
        <v>652</v>
      </c>
      <c r="H174" s="109" t="s">
        <v>653</v>
      </c>
      <c r="I174" s="60" t="s">
        <v>181</v>
      </c>
      <c r="J174" s="109">
        <v>0</v>
      </c>
      <c r="K174" s="109">
        <v>63.329761505126953</v>
      </c>
      <c r="L174" s="109">
        <v>1.2697392702102659</v>
      </c>
      <c r="M174" s="109">
        <v>5.1782503128051758</v>
      </c>
      <c r="N174" s="109">
        <v>8.999999612569809E-3</v>
      </c>
      <c r="O174" s="109">
        <v>250</v>
      </c>
      <c r="P174" s="109">
        <v>1</v>
      </c>
      <c r="Q174" s="109">
        <v>204.2</v>
      </c>
      <c r="R174" s="109">
        <f t="shared" si="4"/>
        <v>63.329761505126953</v>
      </c>
      <c r="T174" s="108" t="b">
        <f t="shared" si="5"/>
        <v>0</v>
      </c>
      <c r="W174" s="60">
        <v>173</v>
      </c>
      <c r="X174" s="60" t="s">
        <v>215</v>
      </c>
      <c r="Y174" s="60">
        <v>2.2430487660117502E-3</v>
      </c>
      <c r="Z174" s="60">
        <v>94.4</v>
      </c>
      <c r="AA174" s="60" t="s">
        <v>792</v>
      </c>
      <c r="AB174" s="60">
        <v>8.9999999999999993E-3</v>
      </c>
      <c r="AC174" s="60"/>
      <c r="AD174" s="60" t="s">
        <v>793</v>
      </c>
      <c r="AE174" s="60"/>
      <c r="AF174" s="60"/>
      <c r="AG174" s="60" t="s">
        <v>675</v>
      </c>
      <c r="AH174" s="60" t="s">
        <v>676</v>
      </c>
      <c r="AI174" s="60" t="s">
        <v>215</v>
      </c>
      <c r="AJ174" s="60">
        <v>0</v>
      </c>
      <c r="AK174" s="60">
        <v>5.4951758384704501</v>
      </c>
      <c r="AL174" s="60">
        <v>0.785136878490448</v>
      </c>
      <c r="AM174" s="60">
        <v>8.2938528060912997</v>
      </c>
      <c r="AN174" s="60">
        <v>0</v>
      </c>
      <c r="AO174" s="60">
        <v>3</v>
      </c>
      <c r="AP174" s="60">
        <v>8.9999996125698003E-3</v>
      </c>
      <c r="AQ174" s="60">
        <v>0</v>
      </c>
      <c r="AR174" s="60">
        <v>100</v>
      </c>
      <c r="AS174" s="60">
        <v>1</v>
      </c>
      <c r="AT174" s="60">
        <v>156.4</v>
      </c>
      <c r="AU174" s="60">
        <v>12.942369461059499</v>
      </c>
    </row>
    <row r="175" spans="1:47" ht="15" customHeight="1" x14ac:dyDescent="0.2">
      <c r="A175" s="109">
        <v>80</v>
      </c>
      <c r="B175" s="109">
        <v>87.3</v>
      </c>
      <c r="C175" s="109">
        <v>252</v>
      </c>
      <c r="D175" s="109" t="s">
        <v>792</v>
      </c>
      <c r="E175" s="109">
        <v>8.9999999999999993E-3</v>
      </c>
      <c r="F175" s="109" t="s">
        <v>793</v>
      </c>
      <c r="G175" s="109" t="s">
        <v>653</v>
      </c>
      <c r="H175" s="109" t="s">
        <v>654</v>
      </c>
      <c r="I175" s="60" t="s">
        <v>179</v>
      </c>
      <c r="J175" s="109">
        <v>0</v>
      </c>
      <c r="K175" s="109">
        <v>62.376930236816413</v>
      </c>
      <c r="L175" s="109">
        <v>1.2506353855133061</v>
      </c>
      <c r="M175" s="109">
        <v>5.0235886573791504</v>
      </c>
      <c r="N175" s="109">
        <v>8.999999612569809E-3</v>
      </c>
      <c r="O175" s="109">
        <v>250</v>
      </c>
      <c r="P175" s="109">
        <v>1</v>
      </c>
      <c r="Q175" s="109">
        <v>204.2</v>
      </c>
      <c r="R175" s="109">
        <f t="shared" si="4"/>
        <v>62.376930236816413</v>
      </c>
      <c r="T175" s="108" t="b">
        <f t="shared" si="5"/>
        <v>0</v>
      </c>
      <c r="W175" s="60">
        <v>174</v>
      </c>
      <c r="X175" s="60" t="s">
        <v>213</v>
      </c>
      <c r="Y175" s="60">
        <v>1.1534803055837401E-3</v>
      </c>
      <c r="Z175" s="60">
        <v>54.6</v>
      </c>
      <c r="AA175" s="60" t="s">
        <v>792</v>
      </c>
      <c r="AB175" s="60">
        <v>8.9999999999999993E-3</v>
      </c>
      <c r="AC175" s="60"/>
      <c r="AD175" s="60" t="s">
        <v>793</v>
      </c>
      <c r="AE175" s="60"/>
      <c r="AF175" s="60"/>
      <c r="AG175" s="60" t="s">
        <v>677</v>
      </c>
      <c r="AH175" s="60" t="s">
        <v>678</v>
      </c>
      <c r="AI175" s="60" t="s">
        <v>213</v>
      </c>
      <c r="AJ175" s="60">
        <v>0</v>
      </c>
      <c r="AK175" s="60">
        <v>2.0262024402618399</v>
      </c>
      <c r="AL175" s="60">
        <v>0.86537688970565796</v>
      </c>
      <c r="AM175" s="60">
        <v>24.192241668701101</v>
      </c>
      <c r="AN175" s="60">
        <v>0</v>
      </c>
      <c r="AO175" s="60">
        <v>3</v>
      </c>
      <c r="AP175" s="60">
        <v>8.9999996125698003E-3</v>
      </c>
      <c r="AQ175" s="60">
        <v>0</v>
      </c>
      <c r="AR175" s="60">
        <v>50</v>
      </c>
      <c r="AS175" s="60">
        <v>1</v>
      </c>
      <c r="AT175" s="60">
        <v>156.4</v>
      </c>
      <c r="AU175" s="60">
        <v>15.8150625228881</v>
      </c>
    </row>
    <row r="176" spans="1:47" ht="15" customHeight="1" x14ac:dyDescent="0.2">
      <c r="A176" s="109">
        <v>79</v>
      </c>
      <c r="B176" s="109">
        <v>89</v>
      </c>
      <c r="C176" s="109">
        <v>252</v>
      </c>
      <c r="D176" s="109" t="s">
        <v>792</v>
      </c>
      <c r="E176" s="109">
        <v>8.9999999999999993E-3</v>
      </c>
      <c r="F176" s="109" t="s">
        <v>793</v>
      </c>
      <c r="G176" s="109" t="s">
        <v>654</v>
      </c>
      <c r="H176" s="109" t="s">
        <v>655</v>
      </c>
      <c r="I176" s="60" t="s">
        <v>180</v>
      </c>
      <c r="J176" s="109">
        <v>0</v>
      </c>
      <c r="K176" s="109">
        <v>61.372756958007813</v>
      </c>
      <c r="L176" s="109">
        <v>1.2305020093917849</v>
      </c>
      <c r="M176" s="109">
        <v>4.8631472587585449</v>
      </c>
      <c r="N176" s="109">
        <v>8.999999612569809E-3</v>
      </c>
      <c r="O176" s="109">
        <v>250</v>
      </c>
      <c r="P176" s="109">
        <v>1</v>
      </c>
      <c r="Q176" s="109">
        <v>204.2</v>
      </c>
      <c r="R176" s="109">
        <f t="shared" si="4"/>
        <v>61.372756958007813</v>
      </c>
      <c r="T176" s="108" t="b">
        <f t="shared" si="5"/>
        <v>0</v>
      </c>
      <c r="W176" s="60">
        <v>175</v>
      </c>
      <c r="X176" s="60" t="s">
        <v>212</v>
      </c>
      <c r="Y176" s="60">
        <v>1.24563600416696E-3</v>
      </c>
      <c r="Z176" s="60">
        <v>51.4</v>
      </c>
      <c r="AA176" s="60" t="s">
        <v>792</v>
      </c>
      <c r="AB176" s="60">
        <v>8.9999999999999993E-3</v>
      </c>
      <c r="AC176" s="60"/>
      <c r="AD176" s="60" t="s">
        <v>793</v>
      </c>
      <c r="AE176" s="60"/>
      <c r="AF176" s="60"/>
      <c r="AG176" s="60" t="s">
        <v>678</v>
      </c>
      <c r="AH176" s="60" t="s">
        <v>679</v>
      </c>
      <c r="AI176" s="60" t="s">
        <v>212</v>
      </c>
      <c r="AJ176" s="60">
        <v>0</v>
      </c>
      <c r="AK176" s="60">
        <v>0.50852632522582997</v>
      </c>
      <c r="AL176" s="60">
        <v>0.245072722434997</v>
      </c>
      <c r="AM176" s="60">
        <v>0</v>
      </c>
      <c r="AN176" s="60">
        <v>0</v>
      </c>
      <c r="AO176" s="60">
        <v>3</v>
      </c>
      <c r="AP176" s="60">
        <v>8.9999996125698003E-3</v>
      </c>
      <c r="AQ176" s="60">
        <v>0</v>
      </c>
      <c r="AR176" s="60">
        <v>50</v>
      </c>
      <c r="AS176" s="60">
        <v>1</v>
      </c>
      <c r="AT176" s="60">
        <v>204.2</v>
      </c>
      <c r="AU176" s="60">
        <v>17.0718669891357</v>
      </c>
    </row>
    <row r="177" spans="1:47" ht="15" customHeight="1" x14ac:dyDescent="0.2">
      <c r="A177" s="109">
        <v>81</v>
      </c>
      <c r="B177" s="109">
        <v>88.1</v>
      </c>
      <c r="C177" s="109">
        <v>252</v>
      </c>
      <c r="D177" s="109" t="s">
        <v>792</v>
      </c>
      <c r="E177" s="109">
        <v>8.9999999999999993E-3</v>
      </c>
      <c r="F177" s="109" t="s">
        <v>793</v>
      </c>
      <c r="G177" s="109" t="s">
        <v>655</v>
      </c>
      <c r="H177" s="109" t="s">
        <v>656</v>
      </c>
      <c r="I177" s="60" t="s">
        <v>178</v>
      </c>
      <c r="J177" s="109">
        <v>0</v>
      </c>
      <c r="K177" s="109">
        <v>60.362876892089837</v>
      </c>
      <c r="L177" s="109">
        <v>1.210254311561584</v>
      </c>
      <c r="M177" s="109">
        <v>4.704409122467041</v>
      </c>
      <c r="N177" s="109">
        <v>8.999999612569809E-3</v>
      </c>
      <c r="O177" s="109">
        <v>250</v>
      </c>
      <c r="P177" s="109">
        <v>1</v>
      </c>
      <c r="Q177" s="109">
        <v>204.2</v>
      </c>
      <c r="R177" s="109">
        <f t="shared" si="4"/>
        <v>60.362876892089837</v>
      </c>
      <c r="T177" s="108" t="b">
        <f t="shared" si="5"/>
        <v>0</v>
      </c>
      <c r="W177" s="60">
        <v>176</v>
      </c>
      <c r="X177" s="60" t="s">
        <v>886</v>
      </c>
      <c r="Y177" s="60">
        <v>1.65897297512712E-3</v>
      </c>
      <c r="Z177" s="60">
        <v>156.4</v>
      </c>
      <c r="AA177" s="60" t="s">
        <v>792</v>
      </c>
      <c r="AB177" s="60">
        <v>8.9999999999999993E-3</v>
      </c>
      <c r="AC177" s="60"/>
      <c r="AD177" s="60" t="s">
        <v>793</v>
      </c>
      <c r="AE177" s="60"/>
      <c r="AF177" s="60"/>
      <c r="AG177" s="60" t="s">
        <v>679</v>
      </c>
      <c r="AH177" s="60" t="s">
        <v>774</v>
      </c>
      <c r="AI177" s="60" t="s">
        <v>886</v>
      </c>
      <c r="AJ177" s="60">
        <v>0</v>
      </c>
      <c r="AK177" s="60">
        <v>-9.0540208816528303</v>
      </c>
      <c r="AL177" s="60">
        <v>0.47127649188041598</v>
      </c>
      <c r="AM177" s="60">
        <v>0</v>
      </c>
      <c r="AN177" s="60">
        <v>0</v>
      </c>
      <c r="AO177" s="60">
        <v>3</v>
      </c>
      <c r="AP177" s="60">
        <v>8.9999996125698003E-3</v>
      </c>
      <c r="AQ177" s="60">
        <v>0</v>
      </c>
      <c r="AR177" s="60">
        <v>150</v>
      </c>
      <c r="AS177" s="60">
        <v>1</v>
      </c>
      <c r="AT177" s="60">
        <v>204.2</v>
      </c>
      <c r="AU177" s="60">
        <v>25.5911769866943</v>
      </c>
    </row>
    <row r="178" spans="1:47" ht="15" customHeight="1" x14ac:dyDescent="0.2">
      <c r="A178" s="109">
        <v>82</v>
      </c>
      <c r="B178" s="109">
        <v>76.2</v>
      </c>
      <c r="C178" s="109">
        <v>252</v>
      </c>
      <c r="D178" s="109" t="s">
        <v>792</v>
      </c>
      <c r="E178" s="109">
        <v>8.9999999999999993E-3</v>
      </c>
      <c r="F178" s="109" t="s">
        <v>793</v>
      </c>
      <c r="G178" s="109" t="s">
        <v>656</v>
      </c>
      <c r="H178" s="109" t="s">
        <v>657</v>
      </c>
      <c r="I178" s="60" t="s">
        <v>189</v>
      </c>
      <c r="J178" s="109">
        <v>0</v>
      </c>
      <c r="K178" s="109">
        <v>59.427165985107422</v>
      </c>
      <c r="L178" s="109">
        <v>1.1914936304092409</v>
      </c>
      <c r="M178" s="109">
        <v>4.55975341796875</v>
      </c>
      <c r="N178" s="109">
        <v>8.999999612569809E-3</v>
      </c>
      <c r="O178" s="109">
        <v>250</v>
      </c>
      <c r="P178" s="109">
        <v>1</v>
      </c>
      <c r="Q178" s="109">
        <v>204.2</v>
      </c>
      <c r="R178" s="109">
        <f t="shared" si="4"/>
        <v>59.427165985107422</v>
      </c>
      <c r="T178" s="108" t="b">
        <f t="shared" si="5"/>
        <v>0</v>
      </c>
      <c r="W178" s="60">
        <v>177</v>
      </c>
      <c r="X178" s="60" t="s">
        <v>887</v>
      </c>
      <c r="Y178" s="60">
        <v>2.61123704646704E-3</v>
      </c>
      <c r="Z178" s="60">
        <v>94.4</v>
      </c>
      <c r="AA178" s="60" t="s">
        <v>792</v>
      </c>
      <c r="AB178" s="60">
        <v>8.9999999999999993E-3</v>
      </c>
      <c r="AC178" s="60"/>
      <c r="AD178" s="60" t="s">
        <v>793</v>
      </c>
      <c r="AE178" s="60"/>
      <c r="AF178" s="60"/>
      <c r="AG178" s="60" t="s">
        <v>680</v>
      </c>
      <c r="AH178" s="60" t="s">
        <v>679</v>
      </c>
      <c r="AI178" s="60" t="s">
        <v>887</v>
      </c>
      <c r="AJ178" s="60">
        <v>0</v>
      </c>
      <c r="AK178" s="60">
        <v>-6.0764565467834402</v>
      </c>
      <c r="AL178" s="60">
        <v>0.86818873882293701</v>
      </c>
      <c r="AM178" s="60">
        <v>7.12440681457519</v>
      </c>
      <c r="AN178" s="60">
        <v>0</v>
      </c>
      <c r="AO178" s="60">
        <v>3</v>
      </c>
      <c r="AP178" s="60">
        <v>8.9999996125698003E-3</v>
      </c>
      <c r="AQ178" s="60">
        <v>0</v>
      </c>
      <c r="AR178" s="60">
        <v>100</v>
      </c>
      <c r="AS178" s="60">
        <v>1</v>
      </c>
      <c r="AT178" s="60">
        <v>252</v>
      </c>
      <c r="AU178" s="60">
        <v>45.549911499023402</v>
      </c>
    </row>
    <row r="179" spans="1:47" ht="15" customHeight="1" x14ac:dyDescent="0.2">
      <c r="A179" s="109">
        <v>83</v>
      </c>
      <c r="B179" s="109">
        <v>79.900000000000006</v>
      </c>
      <c r="C179" s="109">
        <v>252</v>
      </c>
      <c r="D179" s="109" t="s">
        <v>792</v>
      </c>
      <c r="E179" s="109">
        <v>8.9999999999999993E-3</v>
      </c>
      <c r="F179" s="109" t="s">
        <v>793</v>
      </c>
      <c r="G179" s="109" t="s">
        <v>657</v>
      </c>
      <c r="H179" s="109" t="s">
        <v>658</v>
      </c>
      <c r="I179" s="60" t="s">
        <v>188</v>
      </c>
      <c r="J179" s="109">
        <v>0</v>
      </c>
      <c r="K179" s="109">
        <v>58.537097930908203</v>
      </c>
      <c r="L179" s="109">
        <v>1.173647999763489</v>
      </c>
      <c r="M179" s="109">
        <v>4.4240975379943848</v>
      </c>
      <c r="N179" s="109">
        <v>8.999999612569809E-3</v>
      </c>
      <c r="O179" s="109">
        <v>250</v>
      </c>
      <c r="P179" s="109">
        <v>1</v>
      </c>
      <c r="Q179" s="109">
        <v>204.2</v>
      </c>
      <c r="R179" s="109">
        <f t="shared" si="4"/>
        <v>58.537097930908203</v>
      </c>
      <c r="T179" s="108" t="b">
        <f t="shared" si="5"/>
        <v>0</v>
      </c>
      <c r="W179" s="60">
        <v>178</v>
      </c>
      <c r="X179" s="60" t="s">
        <v>888</v>
      </c>
      <c r="Y179" s="60">
        <v>1.5313789804473001E-3</v>
      </c>
      <c r="Z179" s="60">
        <v>156.4</v>
      </c>
      <c r="AA179" s="60" t="s">
        <v>792</v>
      </c>
      <c r="AB179" s="60">
        <v>8.9999999999999993E-3</v>
      </c>
      <c r="AC179" s="60"/>
      <c r="AD179" s="60" t="s">
        <v>793</v>
      </c>
      <c r="AE179" s="60"/>
      <c r="AF179" s="60"/>
      <c r="AG179" s="60" t="s">
        <v>774</v>
      </c>
      <c r="AH179" s="60" t="s">
        <v>773</v>
      </c>
      <c r="AI179" s="60" t="s">
        <v>888</v>
      </c>
      <c r="AJ179" s="60">
        <v>0</v>
      </c>
      <c r="AK179" s="60">
        <v>-11.0680789947509</v>
      </c>
      <c r="AL179" s="60">
        <v>0.57611149549484197</v>
      </c>
      <c r="AM179" s="60">
        <v>6.0741057395934996</v>
      </c>
      <c r="AN179" s="60">
        <v>0</v>
      </c>
      <c r="AO179" s="60">
        <v>3</v>
      </c>
      <c r="AP179" s="60">
        <v>8.9999996125698003E-3</v>
      </c>
      <c r="AQ179" s="60">
        <v>0</v>
      </c>
      <c r="AR179" s="60">
        <v>150</v>
      </c>
      <c r="AS179" s="60">
        <v>1</v>
      </c>
      <c r="AT179" s="60">
        <v>204.2</v>
      </c>
      <c r="AU179" s="60">
        <v>23.923311233520501</v>
      </c>
    </row>
    <row r="180" spans="1:47" ht="15" customHeight="1" x14ac:dyDescent="0.2">
      <c r="A180" s="109">
        <v>84</v>
      </c>
      <c r="B180" s="109">
        <v>157.5</v>
      </c>
      <c r="C180" s="109">
        <v>252</v>
      </c>
      <c r="D180" s="109" t="s">
        <v>792</v>
      </c>
      <c r="E180" s="109">
        <v>8.9999999999999993E-3</v>
      </c>
      <c r="F180" s="109" t="s">
        <v>793</v>
      </c>
      <c r="G180" s="109" t="s">
        <v>658</v>
      </c>
      <c r="H180" s="109" t="s">
        <v>659</v>
      </c>
      <c r="I180" s="60" t="s">
        <v>186</v>
      </c>
      <c r="J180" s="109">
        <v>0</v>
      </c>
      <c r="K180" s="109">
        <v>57.179180145263672</v>
      </c>
      <c r="L180" s="109">
        <v>1.146422266960144</v>
      </c>
      <c r="M180" s="109">
        <v>4.221285343170166</v>
      </c>
      <c r="N180" s="109">
        <v>8.999999612569809E-3</v>
      </c>
      <c r="O180" s="109">
        <v>250</v>
      </c>
      <c r="P180" s="109">
        <v>1</v>
      </c>
      <c r="Q180" s="109">
        <v>204.2</v>
      </c>
      <c r="R180" s="109">
        <f t="shared" si="4"/>
        <v>57.179180145263672</v>
      </c>
      <c r="T180" s="108" t="b">
        <f t="shared" si="5"/>
        <v>0</v>
      </c>
      <c r="W180" s="60">
        <v>179</v>
      </c>
      <c r="X180" s="60" t="s">
        <v>889</v>
      </c>
      <c r="Y180" s="60">
        <v>3.1692314387445002E-3</v>
      </c>
      <c r="Z180" s="60">
        <v>156.4</v>
      </c>
      <c r="AA180" s="60" t="s">
        <v>792</v>
      </c>
      <c r="AB180" s="60">
        <v>8.9999999999999993E-3</v>
      </c>
      <c r="AC180" s="60"/>
      <c r="AD180" s="60" t="s">
        <v>793</v>
      </c>
      <c r="AE180" s="60"/>
      <c r="AF180" s="60"/>
      <c r="AG180" s="60" t="s">
        <v>773</v>
      </c>
      <c r="AH180" s="60" t="s">
        <v>772</v>
      </c>
      <c r="AI180" s="60" t="s">
        <v>889</v>
      </c>
      <c r="AJ180" s="60">
        <v>0</v>
      </c>
      <c r="AK180" s="60">
        <v>-14.034964561462401</v>
      </c>
      <c r="AL180" s="60">
        <v>0.73054265975952104</v>
      </c>
      <c r="AM180" s="60">
        <v>2.9350199699401802</v>
      </c>
      <c r="AN180" s="60">
        <v>0</v>
      </c>
      <c r="AO180" s="60">
        <v>3</v>
      </c>
      <c r="AP180" s="60">
        <v>8.9999996125698003E-3</v>
      </c>
      <c r="AQ180" s="60">
        <v>0</v>
      </c>
      <c r="AR180" s="60">
        <v>150</v>
      </c>
      <c r="AS180" s="60">
        <v>1</v>
      </c>
      <c r="AT180" s="60">
        <v>156.4</v>
      </c>
      <c r="AU180" s="60">
        <v>21.466402053833001</v>
      </c>
    </row>
    <row r="181" spans="1:47" ht="15" customHeight="1" x14ac:dyDescent="0.25">
      <c r="A181" s="109">
        <v>143</v>
      </c>
      <c r="B181" s="109">
        <v>133.19999999999999</v>
      </c>
      <c r="C181" s="109">
        <v>204.2</v>
      </c>
      <c r="D181" s="109" t="s">
        <v>792</v>
      </c>
      <c r="E181" s="109">
        <v>8.9999999999999993E-3</v>
      </c>
      <c r="F181" s="109" t="s">
        <v>793</v>
      </c>
      <c r="G181" s="109" t="s">
        <v>588</v>
      </c>
      <c r="H181" s="109" t="s">
        <v>587</v>
      </c>
      <c r="I181" t="s">
        <v>402</v>
      </c>
      <c r="J181" s="109">
        <v>0</v>
      </c>
      <c r="K181" s="109">
        <v>-31.258901596069339</v>
      </c>
      <c r="L181" s="109">
        <v>0.95448696613311768</v>
      </c>
      <c r="M181" s="109">
        <v>3.8730788230896001</v>
      </c>
      <c r="N181" s="109">
        <v>8.999999612569809E-3</v>
      </c>
      <c r="O181" s="109">
        <v>200</v>
      </c>
      <c r="P181" s="109">
        <v>1</v>
      </c>
      <c r="Q181" s="109">
        <v>156.4</v>
      </c>
      <c r="R181" s="109">
        <f t="shared" si="4"/>
        <v>31.258901596069339</v>
      </c>
      <c r="T181" s="108" t="b">
        <f t="shared" si="5"/>
        <v>0</v>
      </c>
      <c r="W181" s="60">
        <v>180</v>
      </c>
      <c r="X181" s="60" t="s">
        <v>275</v>
      </c>
      <c r="Y181" s="60">
        <v>4.2434174662917001E-4</v>
      </c>
      <c r="Z181" s="60">
        <v>156.4</v>
      </c>
      <c r="AA181" s="60" t="s">
        <v>792</v>
      </c>
      <c r="AB181" s="60">
        <v>8.9999999999999993E-3</v>
      </c>
      <c r="AC181" s="60"/>
      <c r="AD181" s="60" t="s">
        <v>793</v>
      </c>
      <c r="AE181" s="60"/>
      <c r="AF181" s="60"/>
      <c r="AG181" s="60" t="s">
        <v>771</v>
      </c>
      <c r="AH181" s="60" t="s">
        <v>772</v>
      </c>
      <c r="AI181" s="60" t="s">
        <v>275</v>
      </c>
      <c r="AJ181" s="60">
        <v>0</v>
      </c>
      <c r="AK181" s="60">
        <v>-20.530227661132798</v>
      </c>
      <c r="AL181" s="60">
        <v>1.06863164901733</v>
      </c>
      <c r="AM181" s="60">
        <v>21.9204406738281</v>
      </c>
      <c r="AN181" s="60">
        <v>0</v>
      </c>
      <c r="AO181" s="60">
        <v>3</v>
      </c>
      <c r="AP181" s="60">
        <v>8.9999996125698003E-3</v>
      </c>
      <c r="AQ181" s="60">
        <v>0</v>
      </c>
      <c r="AR181" s="60">
        <v>150</v>
      </c>
      <c r="AS181" s="60">
        <v>1</v>
      </c>
      <c r="AT181" s="60">
        <v>204.2</v>
      </c>
      <c r="AU181" s="60">
        <v>24.013608932495099</v>
      </c>
    </row>
    <row r="182" spans="1:47" ht="15" customHeight="1" x14ac:dyDescent="0.25">
      <c r="A182" s="109">
        <v>85</v>
      </c>
      <c r="B182" s="109">
        <v>70.400000000000006</v>
      </c>
      <c r="C182" s="109">
        <v>252</v>
      </c>
      <c r="D182" s="109" t="s">
        <v>792</v>
      </c>
      <c r="E182" s="109">
        <v>8.9999999999999993E-3</v>
      </c>
      <c r="F182" s="109" t="s">
        <v>793</v>
      </c>
      <c r="G182" s="109" t="s">
        <v>660</v>
      </c>
      <c r="H182" s="109" t="s">
        <v>659</v>
      </c>
      <c r="I182" t="s">
        <v>187</v>
      </c>
      <c r="J182" s="109">
        <v>0</v>
      </c>
      <c r="K182" s="109">
        <v>-55.878314971923828</v>
      </c>
      <c r="L182" s="109">
        <v>1.1203403472900391</v>
      </c>
      <c r="M182" s="109">
        <v>4.031334400177002</v>
      </c>
      <c r="N182" s="109">
        <v>8.999999612569809E-3</v>
      </c>
      <c r="O182" s="109">
        <v>250</v>
      </c>
      <c r="P182" s="109">
        <v>1</v>
      </c>
      <c r="Q182" s="109">
        <v>204.2</v>
      </c>
      <c r="R182" s="109">
        <f t="shared" si="4"/>
        <v>55.878314971923828</v>
      </c>
      <c r="T182" s="108" t="b">
        <f t="shared" si="5"/>
        <v>0</v>
      </c>
      <c r="W182" s="60">
        <v>181</v>
      </c>
      <c r="X182" s="60" t="s">
        <v>890</v>
      </c>
      <c r="Y182" s="60">
        <v>1.90360344879392E-3</v>
      </c>
      <c r="Z182" s="60">
        <v>204.2</v>
      </c>
      <c r="AA182" s="60" t="s">
        <v>792</v>
      </c>
      <c r="AB182" s="60">
        <v>8.9999999999999993E-3</v>
      </c>
      <c r="AC182" s="60"/>
      <c r="AD182" s="60" t="s">
        <v>793</v>
      </c>
      <c r="AE182" s="60"/>
      <c r="AF182" s="60"/>
      <c r="AG182" s="60" t="s">
        <v>772</v>
      </c>
      <c r="AH182" s="60" t="s">
        <v>651</v>
      </c>
      <c r="AI182" s="60" t="s">
        <v>890</v>
      </c>
      <c r="AJ182" s="60">
        <v>0</v>
      </c>
      <c r="AK182" s="60">
        <v>-38.039871215820298</v>
      </c>
      <c r="AL182" s="60">
        <v>1.16154313087463</v>
      </c>
      <c r="AM182" s="60">
        <v>4.8863945007324201</v>
      </c>
      <c r="AN182" s="60">
        <v>0</v>
      </c>
      <c r="AO182" s="60">
        <v>3</v>
      </c>
      <c r="AP182" s="60">
        <v>8.9999996125698003E-3</v>
      </c>
      <c r="AQ182" s="60">
        <v>0</v>
      </c>
      <c r="AR182" s="60">
        <v>200</v>
      </c>
      <c r="AS182" s="60">
        <v>1</v>
      </c>
      <c r="AT182" s="60">
        <v>97.8</v>
      </c>
      <c r="AU182" s="60">
        <v>5.4246263504028303</v>
      </c>
    </row>
    <row r="183" spans="1:47" ht="15" customHeight="1" x14ac:dyDescent="0.2">
      <c r="A183" s="109">
        <v>184</v>
      </c>
      <c r="B183" s="109">
        <v>87.5</v>
      </c>
      <c r="C183" s="109">
        <v>72.8</v>
      </c>
      <c r="D183" s="109" t="s">
        <v>792</v>
      </c>
      <c r="E183" s="109">
        <v>8.9999999999999993E-3</v>
      </c>
      <c r="F183" s="109" t="s">
        <v>793</v>
      </c>
      <c r="G183" s="109" t="s">
        <v>661</v>
      </c>
      <c r="H183" s="109" t="s">
        <v>715</v>
      </c>
      <c r="I183" s="78" t="s">
        <v>422</v>
      </c>
      <c r="J183" s="109">
        <v>0</v>
      </c>
      <c r="K183" s="109">
        <v>2.2272217273712158</v>
      </c>
      <c r="L183" s="109">
        <v>0.53506731986999512</v>
      </c>
      <c r="M183" s="109">
        <v>4.812995433807373</v>
      </c>
      <c r="N183" s="109">
        <v>8.999999612569809E-3</v>
      </c>
      <c r="O183" s="109">
        <v>75</v>
      </c>
      <c r="P183" s="109">
        <v>1</v>
      </c>
      <c r="Q183" s="109">
        <v>156.4</v>
      </c>
      <c r="R183" s="109">
        <f t="shared" si="4"/>
        <v>2.2272217273712158</v>
      </c>
      <c r="T183" s="108" t="b">
        <f t="shared" si="5"/>
        <v>0</v>
      </c>
      <c r="W183" s="60">
        <v>182</v>
      </c>
      <c r="X183" s="60" t="s">
        <v>891</v>
      </c>
      <c r="Y183" s="60">
        <v>6.1865483441719002E-4</v>
      </c>
      <c r="Z183" s="60">
        <v>252</v>
      </c>
      <c r="AA183" s="60" t="s">
        <v>792</v>
      </c>
      <c r="AB183" s="60">
        <v>8.9999999999999993E-3</v>
      </c>
      <c r="AC183" s="60"/>
      <c r="AD183" s="60" t="s">
        <v>793</v>
      </c>
      <c r="AE183" s="60"/>
      <c r="AF183" s="60"/>
      <c r="AG183" s="60" t="s">
        <v>662</v>
      </c>
      <c r="AH183" s="60" t="s">
        <v>661</v>
      </c>
      <c r="AI183" s="60" t="s">
        <v>891</v>
      </c>
      <c r="AJ183" s="60">
        <v>0</v>
      </c>
      <c r="AK183" s="60">
        <v>-51.450225830078097</v>
      </c>
      <c r="AL183" s="60">
        <v>1.0315587520599301</v>
      </c>
      <c r="AM183" s="60">
        <v>0</v>
      </c>
      <c r="AN183" s="60">
        <v>0</v>
      </c>
      <c r="AO183" s="60">
        <v>3</v>
      </c>
      <c r="AP183" s="60">
        <v>8.9999996125698003E-3</v>
      </c>
      <c r="AQ183" s="60">
        <v>0</v>
      </c>
      <c r="AR183" s="60">
        <v>250</v>
      </c>
      <c r="AS183" s="60">
        <v>1</v>
      </c>
      <c r="AT183" s="60">
        <v>156.4</v>
      </c>
      <c r="AU183" s="60">
        <v>25.5228366851806</v>
      </c>
    </row>
    <row r="184" spans="1:47" ht="15" customHeight="1" x14ac:dyDescent="0.25">
      <c r="A184" s="109">
        <v>183</v>
      </c>
      <c r="B184" s="109">
        <v>80.400000000000006</v>
      </c>
      <c r="C184" s="109">
        <v>252</v>
      </c>
      <c r="D184" s="109" t="s">
        <v>792</v>
      </c>
      <c r="E184" s="109">
        <v>8.9999999999999993E-3</v>
      </c>
      <c r="F184" s="109" t="s">
        <v>793</v>
      </c>
      <c r="G184" s="109" t="s">
        <v>661</v>
      </c>
      <c r="H184" s="109" t="s">
        <v>660</v>
      </c>
      <c r="I184" t="s">
        <v>185</v>
      </c>
      <c r="J184" s="109">
        <v>0</v>
      </c>
      <c r="K184" s="109">
        <v>-55.022480010986328</v>
      </c>
      <c r="L184" s="109">
        <v>1.1031812429428101</v>
      </c>
      <c r="M184" s="109">
        <v>3.9088785648345952</v>
      </c>
      <c r="N184" s="109">
        <v>8.999999612569809E-3</v>
      </c>
      <c r="O184" s="109">
        <v>250</v>
      </c>
      <c r="P184" s="109">
        <v>1</v>
      </c>
      <c r="Q184" s="109">
        <v>204.2</v>
      </c>
      <c r="R184" s="109">
        <f t="shared" si="4"/>
        <v>55.022480010986328</v>
      </c>
      <c r="T184" s="108" t="b">
        <f t="shared" si="5"/>
        <v>0</v>
      </c>
      <c r="W184" s="60">
        <v>183</v>
      </c>
      <c r="X184" s="60" t="s">
        <v>892</v>
      </c>
      <c r="Y184" s="60">
        <v>7.2671876385372995E-4</v>
      </c>
      <c r="Z184" s="60">
        <v>252</v>
      </c>
      <c r="AA184" s="60" t="s">
        <v>792</v>
      </c>
      <c r="AB184" s="60">
        <v>8.9999999999999993E-3</v>
      </c>
      <c r="AC184" s="60"/>
      <c r="AD184" s="60" t="s">
        <v>793</v>
      </c>
      <c r="AE184" s="60"/>
      <c r="AF184" s="60"/>
      <c r="AG184" s="60" t="s">
        <v>661</v>
      </c>
      <c r="AH184" s="60" t="s">
        <v>660</v>
      </c>
      <c r="AI184" s="60" t="s">
        <v>892</v>
      </c>
      <c r="AJ184" s="60">
        <v>0</v>
      </c>
      <c r="AK184" s="60">
        <v>-55.024227142333899</v>
      </c>
      <c r="AL184" s="60">
        <v>1.10321617126464</v>
      </c>
      <c r="AM184" s="60">
        <v>0</v>
      </c>
      <c r="AN184" s="60">
        <v>0</v>
      </c>
      <c r="AO184" s="60">
        <v>3</v>
      </c>
      <c r="AP184" s="60">
        <v>8.9999996125698003E-3</v>
      </c>
      <c r="AQ184" s="60">
        <v>0</v>
      </c>
      <c r="AR184" s="60">
        <v>250</v>
      </c>
      <c r="AS184" s="60">
        <v>1</v>
      </c>
      <c r="AT184" s="60">
        <v>204.2</v>
      </c>
      <c r="AU184" s="60">
        <v>40.713893890380803</v>
      </c>
    </row>
    <row r="185" spans="1:47" ht="15" customHeight="1" x14ac:dyDescent="0.2">
      <c r="A185" s="109">
        <v>182</v>
      </c>
      <c r="B185" s="109">
        <v>68.400000000000006</v>
      </c>
      <c r="C185" s="109">
        <v>252</v>
      </c>
      <c r="D185" s="109" t="s">
        <v>792</v>
      </c>
      <c r="E185" s="109">
        <v>8.9999999999999993E-3</v>
      </c>
      <c r="F185" s="109" t="s">
        <v>793</v>
      </c>
      <c r="G185" s="109" t="s">
        <v>662</v>
      </c>
      <c r="H185" s="109" t="s">
        <v>661</v>
      </c>
      <c r="I185" s="78" t="s">
        <v>184</v>
      </c>
      <c r="J185" s="109">
        <v>0</v>
      </c>
      <c r="K185" s="109">
        <v>-51.448749542236328</v>
      </c>
      <c r="L185" s="109">
        <v>1.0315291881561279</v>
      </c>
      <c r="M185" s="109">
        <v>3.417511940002441</v>
      </c>
      <c r="N185" s="109">
        <v>8.999999612569809E-3</v>
      </c>
      <c r="O185" s="109">
        <v>250</v>
      </c>
      <c r="P185" s="109">
        <v>1</v>
      </c>
      <c r="Q185" s="109">
        <v>156.4</v>
      </c>
      <c r="R185" s="109">
        <f t="shared" si="4"/>
        <v>51.448749542236328</v>
      </c>
      <c r="T185" s="108" t="b">
        <f t="shared" si="5"/>
        <v>0</v>
      </c>
      <c r="W185" s="60">
        <v>184</v>
      </c>
      <c r="X185" s="60" t="s">
        <v>422</v>
      </c>
      <c r="Y185" s="60">
        <v>7.90736061210858E-4</v>
      </c>
      <c r="Z185" s="60">
        <v>72.8</v>
      </c>
      <c r="AA185" s="60" t="s">
        <v>792</v>
      </c>
      <c r="AB185" s="60">
        <v>8.9999999999999993E-3</v>
      </c>
      <c r="AC185" s="60"/>
      <c r="AD185" s="60" t="s">
        <v>793</v>
      </c>
      <c r="AE185" s="60"/>
      <c r="AF185" s="60"/>
      <c r="AG185" s="60" t="s">
        <v>661</v>
      </c>
      <c r="AH185" s="60" t="s">
        <v>715</v>
      </c>
      <c r="AI185" s="60" t="s">
        <v>422</v>
      </c>
      <c r="AJ185" s="60">
        <v>0</v>
      </c>
      <c r="AK185" s="60">
        <v>2.2274911403656001</v>
      </c>
      <c r="AL185" s="60">
        <v>0.53513205051422097</v>
      </c>
      <c r="AM185" s="60">
        <v>0</v>
      </c>
      <c r="AN185" s="60">
        <v>0</v>
      </c>
      <c r="AO185" s="60">
        <v>3</v>
      </c>
      <c r="AP185" s="60">
        <v>8.9999996125698003E-3</v>
      </c>
      <c r="AQ185" s="60">
        <v>0</v>
      </c>
      <c r="AR185" s="60">
        <v>75</v>
      </c>
      <c r="AS185" s="60">
        <v>1</v>
      </c>
      <c r="AT185" s="60">
        <v>156.4</v>
      </c>
      <c r="AU185" s="60">
        <v>14.0759992599487</v>
      </c>
    </row>
    <row r="186" spans="1:47" ht="15" customHeight="1" x14ac:dyDescent="0.2">
      <c r="A186" s="109">
        <v>22</v>
      </c>
      <c r="B186" s="109">
        <v>152.4</v>
      </c>
      <c r="C186" s="109">
        <v>252</v>
      </c>
      <c r="D186" s="109" t="s">
        <v>792</v>
      </c>
      <c r="E186" s="109">
        <v>8.9999999999999993E-3</v>
      </c>
      <c r="F186" s="109" t="s">
        <v>793</v>
      </c>
      <c r="G186" s="109" t="s">
        <v>663</v>
      </c>
      <c r="H186" s="109" t="s">
        <v>662</v>
      </c>
      <c r="I186" s="78" t="s">
        <v>200</v>
      </c>
      <c r="J186" s="109">
        <v>0</v>
      </c>
      <c r="K186" s="109">
        <v>-50.193531036376953</v>
      </c>
      <c r="L186" s="109">
        <v>1.0063624382019041</v>
      </c>
      <c r="M186" s="109">
        <v>3.252838134765625</v>
      </c>
      <c r="N186" s="109">
        <v>8.999999612569809E-3</v>
      </c>
      <c r="O186" s="109">
        <v>250</v>
      </c>
      <c r="P186" s="109">
        <v>1</v>
      </c>
      <c r="Q186" s="109">
        <v>156.4</v>
      </c>
      <c r="R186" s="109">
        <f t="shared" si="4"/>
        <v>50.193531036376953</v>
      </c>
      <c r="T186" s="108" t="b">
        <f t="shared" si="5"/>
        <v>0</v>
      </c>
      <c r="W186" s="60">
        <v>185</v>
      </c>
      <c r="X186" s="60" t="s">
        <v>893</v>
      </c>
      <c r="Y186" s="60">
        <v>8.4147427847771901E-4</v>
      </c>
      <c r="Z186" s="60">
        <v>51.4</v>
      </c>
      <c r="AA186" s="60" t="s">
        <v>792</v>
      </c>
      <c r="AB186" s="60">
        <v>8.9999999999999993E-3</v>
      </c>
      <c r="AC186" s="60"/>
      <c r="AD186" s="60" t="s">
        <v>793</v>
      </c>
      <c r="AE186" s="60"/>
      <c r="AF186" s="60"/>
      <c r="AG186" s="60" t="s">
        <v>715</v>
      </c>
      <c r="AH186" s="60" t="s">
        <v>714</v>
      </c>
      <c r="AI186" s="60" t="s">
        <v>893</v>
      </c>
      <c r="AJ186" s="60">
        <v>0</v>
      </c>
      <c r="AK186" s="60">
        <v>1.1947866678237899</v>
      </c>
      <c r="AL186" s="60">
        <v>0.57580029964446999</v>
      </c>
      <c r="AM186" s="60">
        <v>11.054120063781699</v>
      </c>
      <c r="AN186" s="60">
        <v>0</v>
      </c>
      <c r="AO186" s="60">
        <v>3</v>
      </c>
      <c r="AP186" s="60">
        <v>8.9999996125698003E-3</v>
      </c>
      <c r="AQ186" s="60">
        <v>0</v>
      </c>
      <c r="AR186" s="60">
        <v>50</v>
      </c>
      <c r="AS186" s="60">
        <v>1</v>
      </c>
      <c r="AT186" s="60">
        <v>156.4</v>
      </c>
      <c r="AU186" s="60">
        <v>13.2208051681518</v>
      </c>
    </row>
    <row r="187" spans="1:47" ht="15" customHeight="1" x14ac:dyDescent="0.2">
      <c r="A187" s="109">
        <v>160</v>
      </c>
      <c r="B187" s="109">
        <v>74.599999999999994</v>
      </c>
      <c r="C187" s="109">
        <v>204.2</v>
      </c>
      <c r="D187" s="109" t="s">
        <v>792</v>
      </c>
      <c r="E187" s="109">
        <v>8.9999999999999993E-3</v>
      </c>
      <c r="F187" s="109" t="s">
        <v>793</v>
      </c>
      <c r="G187" s="109" t="s">
        <v>664</v>
      </c>
      <c r="H187" s="109" t="s">
        <v>663</v>
      </c>
      <c r="I187" s="78" t="s">
        <v>202</v>
      </c>
      <c r="J187" s="109">
        <v>0</v>
      </c>
      <c r="K187" s="109">
        <v>-48.898372650146477</v>
      </c>
      <c r="L187" s="109">
        <v>1.4931061267852781</v>
      </c>
      <c r="M187" s="109">
        <v>9.477630615234375</v>
      </c>
      <c r="N187" s="109">
        <v>8.999999612569809E-3</v>
      </c>
      <c r="O187" s="109">
        <v>200</v>
      </c>
      <c r="P187" s="109">
        <v>1</v>
      </c>
      <c r="Q187" s="109">
        <v>156.4</v>
      </c>
      <c r="R187" s="109">
        <f t="shared" si="4"/>
        <v>48.898372650146477</v>
      </c>
      <c r="T187" s="108" t="b">
        <f t="shared" si="5"/>
        <v>0</v>
      </c>
      <c r="W187" s="60">
        <v>186</v>
      </c>
      <c r="X187" s="60" t="s">
        <v>894</v>
      </c>
      <c r="Y187" s="60">
        <v>4.8819902820037799E-4</v>
      </c>
      <c r="Z187" s="60">
        <v>51.4</v>
      </c>
      <c r="AA187" s="60" t="s">
        <v>792</v>
      </c>
      <c r="AB187" s="60">
        <v>8.9999999999999993E-3</v>
      </c>
      <c r="AC187" s="60"/>
      <c r="AD187" s="60" t="s">
        <v>793</v>
      </c>
      <c r="AE187" s="60"/>
      <c r="AF187" s="60"/>
      <c r="AG187" s="60" t="s">
        <v>714</v>
      </c>
      <c r="AH187" s="60" t="s">
        <v>713</v>
      </c>
      <c r="AI187" s="60" t="s">
        <v>894</v>
      </c>
      <c r="AJ187" s="60">
        <v>0</v>
      </c>
      <c r="AK187" s="60">
        <v>0.35607102513313199</v>
      </c>
      <c r="AL187" s="60">
        <v>0.171600341796875</v>
      </c>
      <c r="AM187" s="60">
        <v>0</v>
      </c>
      <c r="AN187" s="60">
        <v>0</v>
      </c>
      <c r="AO187" s="60">
        <v>3</v>
      </c>
      <c r="AP187" s="60">
        <v>8.9999996125698003E-3</v>
      </c>
      <c r="AQ187" s="60">
        <v>0</v>
      </c>
      <c r="AR187" s="60">
        <v>50</v>
      </c>
      <c r="AS187" s="60">
        <v>1</v>
      </c>
      <c r="AT187" s="60">
        <v>156.4</v>
      </c>
      <c r="AU187" s="60">
        <v>12.526256561279199</v>
      </c>
    </row>
    <row r="188" spans="1:47" ht="15" customHeight="1" x14ac:dyDescent="0.2">
      <c r="A188" s="109">
        <v>161</v>
      </c>
      <c r="B188" s="109">
        <v>95.1</v>
      </c>
      <c r="C188" s="109">
        <v>156.4</v>
      </c>
      <c r="D188" s="109" t="s">
        <v>792</v>
      </c>
      <c r="E188" s="109">
        <v>8.9999999999999993E-3</v>
      </c>
      <c r="F188" s="109" t="s">
        <v>793</v>
      </c>
      <c r="G188" s="109" t="s">
        <v>664</v>
      </c>
      <c r="H188" s="109" t="s">
        <v>665</v>
      </c>
      <c r="I188" s="60" t="s">
        <v>201</v>
      </c>
      <c r="J188" s="109">
        <v>0</v>
      </c>
      <c r="K188" s="109">
        <v>20.08377647399902</v>
      </c>
      <c r="L188" s="109">
        <v>1.045393109321594</v>
      </c>
      <c r="M188" s="109">
        <v>6.6291894912719727</v>
      </c>
      <c r="N188" s="109">
        <v>8.999999612569809E-3</v>
      </c>
      <c r="O188" s="109">
        <v>150</v>
      </c>
      <c r="P188" s="109">
        <v>1</v>
      </c>
      <c r="Q188" s="109">
        <v>108.4</v>
      </c>
      <c r="R188" s="109">
        <f t="shared" si="4"/>
        <v>20.08377647399902</v>
      </c>
      <c r="T188" s="108" t="b">
        <f t="shared" si="5"/>
        <v>0</v>
      </c>
      <c r="W188" s="60">
        <v>187</v>
      </c>
      <c r="X188" s="60" t="s">
        <v>895</v>
      </c>
      <c r="Y188" s="60">
        <v>1.35721539759923E-3</v>
      </c>
      <c r="Z188" s="60">
        <v>51.4</v>
      </c>
      <c r="AA188" s="60" t="s">
        <v>792</v>
      </c>
      <c r="AB188" s="60">
        <v>8.9999999999999993E-3</v>
      </c>
      <c r="AC188" s="60"/>
      <c r="AD188" s="60" t="s">
        <v>793</v>
      </c>
      <c r="AE188" s="60"/>
      <c r="AF188" s="60"/>
      <c r="AG188" s="60" t="s">
        <v>713</v>
      </c>
      <c r="AH188" s="60" t="s">
        <v>712</v>
      </c>
      <c r="AI188" s="60" t="s">
        <v>895</v>
      </c>
      <c r="AJ188" s="60">
        <v>0</v>
      </c>
      <c r="AK188" s="60">
        <v>-0.80786097049713101</v>
      </c>
      <c r="AL188" s="60">
        <v>0.38933023810386602</v>
      </c>
      <c r="AM188" s="60">
        <v>6.8535604476928702</v>
      </c>
      <c r="AN188" s="60">
        <v>0</v>
      </c>
      <c r="AO188" s="60">
        <v>3</v>
      </c>
      <c r="AP188" s="60">
        <v>8.9999996125698003E-3</v>
      </c>
      <c r="AQ188" s="60">
        <v>0</v>
      </c>
      <c r="AR188" s="60">
        <v>50</v>
      </c>
      <c r="AS188" s="60">
        <v>1</v>
      </c>
      <c r="AT188" s="60">
        <v>156.4</v>
      </c>
      <c r="AU188" s="60">
        <v>11.562391281127899</v>
      </c>
    </row>
    <row r="189" spans="1:47" ht="15" customHeight="1" x14ac:dyDescent="0.2">
      <c r="A189" s="109">
        <v>162</v>
      </c>
      <c r="B189" s="109">
        <v>73.3</v>
      </c>
      <c r="C189" s="109">
        <v>156.4</v>
      </c>
      <c r="D189" s="109" t="s">
        <v>792</v>
      </c>
      <c r="E189" s="109">
        <v>8.9999999999999993E-3</v>
      </c>
      <c r="F189" s="109" t="s">
        <v>793</v>
      </c>
      <c r="G189" s="109" t="s">
        <v>665</v>
      </c>
      <c r="H189" s="109" t="s">
        <v>666</v>
      </c>
      <c r="I189" s="60" t="s">
        <v>199</v>
      </c>
      <c r="J189" s="109">
        <v>0</v>
      </c>
      <c r="K189" s="109">
        <v>19.125244140625</v>
      </c>
      <c r="L189" s="109">
        <v>0.99549990892410278</v>
      </c>
      <c r="M189" s="109">
        <v>6.0115623474121094</v>
      </c>
      <c r="N189" s="109">
        <v>8.999999612569809E-3</v>
      </c>
      <c r="O189" s="109">
        <v>150</v>
      </c>
      <c r="P189" s="109">
        <v>1</v>
      </c>
      <c r="Q189" s="109">
        <v>156.4</v>
      </c>
      <c r="R189" s="109">
        <f t="shared" si="4"/>
        <v>19.125244140625</v>
      </c>
      <c r="T189" s="108" t="b">
        <f t="shared" si="5"/>
        <v>0</v>
      </c>
      <c r="W189" s="60">
        <v>188</v>
      </c>
      <c r="X189" s="60" t="s">
        <v>896</v>
      </c>
      <c r="Y189" s="60">
        <v>9.7631577219825798E-4</v>
      </c>
      <c r="Z189" s="60">
        <v>97.8</v>
      </c>
      <c r="AA189" s="60" t="s">
        <v>792</v>
      </c>
      <c r="AB189" s="60">
        <v>8.9999999999999993E-3</v>
      </c>
      <c r="AC189" s="60"/>
      <c r="AD189" s="60" t="s">
        <v>793</v>
      </c>
      <c r="AE189" s="60"/>
      <c r="AF189" s="60"/>
      <c r="AG189" s="60" t="s">
        <v>712</v>
      </c>
      <c r="AH189" s="60" t="s">
        <v>711</v>
      </c>
      <c r="AI189" s="60" t="s">
        <v>896</v>
      </c>
      <c r="AJ189" s="60">
        <v>0</v>
      </c>
      <c r="AK189" s="60">
        <v>-2.2798924446105899</v>
      </c>
      <c r="AL189" s="60">
        <v>0.30349004268646201</v>
      </c>
      <c r="AM189" s="60">
        <v>0</v>
      </c>
      <c r="AN189" s="60">
        <v>0</v>
      </c>
      <c r="AO189" s="60">
        <v>3</v>
      </c>
      <c r="AP189" s="60">
        <v>8.9999996125698003E-3</v>
      </c>
      <c r="AQ189" s="60">
        <v>0</v>
      </c>
      <c r="AR189" s="60">
        <v>100</v>
      </c>
      <c r="AS189" s="60">
        <v>1</v>
      </c>
      <c r="AT189" s="60">
        <v>156.4</v>
      </c>
      <c r="AU189" s="60">
        <v>10.343385696411101</v>
      </c>
    </row>
    <row r="190" spans="1:47" ht="15" customHeight="1" x14ac:dyDescent="0.2">
      <c r="A190" s="109">
        <v>163</v>
      </c>
      <c r="B190" s="109">
        <v>77.099999999999994</v>
      </c>
      <c r="C190" s="109">
        <v>156.4</v>
      </c>
      <c r="D190" s="109" t="s">
        <v>792</v>
      </c>
      <c r="E190" s="109">
        <v>8.9999999999999993E-3</v>
      </c>
      <c r="F190" s="109" t="s">
        <v>793</v>
      </c>
      <c r="G190" s="109" t="s">
        <v>666</v>
      </c>
      <c r="H190" s="109" t="s">
        <v>667</v>
      </c>
      <c r="I190" s="60" t="s">
        <v>198</v>
      </c>
      <c r="J190" s="109">
        <v>0</v>
      </c>
      <c r="K190" s="109">
        <v>18.269411087036129</v>
      </c>
      <c r="L190" s="109">
        <v>0.95095252990722656</v>
      </c>
      <c r="M190" s="109">
        <v>5.4855637550354004</v>
      </c>
      <c r="N190" s="109">
        <v>8.999999612569809E-3</v>
      </c>
      <c r="O190" s="109">
        <v>150</v>
      </c>
      <c r="P190" s="109">
        <v>1</v>
      </c>
      <c r="Q190" s="109">
        <v>156.4</v>
      </c>
      <c r="R190" s="109">
        <f t="shared" si="4"/>
        <v>18.269411087036129</v>
      </c>
      <c r="T190" s="108" t="b">
        <f t="shared" si="5"/>
        <v>0</v>
      </c>
      <c r="W190" s="60">
        <v>189</v>
      </c>
      <c r="X190" s="60" t="s">
        <v>897</v>
      </c>
      <c r="Y190" s="60">
        <v>6.78227765497644E-4</v>
      </c>
      <c r="Z190" s="60">
        <v>108.4</v>
      </c>
      <c r="AA190" s="60" t="s">
        <v>792</v>
      </c>
      <c r="AB190" s="60">
        <v>8.9999999999999993E-3</v>
      </c>
      <c r="AC190" s="60"/>
      <c r="AD190" s="60" t="s">
        <v>793</v>
      </c>
      <c r="AE190" s="60"/>
      <c r="AF190" s="60"/>
      <c r="AG190" s="60" t="s">
        <v>711</v>
      </c>
      <c r="AH190" s="60" t="s">
        <v>710</v>
      </c>
      <c r="AI190" s="60" t="s">
        <v>897</v>
      </c>
      <c r="AJ190" s="60">
        <v>0</v>
      </c>
      <c r="AK190" s="60">
        <v>-3.3240079879760698</v>
      </c>
      <c r="AL190" s="60">
        <v>0.36017307639121998</v>
      </c>
      <c r="AM190" s="60">
        <v>0</v>
      </c>
      <c r="AN190" s="60">
        <v>0</v>
      </c>
      <c r="AO190" s="60">
        <v>3</v>
      </c>
      <c r="AP190" s="60">
        <v>8.9999996125698003E-3</v>
      </c>
      <c r="AQ190" s="60">
        <v>0</v>
      </c>
      <c r="AR190" s="60">
        <v>100</v>
      </c>
      <c r="AS190" s="60">
        <v>1</v>
      </c>
      <c r="AT190" s="60">
        <v>156.4</v>
      </c>
      <c r="AU190" s="60">
        <v>9.4787425994872994</v>
      </c>
    </row>
    <row r="191" spans="1:47" ht="15" customHeight="1" x14ac:dyDescent="0.2">
      <c r="A191" s="109">
        <v>164</v>
      </c>
      <c r="B191" s="109">
        <v>250.3</v>
      </c>
      <c r="C191" s="109">
        <v>156.4</v>
      </c>
      <c r="D191" s="109" t="s">
        <v>792</v>
      </c>
      <c r="E191" s="109">
        <v>8.9999999999999993E-3</v>
      </c>
      <c r="F191" s="109" t="s">
        <v>793</v>
      </c>
      <c r="G191" s="109" t="s">
        <v>667</v>
      </c>
      <c r="H191" s="109" t="s">
        <v>668</v>
      </c>
      <c r="I191" s="60" t="s">
        <v>197</v>
      </c>
      <c r="J191" s="109">
        <v>0</v>
      </c>
      <c r="K191" s="109">
        <v>16.403696060180661</v>
      </c>
      <c r="L191" s="109">
        <v>0.85383903980255127</v>
      </c>
      <c r="M191" s="109">
        <v>4.4223670959472656</v>
      </c>
      <c r="N191" s="109">
        <v>8.999999612569809E-3</v>
      </c>
      <c r="O191" s="109">
        <v>150</v>
      </c>
      <c r="P191" s="109">
        <v>1</v>
      </c>
      <c r="Q191" s="109">
        <v>156.4</v>
      </c>
      <c r="R191" s="109">
        <f t="shared" si="4"/>
        <v>16.403696060180661</v>
      </c>
      <c r="T191" s="108" t="b">
        <f t="shared" si="5"/>
        <v>0</v>
      </c>
      <c r="W191" s="60">
        <v>190</v>
      </c>
      <c r="X191" s="60" t="s">
        <v>898</v>
      </c>
      <c r="Y191" s="60">
        <v>7.4441246408346899E-4</v>
      </c>
      <c r="Z191" s="60">
        <v>108.4</v>
      </c>
      <c r="AA191" s="60" t="s">
        <v>792</v>
      </c>
      <c r="AB191" s="60">
        <v>8.9999999999999993E-3</v>
      </c>
      <c r="AC191" s="60"/>
      <c r="AD191" s="60" t="s">
        <v>793</v>
      </c>
      <c r="AE191" s="60"/>
      <c r="AF191" s="60"/>
      <c r="AG191" s="60" t="s">
        <v>710</v>
      </c>
      <c r="AH191" s="60" t="s">
        <v>709</v>
      </c>
      <c r="AI191" s="60" t="s">
        <v>898</v>
      </c>
      <c r="AJ191" s="60">
        <v>0</v>
      </c>
      <c r="AK191" s="60">
        <v>-4.2197790145873997</v>
      </c>
      <c r="AL191" s="60">
        <v>0.45723441243171598</v>
      </c>
      <c r="AM191" s="60">
        <v>0</v>
      </c>
      <c r="AN191" s="60">
        <v>0</v>
      </c>
      <c r="AO191" s="60">
        <v>3</v>
      </c>
      <c r="AP191" s="60">
        <v>8.9999996125698003E-3</v>
      </c>
      <c r="AQ191" s="60">
        <v>0</v>
      </c>
      <c r="AR191" s="60">
        <v>100</v>
      </c>
      <c r="AS191" s="60">
        <v>1</v>
      </c>
      <c r="AT191" s="60">
        <v>156.4</v>
      </c>
      <c r="AU191" s="60">
        <v>8.7369451522827095</v>
      </c>
    </row>
    <row r="192" spans="1:47" ht="15" customHeight="1" x14ac:dyDescent="0.2">
      <c r="A192" s="109">
        <v>165</v>
      </c>
      <c r="B192" s="109">
        <v>62.9</v>
      </c>
      <c r="C192" s="109">
        <v>156.4</v>
      </c>
      <c r="D192" s="109" t="s">
        <v>792</v>
      </c>
      <c r="E192" s="109">
        <v>8.9999999999999993E-3</v>
      </c>
      <c r="F192" s="109" t="s">
        <v>793</v>
      </c>
      <c r="G192" s="109" t="s">
        <v>668</v>
      </c>
      <c r="H192" s="109" t="s">
        <v>669</v>
      </c>
      <c r="I192" s="60" t="s">
        <v>196</v>
      </c>
      <c r="J192" s="109">
        <v>0</v>
      </c>
      <c r="K192" s="109">
        <v>14.61785984039307</v>
      </c>
      <c r="L192" s="109">
        <v>0.76088333129882813</v>
      </c>
      <c r="M192" s="109">
        <v>3.5118203163146968</v>
      </c>
      <c r="N192" s="109">
        <v>8.999999612569809E-3</v>
      </c>
      <c r="O192" s="109">
        <v>150</v>
      </c>
      <c r="P192" s="109">
        <v>1</v>
      </c>
      <c r="Q192" s="109">
        <v>156.4</v>
      </c>
      <c r="R192" s="109">
        <f t="shared" si="4"/>
        <v>14.61785984039307</v>
      </c>
      <c r="T192" s="108" t="b">
        <f t="shared" si="5"/>
        <v>0</v>
      </c>
      <c r="W192" s="60">
        <v>191</v>
      </c>
      <c r="X192" s="60" t="s">
        <v>423</v>
      </c>
      <c r="Y192" s="60">
        <v>2.1750588914156601E-3</v>
      </c>
      <c r="Z192" s="60">
        <v>252</v>
      </c>
      <c r="AA192" s="60" t="s">
        <v>792</v>
      </c>
      <c r="AB192" s="60">
        <v>8.9999999999999993E-3</v>
      </c>
      <c r="AC192" s="60"/>
      <c r="AD192" s="60" t="s">
        <v>793</v>
      </c>
      <c r="AE192" s="60"/>
      <c r="AF192" s="60"/>
      <c r="AG192" s="60" t="s">
        <v>706</v>
      </c>
      <c r="AH192" s="60" t="s">
        <v>707</v>
      </c>
      <c r="AI192" s="60" t="s">
        <v>423</v>
      </c>
      <c r="AJ192" s="60">
        <v>0</v>
      </c>
      <c r="AK192" s="60">
        <v>44.782009124755803</v>
      </c>
      <c r="AL192" s="60">
        <v>0.89786338806152299</v>
      </c>
      <c r="AM192" s="60">
        <v>4.2765545845031703</v>
      </c>
      <c r="AN192" s="60">
        <v>0</v>
      </c>
      <c r="AO192" s="60">
        <v>3</v>
      </c>
      <c r="AP192" s="60">
        <v>8.9999996125698003E-3</v>
      </c>
      <c r="AQ192" s="60">
        <v>0</v>
      </c>
      <c r="AR192" s="60">
        <v>250</v>
      </c>
      <c r="AS192" s="60">
        <v>1</v>
      </c>
      <c r="AT192" s="60">
        <v>156.4</v>
      </c>
      <c r="AU192" s="60">
        <v>17.431434631347599</v>
      </c>
    </row>
    <row r="193" spans="1:47" ht="15" customHeight="1" x14ac:dyDescent="0.2">
      <c r="A193" s="109">
        <v>166</v>
      </c>
      <c r="B193" s="109">
        <v>41</v>
      </c>
      <c r="C193" s="109">
        <v>156.4</v>
      </c>
      <c r="D193" s="109" t="s">
        <v>792</v>
      </c>
      <c r="E193" s="109">
        <v>8.9999999999999993E-3</v>
      </c>
      <c r="F193" s="109" t="s">
        <v>793</v>
      </c>
      <c r="G193" s="109" t="s">
        <v>669</v>
      </c>
      <c r="H193" s="109" t="s">
        <v>670</v>
      </c>
      <c r="I193" s="60" t="s">
        <v>195</v>
      </c>
      <c r="J193" s="109">
        <v>0</v>
      </c>
      <c r="K193" s="109">
        <v>14.024482727050779</v>
      </c>
      <c r="L193" s="109">
        <v>0.72999703884124756</v>
      </c>
      <c r="M193" s="109">
        <v>3.2325878143310551</v>
      </c>
      <c r="N193" s="109">
        <v>8.999999612569809E-3</v>
      </c>
      <c r="O193" s="109">
        <v>150</v>
      </c>
      <c r="P193" s="109">
        <v>1</v>
      </c>
      <c r="Q193" s="109">
        <v>156.4</v>
      </c>
      <c r="R193" s="109">
        <f t="shared" si="4"/>
        <v>14.024482727050779</v>
      </c>
      <c r="T193" s="108" t="b">
        <f t="shared" si="5"/>
        <v>0</v>
      </c>
      <c r="W193" s="60">
        <v>192</v>
      </c>
      <c r="X193" s="60" t="s">
        <v>436</v>
      </c>
      <c r="Y193" s="60">
        <v>2.0116451942765799E-3</v>
      </c>
      <c r="Z193" s="60">
        <v>204.2</v>
      </c>
      <c r="AA193" s="60" t="s">
        <v>792</v>
      </c>
      <c r="AB193" s="60">
        <v>8.9999999999999993E-3</v>
      </c>
      <c r="AC193" s="60"/>
      <c r="AD193" s="60" t="s">
        <v>793</v>
      </c>
      <c r="AE193" s="60"/>
      <c r="AF193" s="60"/>
      <c r="AG193" s="60" t="s">
        <v>707</v>
      </c>
      <c r="AH193" s="60" t="s">
        <v>716</v>
      </c>
      <c r="AI193" s="60" t="s">
        <v>436</v>
      </c>
      <c r="AJ193" s="60">
        <v>0</v>
      </c>
      <c r="AK193" s="60">
        <v>31.975379943847599</v>
      </c>
      <c r="AL193" s="60">
        <v>0.97636455297470004</v>
      </c>
      <c r="AM193" s="60">
        <v>4.6239552497863698</v>
      </c>
      <c r="AN193" s="60">
        <v>0</v>
      </c>
      <c r="AO193" s="60">
        <v>3</v>
      </c>
      <c r="AP193" s="60">
        <v>8.9999996125698003E-3</v>
      </c>
      <c r="AQ193" s="60">
        <v>0</v>
      </c>
      <c r="AR193" s="60">
        <v>200</v>
      </c>
      <c r="AS193" s="60">
        <v>1</v>
      </c>
      <c r="AT193" s="60">
        <v>156.4</v>
      </c>
      <c r="AU193" s="60">
        <v>19.057516098022401</v>
      </c>
    </row>
    <row r="194" spans="1:47" ht="15" customHeight="1" x14ac:dyDescent="0.25">
      <c r="A194" s="109">
        <v>101</v>
      </c>
      <c r="B194" s="109">
        <v>177.7</v>
      </c>
      <c r="C194" s="109">
        <v>204.2</v>
      </c>
      <c r="D194" s="109" t="s">
        <v>792</v>
      </c>
      <c r="E194" s="109">
        <v>8.9999999999999993E-3</v>
      </c>
      <c r="F194" s="109" t="s">
        <v>793</v>
      </c>
      <c r="G194" s="109" t="s">
        <v>589</v>
      </c>
      <c r="H194" s="109" t="s">
        <v>588</v>
      </c>
      <c r="I194" t="s">
        <v>174</v>
      </c>
      <c r="J194" s="109">
        <v>0</v>
      </c>
      <c r="K194" s="109">
        <v>-29.484477996826168</v>
      </c>
      <c r="L194" s="109">
        <v>0.90030515193939209</v>
      </c>
      <c r="M194" s="109">
        <v>3.4458379745483398</v>
      </c>
      <c r="N194" s="109">
        <v>8.999999612569809E-3</v>
      </c>
      <c r="O194" s="109">
        <v>200</v>
      </c>
      <c r="P194" s="109">
        <v>1</v>
      </c>
      <c r="Q194" s="109">
        <v>156.4</v>
      </c>
      <c r="R194" s="109">
        <f t="shared" ref="R194:R206" si="6">ABS(K194)</f>
        <v>29.484477996826168</v>
      </c>
      <c r="T194" s="108" t="b">
        <f t="shared" si="5"/>
        <v>0</v>
      </c>
      <c r="W194" s="60">
        <v>193</v>
      </c>
      <c r="X194" s="60" t="s">
        <v>899</v>
      </c>
      <c r="Y194" s="60">
        <v>2.6207122968033699E-3</v>
      </c>
      <c r="Z194" s="60">
        <v>156.4</v>
      </c>
      <c r="AA194" s="60" t="s">
        <v>792</v>
      </c>
      <c r="AB194" s="60">
        <v>8.9999999999999993E-3</v>
      </c>
      <c r="AC194" s="60"/>
      <c r="AD194" s="60" t="s">
        <v>793</v>
      </c>
      <c r="AE194" s="60"/>
      <c r="AF194" s="60"/>
      <c r="AG194" s="60" t="s">
        <v>709</v>
      </c>
      <c r="AH194" s="60" t="s">
        <v>708</v>
      </c>
      <c r="AI194" s="60" t="s">
        <v>899</v>
      </c>
      <c r="AJ194" s="60">
        <v>0</v>
      </c>
      <c r="AK194" s="60">
        <v>-6.3422431945800701</v>
      </c>
      <c r="AL194" s="60">
        <v>0.33012405037879899</v>
      </c>
      <c r="AM194" s="60">
        <v>0</v>
      </c>
      <c r="AN194" s="60">
        <v>0</v>
      </c>
      <c r="AO194" s="60">
        <v>3</v>
      </c>
      <c r="AP194" s="60">
        <v>8.9999996125698003E-3</v>
      </c>
      <c r="AQ194" s="60">
        <v>0</v>
      </c>
      <c r="AR194" s="60">
        <v>150</v>
      </c>
      <c r="AS194" s="60">
        <v>1</v>
      </c>
      <c r="AT194" s="60">
        <v>156.4</v>
      </c>
      <c r="AU194" s="60">
        <v>6.9793095588684002</v>
      </c>
    </row>
    <row r="195" spans="1:47" ht="15" customHeight="1" x14ac:dyDescent="0.2">
      <c r="A195" s="109">
        <v>167</v>
      </c>
      <c r="B195" s="109">
        <v>201.3</v>
      </c>
      <c r="C195" s="109">
        <v>156.4</v>
      </c>
      <c r="D195" s="109" t="s">
        <v>792</v>
      </c>
      <c r="E195" s="109">
        <v>8.9999999999999993E-3</v>
      </c>
      <c r="F195" s="109" t="s">
        <v>793</v>
      </c>
      <c r="G195" s="109" t="s">
        <v>670</v>
      </c>
      <c r="H195" s="109" t="s">
        <v>671</v>
      </c>
      <c r="I195" s="60" t="s">
        <v>194</v>
      </c>
      <c r="J195" s="109">
        <v>0</v>
      </c>
      <c r="K195" s="109">
        <v>12.643739700317379</v>
      </c>
      <c r="L195" s="109">
        <v>0.65812718868255615</v>
      </c>
      <c r="M195" s="109">
        <v>2.627388477325439</v>
      </c>
      <c r="N195" s="109">
        <v>8.999999612569809E-3</v>
      </c>
      <c r="O195" s="109">
        <v>150</v>
      </c>
      <c r="P195" s="109">
        <v>1</v>
      </c>
      <c r="Q195" s="109">
        <v>156.4</v>
      </c>
      <c r="R195" s="109">
        <f t="shared" si="6"/>
        <v>12.643739700317379</v>
      </c>
      <c r="T195" s="108" t="b">
        <f t="shared" ref="T195:T206" si="7">IF(I195=X195,TRUE,FALSE)</f>
        <v>0</v>
      </c>
      <c r="W195" s="60">
        <v>194</v>
      </c>
      <c r="X195" s="60" t="s">
        <v>900</v>
      </c>
      <c r="Y195" s="60">
        <v>1.71390772426754E-3</v>
      </c>
      <c r="Z195" s="60">
        <v>156.4</v>
      </c>
      <c r="AA195" s="60" t="s">
        <v>792</v>
      </c>
      <c r="AB195" s="60">
        <v>8.9999999999999993E-3</v>
      </c>
      <c r="AC195" s="60"/>
      <c r="AD195" s="60" t="s">
        <v>793</v>
      </c>
      <c r="AE195" s="60"/>
      <c r="AF195" s="60"/>
      <c r="AG195" s="60" t="s">
        <v>708</v>
      </c>
      <c r="AH195" s="60" t="s">
        <v>707</v>
      </c>
      <c r="AI195" s="60" t="s">
        <v>900</v>
      </c>
      <c r="AJ195" s="60">
        <v>0</v>
      </c>
      <c r="AK195" s="60">
        <v>-9.0809059143066406</v>
      </c>
      <c r="AL195" s="60">
        <v>0.47267588973045299</v>
      </c>
      <c r="AM195" s="60">
        <v>0</v>
      </c>
      <c r="AN195" s="60">
        <v>0</v>
      </c>
      <c r="AO195" s="60">
        <v>3</v>
      </c>
      <c r="AP195" s="60">
        <v>8.9999996125698003E-3</v>
      </c>
      <c r="AQ195" s="60">
        <v>0</v>
      </c>
      <c r="AR195" s="60">
        <v>150</v>
      </c>
      <c r="AS195" s="60">
        <v>1</v>
      </c>
      <c r="AT195" s="60">
        <v>108.4</v>
      </c>
      <c r="AU195" s="60">
        <v>4.7113928794860804</v>
      </c>
    </row>
    <row r="196" spans="1:47" ht="15" customHeight="1" x14ac:dyDescent="0.2">
      <c r="A196" s="109">
        <v>168</v>
      </c>
      <c r="B196" s="109">
        <v>128.9</v>
      </c>
      <c r="C196" s="109">
        <v>156.4</v>
      </c>
      <c r="D196" s="109" t="s">
        <v>792</v>
      </c>
      <c r="E196" s="109">
        <v>8.9999999999999993E-3</v>
      </c>
      <c r="F196" s="109" t="s">
        <v>793</v>
      </c>
      <c r="G196" s="109" t="s">
        <v>671</v>
      </c>
      <c r="H196" s="109" t="s">
        <v>672</v>
      </c>
      <c r="I196" s="60" t="s">
        <v>425</v>
      </c>
      <c r="J196" s="109">
        <v>0</v>
      </c>
      <c r="K196" s="109">
        <v>10.760909080505369</v>
      </c>
      <c r="L196" s="109">
        <v>0.5601227879524231</v>
      </c>
      <c r="M196" s="109">
        <v>1.903107881546021</v>
      </c>
      <c r="N196" s="109">
        <v>8.999999612569809E-3</v>
      </c>
      <c r="O196" s="109">
        <v>150</v>
      </c>
      <c r="P196" s="109">
        <v>1</v>
      </c>
      <c r="Q196" s="109">
        <v>156.4</v>
      </c>
      <c r="R196" s="109">
        <f t="shared" si="6"/>
        <v>10.760909080505369</v>
      </c>
      <c r="T196" s="108" t="b">
        <f t="shared" si="7"/>
        <v>0</v>
      </c>
      <c r="W196" s="60">
        <v>195</v>
      </c>
      <c r="X196" s="60" t="s">
        <v>434</v>
      </c>
      <c r="Y196" s="60">
        <v>2.7127116549450798E-4</v>
      </c>
      <c r="Z196" s="60">
        <v>51.4</v>
      </c>
      <c r="AA196" s="60" t="s">
        <v>792</v>
      </c>
      <c r="AB196" s="60">
        <v>8.9999999999999993E-3</v>
      </c>
      <c r="AC196" s="60"/>
      <c r="AD196" s="60" t="s">
        <v>793</v>
      </c>
      <c r="AE196" s="60"/>
      <c r="AF196" s="60"/>
      <c r="AG196" s="60" t="s">
        <v>418</v>
      </c>
      <c r="AH196" s="60" t="s">
        <v>685</v>
      </c>
      <c r="AI196" s="60" t="s">
        <v>434</v>
      </c>
      <c r="AJ196" s="60">
        <v>0</v>
      </c>
      <c r="AK196" s="60">
        <v>0</v>
      </c>
      <c r="AL196" s="60">
        <v>0</v>
      </c>
      <c r="AM196" s="60">
        <v>0</v>
      </c>
      <c r="AN196" s="60">
        <v>0</v>
      </c>
      <c r="AO196" s="60">
        <v>1</v>
      </c>
      <c r="AP196" s="60">
        <v>8.9999996125698003E-3</v>
      </c>
      <c r="AQ196" s="60">
        <v>0</v>
      </c>
      <c r="AR196" s="60">
        <v>50</v>
      </c>
      <c r="AS196" s="60">
        <v>1</v>
      </c>
      <c r="AT196" s="60">
        <v>252</v>
      </c>
      <c r="AU196" s="60">
        <v>50.581851959228501</v>
      </c>
    </row>
    <row r="197" spans="1:47" ht="15" customHeight="1" x14ac:dyDescent="0.2">
      <c r="A197" s="109">
        <v>169</v>
      </c>
      <c r="B197" s="109">
        <v>111.1</v>
      </c>
      <c r="C197" s="109">
        <v>108.4</v>
      </c>
      <c r="D197" s="109" t="s">
        <v>792</v>
      </c>
      <c r="E197" s="109">
        <v>8.9999999999999993E-3</v>
      </c>
      <c r="F197" s="109" t="s">
        <v>793</v>
      </c>
      <c r="G197" s="109" t="s">
        <v>672</v>
      </c>
      <c r="H197" s="109" t="s">
        <v>673</v>
      </c>
      <c r="I197" s="60" t="s">
        <v>183</v>
      </c>
      <c r="J197" s="109">
        <v>0</v>
      </c>
      <c r="K197" s="109">
        <v>9.3915777206420898</v>
      </c>
      <c r="L197" s="109">
        <v>1.017624974250793</v>
      </c>
      <c r="M197" s="109">
        <v>10.240055084228519</v>
      </c>
      <c r="N197" s="109">
        <v>8.999999612569809E-3</v>
      </c>
      <c r="O197" s="109">
        <v>100</v>
      </c>
      <c r="P197" s="109">
        <v>1</v>
      </c>
      <c r="Q197" s="109">
        <v>156.4</v>
      </c>
      <c r="R197" s="109">
        <f t="shared" si="6"/>
        <v>9.3915777206420898</v>
      </c>
      <c r="T197" s="108" t="b">
        <f t="shared" si="7"/>
        <v>0</v>
      </c>
      <c r="W197" s="60">
        <v>196</v>
      </c>
      <c r="X197" s="60" t="s">
        <v>800</v>
      </c>
      <c r="Y197" s="60">
        <v>4.8738926273483299E-4</v>
      </c>
      <c r="Z197" s="60">
        <v>51.4</v>
      </c>
      <c r="AA197" s="60" t="s">
        <v>792</v>
      </c>
      <c r="AB197" s="60">
        <v>8.9999999999999993E-3</v>
      </c>
      <c r="AC197" s="60"/>
      <c r="AD197" s="60" t="s">
        <v>793</v>
      </c>
      <c r="AE197" s="60"/>
      <c r="AF197" s="60"/>
      <c r="AG197" s="60" t="s">
        <v>685</v>
      </c>
      <c r="AH197" s="60" t="s">
        <v>684</v>
      </c>
      <c r="AI197" s="60" t="s">
        <v>800</v>
      </c>
      <c r="AJ197" s="60">
        <v>0</v>
      </c>
      <c r="AK197" s="60">
        <v>-0.65047949552536</v>
      </c>
      <c r="AL197" s="60">
        <v>0.31348380446433999</v>
      </c>
      <c r="AM197" s="60">
        <v>19.084863662719702</v>
      </c>
      <c r="AN197" s="60">
        <v>0</v>
      </c>
      <c r="AO197" s="60">
        <v>3</v>
      </c>
      <c r="AP197" s="60">
        <v>8.9999996125698003E-3</v>
      </c>
      <c r="AQ197" s="60">
        <v>0</v>
      </c>
      <c r="AR197" s="60">
        <v>50</v>
      </c>
      <c r="AS197" s="60">
        <v>1</v>
      </c>
      <c r="AT197" s="60">
        <v>252</v>
      </c>
      <c r="AU197" s="60">
        <v>50.043224334716797</v>
      </c>
    </row>
    <row r="198" spans="1:47" ht="15" customHeight="1" x14ac:dyDescent="0.2">
      <c r="A198" s="109">
        <v>170</v>
      </c>
      <c r="B198" s="109">
        <v>88</v>
      </c>
      <c r="C198" s="109">
        <v>108.4</v>
      </c>
      <c r="D198" s="109" t="s">
        <v>792</v>
      </c>
      <c r="E198" s="109">
        <v>8.9999999999999993E-3</v>
      </c>
      <c r="F198" s="109" t="s">
        <v>793</v>
      </c>
      <c r="G198" s="109" t="s">
        <v>673</v>
      </c>
      <c r="H198" s="109" t="s">
        <v>674</v>
      </c>
      <c r="I198" s="60" t="s">
        <v>192</v>
      </c>
      <c r="J198" s="109">
        <v>0</v>
      </c>
      <c r="K198" s="109">
        <v>8.2561731338500977</v>
      </c>
      <c r="L198" s="109">
        <v>0.89459812641143799</v>
      </c>
      <c r="M198" s="109">
        <v>7.9137349128723136</v>
      </c>
      <c r="N198" s="109">
        <v>8.999999612569809E-3</v>
      </c>
      <c r="O198" s="109">
        <v>100</v>
      </c>
      <c r="P198" s="109">
        <v>1</v>
      </c>
      <c r="Q198" s="109">
        <v>156.4</v>
      </c>
      <c r="R198" s="109">
        <f t="shared" si="6"/>
        <v>8.2561731338500977</v>
      </c>
      <c r="T198" s="108" t="b">
        <f t="shared" si="7"/>
        <v>0</v>
      </c>
      <c r="W198" s="60">
        <v>197</v>
      </c>
      <c r="X198" s="60" t="s">
        <v>901</v>
      </c>
      <c r="Y198" s="60">
        <v>1.9557080510833799E-4</v>
      </c>
      <c r="Z198" s="60">
        <v>51.4</v>
      </c>
      <c r="AA198" s="60" t="s">
        <v>792</v>
      </c>
      <c r="AB198" s="60">
        <v>8.9999999999999993E-3</v>
      </c>
      <c r="AC198" s="60"/>
      <c r="AD198" s="60" t="s">
        <v>793</v>
      </c>
      <c r="AE198" s="60"/>
      <c r="AF198" s="60"/>
      <c r="AG198" s="60" t="s">
        <v>684</v>
      </c>
      <c r="AH198" s="60" t="s">
        <v>683</v>
      </c>
      <c r="AI198" s="60" t="s">
        <v>901</v>
      </c>
      <c r="AJ198" s="60">
        <v>0</v>
      </c>
      <c r="AK198" s="60">
        <v>-1.08410120010375</v>
      </c>
      <c r="AL198" s="60">
        <v>0.52245795726776101</v>
      </c>
      <c r="AM198" s="60">
        <v>0</v>
      </c>
      <c r="AN198" s="60">
        <v>0</v>
      </c>
      <c r="AO198" s="60">
        <v>3</v>
      </c>
      <c r="AP198" s="60">
        <v>8.9999996125698003E-3</v>
      </c>
      <c r="AQ198" s="60">
        <v>0</v>
      </c>
      <c r="AR198" s="60">
        <v>50</v>
      </c>
      <c r="AS198" s="60">
        <v>1</v>
      </c>
      <c r="AT198" s="60">
        <v>252</v>
      </c>
      <c r="AU198" s="60">
        <v>49.684135437011697</v>
      </c>
    </row>
    <row r="199" spans="1:47" ht="15" customHeight="1" x14ac:dyDescent="0.2">
      <c r="A199" s="109">
        <v>171</v>
      </c>
      <c r="B199" s="109">
        <v>73.900000000000006</v>
      </c>
      <c r="C199" s="109">
        <v>97.8</v>
      </c>
      <c r="D199" s="109" t="s">
        <v>792</v>
      </c>
      <c r="E199" s="109">
        <v>8.9999999999999993E-3</v>
      </c>
      <c r="F199" s="109" t="s">
        <v>793</v>
      </c>
      <c r="G199" s="109" t="s">
        <v>674</v>
      </c>
      <c r="H199" s="109" t="s">
        <v>675</v>
      </c>
      <c r="I199" s="60" t="s">
        <v>230</v>
      </c>
      <c r="J199" s="109">
        <v>0</v>
      </c>
      <c r="K199" s="109">
        <v>7.3318743705749512</v>
      </c>
      <c r="L199" s="109">
        <v>0.97598934173583984</v>
      </c>
      <c r="M199" s="109">
        <v>10.804136276245121</v>
      </c>
      <c r="N199" s="109">
        <v>8.999999612569809E-3</v>
      </c>
      <c r="O199" s="109">
        <v>100</v>
      </c>
      <c r="P199" s="109">
        <v>1</v>
      </c>
      <c r="Q199" s="109">
        <v>156.4</v>
      </c>
      <c r="R199" s="109">
        <f t="shared" si="6"/>
        <v>7.3318743705749512</v>
      </c>
      <c r="T199" s="108" t="b">
        <f t="shared" si="7"/>
        <v>0</v>
      </c>
      <c r="W199" s="60">
        <v>198</v>
      </c>
      <c r="X199" s="60" t="s">
        <v>902</v>
      </c>
      <c r="Y199" s="60">
        <v>5.0917770250016501E-4</v>
      </c>
      <c r="Z199" s="60">
        <v>72.8</v>
      </c>
      <c r="AA199" s="60" t="s">
        <v>792</v>
      </c>
      <c r="AB199" s="60">
        <v>8.9999999999999993E-3</v>
      </c>
      <c r="AC199" s="60"/>
      <c r="AD199" s="60" t="s">
        <v>793</v>
      </c>
      <c r="AE199" s="60"/>
      <c r="AF199" s="60"/>
      <c r="AG199" s="60" t="s">
        <v>683</v>
      </c>
      <c r="AH199" s="60" t="s">
        <v>682</v>
      </c>
      <c r="AI199" s="60" t="s">
        <v>902</v>
      </c>
      <c r="AJ199" s="60">
        <v>0</v>
      </c>
      <c r="AK199" s="60">
        <v>-1.5291339159011801</v>
      </c>
      <c r="AL199" s="60">
        <v>0.36735889315605103</v>
      </c>
      <c r="AM199" s="60">
        <v>0</v>
      </c>
      <c r="AN199" s="60">
        <v>0</v>
      </c>
      <c r="AO199" s="60">
        <v>3</v>
      </c>
      <c r="AP199" s="60">
        <v>8.9999996125698003E-3</v>
      </c>
      <c r="AQ199" s="60">
        <v>0</v>
      </c>
      <c r="AR199" s="60">
        <v>75</v>
      </c>
      <c r="AS199" s="60">
        <v>1</v>
      </c>
      <c r="AT199" s="60">
        <v>252</v>
      </c>
      <c r="AU199" s="60">
        <v>49.315597534179602</v>
      </c>
    </row>
    <row r="200" spans="1:47" ht="15" customHeight="1" x14ac:dyDescent="0.2">
      <c r="A200" s="109">
        <v>173</v>
      </c>
      <c r="B200" s="109">
        <v>248.2</v>
      </c>
      <c r="C200" s="109">
        <v>94.4</v>
      </c>
      <c r="D200" s="109" t="s">
        <v>792</v>
      </c>
      <c r="E200" s="109">
        <v>8.9999999999999993E-3</v>
      </c>
      <c r="F200" s="109" t="s">
        <v>793</v>
      </c>
      <c r="G200" s="109" t="s">
        <v>675</v>
      </c>
      <c r="H200" s="109" t="s">
        <v>676</v>
      </c>
      <c r="I200" s="60" t="s">
        <v>215</v>
      </c>
      <c r="J200" s="109">
        <v>0</v>
      </c>
      <c r="K200" s="109">
        <v>5.4946870803833008</v>
      </c>
      <c r="L200" s="109">
        <v>0.78506708145141602</v>
      </c>
      <c r="M200" s="109">
        <v>7.328188419342041</v>
      </c>
      <c r="N200" s="109">
        <v>8.999999612569809E-3</v>
      </c>
      <c r="O200" s="109">
        <v>100</v>
      </c>
      <c r="P200" s="109">
        <v>1</v>
      </c>
      <c r="Q200" s="109">
        <v>156.4</v>
      </c>
      <c r="R200" s="109">
        <f t="shared" si="6"/>
        <v>5.4946870803833008</v>
      </c>
      <c r="T200" s="108" t="b">
        <f t="shared" si="7"/>
        <v>0</v>
      </c>
      <c r="W200" s="60">
        <v>199</v>
      </c>
      <c r="X200" s="60" t="s">
        <v>903</v>
      </c>
      <c r="Y200" s="60">
        <v>1.38033892546654E-3</v>
      </c>
      <c r="Z200" s="60">
        <v>77.2</v>
      </c>
      <c r="AA200" s="60" t="s">
        <v>792</v>
      </c>
      <c r="AB200" s="60">
        <v>8.9999999999999993E-3</v>
      </c>
      <c r="AC200" s="60"/>
      <c r="AD200" s="60" t="s">
        <v>793</v>
      </c>
      <c r="AE200" s="60"/>
      <c r="AF200" s="60"/>
      <c r="AG200" s="60" t="s">
        <v>681</v>
      </c>
      <c r="AH200" s="60" t="s">
        <v>680</v>
      </c>
      <c r="AI200" s="60" t="s">
        <v>903</v>
      </c>
      <c r="AJ200" s="60">
        <v>0</v>
      </c>
      <c r="AK200" s="60">
        <v>-3.55460405349731</v>
      </c>
      <c r="AL200" s="60">
        <v>0.75938916206359797</v>
      </c>
      <c r="AM200" s="60">
        <v>13.4774980545043</v>
      </c>
      <c r="AN200" s="60">
        <v>0</v>
      </c>
      <c r="AO200" s="60">
        <v>3</v>
      </c>
      <c r="AP200" s="60">
        <v>8.9999996125698003E-3</v>
      </c>
      <c r="AQ200" s="60">
        <v>0</v>
      </c>
      <c r="AR200" s="60">
        <v>75</v>
      </c>
      <c r="AS200" s="60">
        <v>1</v>
      </c>
      <c r="AT200" s="60">
        <v>252</v>
      </c>
      <c r="AU200" s="60">
        <v>47.638286590576101</v>
      </c>
    </row>
    <row r="201" spans="1:47" ht="15" customHeight="1" x14ac:dyDescent="0.2">
      <c r="A201" s="109">
        <v>172</v>
      </c>
      <c r="B201" s="109">
        <v>116.4</v>
      </c>
      <c r="C201" s="109">
        <v>72.8</v>
      </c>
      <c r="D201" s="109" t="s">
        <v>792</v>
      </c>
      <c r="E201" s="109">
        <v>8.9999999999999993E-3</v>
      </c>
      <c r="F201" s="109" t="s">
        <v>793</v>
      </c>
      <c r="G201" s="109" t="s">
        <v>676</v>
      </c>
      <c r="H201" s="109" t="s">
        <v>677</v>
      </c>
      <c r="I201" s="60" t="s">
        <v>214</v>
      </c>
      <c r="J201" s="109">
        <v>0</v>
      </c>
      <c r="K201" s="109">
        <v>3.4178674221038818</v>
      </c>
      <c r="L201" s="109">
        <v>0.82110786437988281</v>
      </c>
      <c r="M201" s="109">
        <v>11.33439922332764</v>
      </c>
      <c r="N201" s="109">
        <v>8.999999612569809E-3</v>
      </c>
      <c r="O201" s="109">
        <v>75</v>
      </c>
      <c r="P201" s="109">
        <v>1</v>
      </c>
      <c r="Q201" s="109">
        <v>156.4</v>
      </c>
      <c r="R201" s="109">
        <f t="shared" si="6"/>
        <v>3.4178674221038818</v>
      </c>
      <c r="T201" s="108" t="b">
        <f t="shared" si="7"/>
        <v>0</v>
      </c>
      <c r="W201" s="60">
        <v>200</v>
      </c>
      <c r="X201" s="60" t="s">
        <v>904</v>
      </c>
      <c r="Y201" s="60">
        <v>6.5892804665463299E-4</v>
      </c>
      <c r="Z201" s="60">
        <v>72.8</v>
      </c>
      <c r="AA201" s="60" t="s">
        <v>792</v>
      </c>
      <c r="AB201" s="60">
        <v>8.9999999999999993E-3</v>
      </c>
      <c r="AC201" s="60"/>
      <c r="AD201" s="60" t="s">
        <v>793</v>
      </c>
      <c r="AE201" s="60"/>
      <c r="AF201" s="60"/>
      <c r="AG201" s="60" t="s">
        <v>682</v>
      </c>
      <c r="AH201" s="60" t="s">
        <v>681</v>
      </c>
      <c r="AI201" s="60" t="s">
        <v>904</v>
      </c>
      <c r="AJ201" s="60">
        <v>0</v>
      </c>
      <c r="AK201" s="60">
        <v>-2.2651498317718501</v>
      </c>
      <c r="AL201" s="60">
        <v>0.54417920112609797</v>
      </c>
      <c r="AM201" s="60">
        <v>0</v>
      </c>
      <c r="AN201" s="60">
        <v>0</v>
      </c>
      <c r="AO201" s="60">
        <v>3</v>
      </c>
      <c r="AP201" s="60">
        <v>8.9999996125698003E-3</v>
      </c>
      <c r="AQ201" s="60">
        <v>0</v>
      </c>
      <c r="AR201" s="60">
        <v>75</v>
      </c>
      <c r="AS201" s="60">
        <v>1</v>
      </c>
      <c r="AT201" s="60">
        <v>252</v>
      </c>
      <c r="AU201" s="60">
        <v>48.706096649169901</v>
      </c>
    </row>
    <row r="202" spans="1:47" ht="15" customHeight="1" x14ac:dyDescent="0.2">
      <c r="A202" s="109">
        <v>174</v>
      </c>
      <c r="B202" s="109">
        <v>127.7</v>
      </c>
      <c r="C202" s="109">
        <v>54.6</v>
      </c>
      <c r="D202" s="109" t="s">
        <v>792</v>
      </c>
      <c r="E202" s="109">
        <v>8.9999999999999993E-3</v>
      </c>
      <c r="F202" s="109" t="s">
        <v>793</v>
      </c>
      <c r="G202" s="109" t="s">
        <v>677</v>
      </c>
      <c r="H202" s="109" t="s">
        <v>678</v>
      </c>
      <c r="I202" s="60" t="s">
        <v>213</v>
      </c>
      <c r="J202" s="109">
        <v>0</v>
      </c>
      <c r="K202" s="109">
        <v>2.025713443756104</v>
      </c>
      <c r="L202" s="109">
        <v>0.86516809463500977</v>
      </c>
      <c r="M202" s="109">
        <v>18.464790344238281</v>
      </c>
      <c r="N202" s="109">
        <v>8.999999612569809E-3</v>
      </c>
      <c r="O202" s="109">
        <v>50</v>
      </c>
      <c r="P202" s="109">
        <v>1</v>
      </c>
      <c r="Q202" s="109">
        <v>156.4</v>
      </c>
      <c r="R202" s="109">
        <f t="shared" si="6"/>
        <v>2.025713443756104</v>
      </c>
      <c r="T202" s="108" t="b">
        <f t="shared" si="7"/>
        <v>0</v>
      </c>
      <c r="W202" s="60">
        <v>201</v>
      </c>
      <c r="X202" s="60" t="s">
        <v>405</v>
      </c>
      <c r="Y202" s="60">
        <v>4.2255004547990098E-4</v>
      </c>
      <c r="Z202" s="60">
        <v>700</v>
      </c>
      <c r="AA202" s="60" t="s">
        <v>792</v>
      </c>
      <c r="AB202" s="60">
        <v>8.9999999999999993E-3</v>
      </c>
      <c r="AC202" s="60"/>
      <c r="AD202" s="60" t="s">
        <v>793</v>
      </c>
      <c r="AE202" s="60"/>
      <c r="AF202" s="60"/>
      <c r="AG202" s="60" t="s">
        <v>419</v>
      </c>
      <c r="AH202" s="60" t="s">
        <v>581</v>
      </c>
      <c r="AI202" s="60" t="s">
        <v>405</v>
      </c>
      <c r="AJ202" s="60">
        <v>0</v>
      </c>
      <c r="AK202" s="60">
        <v>332.1201171875</v>
      </c>
      <c r="AL202" s="60">
        <v>0.86299216747283902</v>
      </c>
      <c r="AM202" s="60">
        <v>0</v>
      </c>
      <c r="AN202" s="60">
        <v>0</v>
      </c>
      <c r="AO202" s="60">
        <v>3</v>
      </c>
      <c r="AP202" s="60">
        <v>8.9999996125698003E-3</v>
      </c>
      <c r="AQ202" s="60">
        <v>0</v>
      </c>
      <c r="AR202" s="60">
        <v>800</v>
      </c>
      <c r="AS202" s="60">
        <v>1</v>
      </c>
      <c r="AT202" s="60">
        <v>252</v>
      </c>
      <c r="AU202" s="60">
        <v>106.03269958496</v>
      </c>
    </row>
    <row r="203" spans="1:47" ht="15" customHeight="1" x14ac:dyDescent="0.2">
      <c r="A203" s="109">
        <v>175</v>
      </c>
      <c r="B203" s="109">
        <v>137.9</v>
      </c>
      <c r="C203" s="109">
        <v>51.4</v>
      </c>
      <c r="D203" s="109" t="s">
        <v>792</v>
      </c>
      <c r="E203" s="109">
        <v>8.9999999999999993E-3</v>
      </c>
      <c r="F203" s="109" t="s">
        <v>793</v>
      </c>
      <c r="G203" s="109" t="s">
        <v>678</v>
      </c>
      <c r="H203" s="109" t="s">
        <v>679</v>
      </c>
      <c r="I203" s="60" t="s">
        <v>212</v>
      </c>
      <c r="J203" s="109">
        <v>0</v>
      </c>
      <c r="K203" s="109">
        <v>0.50803762674331665</v>
      </c>
      <c r="L203" s="109">
        <v>0.2448371946811676</v>
      </c>
      <c r="M203" s="109">
        <v>1.6027151346206669</v>
      </c>
      <c r="N203" s="109">
        <v>8.999999612569809E-3</v>
      </c>
      <c r="O203" s="109">
        <v>50</v>
      </c>
      <c r="P203" s="109">
        <v>1</v>
      </c>
      <c r="Q203" s="109">
        <v>204.2</v>
      </c>
      <c r="R203" s="109">
        <f t="shared" si="6"/>
        <v>0.50803762674331665</v>
      </c>
      <c r="T203" s="108" t="b">
        <f t="shared" si="7"/>
        <v>0</v>
      </c>
      <c r="W203" s="60">
        <v>202</v>
      </c>
      <c r="X203" s="60" t="s">
        <v>406</v>
      </c>
      <c r="Y203" s="60">
        <v>1.0592749052984801E-3</v>
      </c>
      <c r="Z203" s="60">
        <v>700</v>
      </c>
      <c r="AA203" s="60" t="s">
        <v>792</v>
      </c>
      <c r="AB203" s="60">
        <v>8.9999999999999993E-3</v>
      </c>
      <c r="AC203" s="60"/>
      <c r="AD203" s="60" t="s">
        <v>793</v>
      </c>
      <c r="AE203" s="60"/>
      <c r="AF203" s="60"/>
      <c r="AG203" s="60" t="s">
        <v>581</v>
      </c>
      <c r="AH203" s="60" t="s">
        <v>582</v>
      </c>
      <c r="AI203" s="60" t="s">
        <v>406</v>
      </c>
      <c r="AJ203" s="60">
        <v>0</v>
      </c>
      <c r="AK203" s="60">
        <v>330.91619873046801</v>
      </c>
      <c r="AL203" s="60">
        <v>0.85986393690109197</v>
      </c>
      <c r="AM203" s="60">
        <v>0</v>
      </c>
      <c r="AN203" s="60">
        <v>0</v>
      </c>
      <c r="AO203" s="60">
        <v>3</v>
      </c>
      <c r="AP203" s="60">
        <v>8.9999996125698003E-3</v>
      </c>
      <c r="AQ203" s="60">
        <v>0</v>
      </c>
      <c r="AR203" s="60">
        <v>800</v>
      </c>
      <c r="AS203" s="60">
        <v>1</v>
      </c>
      <c r="AT203" s="60">
        <v>252</v>
      </c>
      <c r="AU203" s="60">
        <v>105.035758972167</v>
      </c>
    </row>
    <row r="204" spans="1:47" ht="15" customHeight="1" x14ac:dyDescent="0.2">
      <c r="A204" s="109">
        <v>177</v>
      </c>
      <c r="B204" s="109">
        <v>288.8</v>
      </c>
      <c r="C204" s="109">
        <v>94.4</v>
      </c>
      <c r="D204" s="109" t="s">
        <v>792</v>
      </c>
      <c r="E204" s="109">
        <v>8.9999999999999993E-3</v>
      </c>
      <c r="F204" s="109" t="s">
        <v>793</v>
      </c>
      <c r="G204" s="109" t="s">
        <v>680</v>
      </c>
      <c r="H204" s="109" t="s">
        <v>679</v>
      </c>
      <c r="I204" s="60" t="s">
        <v>211</v>
      </c>
      <c r="J204" s="109">
        <v>0</v>
      </c>
      <c r="K204" s="109">
        <v>-6.0764317512512207</v>
      </c>
      <c r="L204" s="109">
        <v>0.86818528175354004</v>
      </c>
      <c r="M204" s="109">
        <v>8.9620571136474609</v>
      </c>
      <c r="N204" s="109">
        <v>8.999999612569809E-3</v>
      </c>
      <c r="O204" s="109">
        <v>100</v>
      </c>
      <c r="P204" s="109">
        <v>1</v>
      </c>
      <c r="Q204" s="109">
        <v>252</v>
      </c>
      <c r="R204" s="109">
        <f t="shared" si="6"/>
        <v>6.0764317512512207</v>
      </c>
      <c r="T204" s="108" t="b">
        <f t="shared" si="7"/>
        <v>0</v>
      </c>
      <c r="W204" s="60">
        <v>203</v>
      </c>
      <c r="X204" s="60" t="s">
        <v>407</v>
      </c>
      <c r="Y204" s="60">
        <v>1.5091433766914999E-3</v>
      </c>
      <c r="Z204" s="60">
        <v>700</v>
      </c>
      <c r="AA204" s="60" t="s">
        <v>792</v>
      </c>
      <c r="AB204" s="60">
        <v>8.9999999999999993E-3</v>
      </c>
      <c r="AC204" s="60"/>
      <c r="AD204" s="60" t="s">
        <v>793</v>
      </c>
      <c r="AE204" s="60"/>
      <c r="AF204" s="60"/>
      <c r="AG204" s="60" t="s">
        <v>582</v>
      </c>
      <c r="AH204" s="60" t="s">
        <v>583</v>
      </c>
      <c r="AI204" s="60" t="s">
        <v>407</v>
      </c>
      <c r="AJ204" s="60">
        <v>0</v>
      </c>
      <c r="AK204" s="60">
        <v>329.295806884765</v>
      </c>
      <c r="AL204" s="60">
        <v>0.85565346479415805</v>
      </c>
      <c r="AM204" s="60">
        <v>0</v>
      </c>
      <c r="AN204" s="60">
        <v>0</v>
      </c>
      <c r="AO204" s="60">
        <v>3</v>
      </c>
      <c r="AP204" s="60">
        <v>8.9999996125698003E-3</v>
      </c>
      <c r="AQ204" s="60">
        <v>0</v>
      </c>
      <c r="AR204" s="60">
        <v>800</v>
      </c>
      <c r="AS204" s="60">
        <v>1</v>
      </c>
      <c r="AT204" s="60">
        <v>252</v>
      </c>
      <c r="AU204" s="60">
        <v>103.69390869140599</v>
      </c>
    </row>
    <row r="205" spans="1:47" ht="15" customHeight="1" x14ac:dyDescent="0.2">
      <c r="A205" s="109">
        <v>204</v>
      </c>
      <c r="B205" s="109">
        <v>9.4</v>
      </c>
      <c r="C205" s="109">
        <v>51.4</v>
      </c>
      <c r="D205" s="109" t="s">
        <v>792</v>
      </c>
      <c r="E205" s="109">
        <v>8.9999999999999993E-3</v>
      </c>
      <c r="F205" s="109" t="s">
        <v>793</v>
      </c>
      <c r="G205" s="109" t="s">
        <v>568</v>
      </c>
      <c r="H205" s="109" t="s">
        <v>621</v>
      </c>
      <c r="I205" s="60" t="s">
        <v>417</v>
      </c>
      <c r="J205" s="109">
        <v>0</v>
      </c>
      <c r="K205" s="109">
        <v>0</v>
      </c>
      <c r="L205" s="109">
        <v>0</v>
      </c>
      <c r="M205" s="109">
        <v>0</v>
      </c>
      <c r="N205" s="109">
        <v>8.999999612569809E-3</v>
      </c>
      <c r="O205" s="109">
        <v>50</v>
      </c>
      <c r="P205" s="109">
        <v>1</v>
      </c>
      <c r="Q205" s="109">
        <v>347.6</v>
      </c>
      <c r="R205" s="109">
        <f t="shared" si="6"/>
        <v>0</v>
      </c>
      <c r="T205" s="108" t="b">
        <f t="shared" si="7"/>
        <v>1</v>
      </c>
      <c r="W205" s="60">
        <v>204</v>
      </c>
      <c r="X205" s="60" t="s">
        <v>417</v>
      </c>
      <c r="Y205" s="110">
        <v>8.4802292258832904E-5</v>
      </c>
      <c r="Z205" s="60">
        <v>51.4</v>
      </c>
      <c r="AA205" s="60" t="s">
        <v>792</v>
      </c>
      <c r="AB205" s="60">
        <v>8.9999999999999993E-3</v>
      </c>
      <c r="AC205" s="60"/>
      <c r="AD205" s="60" t="s">
        <v>793</v>
      </c>
      <c r="AE205" s="60"/>
      <c r="AF205" s="60"/>
      <c r="AG205" s="60" t="s">
        <v>568</v>
      </c>
      <c r="AH205" s="60" t="s">
        <v>621</v>
      </c>
      <c r="AI205" s="60" t="s">
        <v>417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1</v>
      </c>
      <c r="AP205" s="60">
        <v>8.9999996125698003E-3</v>
      </c>
      <c r="AQ205" s="60">
        <v>0</v>
      </c>
      <c r="AR205" s="60">
        <v>50</v>
      </c>
      <c r="AS205" s="60">
        <v>1</v>
      </c>
      <c r="AT205" s="60">
        <v>347.6</v>
      </c>
      <c r="AU205" s="60">
        <v>118.417610168457</v>
      </c>
    </row>
    <row r="206" spans="1:47" ht="15" customHeight="1" x14ac:dyDescent="0.2">
      <c r="A206" s="109">
        <v>201</v>
      </c>
      <c r="B206" s="109">
        <v>46.7</v>
      </c>
      <c r="C206" s="109">
        <v>700</v>
      </c>
      <c r="D206" s="109" t="s">
        <v>792</v>
      </c>
      <c r="E206" s="109">
        <v>8.9999999999999993E-3</v>
      </c>
      <c r="F206" s="109" t="s">
        <v>793</v>
      </c>
      <c r="G206" s="109" t="s">
        <v>419</v>
      </c>
      <c r="H206" s="109" t="s">
        <v>581</v>
      </c>
      <c r="I206" s="60" t="s">
        <v>405</v>
      </c>
      <c r="J206" s="109">
        <v>0</v>
      </c>
      <c r="K206" s="109">
        <v>332.12005615234381</v>
      </c>
      <c r="L206" s="109">
        <v>0.8629920482635498</v>
      </c>
      <c r="M206" s="109">
        <v>0.61288028955459595</v>
      </c>
      <c r="N206" s="109">
        <v>8.999999612569809E-3</v>
      </c>
      <c r="O206" s="109">
        <v>800</v>
      </c>
      <c r="P206" s="109">
        <v>1</v>
      </c>
      <c r="Q206" s="109">
        <v>252</v>
      </c>
      <c r="R206" s="109">
        <f t="shared" si="6"/>
        <v>332.12005615234381</v>
      </c>
      <c r="T206" s="108" t="b">
        <f t="shared" si="7"/>
        <v>0</v>
      </c>
      <c r="W206" s="60">
        <v>205</v>
      </c>
      <c r="X206" s="60" t="s">
        <v>171</v>
      </c>
      <c r="Y206" s="60">
        <v>6.3016177866273104E-4</v>
      </c>
      <c r="Z206" s="60">
        <v>394.6</v>
      </c>
      <c r="AA206" s="60" t="s">
        <v>792</v>
      </c>
      <c r="AB206" s="60">
        <v>8.9999999999999993E-3</v>
      </c>
      <c r="AC206" s="60"/>
      <c r="AD206" s="60" t="s">
        <v>793</v>
      </c>
      <c r="AE206" s="60"/>
      <c r="AF206" s="60"/>
      <c r="AG206" s="60" t="s">
        <v>621</v>
      </c>
      <c r="AH206" s="60" t="s">
        <v>622</v>
      </c>
      <c r="AI206" s="60" t="s">
        <v>171</v>
      </c>
      <c r="AJ206" s="60">
        <v>0</v>
      </c>
      <c r="AK206" s="60">
        <v>108.414413452148</v>
      </c>
      <c r="AL206" s="60">
        <v>0.88650381565093905</v>
      </c>
      <c r="AM206" s="60">
        <v>0</v>
      </c>
      <c r="AN206" s="60">
        <v>0</v>
      </c>
      <c r="AO206" s="60">
        <v>3</v>
      </c>
      <c r="AP206" s="60">
        <v>8.9999996125698003E-3</v>
      </c>
      <c r="AQ206" s="60">
        <v>0</v>
      </c>
      <c r="AR206" s="60">
        <v>400</v>
      </c>
      <c r="AS206" s="60">
        <v>1</v>
      </c>
      <c r="AT206" s="60">
        <v>299.8</v>
      </c>
      <c r="AU206" s="60">
        <v>100.021842956542</v>
      </c>
    </row>
  </sheetData>
  <autoFilter ref="A1:R206" xr:uid="{7EA96161-B54E-4372-AC08-E5897596A42E}">
    <sortState xmlns:xlrd2="http://schemas.microsoft.com/office/spreadsheetml/2017/richdata2" ref="A2:R206">
      <sortCondition ref="I1:I206"/>
    </sortState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DEB51-E944-4FE0-A5D9-F5A42A98CADC}">
  <sheetPr codeName="Feuil18"/>
  <dimension ref="A1:N4"/>
  <sheetViews>
    <sheetView workbookViewId="0">
      <selection activeCell="AK27" sqref="AK27"/>
    </sheetView>
  </sheetViews>
  <sheetFormatPr baseColWidth="10" defaultColWidth="10.85546875" defaultRowHeight="12.75" x14ac:dyDescent="0.2"/>
  <cols>
    <col min="1" max="16384" width="10.85546875" style="108"/>
  </cols>
  <sheetData>
    <row r="1" spans="1:14" x14ac:dyDescent="0.2">
      <c r="A1" s="108" t="s">
        <v>74</v>
      </c>
      <c r="B1" s="108" t="s">
        <v>576</v>
      </c>
      <c r="C1" s="108" t="s">
        <v>574</v>
      </c>
      <c r="D1" s="108" t="s">
        <v>778</v>
      </c>
      <c r="E1" s="108" t="s">
        <v>577</v>
      </c>
      <c r="F1" s="108" t="s">
        <v>794</v>
      </c>
      <c r="G1" s="108" t="s">
        <v>795</v>
      </c>
      <c r="H1" s="108" t="s">
        <v>796</v>
      </c>
      <c r="I1" s="108" t="s">
        <v>797</v>
      </c>
      <c r="J1" s="108" t="s">
        <v>798</v>
      </c>
      <c r="K1" s="108" t="s">
        <v>578</v>
      </c>
      <c r="L1" s="108" t="s">
        <v>579</v>
      </c>
      <c r="M1" s="108" t="s">
        <v>580</v>
      </c>
      <c r="N1" s="108" t="s">
        <v>799</v>
      </c>
    </row>
    <row r="2" spans="1:14" x14ac:dyDescent="0.2">
      <c r="A2" s="108">
        <v>1</v>
      </c>
      <c r="B2" s="108" t="s">
        <v>418</v>
      </c>
      <c r="C2" s="108">
        <v>12</v>
      </c>
      <c r="D2" s="108">
        <v>5</v>
      </c>
      <c r="E2" s="108">
        <v>27</v>
      </c>
      <c r="F2" s="108">
        <v>4.5</v>
      </c>
      <c r="G2" s="108">
        <v>0</v>
      </c>
      <c r="H2" s="108">
        <v>10</v>
      </c>
      <c r="I2" s="108">
        <v>4.5</v>
      </c>
      <c r="K2" s="108">
        <v>0</v>
      </c>
      <c r="L2" s="108">
        <v>31.5</v>
      </c>
      <c r="M2" s="108">
        <v>4.5000004768371582</v>
      </c>
      <c r="N2" s="108">
        <v>0</v>
      </c>
    </row>
    <row r="3" spans="1:14" x14ac:dyDescent="0.2">
      <c r="A3" s="108">
        <v>2</v>
      </c>
      <c r="B3" s="108" t="s">
        <v>568</v>
      </c>
      <c r="C3" s="108">
        <v>17</v>
      </c>
      <c r="D3" s="108">
        <v>7</v>
      </c>
      <c r="E3" s="108">
        <v>32</v>
      </c>
      <c r="F3" s="108">
        <v>5.2</v>
      </c>
      <c r="G3" s="108">
        <v>0</v>
      </c>
      <c r="H3" s="108">
        <v>10</v>
      </c>
      <c r="I3" s="108">
        <v>5.2</v>
      </c>
      <c r="K3" s="108">
        <v>0</v>
      </c>
      <c r="L3" s="108">
        <v>37.200000762939453</v>
      </c>
      <c r="M3" s="108">
        <v>5.1999993324279794</v>
      </c>
      <c r="N3" s="108">
        <v>0</v>
      </c>
    </row>
    <row r="4" spans="1:14" x14ac:dyDescent="0.2">
      <c r="A4" s="108">
        <v>3</v>
      </c>
      <c r="B4" s="108" t="s">
        <v>419</v>
      </c>
      <c r="C4" s="108">
        <v>12</v>
      </c>
      <c r="D4" s="108">
        <v>17</v>
      </c>
      <c r="E4" s="108">
        <v>50</v>
      </c>
      <c r="F4" s="108">
        <v>32</v>
      </c>
      <c r="G4" s="108">
        <v>0</v>
      </c>
      <c r="H4" s="108">
        <v>10</v>
      </c>
      <c r="I4" s="108">
        <v>32</v>
      </c>
      <c r="K4" s="108">
        <v>-332.12005615234381</v>
      </c>
      <c r="L4" s="108">
        <v>82</v>
      </c>
      <c r="M4" s="108">
        <v>32</v>
      </c>
      <c r="N4" s="108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B8E4A-F3DB-4AED-8CC4-D0A935516812}">
  <sheetPr codeName="Feuil6"/>
  <dimension ref="E4:CN68"/>
  <sheetViews>
    <sheetView zoomScaleNormal="100" workbookViewId="0">
      <selection activeCell="EO10" sqref="A10:XFD13"/>
    </sheetView>
  </sheetViews>
  <sheetFormatPr baseColWidth="10" defaultRowHeight="15" x14ac:dyDescent="0.25"/>
  <cols>
    <col min="6" max="6" width="15.42578125" bestFit="1" customWidth="1"/>
    <col min="7" max="7" width="18.7109375" bestFit="1" customWidth="1"/>
    <col min="8" max="8" width="19.7109375" bestFit="1" customWidth="1"/>
    <col min="9" max="9" width="13.42578125" bestFit="1" customWidth="1"/>
    <col min="10" max="10" width="13.7109375" bestFit="1" customWidth="1"/>
    <col min="11" max="11" width="15.42578125" bestFit="1" customWidth="1"/>
    <col min="12" max="12" width="22.42578125" bestFit="1" customWidth="1"/>
    <col min="14" max="14" width="13.5703125" bestFit="1" customWidth="1"/>
    <col min="19" max="19" width="15.42578125" bestFit="1" customWidth="1"/>
    <col min="20" max="20" width="18.7109375" bestFit="1" customWidth="1"/>
    <col min="21" max="21" width="19.7109375" bestFit="1" customWidth="1"/>
    <col min="22" max="22" width="13.42578125" bestFit="1" customWidth="1"/>
    <col min="23" max="23" width="13.7109375" bestFit="1" customWidth="1"/>
    <col min="24" max="24" width="15.42578125" bestFit="1" customWidth="1"/>
    <col min="25" max="25" width="22.42578125" bestFit="1" customWidth="1"/>
    <col min="27" max="27" width="13.5703125" bestFit="1" customWidth="1"/>
    <col min="31" max="31" width="11.5703125" customWidth="1"/>
    <col min="32" max="32" width="15.42578125" bestFit="1" customWidth="1"/>
    <col min="33" max="33" width="18.7109375" bestFit="1" customWidth="1"/>
    <col min="34" max="34" width="19.7109375" bestFit="1" customWidth="1"/>
    <col min="35" max="35" width="15.140625" customWidth="1"/>
    <col min="36" max="36" width="13.7109375" bestFit="1" customWidth="1"/>
    <col min="37" max="37" width="15.42578125" bestFit="1" customWidth="1"/>
    <col min="38" max="38" width="10.42578125" bestFit="1" customWidth="1"/>
    <col min="39" max="39" width="7.7109375" customWidth="1"/>
    <col min="40" max="40" width="13.5703125" bestFit="1" customWidth="1"/>
    <col min="44" max="44" width="12.140625" customWidth="1"/>
    <col min="45" max="45" width="15.42578125" bestFit="1" customWidth="1"/>
    <col min="46" max="46" width="18.7109375" bestFit="1" customWidth="1"/>
    <col min="47" max="47" width="19.7109375" bestFit="1" customWidth="1"/>
    <col min="48" max="48" width="13.5703125" customWidth="1"/>
    <col min="49" max="49" width="13.7109375" customWidth="1"/>
    <col min="50" max="50" width="15.42578125" bestFit="1" customWidth="1"/>
    <col min="51" max="51" width="12.140625" customWidth="1"/>
    <col min="53" max="53" width="15.42578125" customWidth="1"/>
    <col min="57" max="57" width="12.85546875" customWidth="1"/>
    <col min="58" max="58" width="15.42578125" bestFit="1" customWidth="1"/>
    <col min="59" max="59" width="18.7109375" bestFit="1" customWidth="1"/>
    <col min="60" max="60" width="19.7109375" bestFit="1" customWidth="1"/>
    <col min="61" max="61" width="14" customWidth="1"/>
    <col min="62" max="62" width="13.42578125" customWidth="1"/>
    <col min="63" max="63" width="15.42578125" bestFit="1" customWidth="1"/>
    <col min="66" max="66" width="15.140625" customWidth="1"/>
    <col min="70" max="70" width="12.140625" customWidth="1"/>
    <col min="71" max="71" width="15.42578125" bestFit="1" customWidth="1"/>
    <col min="72" max="72" width="18.7109375" bestFit="1" customWidth="1"/>
    <col min="73" max="73" width="19.7109375" bestFit="1" customWidth="1"/>
    <col min="74" max="74" width="13.42578125" customWidth="1"/>
    <col min="75" max="75" width="14.28515625" customWidth="1"/>
    <col min="76" max="76" width="15.42578125" bestFit="1" customWidth="1"/>
    <col min="77" max="77" width="11.140625" customWidth="1"/>
    <col min="79" max="79" width="13.42578125" customWidth="1"/>
    <col min="84" max="84" width="15.42578125" bestFit="1" customWidth="1"/>
    <col min="85" max="85" width="18.7109375" bestFit="1" customWidth="1"/>
    <col min="86" max="86" width="19.7109375" bestFit="1" customWidth="1"/>
    <col min="87" max="87" width="13.5703125" customWidth="1"/>
    <col min="88" max="88" width="13.7109375" customWidth="1"/>
    <col min="89" max="89" width="15.42578125" bestFit="1" customWidth="1"/>
    <col min="90" max="90" width="12.85546875" customWidth="1"/>
    <col min="92" max="92" width="13.85546875" customWidth="1"/>
  </cols>
  <sheetData>
    <row r="4" spans="5:92" x14ac:dyDescent="0.25">
      <c r="E4" s="218" t="str">
        <f>TRONCONS_V1!$N$14</f>
        <v>BOUCLE 1</v>
      </c>
      <c r="F4" s="218"/>
      <c r="G4" s="218"/>
      <c r="H4" s="218"/>
      <c r="I4" s="218"/>
      <c r="J4" s="218"/>
      <c r="K4" s="218"/>
      <c r="L4" s="218"/>
      <c r="M4" s="218"/>
      <c r="N4" s="218"/>
      <c r="R4" s="218" t="str">
        <f>TRONCONS_V1!$V$14</f>
        <v>BOUCLE 2</v>
      </c>
      <c r="S4" s="218"/>
      <c r="T4" s="218"/>
      <c r="U4" s="218"/>
      <c r="V4" s="218"/>
      <c r="W4" s="218"/>
      <c r="X4" s="218"/>
      <c r="Y4" s="218"/>
      <c r="Z4" s="218"/>
      <c r="AA4" s="218"/>
      <c r="AE4" s="218" t="str">
        <f>TRONCONS_V1!$AD$14</f>
        <v>BOUCLE 3</v>
      </c>
      <c r="AF4" s="218"/>
      <c r="AG4" s="218"/>
      <c r="AH4" s="218"/>
      <c r="AI4" s="218"/>
      <c r="AJ4" s="218"/>
      <c r="AK4" s="218"/>
      <c r="AL4" s="218"/>
      <c r="AM4" s="218"/>
      <c r="AN4" s="218"/>
      <c r="AR4" s="218" t="str">
        <f>TRONCONS_V1!$AL$14</f>
        <v>BOUCLE 4</v>
      </c>
      <c r="AS4" s="218"/>
      <c r="AT4" s="218"/>
      <c r="AU4" s="218"/>
      <c r="AV4" s="218"/>
      <c r="AW4" s="218"/>
      <c r="AX4" s="218"/>
      <c r="AY4" s="218"/>
      <c r="AZ4" s="218"/>
      <c r="BA4" s="218"/>
      <c r="BE4" s="218" t="str">
        <f>TRONCONS_V1!$AT$14</f>
        <v>BOUCLE 5</v>
      </c>
      <c r="BF4" s="218"/>
      <c r="BG4" s="218"/>
      <c r="BH4" s="218"/>
      <c r="BI4" s="218"/>
      <c r="BJ4" s="218"/>
      <c r="BK4" s="218"/>
      <c r="BL4" s="218"/>
      <c r="BM4" s="218"/>
      <c r="BN4" s="218"/>
      <c r="BR4" s="218" t="str">
        <f>TRONCONS_V1!$BB$14</f>
        <v>BOUCLE 6</v>
      </c>
      <c r="BS4" s="218"/>
      <c r="BT4" s="218"/>
      <c r="BU4" s="218"/>
      <c r="BV4" s="218"/>
      <c r="BW4" s="218"/>
      <c r="BX4" s="218"/>
      <c r="BY4" s="218"/>
      <c r="BZ4" s="218"/>
      <c r="CA4" s="218"/>
      <c r="CE4" s="218" t="str">
        <f>TRONCONS_V1!$BJ$14</f>
        <v>BOUCLE 7</v>
      </c>
      <c r="CF4" s="218"/>
      <c r="CG4" s="218"/>
      <c r="CH4" s="218"/>
      <c r="CI4" s="218"/>
      <c r="CJ4" s="218"/>
      <c r="CK4" s="218"/>
      <c r="CL4" s="218"/>
      <c r="CM4" s="218"/>
      <c r="CN4" s="218"/>
    </row>
    <row r="5" spans="5:92" x14ac:dyDescent="0.25">
      <c r="E5" s="63" t="s">
        <v>102</v>
      </c>
      <c r="F5" s="63" t="s">
        <v>383</v>
      </c>
      <c r="G5" s="63" t="s">
        <v>384</v>
      </c>
      <c r="H5" s="63" t="s">
        <v>318</v>
      </c>
      <c r="I5" s="63" t="s">
        <v>103</v>
      </c>
      <c r="J5" s="63" t="s">
        <v>104</v>
      </c>
      <c r="K5" s="63" t="s">
        <v>344</v>
      </c>
      <c r="L5" s="63" t="s">
        <v>105</v>
      </c>
      <c r="M5" s="63" t="s">
        <v>106</v>
      </c>
      <c r="N5" s="63" t="s">
        <v>107</v>
      </c>
      <c r="R5" s="63" t="s">
        <v>102</v>
      </c>
      <c r="S5" s="63" t="s">
        <v>383</v>
      </c>
      <c r="T5" s="63" t="s">
        <v>384</v>
      </c>
      <c r="U5" s="63" t="s">
        <v>318</v>
      </c>
      <c r="V5" s="63" t="s">
        <v>103</v>
      </c>
      <c r="W5" s="63" t="s">
        <v>104</v>
      </c>
      <c r="X5" s="63" t="s">
        <v>344</v>
      </c>
      <c r="Y5" s="63" t="s">
        <v>105</v>
      </c>
      <c r="Z5" s="63" t="s">
        <v>106</v>
      </c>
      <c r="AA5" s="63" t="s">
        <v>107</v>
      </c>
      <c r="AE5" s="63" t="s">
        <v>102</v>
      </c>
      <c r="AF5" s="63" t="s">
        <v>383</v>
      </c>
      <c r="AG5" s="63" t="s">
        <v>384</v>
      </c>
      <c r="AH5" s="63" t="s">
        <v>318</v>
      </c>
      <c r="AI5" s="63" t="s">
        <v>103</v>
      </c>
      <c r="AJ5" s="63" t="s">
        <v>104</v>
      </c>
      <c r="AK5" s="63" t="s">
        <v>344</v>
      </c>
      <c r="AL5" s="63" t="s">
        <v>105</v>
      </c>
      <c r="AM5" s="63" t="s">
        <v>106</v>
      </c>
      <c r="AN5" s="63" t="s">
        <v>107</v>
      </c>
      <c r="AR5" s="63" t="s">
        <v>102</v>
      </c>
      <c r="AS5" s="63" t="s">
        <v>383</v>
      </c>
      <c r="AT5" s="63" t="s">
        <v>384</v>
      </c>
      <c r="AU5" s="63" t="s">
        <v>318</v>
      </c>
      <c r="AV5" s="63" t="s">
        <v>103</v>
      </c>
      <c r="AW5" s="63" t="s">
        <v>104</v>
      </c>
      <c r="AX5" s="63" t="s">
        <v>344</v>
      </c>
      <c r="AY5" s="63" t="s">
        <v>105</v>
      </c>
      <c r="AZ5" s="63" t="s">
        <v>106</v>
      </c>
      <c r="BA5" s="63" t="s">
        <v>107</v>
      </c>
      <c r="BE5" s="63" t="s">
        <v>102</v>
      </c>
      <c r="BF5" s="63" t="s">
        <v>383</v>
      </c>
      <c r="BG5" s="63" t="s">
        <v>384</v>
      </c>
      <c r="BH5" s="63" t="s">
        <v>318</v>
      </c>
      <c r="BI5" s="63" t="s">
        <v>103</v>
      </c>
      <c r="BJ5" s="63" t="s">
        <v>104</v>
      </c>
      <c r="BK5" s="63" t="s">
        <v>344</v>
      </c>
      <c r="BL5" s="63" t="s">
        <v>105</v>
      </c>
      <c r="BM5" s="63" t="s">
        <v>106</v>
      </c>
      <c r="BN5" s="63" t="s">
        <v>107</v>
      </c>
      <c r="BR5" s="63" t="s">
        <v>102</v>
      </c>
      <c r="BS5" s="63" t="s">
        <v>383</v>
      </c>
      <c r="BT5" s="63" t="s">
        <v>384</v>
      </c>
      <c r="BU5" s="63" t="s">
        <v>318</v>
      </c>
      <c r="BV5" s="63" t="s">
        <v>103</v>
      </c>
      <c r="BW5" s="63" t="s">
        <v>104</v>
      </c>
      <c r="BX5" s="63" t="s">
        <v>344</v>
      </c>
      <c r="BY5" s="63" t="s">
        <v>105</v>
      </c>
      <c r="BZ5" s="63" t="s">
        <v>106</v>
      </c>
      <c r="CA5" s="63" t="s">
        <v>107</v>
      </c>
      <c r="CE5" s="63" t="s">
        <v>102</v>
      </c>
      <c r="CF5" s="63" t="s">
        <v>383</v>
      </c>
      <c r="CG5" s="63" t="s">
        <v>384</v>
      </c>
      <c r="CH5" s="63" t="s">
        <v>318</v>
      </c>
      <c r="CI5" s="63" t="s">
        <v>103</v>
      </c>
      <c r="CJ5" s="63" t="s">
        <v>104</v>
      </c>
      <c r="CK5" s="63" t="s">
        <v>344</v>
      </c>
      <c r="CL5" s="63" t="s">
        <v>105</v>
      </c>
      <c r="CM5" s="63" t="s">
        <v>106</v>
      </c>
      <c r="CN5" s="63" t="s">
        <v>107</v>
      </c>
    </row>
    <row r="6" spans="5:92" x14ac:dyDescent="0.25">
      <c r="E6" s="69" t="s">
        <v>173</v>
      </c>
      <c r="F6" s="69">
        <v>133.77500000000001</v>
      </c>
      <c r="G6" s="69">
        <f>F6/1000</f>
        <v>0.13377500000000001</v>
      </c>
      <c r="H6" s="63">
        <v>1</v>
      </c>
      <c r="I6" s="63">
        <f>G6*H6</f>
        <v>0.13377500000000001</v>
      </c>
      <c r="J6" s="63">
        <f t="shared" ref="J6:J37" si="0">SQRT(4*I6/3.14)</f>
        <v>0.41281232144747509</v>
      </c>
      <c r="K6" s="63">
        <f>J6*1000</f>
        <v>412.81232144747509</v>
      </c>
      <c r="L6" s="63" cm="1">
        <f t="array" ref="L6">IFERROR(INDEX(REF_TABLE!$G$7:$G$28,MATCH('DIST _PHASE_1_V1'!K6,REF_TABLE!$G$7:$G$28,1)+1),"Aucune valeur supérieure")</f>
        <v>421</v>
      </c>
      <c r="M6" s="63">
        <v>150</v>
      </c>
      <c r="N6" s="69">
        <v>138</v>
      </c>
      <c r="R6" s="69" t="s">
        <v>190</v>
      </c>
      <c r="S6" s="69">
        <v>66.888000000000005</v>
      </c>
      <c r="T6" s="69">
        <f>S6/1000</f>
        <v>6.6888000000000003E-2</v>
      </c>
      <c r="U6" s="63">
        <v>1</v>
      </c>
      <c r="V6" s="63">
        <f>T6*U6</f>
        <v>6.6888000000000003E-2</v>
      </c>
      <c r="W6" s="63">
        <f>SQRT(4*V6/3.14)</f>
        <v>0.29190348287079743</v>
      </c>
      <c r="X6" s="63">
        <f>W6*1000</f>
        <v>291.9034828707974</v>
      </c>
      <c r="Y6" s="63" cm="1">
        <f t="array" ref="Y6">IFERROR(INDEX(REF_TABLE!$G$7:$G$28,MATCH('DIST _PHASE_1_V1'!X6,REF_TABLE!$G$7:$G$28,1)+1),"Aucune valeur supérieure")</f>
        <v>300</v>
      </c>
      <c r="Z6" s="63">
        <v>150</v>
      </c>
      <c r="AA6" s="69">
        <v>70</v>
      </c>
      <c r="AE6" s="69" t="s">
        <v>231</v>
      </c>
      <c r="AF6" s="69">
        <v>66.888000000000005</v>
      </c>
      <c r="AG6" s="69">
        <f>AF6/1000</f>
        <v>6.6888000000000003E-2</v>
      </c>
      <c r="AH6" s="63">
        <v>1</v>
      </c>
      <c r="AI6" s="63">
        <f>AG6*AH6</f>
        <v>6.6888000000000003E-2</v>
      </c>
      <c r="AJ6" s="63">
        <f>SQRT(4*AI6/3.14)</f>
        <v>0.29190348287079743</v>
      </c>
      <c r="AK6" s="63">
        <f>AJ6*1000</f>
        <v>291.9034828707974</v>
      </c>
      <c r="AL6" s="63" cm="1">
        <f t="array" ref="AL6">IFERROR(INDEX(REF_TABLE!$G$7:$G$28,MATCH('DIST _PHASE_1_V1'!AK6,REF_TABLE!$G$7:$G$28,1)+1),"Aucune valeur supérieure")</f>
        <v>300</v>
      </c>
      <c r="AM6" s="63">
        <v>150</v>
      </c>
      <c r="AN6" s="69">
        <v>241</v>
      </c>
      <c r="AR6" s="69" t="s">
        <v>174</v>
      </c>
      <c r="AS6" s="69">
        <v>133.77500000000001</v>
      </c>
      <c r="AT6" s="69">
        <f>AS6/1000</f>
        <v>0.13377500000000001</v>
      </c>
      <c r="AU6" s="63">
        <v>1</v>
      </c>
      <c r="AV6" s="63">
        <f>AT6*AU6</f>
        <v>0.13377500000000001</v>
      </c>
      <c r="AW6" s="63">
        <f>SQRT(4*AV6/3.14)</f>
        <v>0.41281232144747509</v>
      </c>
      <c r="AX6" s="63">
        <f>AW6*1000</f>
        <v>412.81232144747509</v>
      </c>
      <c r="AY6" s="63" cm="1">
        <f t="array" ref="AY6">IFERROR(INDEX(REF_TABLE!$G$7:$G$28,MATCH('DIST _PHASE_1_V1'!AX6,REF_TABLE!$G$7:$G$28,1)+1),"Aucune valeur supérieure")</f>
        <v>421</v>
      </c>
      <c r="AZ6" s="63">
        <v>150</v>
      </c>
      <c r="BA6" s="69">
        <v>184</v>
      </c>
      <c r="BE6" s="69" t="s">
        <v>251</v>
      </c>
      <c r="BF6" s="69">
        <v>33.444000000000003</v>
      </c>
      <c r="BG6" s="69">
        <f>BF6/1000</f>
        <v>3.3444000000000002E-2</v>
      </c>
      <c r="BH6" s="63">
        <v>1</v>
      </c>
      <c r="BI6" s="63">
        <f>BH6*BG6</f>
        <v>3.3444000000000002E-2</v>
      </c>
      <c r="BJ6" s="63">
        <f>SQRT(4*BI6/3.14)</f>
        <v>0.20640693218991207</v>
      </c>
      <c r="BK6" s="63">
        <f>BJ6*1000</f>
        <v>206.40693218991208</v>
      </c>
      <c r="BL6" s="63" cm="1">
        <f t="array" ref="BL6">IFERROR(INDEX(REF_TABLE!$G$7:$G$28,MATCH('DIST _PHASE_1_V1'!BK6,REF_TABLE!$G$7:$G$28,1)+1),"Aucune valeur supérieure")</f>
        <v>250</v>
      </c>
      <c r="BM6" s="63">
        <v>150</v>
      </c>
      <c r="BN6" s="69">
        <v>223</v>
      </c>
      <c r="BR6" s="69" t="s">
        <v>256</v>
      </c>
      <c r="BS6" s="69">
        <v>200.66300000000001</v>
      </c>
      <c r="BT6" s="69">
        <f>BS6/1000</f>
        <v>0.20066300000000001</v>
      </c>
      <c r="BU6" s="63">
        <v>1</v>
      </c>
      <c r="BV6" s="63">
        <f>BU6*BT6</f>
        <v>0.20066300000000001</v>
      </c>
      <c r="BW6" s="63">
        <f>SQRT(4*BV6/3.14)</f>
        <v>0.50559040344032979</v>
      </c>
      <c r="BX6" s="63">
        <f>BW6*1000</f>
        <v>505.59040344032979</v>
      </c>
      <c r="BY6" s="63" cm="1">
        <f t="array" ref="BY6">IFERROR(INDEX(REF_TABLE!$G$7:$G$28,MATCH('DIST _PHASE_1_V1'!BX6,REF_TABLE!$G$7:$G$28,1)+1),"Aucune valeur supérieure")</f>
        <v>565</v>
      </c>
      <c r="BZ6" s="63">
        <v>150</v>
      </c>
      <c r="CA6" s="69">
        <v>200.66300000000001</v>
      </c>
      <c r="CE6" s="69" t="s">
        <v>306</v>
      </c>
      <c r="CF6" s="69">
        <v>133.77600000000001</v>
      </c>
      <c r="CG6" s="69">
        <f>CF6/1000</f>
        <v>0.13377600000000001</v>
      </c>
      <c r="CH6" s="63">
        <v>1</v>
      </c>
      <c r="CI6" s="63">
        <f>CH6*CG6</f>
        <v>0.13377600000000001</v>
      </c>
      <c r="CJ6" s="63">
        <f>SQRT(4*CI6/3.14)</f>
        <v>0.41281386437982415</v>
      </c>
      <c r="CK6" s="63">
        <f>CJ6*1000</f>
        <v>412.81386437982417</v>
      </c>
      <c r="CL6" s="63" cm="1">
        <f t="array" ref="CL6">IFERROR(INDEX(REF_TABLE!$G$7:$G$28,MATCH('DIST _PHASE_1_V1'!CK6,REF_TABLE!$G$7:$G$28,1)+1),"Aucune valeur supérieure")</f>
        <v>421</v>
      </c>
      <c r="CM6" s="63">
        <v>150</v>
      </c>
      <c r="CN6" s="69">
        <v>496</v>
      </c>
    </row>
    <row r="7" spans="5:92" x14ac:dyDescent="0.25">
      <c r="E7" s="69" t="s">
        <v>174</v>
      </c>
      <c r="F7" s="69">
        <v>133.77500000000001</v>
      </c>
      <c r="G7" s="69">
        <f t="shared" ref="G7:G68" si="1">F7/1000</f>
        <v>0.13377500000000001</v>
      </c>
      <c r="H7" s="63">
        <v>1</v>
      </c>
      <c r="I7" s="63">
        <f t="shared" ref="I7:I68" si="2">G7*H7</f>
        <v>0.13377500000000001</v>
      </c>
      <c r="J7" s="63">
        <f t="shared" si="0"/>
        <v>0.41281232144747509</v>
      </c>
      <c r="K7" s="63">
        <f t="shared" ref="K7:K68" si="3">J7*1000</f>
        <v>412.81232144747509</v>
      </c>
      <c r="L7" s="63" cm="1">
        <f t="array" ref="L7">IFERROR(INDEX(REF_TABLE!$G$7:$G$28,MATCH('DIST _PHASE_1_V1'!K7,REF_TABLE!$G$7:$G$28,1)+1),"Aucune valeur supérieure")</f>
        <v>421</v>
      </c>
      <c r="M7" s="63">
        <v>150</v>
      </c>
      <c r="N7" s="69">
        <v>184</v>
      </c>
      <c r="R7" s="69" t="s">
        <v>131</v>
      </c>
      <c r="S7" s="69">
        <v>66.888000000000005</v>
      </c>
      <c r="T7" s="69">
        <f t="shared" ref="T7:T48" si="4">S7/1000</f>
        <v>6.6888000000000003E-2</v>
      </c>
      <c r="U7" s="63">
        <v>1</v>
      </c>
      <c r="V7" s="63">
        <f t="shared" ref="V7:V48" si="5">T7*U7</f>
        <v>6.6888000000000003E-2</v>
      </c>
      <c r="W7" s="63">
        <f t="shared" ref="W7:W48" si="6">SQRT(4*V7/3.14)</f>
        <v>0.29190348287079743</v>
      </c>
      <c r="X7" s="63">
        <f t="shared" ref="X7:X48" si="7">W7*1000</f>
        <v>291.9034828707974</v>
      </c>
      <c r="Y7" s="63" cm="1">
        <f t="array" ref="Y7">IFERROR(INDEX(REF_TABLE!$G$7:$G$28,MATCH('DIST _PHASE_1_V1'!X7,REF_TABLE!$G$7:$G$28,1)+1),"Aucune valeur supérieure")</f>
        <v>300</v>
      </c>
      <c r="Z7" s="63">
        <v>150</v>
      </c>
      <c r="AA7" s="69">
        <v>91</v>
      </c>
      <c r="AE7" s="69" t="s">
        <v>202</v>
      </c>
      <c r="AF7" s="69">
        <v>66.888000000000005</v>
      </c>
      <c r="AG7" s="69">
        <f t="shared" ref="AG7:AG42" si="8">AF7/1000</f>
        <v>6.6888000000000003E-2</v>
      </c>
      <c r="AH7" s="63">
        <v>1</v>
      </c>
      <c r="AI7" s="63">
        <f t="shared" ref="AI7:AI42" si="9">AG7*AH7</f>
        <v>6.6888000000000003E-2</v>
      </c>
      <c r="AJ7" s="63">
        <f t="shared" ref="AJ7:AJ42" si="10">SQRT(4*AI7/3.14)</f>
        <v>0.29190348287079743</v>
      </c>
      <c r="AK7" s="63">
        <f t="shared" ref="AK7:AK42" si="11">AJ7*1000</f>
        <v>291.9034828707974</v>
      </c>
      <c r="AL7" s="63" cm="1">
        <f t="array" ref="AL7">IFERROR(INDEX(REF_TABLE!$G$7:$G$28,MATCH('DIST _PHASE_1_V1'!AK7,REF_TABLE!$G$7:$G$28,1)+1),"Aucune valeur supérieure")</f>
        <v>300</v>
      </c>
      <c r="AM7" s="63">
        <v>150</v>
      </c>
      <c r="AN7" s="69">
        <v>190</v>
      </c>
      <c r="AR7" s="69" t="s">
        <v>173</v>
      </c>
      <c r="AS7" s="69">
        <v>133.77500000000001</v>
      </c>
      <c r="AT7" s="69">
        <f t="shared" ref="AT7:AT57" si="12">AS7/1000</f>
        <v>0.13377500000000001</v>
      </c>
      <c r="AU7" s="63">
        <v>1</v>
      </c>
      <c r="AV7" s="63">
        <f t="shared" ref="AV7:AV57" si="13">AT7*AU7</f>
        <v>0.13377500000000001</v>
      </c>
      <c r="AW7" s="63">
        <f t="shared" ref="AW7:AW57" si="14">SQRT(4*AV7/3.14)</f>
        <v>0.41281232144747509</v>
      </c>
      <c r="AX7" s="63">
        <f t="shared" ref="AX7:AX57" si="15">AW7*1000</f>
        <v>412.81232144747509</v>
      </c>
      <c r="AY7" s="63" cm="1">
        <f t="array" ref="AY7">IFERROR(INDEX(REF_TABLE!$G$7:$G$28,MATCH('DIST _PHASE_1_V1'!AX7,REF_TABLE!$G$7:$G$28,1)+1),"Aucune valeur supérieure")</f>
        <v>421</v>
      </c>
      <c r="AZ7" s="63">
        <v>150</v>
      </c>
      <c r="BA7" s="69">
        <v>138</v>
      </c>
      <c r="BE7" s="69" t="s">
        <v>265</v>
      </c>
      <c r="BF7" s="69">
        <v>33.444000000000003</v>
      </c>
      <c r="BG7" s="69">
        <f t="shared" ref="BG7:BG44" si="16">BF7/1000</f>
        <v>3.3444000000000002E-2</v>
      </c>
      <c r="BH7" s="63">
        <v>1</v>
      </c>
      <c r="BI7" s="63">
        <f t="shared" ref="BI7:BI44" si="17">BH7*BG7</f>
        <v>3.3444000000000002E-2</v>
      </c>
      <c r="BJ7" s="63">
        <f t="shared" ref="BJ7:BJ44" si="18">SQRT(4*BI7/3.14)</f>
        <v>0.20640693218991207</v>
      </c>
      <c r="BK7" s="63">
        <f t="shared" ref="BK7:BK44" si="19">BJ7*1000</f>
        <v>206.40693218991208</v>
      </c>
      <c r="BL7" s="63" cm="1">
        <f t="array" ref="BL7">IFERROR(INDEX(REF_TABLE!$G$7:$G$28,MATCH('DIST _PHASE_1_V1'!BK7,REF_TABLE!$G$7:$G$28,1)+1),"Aucune valeur supérieure")</f>
        <v>250</v>
      </c>
      <c r="BM7" s="63">
        <v>150</v>
      </c>
      <c r="BN7" s="69">
        <v>163</v>
      </c>
      <c r="BR7" s="69" t="s">
        <v>258</v>
      </c>
      <c r="BS7" s="69">
        <v>200.66300000000001</v>
      </c>
      <c r="BT7" s="69">
        <f t="shared" ref="BT7:BT52" si="20">BS7/1000</f>
        <v>0.20066300000000001</v>
      </c>
      <c r="BU7" s="63">
        <v>1</v>
      </c>
      <c r="BV7" s="63">
        <f t="shared" ref="BV7:BV52" si="21">BU7*BT7</f>
        <v>0.20066300000000001</v>
      </c>
      <c r="BW7" s="63">
        <f t="shared" ref="BW7:BW52" si="22">SQRT(4*BV7/3.14)</f>
        <v>0.50559040344032979</v>
      </c>
      <c r="BX7" s="63">
        <f t="shared" ref="BX7:BX52" si="23">BW7*1000</f>
        <v>505.59040344032979</v>
      </c>
      <c r="BY7" s="63" cm="1">
        <f t="array" ref="BY7">IFERROR(INDEX(REF_TABLE!$G$7:$G$28,MATCH('DIST _PHASE_1_V1'!BX7,REF_TABLE!$G$7:$G$28,1)+1),"Aucune valeur supérieure")</f>
        <v>565</v>
      </c>
      <c r="BZ7" s="63">
        <v>150</v>
      </c>
      <c r="CA7" s="69">
        <v>200.66300000000001</v>
      </c>
      <c r="CE7" s="69" t="s">
        <v>308</v>
      </c>
      <c r="CF7" s="69">
        <v>133.77600000000001</v>
      </c>
      <c r="CG7" s="69">
        <f t="shared" ref="CG7:CG35" si="24">CF7/1000</f>
        <v>0.13377600000000001</v>
      </c>
      <c r="CH7" s="63">
        <v>1</v>
      </c>
      <c r="CI7" s="63">
        <f t="shared" ref="CI7:CI35" si="25">CH7*CG7</f>
        <v>0.13377600000000001</v>
      </c>
      <c r="CJ7" s="63">
        <f t="shared" ref="CJ7:CJ35" si="26">SQRT(4*CI7/3.14)</f>
        <v>0.41281386437982415</v>
      </c>
      <c r="CK7" s="63">
        <f t="shared" ref="CK7:CK35" si="27">CJ7*1000</f>
        <v>412.81386437982417</v>
      </c>
      <c r="CL7" s="63" cm="1">
        <f t="array" ref="CL7">IFERROR(INDEX(REF_TABLE!$G$7:$G$28,MATCH('DIST _PHASE_1_V1'!CK7,REF_TABLE!$G$7:$G$28,1)+1),"Aucune valeur supérieure")</f>
        <v>421</v>
      </c>
      <c r="CM7" s="63">
        <v>150</v>
      </c>
      <c r="CN7" s="69">
        <v>795</v>
      </c>
    </row>
    <row r="8" spans="5:92" x14ac:dyDescent="0.25">
      <c r="E8" s="69" t="s">
        <v>175</v>
      </c>
      <c r="F8" s="69">
        <v>133.77500000000001</v>
      </c>
      <c r="G8" s="69">
        <f t="shared" si="1"/>
        <v>0.13377500000000001</v>
      </c>
      <c r="H8" s="63">
        <v>1</v>
      </c>
      <c r="I8" s="63">
        <f t="shared" si="2"/>
        <v>0.13377500000000001</v>
      </c>
      <c r="J8" s="63">
        <f t="shared" si="0"/>
        <v>0.41281232144747509</v>
      </c>
      <c r="K8" s="63">
        <f t="shared" si="3"/>
        <v>412.81232144747509</v>
      </c>
      <c r="L8" s="63" cm="1">
        <f t="array" ref="L8">IFERROR(INDEX(REF_TABLE!$G$7:$G$28,MATCH('DIST _PHASE_1_V1'!K8,REF_TABLE!$G$7:$G$28,1)+1),"Aucune valeur supérieure")</f>
        <v>421</v>
      </c>
      <c r="M8" s="63">
        <v>150</v>
      </c>
      <c r="N8" s="69">
        <v>169</v>
      </c>
      <c r="R8" s="69" t="s">
        <v>158</v>
      </c>
      <c r="S8" s="69">
        <v>133.77500000000001</v>
      </c>
      <c r="T8" s="69">
        <f t="shared" si="4"/>
        <v>0.13377500000000001</v>
      </c>
      <c r="U8" s="63">
        <v>1</v>
      </c>
      <c r="V8" s="63">
        <f t="shared" si="5"/>
        <v>0.13377500000000001</v>
      </c>
      <c r="W8" s="63">
        <f t="shared" si="6"/>
        <v>0.41281232144747509</v>
      </c>
      <c r="X8" s="63">
        <f t="shared" si="7"/>
        <v>412.81232144747509</v>
      </c>
      <c r="Y8" s="63" cm="1">
        <f t="array" ref="Y8">IFERROR(INDEX(REF_TABLE!$G$7:$G$28,MATCH('DIST _PHASE_1_V1'!X8,REF_TABLE!$G$7:$G$28,1)+1),"Aucune valeur supérieure")</f>
        <v>421</v>
      </c>
      <c r="Z8" s="63">
        <v>150</v>
      </c>
      <c r="AA8" s="69">
        <v>96</v>
      </c>
      <c r="AE8" s="69" t="s">
        <v>201</v>
      </c>
      <c r="AF8" s="69">
        <v>66.888000000000005</v>
      </c>
      <c r="AG8" s="69">
        <f t="shared" si="8"/>
        <v>6.6888000000000003E-2</v>
      </c>
      <c r="AH8" s="63">
        <v>1</v>
      </c>
      <c r="AI8" s="63">
        <f t="shared" si="9"/>
        <v>6.6888000000000003E-2</v>
      </c>
      <c r="AJ8" s="63">
        <f t="shared" si="10"/>
        <v>0.29190348287079743</v>
      </c>
      <c r="AK8" s="63">
        <f t="shared" si="11"/>
        <v>291.9034828707974</v>
      </c>
      <c r="AL8" s="63" cm="1">
        <f t="array" ref="AL8">IFERROR(INDEX(REF_TABLE!$G$7:$G$28,MATCH('DIST _PHASE_1_V1'!AK8,REF_TABLE!$G$7:$G$28,1)+1),"Aucune valeur supérieure")</f>
        <v>300</v>
      </c>
      <c r="AM8" s="63">
        <v>150</v>
      </c>
      <c r="AN8" s="69">
        <v>290</v>
      </c>
      <c r="AR8" s="69" t="s">
        <v>175</v>
      </c>
      <c r="AS8" s="69">
        <v>133.77500000000001</v>
      </c>
      <c r="AT8" s="69">
        <f t="shared" si="12"/>
        <v>0.13377500000000001</v>
      </c>
      <c r="AU8" s="63">
        <v>1</v>
      </c>
      <c r="AV8" s="63">
        <f t="shared" si="13"/>
        <v>0.13377500000000001</v>
      </c>
      <c r="AW8" s="63">
        <f t="shared" si="14"/>
        <v>0.41281232144747509</v>
      </c>
      <c r="AX8" s="63">
        <f t="shared" si="15"/>
        <v>412.81232144747509</v>
      </c>
      <c r="AY8" s="63" cm="1">
        <f t="array" ref="AY8">IFERROR(INDEX(REF_TABLE!$G$7:$G$28,MATCH('DIST _PHASE_1_V1'!AX8,REF_TABLE!$G$7:$G$28,1)+1),"Aucune valeur supérieure")</f>
        <v>421</v>
      </c>
      <c r="AZ8" s="63">
        <v>150</v>
      </c>
      <c r="BA8" s="69">
        <v>169</v>
      </c>
      <c r="BE8" s="69" t="s">
        <v>256</v>
      </c>
      <c r="BF8" s="69">
        <v>200.66300000000001</v>
      </c>
      <c r="BG8" s="69">
        <f t="shared" si="16"/>
        <v>0.20066300000000001</v>
      </c>
      <c r="BH8" s="63">
        <v>1</v>
      </c>
      <c r="BI8" s="63">
        <f t="shared" si="17"/>
        <v>0.20066300000000001</v>
      </c>
      <c r="BJ8" s="63">
        <f t="shared" si="18"/>
        <v>0.50559040344032979</v>
      </c>
      <c r="BK8" s="63">
        <f t="shared" si="19"/>
        <v>505.59040344032979</v>
      </c>
      <c r="BL8" s="63" cm="1">
        <f t="array" ref="BL8">IFERROR(INDEX(REF_TABLE!$G$7:$G$28,MATCH('DIST _PHASE_1_V1'!BK8,REF_TABLE!$G$7:$G$28,1)+1),"Aucune valeur supérieure")</f>
        <v>565</v>
      </c>
      <c r="BM8" s="63">
        <v>150</v>
      </c>
      <c r="BN8" s="69">
        <v>87</v>
      </c>
      <c r="BR8" s="69" t="s">
        <v>259</v>
      </c>
      <c r="BS8" s="69">
        <v>200.66300000000001</v>
      </c>
      <c r="BT8" s="69">
        <f t="shared" si="20"/>
        <v>0.20066300000000001</v>
      </c>
      <c r="BU8" s="63">
        <v>1</v>
      </c>
      <c r="BV8" s="63">
        <f t="shared" si="21"/>
        <v>0.20066300000000001</v>
      </c>
      <c r="BW8" s="63">
        <f t="shared" si="22"/>
        <v>0.50559040344032979</v>
      </c>
      <c r="BX8" s="63">
        <f t="shared" si="23"/>
        <v>505.59040344032979</v>
      </c>
      <c r="BY8" s="63" cm="1">
        <f t="array" ref="BY8">IFERROR(INDEX(REF_TABLE!$G$7:$G$28,MATCH('DIST _PHASE_1_V1'!BX8,REF_TABLE!$G$7:$G$28,1)+1),"Aucune valeur supérieure")</f>
        <v>565</v>
      </c>
      <c r="BZ8" s="63">
        <v>150</v>
      </c>
      <c r="CA8" s="69">
        <v>200.66300000000001</v>
      </c>
      <c r="CE8" s="69" t="s">
        <v>309</v>
      </c>
      <c r="CF8" s="69">
        <v>133.77600000000001</v>
      </c>
      <c r="CG8" s="69">
        <f t="shared" si="24"/>
        <v>0.13377600000000001</v>
      </c>
      <c r="CH8" s="63">
        <v>1</v>
      </c>
      <c r="CI8" s="63">
        <f t="shared" si="25"/>
        <v>0.13377600000000001</v>
      </c>
      <c r="CJ8" s="63">
        <f t="shared" si="26"/>
        <v>0.41281386437982415</v>
      </c>
      <c r="CK8" s="63">
        <f t="shared" si="27"/>
        <v>412.81386437982417</v>
      </c>
      <c r="CL8" s="63" cm="1">
        <f t="array" ref="CL8">IFERROR(INDEX(REF_TABLE!$G$7:$G$28,MATCH('DIST _PHASE_1_V1'!CK8,REF_TABLE!$G$7:$G$28,1)+1),"Aucune valeur supérieure")</f>
        <v>421</v>
      </c>
      <c r="CM8" s="63">
        <v>150</v>
      </c>
      <c r="CN8" s="69">
        <v>345</v>
      </c>
    </row>
    <row r="9" spans="5:92" x14ac:dyDescent="0.25">
      <c r="E9" s="69" t="s">
        <v>176</v>
      </c>
      <c r="F9" s="69">
        <v>133.77500000000001</v>
      </c>
      <c r="G9" s="69">
        <f t="shared" si="1"/>
        <v>0.13377500000000001</v>
      </c>
      <c r="H9" s="63">
        <v>1</v>
      </c>
      <c r="I9" s="63">
        <f t="shared" si="2"/>
        <v>0.13377500000000001</v>
      </c>
      <c r="J9" s="63">
        <f t="shared" si="0"/>
        <v>0.41281232144747509</v>
      </c>
      <c r="K9" s="63">
        <f t="shared" si="3"/>
        <v>412.81232144747509</v>
      </c>
      <c r="L9" s="63" cm="1">
        <f t="array" ref="L9">IFERROR(INDEX(REF_TABLE!$G$7:$G$28,MATCH('DIST _PHASE_1_V1'!K9,REF_TABLE!$G$7:$G$28,1)+1),"Aucune valeur supérieure")</f>
        <v>421</v>
      </c>
      <c r="M9" s="63">
        <v>150</v>
      </c>
      <c r="N9" s="69">
        <v>351</v>
      </c>
      <c r="R9" s="69" t="s">
        <v>191</v>
      </c>
      <c r="S9" s="69">
        <v>133.77500000000001</v>
      </c>
      <c r="T9" s="69">
        <f t="shared" si="4"/>
        <v>0.13377500000000001</v>
      </c>
      <c r="U9" s="63">
        <v>1</v>
      </c>
      <c r="V9" s="63">
        <f t="shared" si="5"/>
        <v>0.13377500000000001</v>
      </c>
      <c r="W9" s="63">
        <f t="shared" si="6"/>
        <v>0.41281232144747509</v>
      </c>
      <c r="X9" s="63">
        <f t="shared" si="7"/>
        <v>412.81232144747509</v>
      </c>
      <c r="Y9" s="63" cm="1">
        <f t="array" ref="Y9">IFERROR(INDEX(REF_TABLE!$G$7:$G$28,MATCH('DIST _PHASE_1_V1'!X9,REF_TABLE!$G$7:$G$28,1)+1),"Aucune valeur supérieure")</f>
        <v>421</v>
      </c>
      <c r="Z9" s="63">
        <v>150</v>
      </c>
      <c r="AA9" s="69">
        <v>75</v>
      </c>
      <c r="AE9" s="69" t="s">
        <v>199</v>
      </c>
      <c r="AF9" s="69">
        <v>66.888000000000005</v>
      </c>
      <c r="AG9" s="69">
        <f t="shared" si="8"/>
        <v>6.6888000000000003E-2</v>
      </c>
      <c r="AH9" s="63">
        <v>1</v>
      </c>
      <c r="AI9" s="63">
        <f t="shared" si="9"/>
        <v>6.6888000000000003E-2</v>
      </c>
      <c r="AJ9" s="63">
        <f t="shared" si="10"/>
        <v>0.29190348287079743</v>
      </c>
      <c r="AK9" s="63">
        <f t="shared" si="11"/>
        <v>291.9034828707974</v>
      </c>
      <c r="AL9" s="63" cm="1">
        <f t="array" ref="AL9">IFERROR(INDEX(REF_TABLE!$G$7:$G$28,MATCH('DIST _PHASE_1_V1'!AK9,REF_TABLE!$G$7:$G$28,1)+1),"Aucune valeur supérieure")</f>
        <v>300</v>
      </c>
      <c r="AM9" s="63">
        <v>150</v>
      </c>
      <c r="AN9" s="69">
        <v>82</v>
      </c>
      <c r="AR9" s="69" t="s">
        <v>176</v>
      </c>
      <c r="AS9" s="69">
        <v>133.77500000000001</v>
      </c>
      <c r="AT9" s="69">
        <f t="shared" si="12"/>
        <v>0.13377500000000001</v>
      </c>
      <c r="AU9" s="63">
        <v>1</v>
      </c>
      <c r="AV9" s="63">
        <f t="shared" si="13"/>
        <v>0.13377500000000001</v>
      </c>
      <c r="AW9" s="63">
        <f t="shared" si="14"/>
        <v>0.41281232144747509</v>
      </c>
      <c r="AX9" s="63">
        <f t="shared" si="15"/>
        <v>412.81232144747509</v>
      </c>
      <c r="AY9" s="63" cm="1">
        <f t="array" ref="AY9">IFERROR(INDEX(REF_TABLE!$G$7:$G$28,MATCH('DIST _PHASE_1_V1'!AX9,REF_TABLE!$G$7:$G$28,1)+1),"Aucune valeur supérieure")</f>
        <v>421</v>
      </c>
      <c r="AZ9" s="63">
        <v>150</v>
      </c>
      <c r="BA9" s="69">
        <v>351</v>
      </c>
      <c r="BE9" s="69" t="s">
        <v>258</v>
      </c>
      <c r="BF9" s="69">
        <v>200.66300000000001</v>
      </c>
      <c r="BG9" s="69">
        <f t="shared" si="16"/>
        <v>0.20066300000000001</v>
      </c>
      <c r="BH9" s="63">
        <v>1</v>
      </c>
      <c r="BI9" s="63">
        <f t="shared" si="17"/>
        <v>0.20066300000000001</v>
      </c>
      <c r="BJ9" s="63">
        <f t="shared" si="18"/>
        <v>0.50559040344032979</v>
      </c>
      <c r="BK9" s="63">
        <f t="shared" si="19"/>
        <v>505.59040344032979</v>
      </c>
      <c r="BL9" s="63" cm="1">
        <f t="array" ref="BL9">IFERROR(INDEX(REF_TABLE!$G$7:$G$28,MATCH('DIST _PHASE_1_V1'!BK9,REF_TABLE!$G$7:$G$28,1)+1),"Aucune valeur supérieure")</f>
        <v>565</v>
      </c>
      <c r="BM9" s="63">
        <v>150</v>
      </c>
      <c r="BN9" s="69">
        <v>91</v>
      </c>
      <c r="BR9" s="69" t="s">
        <v>260</v>
      </c>
      <c r="BS9" s="69">
        <v>200.66300000000001</v>
      </c>
      <c r="BT9" s="69">
        <f t="shared" si="20"/>
        <v>0.20066300000000001</v>
      </c>
      <c r="BU9" s="63">
        <v>1</v>
      </c>
      <c r="BV9" s="63">
        <f t="shared" si="21"/>
        <v>0.20066300000000001</v>
      </c>
      <c r="BW9" s="63">
        <f t="shared" si="22"/>
        <v>0.50559040344032979</v>
      </c>
      <c r="BX9" s="63">
        <f t="shared" si="23"/>
        <v>505.59040344032979</v>
      </c>
      <c r="BY9" s="63" cm="1">
        <f t="array" ref="BY9">IFERROR(INDEX(REF_TABLE!$G$7:$G$28,MATCH('DIST _PHASE_1_V1'!BX9,REF_TABLE!$G$7:$G$28,1)+1),"Aucune valeur supérieure")</f>
        <v>565</v>
      </c>
      <c r="BZ9" s="63">
        <v>150</v>
      </c>
      <c r="CA9" s="69">
        <v>200.66300000000001</v>
      </c>
      <c r="CE9" s="69" t="s">
        <v>310</v>
      </c>
      <c r="CF9" s="69">
        <v>133.77600000000001</v>
      </c>
      <c r="CG9" s="69">
        <f t="shared" si="24"/>
        <v>0.13377600000000001</v>
      </c>
      <c r="CH9" s="63">
        <v>1</v>
      </c>
      <c r="CI9" s="63">
        <f t="shared" si="25"/>
        <v>0.13377600000000001</v>
      </c>
      <c r="CJ9" s="63">
        <f t="shared" si="26"/>
        <v>0.41281386437982415</v>
      </c>
      <c r="CK9" s="63">
        <f t="shared" si="27"/>
        <v>412.81386437982417</v>
      </c>
      <c r="CL9" s="63" cm="1">
        <f t="array" ref="CL9">IFERROR(INDEX(REF_TABLE!$G$7:$G$28,MATCH('DIST _PHASE_1_V1'!CK9,REF_TABLE!$G$7:$G$28,1)+1),"Aucune valeur supérieure")</f>
        <v>421</v>
      </c>
      <c r="CM9" s="63">
        <v>150</v>
      </c>
      <c r="CN9" s="69">
        <v>533</v>
      </c>
    </row>
    <row r="10" spans="5:92" x14ac:dyDescent="0.25">
      <c r="E10" s="69" t="s">
        <v>177</v>
      </c>
      <c r="F10" s="69">
        <v>133.77500000000001</v>
      </c>
      <c r="G10" s="69">
        <f t="shared" si="1"/>
        <v>0.13377500000000001</v>
      </c>
      <c r="H10" s="63">
        <v>1</v>
      </c>
      <c r="I10" s="63">
        <f t="shared" si="2"/>
        <v>0.13377500000000001</v>
      </c>
      <c r="J10" s="63">
        <f t="shared" si="0"/>
        <v>0.41281232144747509</v>
      </c>
      <c r="K10" s="63">
        <f t="shared" si="3"/>
        <v>412.81232144747509</v>
      </c>
      <c r="L10" s="63" cm="1">
        <f t="array" ref="L10">IFERROR(INDEX(REF_TABLE!$G$7:$G$28,MATCH('DIST _PHASE_1_V1'!K10,REF_TABLE!$G$7:$G$28,1)+1),"Aucune valeur supérieure")</f>
        <v>421</v>
      </c>
      <c r="M10" s="63">
        <v>150</v>
      </c>
      <c r="N10" s="69">
        <v>47</v>
      </c>
      <c r="R10" s="69" t="s">
        <v>130</v>
      </c>
      <c r="S10" s="69">
        <v>66.888000000000005</v>
      </c>
      <c r="T10" s="69">
        <f t="shared" si="4"/>
        <v>6.6888000000000003E-2</v>
      </c>
      <c r="U10" s="63">
        <v>1</v>
      </c>
      <c r="V10" s="63">
        <f t="shared" si="5"/>
        <v>6.6888000000000003E-2</v>
      </c>
      <c r="W10" s="63">
        <f t="shared" si="6"/>
        <v>0.29190348287079743</v>
      </c>
      <c r="X10" s="63">
        <f t="shared" si="7"/>
        <v>291.9034828707974</v>
      </c>
      <c r="Y10" s="63" cm="1">
        <f t="array" ref="Y10">IFERROR(INDEX(REF_TABLE!$G$7:$G$28,MATCH('DIST _PHASE_1_V1'!X10,REF_TABLE!$G$7:$G$28,1)+1),"Aucune valeur supérieure")</f>
        <v>300</v>
      </c>
      <c r="Z10" s="63">
        <v>150</v>
      </c>
      <c r="AA10" s="69">
        <v>88</v>
      </c>
      <c r="AE10" s="69" t="s">
        <v>198</v>
      </c>
      <c r="AF10" s="69">
        <v>66.888000000000005</v>
      </c>
      <c r="AG10" s="69">
        <f t="shared" si="8"/>
        <v>6.6888000000000003E-2</v>
      </c>
      <c r="AH10" s="63">
        <v>1</v>
      </c>
      <c r="AI10" s="63">
        <f t="shared" si="9"/>
        <v>6.6888000000000003E-2</v>
      </c>
      <c r="AJ10" s="63">
        <f t="shared" si="10"/>
        <v>0.29190348287079743</v>
      </c>
      <c r="AK10" s="63">
        <f t="shared" si="11"/>
        <v>291.9034828707974</v>
      </c>
      <c r="AL10" s="63" cm="1">
        <f t="array" ref="AL10">IFERROR(INDEX(REF_TABLE!$G$7:$G$28,MATCH('DIST _PHASE_1_V1'!AK10,REF_TABLE!$G$7:$G$28,1)+1),"Aucune valeur supérieure")</f>
        <v>300</v>
      </c>
      <c r="AM10" s="63">
        <v>150</v>
      </c>
      <c r="AN10" s="69">
        <v>75</v>
      </c>
      <c r="AR10" s="69" t="s">
        <v>254</v>
      </c>
      <c r="AS10" s="69">
        <v>133.77500000000001</v>
      </c>
      <c r="AT10" s="69">
        <f t="shared" si="12"/>
        <v>0.13377500000000001</v>
      </c>
      <c r="AU10" s="63">
        <v>1</v>
      </c>
      <c r="AV10" s="63">
        <f t="shared" si="13"/>
        <v>0.13377500000000001</v>
      </c>
      <c r="AW10" s="63">
        <f t="shared" si="14"/>
        <v>0.41281232144747509</v>
      </c>
      <c r="AX10" s="63">
        <f t="shared" si="15"/>
        <v>412.81232144747509</v>
      </c>
      <c r="AY10" s="63" cm="1">
        <f t="array" ref="AY10">IFERROR(INDEX(REF_TABLE!$G$7:$G$28,MATCH('DIST _PHASE_1_V1'!AX10,REF_TABLE!$G$7:$G$28,1)+1),"Aucune valeur supérieure")</f>
        <v>421</v>
      </c>
      <c r="AZ10" s="63">
        <v>150</v>
      </c>
      <c r="BA10" s="69">
        <v>211</v>
      </c>
      <c r="BE10" s="69" t="s">
        <v>259</v>
      </c>
      <c r="BF10" s="69">
        <v>200.66300000000001</v>
      </c>
      <c r="BG10" s="69">
        <f t="shared" si="16"/>
        <v>0.20066300000000001</v>
      </c>
      <c r="BH10" s="63">
        <v>1</v>
      </c>
      <c r="BI10" s="63">
        <f t="shared" si="17"/>
        <v>0.20066300000000001</v>
      </c>
      <c r="BJ10" s="63">
        <f t="shared" si="18"/>
        <v>0.50559040344032979</v>
      </c>
      <c r="BK10" s="63">
        <f t="shared" si="19"/>
        <v>505.59040344032979</v>
      </c>
      <c r="BL10" s="63" cm="1">
        <f t="array" ref="BL10">IFERROR(INDEX(REF_TABLE!$G$7:$G$28,MATCH('DIST _PHASE_1_V1'!BK10,REF_TABLE!$G$7:$G$28,1)+1),"Aucune valeur supérieure")</f>
        <v>565</v>
      </c>
      <c r="BM10" s="63">
        <v>150</v>
      </c>
      <c r="BN10" s="69">
        <v>101</v>
      </c>
      <c r="BR10" s="69" t="s">
        <v>261</v>
      </c>
      <c r="BS10" s="69">
        <v>200.66300000000001</v>
      </c>
      <c r="BT10" s="69">
        <f t="shared" si="20"/>
        <v>0.20066300000000001</v>
      </c>
      <c r="BU10" s="63">
        <v>1</v>
      </c>
      <c r="BV10" s="63">
        <f t="shared" si="21"/>
        <v>0.20066300000000001</v>
      </c>
      <c r="BW10" s="63">
        <f t="shared" si="22"/>
        <v>0.50559040344032979</v>
      </c>
      <c r="BX10" s="63">
        <f t="shared" si="23"/>
        <v>505.59040344032979</v>
      </c>
      <c r="BY10" s="63" cm="1">
        <f t="array" ref="BY10">IFERROR(INDEX(REF_TABLE!$G$7:$G$28,MATCH('DIST _PHASE_1_V1'!BX10,REF_TABLE!$G$7:$G$28,1)+1),"Aucune valeur supérieure")</f>
        <v>565</v>
      </c>
      <c r="BZ10" s="63">
        <v>150</v>
      </c>
      <c r="CA10" s="69">
        <v>200.66300000000001</v>
      </c>
      <c r="CE10" s="69" t="s">
        <v>311</v>
      </c>
      <c r="CF10" s="69">
        <v>133.77600000000001</v>
      </c>
      <c r="CG10" s="69">
        <f t="shared" si="24"/>
        <v>0.13377600000000001</v>
      </c>
      <c r="CH10" s="63">
        <v>1</v>
      </c>
      <c r="CI10" s="63">
        <f t="shared" si="25"/>
        <v>0.13377600000000001</v>
      </c>
      <c r="CJ10" s="63">
        <f t="shared" si="26"/>
        <v>0.41281386437982415</v>
      </c>
      <c r="CK10" s="63">
        <f t="shared" si="27"/>
        <v>412.81386437982417</v>
      </c>
      <c r="CL10" s="63" cm="1">
        <f t="array" ref="CL10">IFERROR(INDEX(REF_TABLE!$G$7:$G$28,MATCH('DIST _PHASE_1_V1'!CK10,REF_TABLE!$G$7:$G$28,1)+1),"Aucune valeur supérieure")</f>
        <v>421</v>
      </c>
      <c r="CM10" s="63">
        <v>150</v>
      </c>
      <c r="CN10" s="69">
        <v>174</v>
      </c>
    </row>
    <row r="11" spans="5:92" x14ac:dyDescent="0.25">
      <c r="E11" s="69" t="s">
        <v>157</v>
      </c>
      <c r="F11" s="69">
        <v>66.888000000000005</v>
      </c>
      <c r="G11" s="69">
        <f t="shared" si="1"/>
        <v>6.6888000000000003E-2</v>
      </c>
      <c r="H11" s="63">
        <v>1</v>
      </c>
      <c r="I11" s="63">
        <f t="shared" si="2"/>
        <v>6.6888000000000003E-2</v>
      </c>
      <c r="J11" s="63">
        <f t="shared" si="0"/>
        <v>0.29190348287079743</v>
      </c>
      <c r="K11" s="63">
        <f t="shared" si="3"/>
        <v>291.9034828707974</v>
      </c>
      <c r="L11" s="63" cm="1">
        <f t="array" ref="L11">IFERROR(INDEX(REF_TABLE!$G$7:$G$28,MATCH('DIST _PHASE_1_V1'!K11,REF_TABLE!$G$7:$G$28,1)+1),"Aucune valeur supérieure")</f>
        <v>300</v>
      </c>
      <c r="M11" s="63">
        <v>150</v>
      </c>
      <c r="N11" s="69">
        <v>173</v>
      </c>
      <c r="R11" s="69" t="s">
        <v>129</v>
      </c>
      <c r="S11" s="69">
        <v>66.888000000000005</v>
      </c>
      <c r="T11" s="69">
        <f t="shared" si="4"/>
        <v>6.6888000000000003E-2</v>
      </c>
      <c r="U11" s="63">
        <v>1</v>
      </c>
      <c r="V11" s="63">
        <f t="shared" si="5"/>
        <v>6.6888000000000003E-2</v>
      </c>
      <c r="W11" s="63">
        <f t="shared" si="6"/>
        <v>0.29190348287079743</v>
      </c>
      <c r="X11" s="63">
        <f t="shared" si="7"/>
        <v>291.9034828707974</v>
      </c>
      <c r="Y11" s="63" cm="1">
        <f t="array" ref="Y11">IFERROR(INDEX(REF_TABLE!$G$7:$G$28,MATCH('DIST _PHASE_1_V1'!X11,REF_TABLE!$G$7:$G$28,1)+1),"Aucune valeur supérieure")</f>
        <v>300</v>
      </c>
      <c r="Z11" s="63">
        <v>150</v>
      </c>
      <c r="AA11" s="69">
        <v>35</v>
      </c>
      <c r="AE11" s="69" t="s">
        <v>197</v>
      </c>
      <c r="AF11" s="69">
        <v>66.888000000000005</v>
      </c>
      <c r="AG11" s="69">
        <f t="shared" si="8"/>
        <v>6.6888000000000003E-2</v>
      </c>
      <c r="AH11" s="63">
        <v>1</v>
      </c>
      <c r="AI11" s="63">
        <f t="shared" si="9"/>
        <v>6.6888000000000003E-2</v>
      </c>
      <c r="AJ11" s="63">
        <f t="shared" si="10"/>
        <v>0.29190348287079743</v>
      </c>
      <c r="AK11" s="63">
        <f t="shared" si="11"/>
        <v>291.9034828707974</v>
      </c>
      <c r="AL11" s="63" cm="1">
        <f t="array" ref="AL11">IFERROR(INDEX(REF_TABLE!$G$7:$G$28,MATCH('DIST _PHASE_1_V1'!AK11,REF_TABLE!$G$7:$G$28,1)+1),"Aucune valeur supérieure")</f>
        <v>300</v>
      </c>
      <c r="AM11" s="63">
        <v>150</v>
      </c>
      <c r="AN11" s="69">
        <v>108</v>
      </c>
      <c r="AR11" s="69" t="s">
        <v>172</v>
      </c>
      <c r="AS11" s="69">
        <v>133.77500000000001</v>
      </c>
      <c r="AT11" s="69">
        <f t="shared" si="12"/>
        <v>0.13377500000000001</v>
      </c>
      <c r="AU11" s="63">
        <v>1</v>
      </c>
      <c r="AV11" s="63">
        <f t="shared" si="13"/>
        <v>0.13377500000000001</v>
      </c>
      <c r="AW11" s="63">
        <f t="shared" si="14"/>
        <v>0.41281232144747509</v>
      </c>
      <c r="AX11" s="63">
        <f t="shared" si="15"/>
        <v>412.81232144747509</v>
      </c>
      <c r="AY11" s="63" cm="1">
        <f t="array" ref="AY11">IFERROR(INDEX(REF_TABLE!$G$7:$G$28,MATCH('DIST _PHASE_1_V1'!AX11,REF_TABLE!$G$7:$G$28,1)+1),"Aucune valeur supérieure")</f>
        <v>421</v>
      </c>
      <c r="AZ11" s="63">
        <v>150</v>
      </c>
      <c r="BA11" s="69">
        <v>128</v>
      </c>
      <c r="BE11" s="69" t="s">
        <v>261</v>
      </c>
      <c r="BF11" s="69">
        <v>200.66300000000001</v>
      </c>
      <c r="BG11" s="69">
        <f t="shared" si="16"/>
        <v>0.20066300000000001</v>
      </c>
      <c r="BH11" s="63">
        <v>1</v>
      </c>
      <c r="BI11" s="63">
        <f t="shared" si="17"/>
        <v>0.20066300000000001</v>
      </c>
      <c r="BJ11" s="63">
        <f t="shared" si="18"/>
        <v>0.50559040344032979</v>
      </c>
      <c r="BK11" s="63">
        <f t="shared" si="19"/>
        <v>505.59040344032979</v>
      </c>
      <c r="BL11" s="63" cm="1">
        <f t="array" ref="BL11">IFERROR(INDEX(REF_TABLE!$G$7:$G$28,MATCH('DIST _PHASE_1_V1'!BK11,REF_TABLE!$G$7:$G$28,1)+1),"Aucune valeur supérieure")</f>
        <v>565</v>
      </c>
      <c r="BM11" s="63">
        <v>150</v>
      </c>
      <c r="BN11" s="69">
        <v>81</v>
      </c>
      <c r="BR11" s="69" t="s">
        <v>262</v>
      </c>
      <c r="BS11" s="69">
        <v>200.66300000000001</v>
      </c>
      <c r="BT11" s="69">
        <f t="shared" si="20"/>
        <v>0.20066300000000001</v>
      </c>
      <c r="BU11" s="63">
        <v>1</v>
      </c>
      <c r="BV11" s="63">
        <f t="shared" si="21"/>
        <v>0.20066300000000001</v>
      </c>
      <c r="BW11" s="63">
        <f t="shared" si="22"/>
        <v>0.50559040344032979</v>
      </c>
      <c r="BX11" s="63">
        <f t="shared" si="23"/>
        <v>505.59040344032979</v>
      </c>
      <c r="BY11" s="63" cm="1">
        <f t="array" ref="BY11">IFERROR(INDEX(REF_TABLE!$G$7:$G$28,MATCH('DIST _PHASE_1_V1'!BX11,REF_TABLE!$G$7:$G$28,1)+1),"Aucune valeur supérieure")</f>
        <v>565</v>
      </c>
      <c r="BZ11" s="63">
        <v>150</v>
      </c>
      <c r="CA11" s="69">
        <v>200.66300000000001</v>
      </c>
      <c r="CE11" s="69" t="s">
        <v>312</v>
      </c>
      <c r="CF11" s="69">
        <v>133.77600000000001</v>
      </c>
      <c r="CG11" s="69">
        <f t="shared" si="24"/>
        <v>0.13377600000000001</v>
      </c>
      <c r="CH11" s="63">
        <v>1</v>
      </c>
      <c r="CI11" s="63">
        <f t="shared" si="25"/>
        <v>0.13377600000000001</v>
      </c>
      <c r="CJ11" s="63">
        <f t="shared" si="26"/>
        <v>0.41281386437982415</v>
      </c>
      <c r="CK11" s="63">
        <f t="shared" si="27"/>
        <v>412.81386437982417</v>
      </c>
      <c r="CL11" s="63" cm="1">
        <f t="array" ref="CL11">IFERROR(INDEX(REF_TABLE!$G$7:$G$28,MATCH('DIST _PHASE_1_V1'!CK11,REF_TABLE!$G$7:$G$28,1)+1),"Aucune valeur supérieure")</f>
        <v>421</v>
      </c>
      <c r="CM11" s="63">
        <v>150</v>
      </c>
      <c r="CN11" s="69">
        <v>227</v>
      </c>
    </row>
    <row r="12" spans="5:92" x14ac:dyDescent="0.25">
      <c r="E12" s="69" t="s">
        <v>156</v>
      </c>
      <c r="F12" s="69">
        <v>66.888000000000005</v>
      </c>
      <c r="G12" s="69">
        <f t="shared" si="1"/>
        <v>6.6888000000000003E-2</v>
      </c>
      <c r="H12" s="63">
        <v>1</v>
      </c>
      <c r="I12" s="63">
        <f t="shared" si="2"/>
        <v>6.6888000000000003E-2</v>
      </c>
      <c r="J12" s="63">
        <f t="shared" si="0"/>
        <v>0.29190348287079743</v>
      </c>
      <c r="K12" s="63">
        <f t="shared" si="3"/>
        <v>291.9034828707974</v>
      </c>
      <c r="L12" s="63" cm="1">
        <f t="array" ref="L12">IFERROR(INDEX(REF_TABLE!$G$7:$G$28,MATCH('DIST _PHASE_1_V1'!K12,REF_TABLE!$G$7:$G$28,1)+1),"Aucune valeur supérieure")</f>
        <v>300</v>
      </c>
      <c r="M12" s="63">
        <v>150</v>
      </c>
      <c r="N12" s="69">
        <v>257</v>
      </c>
      <c r="R12" s="69" t="s">
        <v>128</v>
      </c>
      <c r="S12" s="69">
        <v>66.888000000000005</v>
      </c>
      <c r="T12" s="69">
        <f t="shared" si="4"/>
        <v>6.6888000000000003E-2</v>
      </c>
      <c r="U12" s="63">
        <v>1</v>
      </c>
      <c r="V12" s="63">
        <f t="shared" si="5"/>
        <v>6.6888000000000003E-2</v>
      </c>
      <c r="W12" s="63">
        <f t="shared" si="6"/>
        <v>0.29190348287079743</v>
      </c>
      <c r="X12" s="63">
        <f t="shared" si="7"/>
        <v>291.9034828707974</v>
      </c>
      <c r="Y12" s="63" cm="1">
        <f t="array" ref="Y12">IFERROR(INDEX(REF_TABLE!$G$7:$G$28,MATCH('DIST _PHASE_1_V1'!X12,REF_TABLE!$G$7:$G$28,1)+1),"Aucune valeur supérieure")</f>
        <v>300</v>
      </c>
      <c r="Z12" s="63">
        <v>150</v>
      </c>
      <c r="AA12" s="69">
        <v>54</v>
      </c>
      <c r="AE12" s="69" t="s">
        <v>196</v>
      </c>
      <c r="AF12" s="69">
        <v>66.888000000000005</v>
      </c>
      <c r="AG12" s="69">
        <f t="shared" si="8"/>
        <v>6.6888000000000003E-2</v>
      </c>
      <c r="AH12" s="63">
        <v>1</v>
      </c>
      <c r="AI12" s="63">
        <f t="shared" si="9"/>
        <v>6.6888000000000003E-2</v>
      </c>
      <c r="AJ12" s="63">
        <f t="shared" si="10"/>
        <v>0.29190348287079743</v>
      </c>
      <c r="AK12" s="63">
        <f t="shared" si="11"/>
        <v>291.9034828707974</v>
      </c>
      <c r="AL12" s="63" cm="1">
        <f t="array" ref="AL12">IFERROR(INDEX(REF_TABLE!$G$7:$G$28,MATCH('DIST _PHASE_1_V1'!AK12,REF_TABLE!$G$7:$G$28,1)+1),"Aucune valeur supérieure")</f>
        <v>300</v>
      </c>
      <c r="AM12" s="63">
        <v>150</v>
      </c>
      <c r="AN12" s="69">
        <v>150</v>
      </c>
      <c r="AR12" s="69" t="s">
        <v>170</v>
      </c>
      <c r="AS12" s="69">
        <v>133.77500000000001</v>
      </c>
      <c r="AT12" s="69">
        <f t="shared" si="12"/>
        <v>0.13377500000000001</v>
      </c>
      <c r="AU12" s="63">
        <v>1</v>
      </c>
      <c r="AV12" s="63">
        <f t="shared" si="13"/>
        <v>0.13377500000000001</v>
      </c>
      <c r="AW12" s="63">
        <f t="shared" si="14"/>
        <v>0.41281232144747509</v>
      </c>
      <c r="AX12" s="63">
        <f t="shared" si="15"/>
        <v>412.81232144747509</v>
      </c>
      <c r="AY12" s="63" cm="1">
        <f t="array" ref="AY12">IFERROR(INDEX(REF_TABLE!$G$7:$G$28,MATCH('DIST _PHASE_1_V1'!AX12,REF_TABLE!$G$7:$G$28,1)+1),"Aucune valeur supérieure")</f>
        <v>421</v>
      </c>
      <c r="AZ12" s="63">
        <v>150</v>
      </c>
      <c r="BA12" s="69">
        <v>116</v>
      </c>
      <c r="BE12" s="69" t="s">
        <v>260</v>
      </c>
      <c r="BF12" s="69">
        <v>200.66300000000001</v>
      </c>
      <c r="BG12" s="69">
        <f t="shared" si="16"/>
        <v>0.20066300000000001</v>
      </c>
      <c r="BH12" s="63">
        <v>1</v>
      </c>
      <c r="BI12" s="63">
        <f t="shared" si="17"/>
        <v>0.20066300000000001</v>
      </c>
      <c r="BJ12" s="63">
        <f t="shared" si="18"/>
        <v>0.50559040344032979</v>
      </c>
      <c r="BK12" s="63">
        <f t="shared" si="19"/>
        <v>505.59040344032979</v>
      </c>
      <c r="BL12" s="63" cm="1">
        <f t="array" ref="BL12">IFERROR(INDEX(REF_TABLE!$G$7:$G$28,MATCH('DIST _PHASE_1_V1'!BK12,REF_TABLE!$G$7:$G$28,1)+1),"Aucune valeur supérieure")</f>
        <v>565</v>
      </c>
      <c r="BM12" s="63">
        <v>150</v>
      </c>
      <c r="BN12" s="69">
        <v>73</v>
      </c>
      <c r="BR12" s="69" t="s">
        <v>263</v>
      </c>
      <c r="BS12" s="69">
        <v>200.66300000000001</v>
      </c>
      <c r="BT12" s="69">
        <f t="shared" si="20"/>
        <v>0.20066300000000001</v>
      </c>
      <c r="BU12" s="63">
        <v>1</v>
      </c>
      <c r="BV12" s="63">
        <f t="shared" si="21"/>
        <v>0.20066300000000001</v>
      </c>
      <c r="BW12" s="63">
        <f t="shared" si="22"/>
        <v>0.50559040344032979</v>
      </c>
      <c r="BX12" s="63">
        <f t="shared" si="23"/>
        <v>505.59040344032979</v>
      </c>
      <c r="BY12" s="63" cm="1">
        <f t="array" ref="BY12">IFERROR(INDEX(REF_TABLE!$G$7:$G$28,MATCH('DIST _PHASE_1_V1'!BX12,REF_TABLE!$G$7:$G$28,1)+1),"Aucune valeur supérieure")</f>
        <v>565</v>
      </c>
      <c r="BZ12" s="63">
        <v>150</v>
      </c>
      <c r="CA12" s="69">
        <v>200.66300000000001</v>
      </c>
      <c r="CE12" s="69" t="s">
        <v>313</v>
      </c>
      <c r="CF12" s="69">
        <v>133.77600000000001</v>
      </c>
      <c r="CG12" s="69">
        <f t="shared" si="24"/>
        <v>0.13377600000000001</v>
      </c>
      <c r="CH12" s="63">
        <v>1</v>
      </c>
      <c r="CI12" s="63">
        <f t="shared" si="25"/>
        <v>0.13377600000000001</v>
      </c>
      <c r="CJ12" s="63">
        <f t="shared" si="26"/>
        <v>0.41281386437982415</v>
      </c>
      <c r="CK12" s="63">
        <f t="shared" si="27"/>
        <v>412.81386437982417</v>
      </c>
      <c r="CL12" s="63" cm="1">
        <f t="array" ref="CL12">IFERROR(INDEX(REF_TABLE!$G$7:$G$28,MATCH('DIST _PHASE_1_V1'!CK12,REF_TABLE!$G$7:$G$28,1)+1),"Aucune valeur supérieure")</f>
        <v>421</v>
      </c>
      <c r="CM12" s="63">
        <v>150</v>
      </c>
      <c r="CN12" s="69">
        <v>198</v>
      </c>
    </row>
    <row r="13" spans="5:92" x14ac:dyDescent="0.25">
      <c r="E13" s="69" t="s">
        <v>155</v>
      </c>
      <c r="F13" s="69">
        <v>66.888000000000005</v>
      </c>
      <c r="G13" s="69">
        <f t="shared" si="1"/>
        <v>6.6888000000000003E-2</v>
      </c>
      <c r="H13" s="63">
        <v>1</v>
      </c>
      <c r="I13" s="63">
        <f t="shared" si="2"/>
        <v>6.6888000000000003E-2</v>
      </c>
      <c r="J13" s="63">
        <f t="shared" si="0"/>
        <v>0.29190348287079743</v>
      </c>
      <c r="K13" s="63">
        <f t="shared" si="3"/>
        <v>291.9034828707974</v>
      </c>
      <c r="L13" s="63" cm="1">
        <f t="array" ref="L13">IFERROR(INDEX(REF_TABLE!$G$7:$G$28,MATCH('DIST _PHASE_1_V1'!K13,REF_TABLE!$G$7:$G$28,1)+1),"Aucune valeur supérieure")</f>
        <v>300</v>
      </c>
      <c r="M13" s="63">
        <v>150</v>
      </c>
      <c r="N13" s="69">
        <v>263</v>
      </c>
      <c r="R13" s="69" t="s">
        <v>127</v>
      </c>
      <c r="S13" s="69">
        <v>66.888000000000005</v>
      </c>
      <c r="T13" s="69">
        <f t="shared" si="4"/>
        <v>6.6888000000000003E-2</v>
      </c>
      <c r="U13" s="63">
        <v>1</v>
      </c>
      <c r="V13" s="63">
        <f t="shared" si="5"/>
        <v>6.6888000000000003E-2</v>
      </c>
      <c r="W13" s="63">
        <f t="shared" si="6"/>
        <v>0.29190348287079743</v>
      </c>
      <c r="X13" s="63">
        <f t="shared" si="7"/>
        <v>291.9034828707974</v>
      </c>
      <c r="Y13" s="63" cm="1">
        <f t="array" ref="Y13">IFERROR(INDEX(REF_TABLE!$G$7:$G$28,MATCH('DIST _PHASE_1_V1'!X13,REF_TABLE!$G$7:$G$28,1)+1),"Aucune valeur supérieure")</f>
        <v>300</v>
      </c>
      <c r="Z13" s="63">
        <v>150</v>
      </c>
      <c r="AA13" s="69">
        <v>151</v>
      </c>
      <c r="AE13" s="69" t="s">
        <v>195</v>
      </c>
      <c r="AF13" s="69">
        <v>66.888000000000005</v>
      </c>
      <c r="AG13" s="69">
        <f t="shared" si="8"/>
        <v>6.6888000000000003E-2</v>
      </c>
      <c r="AH13" s="63">
        <v>1</v>
      </c>
      <c r="AI13" s="63">
        <f t="shared" si="9"/>
        <v>6.6888000000000003E-2</v>
      </c>
      <c r="AJ13" s="63">
        <f t="shared" si="10"/>
        <v>0.29190348287079743</v>
      </c>
      <c r="AK13" s="63">
        <f t="shared" si="11"/>
        <v>291.9034828707974</v>
      </c>
      <c r="AL13" s="63" cm="1">
        <f t="array" ref="AL13">IFERROR(INDEX(REF_TABLE!$G$7:$G$28,MATCH('DIST _PHASE_1_V1'!AK13,REF_TABLE!$G$7:$G$28,1)+1),"Aucune valeur supérieure")</f>
        <v>300</v>
      </c>
      <c r="AM13" s="63">
        <v>150</v>
      </c>
      <c r="AN13" s="69">
        <v>54</v>
      </c>
      <c r="AR13" s="69" t="s">
        <v>171</v>
      </c>
      <c r="AS13" s="69">
        <v>133.77500000000001</v>
      </c>
      <c r="AT13" s="69">
        <f t="shared" si="12"/>
        <v>0.13377500000000001</v>
      </c>
      <c r="AU13" s="63">
        <v>1</v>
      </c>
      <c r="AV13" s="63">
        <f t="shared" si="13"/>
        <v>0.13377500000000001</v>
      </c>
      <c r="AW13" s="63">
        <f t="shared" si="14"/>
        <v>0.41281232144747509</v>
      </c>
      <c r="AX13" s="63">
        <f t="shared" si="15"/>
        <v>412.81232144747509</v>
      </c>
      <c r="AY13" s="63" cm="1">
        <f t="array" ref="AY13">IFERROR(INDEX(REF_TABLE!$G$7:$G$28,MATCH('DIST _PHASE_1_V1'!AX13,REF_TABLE!$G$7:$G$28,1)+1),"Aucune valeur supérieure")</f>
        <v>421</v>
      </c>
      <c r="AZ13" s="63">
        <v>150</v>
      </c>
      <c r="BA13" s="69">
        <v>248</v>
      </c>
      <c r="BE13" s="69" t="s">
        <v>262</v>
      </c>
      <c r="BF13" s="69">
        <v>200.66300000000001</v>
      </c>
      <c r="BG13" s="69">
        <f t="shared" si="16"/>
        <v>0.20066300000000001</v>
      </c>
      <c r="BH13" s="63">
        <v>1</v>
      </c>
      <c r="BI13" s="63">
        <f t="shared" si="17"/>
        <v>0.20066300000000001</v>
      </c>
      <c r="BJ13" s="63">
        <f t="shared" si="18"/>
        <v>0.50559040344032979</v>
      </c>
      <c r="BK13" s="63">
        <f t="shared" si="19"/>
        <v>505.59040344032979</v>
      </c>
      <c r="BL13" s="63" cm="1">
        <f t="array" ref="BL13">IFERROR(INDEX(REF_TABLE!$G$7:$G$28,MATCH('DIST _PHASE_1_V1'!BK13,REF_TABLE!$G$7:$G$28,1)+1),"Aucune valeur supérieure")</f>
        <v>565</v>
      </c>
      <c r="BM13" s="63">
        <v>150</v>
      </c>
      <c r="BN13" s="69">
        <v>69</v>
      </c>
      <c r="BR13" s="69" t="s">
        <v>264</v>
      </c>
      <c r="BS13" s="69">
        <v>200.66300000000001</v>
      </c>
      <c r="BT13" s="69">
        <f t="shared" si="20"/>
        <v>0.20066300000000001</v>
      </c>
      <c r="BU13" s="63">
        <v>1</v>
      </c>
      <c r="BV13" s="63">
        <f t="shared" si="21"/>
        <v>0.20066300000000001</v>
      </c>
      <c r="BW13" s="63">
        <f t="shared" si="22"/>
        <v>0.50559040344032979</v>
      </c>
      <c r="BX13" s="63">
        <f t="shared" si="23"/>
        <v>505.59040344032979</v>
      </c>
      <c r="BY13" s="63" cm="1">
        <f t="array" ref="BY13">IFERROR(INDEX(REF_TABLE!$G$7:$G$28,MATCH('DIST _PHASE_1_V1'!BX13,REF_TABLE!$G$7:$G$28,1)+1),"Aucune valeur supérieure")</f>
        <v>565</v>
      </c>
      <c r="BZ13" s="63">
        <v>150</v>
      </c>
      <c r="CA13" s="69">
        <v>200.66300000000001</v>
      </c>
      <c r="CE13" s="69" t="s">
        <v>314</v>
      </c>
      <c r="CF13" s="69">
        <v>133.77600000000001</v>
      </c>
      <c r="CG13" s="69">
        <f t="shared" si="24"/>
        <v>0.13377600000000001</v>
      </c>
      <c r="CH13" s="63">
        <v>1</v>
      </c>
      <c r="CI13" s="63">
        <f t="shared" si="25"/>
        <v>0.13377600000000001</v>
      </c>
      <c r="CJ13" s="63">
        <f t="shared" si="26"/>
        <v>0.41281386437982415</v>
      </c>
      <c r="CK13" s="63">
        <f t="shared" si="27"/>
        <v>412.81386437982417</v>
      </c>
      <c r="CL13" s="63" cm="1">
        <f t="array" ref="CL13">IFERROR(INDEX(REF_TABLE!$G$7:$G$28,MATCH('DIST _PHASE_1_V1'!CK13,REF_TABLE!$G$7:$G$28,1)+1),"Aucune valeur supérieure")</f>
        <v>421</v>
      </c>
      <c r="CM13" s="63">
        <v>150</v>
      </c>
      <c r="CN13" s="69">
        <v>178</v>
      </c>
    </row>
    <row r="14" spans="5:92" x14ac:dyDescent="0.25">
      <c r="E14" s="69" t="s">
        <v>154</v>
      </c>
      <c r="F14" s="69">
        <v>66.888000000000005</v>
      </c>
      <c r="G14" s="69">
        <f t="shared" si="1"/>
        <v>6.6888000000000003E-2</v>
      </c>
      <c r="H14" s="63">
        <v>1</v>
      </c>
      <c r="I14" s="63">
        <f t="shared" si="2"/>
        <v>6.6888000000000003E-2</v>
      </c>
      <c r="J14" s="63">
        <f t="shared" si="0"/>
        <v>0.29190348287079743</v>
      </c>
      <c r="K14" s="63">
        <f t="shared" si="3"/>
        <v>291.9034828707974</v>
      </c>
      <c r="L14" s="63" cm="1">
        <f t="array" ref="L14">IFERROR(INDEX(REF_TABLE!$G$7:$G$28,MATCH('DIST _PHASE_1_V1'!K14,REF_TABLE!$G$7:$G$28,1)+1),"Aucune valeur supérieure")</f>
        <v>300</v>
      </c>
      <c r="M14" s="63">
        <v>150</v>
      </c>
      <c r="N14" s="69">
        <v>134</v>
      </c>
      <c r="R14" s="69" t="s">
        <v>126</v>
      </c>
      <c r="S14" s="69">
        <v>66.888000000000005</v>
      </c>
      <c r="T14" s="69">
        <f t="shared" si="4"/>
        <v>6.6888000000000003E-2</v>
      </c>
      <c r="U14" s="63">
        <v>1</v>
      </c>
      <c r="V14" s="63">
        <f t="shared" si="5"/>
        <v>6.6888000000000003E-2</v>
      </c>
      <c r="W14" s="63">
        <f t="shared" si="6"/>
        <v>0.29190348287079743</v>
      </c>
      <c r="X14" s="63">
        <f t="shared" si="7"/>
        <v>291.9034828707974</v>
      </c>
      <c r="Y14" s="63" cm="1">
        <f t="array" ref="Y14">IFERROR(INDEX(REF_TABLE!$G$7:$G$28,MATCH('DIST _PHASE_1_V1'!X14,REF_TABLE!$G$7:$G$28,1)+1),"Aucune valeur supérieure")</f>
        <v>300</v>
      </c>
      <c r="Z14" s="63">
        <v>150</v>
      </c>
      <c r="AA14" s="69">
        <v>78</v>
      </c>
      <c r="AE14" s="69" t="s">
        <v>194</v>
      </c>
      <c r="AF14" s="69">
        <v>66.888000000000005</v>
      </c>
      <c r="AG14" s="69">
        <f t="shared" si="8"/>
        <v>6.6888000000000003E-2</v>
      </c>
      <c r="AH14" s="63">
        <v>1</v>
      </c>
      <c r="AI14" s="63">
        <f t="shared" si="9"/>
        <v>6.6888000000000003E-2</v>
      </c>
      <c r="AJ14" s="63">
        <f t="shared" si="10"/>
        <v>0.29190348287079743</v>
      </c>
      <c r="AK14" s="63">
        <f t="shared" si="11"/>
        <v>291.9034828707974</v>
      </c>
      <c r="AL14" s="63" cm="1">
        <f t="array" ref="AL14">IFERROR(INDEX(REF_TABLE!$G$7:$G$28,MATCH('DIST _PHASE_1_V1'!AK14,REF_TABLE!$G$7:$G$28,1)+1),"Aucune valeur supérieure")</f>
        <v>300</v>
      </c>
      <c r="AM14" s="63">
        <v>150</v>
      </c>
      <c r="AN14" s="69">
        <v>93</v>
      </c>
      <c r="AR14" s="69" t="s">
        <v>169</v>
      </c>
      <c r="AS14" s="69">
        <v>133.77500000000001</v>
      </c>
      <c r="AT14" s="69">
        <f t="shared" si="12"/>
        <v>0.13377500000000001</v>
      </c>
      <c r="AU14" s="63">
        <v>1</v>
      </c>
      <c r="AV14" s="63">
        <f t="shared" si="13"/>
        <v>0.13377500000000001</v>
      </c>
      <c r="AW14" s="63">
        <f t="shared" si="14"/>
        <v>0.41281232144747509</v>
      </c>
      <c r="AX14" s="63">
        <f t="shared" si="15"/>
        <v>412.81232144747509</v>
      </c>
      <c r="AY14" s="63" cm="1">
        <f t="array" ref="AY14">IFERROR(INDEX(REF_TABLE!$G$7:$G$28,MATCH('DIST _PHASE_1_V1'!AX14,REF_TABLE!$G$7:$G$28,1)+1),"Aucune valeur supérieure")</f>
        <v>421</v>
      </c>
      <c r="AZ14" s="63">
        <v>150</v>
      </c>
      <c r="BA14" s="69">
        <v>74</v>
      </c>
      <c r="BE14" s="69" t="s">
        <v>263</v>
      </c>
      <c r="BF14" s="69">
        <v>200.66300000000001</v>
      </c>
      <c r="BG14" s="69">
        <f t="shared" si="16"/>
        <v>0.20066300000000001</v>
      </c>
      <c r="BH14" s="63">
        <v>1</v>
      </c>
      <c r="BI14" s="63">
        <f t="shared" si="17"/>
        <v>0.20066300000000001</v>
      </c>
      <c r="BJ14" s="63">
        <f t="shared" si="18"/>
        <v>0.50559040344032979</v>
      </c>
      <c r="BK14" s="63">
        <f t="shared" si="19"/>
        <v>505.59040344032979</v>
      </c>
      <c r="BL14" s="63" cm="1">
        <f t="array" ref="BL14">IFERROR(INDEX(REF_TABLE!$G$7:$G$28,MATCH('DIST _PHASE_1_V1'!BK14,REF_TABLE!$G$7:$G$28,1)+1),"Aucune valeur supérieure")</f>
        <v>565</v>
      </c>
      <c r="BM14" s="63">
        <v>150</v>
      </c>
      <c r="BN14" s="69">
        <v>82</v>
      </c>
      <c r="BR14" s="69" t="s">
        <v>280</v>
      </c>
      <c r="BS14" s="69">
        <v>33.444000000000003</v>
      </c>
      <c r="BT14" s="69">
        <f t="shared" si="20"/>
        <v>3.3444000000000002E-2</v>
      </c>
      <c r="BU14" s="63">
        <v>1</v>
      </c>
      <c r="BV14" s="63">
        <f t="shared" si="21"/>
        <v>3.3444000000000002E-2</v>
      </c>
      <c r="BW14" s="63">
        <f t="shared" si="22"/>
        <v>0.20640693218991207</v>
      </c>
      <c r="BX14" s="63">
        <f t="shared" si="23"/>
        <v>206.40693218991208</v>
      </c>
      <c r="BY14" s="63" cm="1">
        <f t="array" ref="BY14">IFERROR(INDEX(REF_TABLE!$G$7:$G$28,MATCH('DIST _PHASE_1_V1'!BX14,REF_TABLE!$G$7:$G$28,1)+1),"Aucune valeur supérieure")</f>
        <v>250</v>
      </c>
      <c r="BZ14" s="63">
        <v>150</v>
      </c>
      <c r="CA14" s="69">
        <v>33.444000000000003</v>
      </c>
      <c r="CE14" s="69" t="s">
        <v>281</v>
      </c>
      <c r="CF14" s="69">
        <v>33.444000000000003</v>
      </c>
      <c r="CG14" s="69">
        <f t="shared" si="24"/>
        <v>3.3444000000000002E-2</v>
      </c>
      <c r="CH14" s="63">
        <v>1</v>
      </c>
      <c r="CI14" s="63">
        <f t="shared" si="25"/>
        <v>3.3444000000000002E-2</v>
      </c>
      <c r="CJ14" s="63">
        <f t="shared" si="26"/>
        <v>0.20640693218991207</v>
      </c>
      <c r="CK14" s="63">
        <f t="shared" si="27"/>
        <v>206.40693218991208</v>
      </c>
      <c r="CL14" s="63" cm="1">
        <f t="array" ref="CL14">IFERROR(INDEX(REF_TABLE!$G$7:$G$28,MATCH('DIST _PHASE_1_V1'!CK14,REF_TABLE!$G$7:$G$28,1)+1),"Aucune valeur supérieure")</f>
        <v>250</v>
      </c>
      <c r="CM14" s="63">
        <v>150</v>
      </c>
      <c r="CN14" s="69">
        <v>94</v>
      </c>
    </row>
    <row r="15" spans="5:92" x14ac:dyDescent="0.25">
      <c r="E15" s="69" t="s">
        <v>153</v>
      </c>
      <c r="F15" s="69">
        <v>66.888000000000005</v>
      </c>
      <c r="G15" s="69">
        <f t="shared" si="1"/>
        <v>6.6888000000000003E-2</v>
      </c>
      <c r="H15" s="63">
        <v>1</v>
      </c>
      <c r="I15" s="63">
        <f t="shared" si="2"/>
        <v>6.6888000000000003E-2</v>
      </c>
      <c r="J15" s="63">
        <f t="shared" si="0"/>
        <v>0.29190348287079743</v>
      </c>
      <c r="K15" s="63">
        <f t="shared" si="3"/>
        <v>291.9034828707974</v>
      </c>
      <c r="L15" s="63" cm="1">
        <f t="array" ref="L15">IFERROR(INDEX(REF_TABLE!$G$7:$G$28,MATCH('DIST _PHASE_1_V1'!K15,REF_TABLE!$G$7:$G$28,1)+1),"Aucune valeur supérieure")</f>
        <v>300</v>
      </c>
      <c r="M15" s="63">
        <v>150</v>
      </c>
      <c r="N15" s="69">
        <v>169</v>
      </c>
      <c r="R15" s="69" t="s">
        <v>125</v>
      </c>
      <c r="S15" s="69">
        <v>66.888000000000005</v>
      </c>
      <c r="T15" s="69">
        <f t="shared" si="4"/>
        <v>6.6888000000000003E-2</v>
      </c>
      <c r="U15" s="63">
        <v>1</v>
      </c>
      <c r="V15" s="63">
        <f t="shared" si="5"/>
        <v>6.6888000000000003E-2</v>
      </c>
      <c r="W15" s="63">
        <f t="shared" si="6"/>
        <v>0.29190348287079743</v>
      </c>
      <c r="X15" s="63">
        <f t="shared" si="7"/>
        <v>291.9034828707974</v>
      </c>
      <c r="Y15" s="63" cm="1">
        <f t="array" ref="Y15">IFERROR(INDEX(REF_TABLE!$G$7:$G$28,MATCH('DIST _PHASE_1_V1'!X15,REF_TABLE!$G$7:$G$28,1)+1),"Aucune valeur supérieure")</f>
        <v>300</v>
      </c>
      <c r="Z15" s="63">
        <v>150</v>
      </c>
      <c r="AA15" s="69">
        <v>84</v>
      </c>
      <c r="AE15" s="69" t="s">
        <v>193</v>
      </c>
      <c r="AF15" s="69">
        <v>66.888000000000005</v>
      </c>
      <c r="AG15" s="69">
        <f t="shared" si="8"/>
        <v>6.6888000000000003E-2</v>
      </c>
      <c r="AH15" s="63">
        <v>1</v>
      </c>
      <c r="AI15" s="63">
        <f t="shared" si="9"/>
        <v>6.6888000000000003E-2</v>
      </c>
      <c r="AJ15" s="63">
        <f t="shared" si="10"/>
        <v>0.29190348287079743</v>
      </c>
      <c r="AK15" s="63">
        <f t="shared" si="11"/>
        <v>291.9034828707974</v>
      </c>
      <c r="AL15" s="63" cm="1">
        <f t="array" ref="AL15">IFERROR(INDEX(REF_TABLE!$G$7:$G$28,MATCH('DIST _PHASE_1_V1'!AK15,REF_TABLE!$G$7:$G$28,1)+1),"Aucune valeur supérieure")</f>
        <v>300</v>
      </c>
      <c r="AM15" s="63">
        <v>150</v>
      </c>
      <c r="AN15" s="69">
        <v>88</v>
      </c>
      <c r="AR15" s="69" t="s">
        <v>168</v>
      </c>
      <c r="AS15" s="69">
        <v>133.77500000000001</v>
      </c>
      <c r="AT15" s="69">
        <f t="shared" si="12"/>
        <v>0.13377500000000001</v>
      </c>
      <c r="AU15" s="63">
        <v>1</v>
      </c>
      <c r="AV15" s="63">
        <f t="shared" si="13"/>
        <v>0.13377500000000001</v>
      </c>
      <c r="AW15" s="63">
        <f t="shared" si="14"/>
        <v>0.41281232144747509</v>
      </c>
      <c r="AX15" s="63">
        <f t="shared" si="15"/>
        <v>412.81232144747509</v>
      </c>
      <c r="AY15" s="63" cm="1">
        <f t="array" ref="AY15">IFERROR(INDEX(REF_TABLE!$G$7:$G$28,MATCH('DIST _PHASE_1_V1'!AX15,REF_TABLE!$G$7:$G$28,1)+1),"Aucune valeur supérieure")</f>
        <v>421</v>
      </c>
      <c r="AZ15" s="63">
        <v>150</v>
      </c>
      <c r="BA15" s="69">
        <v>88</v>
      </c>
      <c r="BE15" s="69" t="s">
        <v>264</v>
      </c>
      <c r="BF15" s="69">
        <v>200.66300000000001</v>
      </c>
      <c r="BG15" s="69">
        <f t="shared" si="16"/>
        <v>0.20066300000000001</v>
      </c>
      <c r="BH15" s="63">
        <v>1</v>
      </c>
      <c r="BI15" s="63">
        <f t="shared" si="17"/>
        <v>0.20066300000000001</v>
      </c>
      <c r="BJ15" s="63">
        <f t="shared" si="18"/>
        <v>0.50559040344032979</v>
      </c>
      <c r="BK15" s="63">
        <f t="shared" si="19"/>
        <v>505.59040344032979</v>
      </c>
      <c r="BL15" s="63" cm="1">
        <f t="array" ref="BL15">IFERROR(INDEX(REF_TABLE!$G$7:$G$28,MATCH('DIST _PHASE_1_V1'!BK15,REF_TABLE!$G$7:$G$28,1)+1),"Aucune valeur supérieure")</f>
        <v>565</v>
      </c>
      <c r="BM15" s="63">
        <v>150</v>
      </c>
      <c r="BN15" s="69">
        <v>157</v>
      </c>
      <c r="BR15" s="69" t="s">
        <v>281</v>
      </c>
      <c r="BS15" s="69">
        <v>33.444000000000003</v>
      </c>
      <c r="BT15" s="69">
        <f t="shared" si="20"/>
        <v>3.3444000000000002E-2</v>
      </c>
      <c r="BU15" s="63">
        <v>1</v>
      </c>
      <c r="BV15" s="63">
        <f t="shared" si="21"/>
        <v>3.3444000000000002E-2</v>
      </c>
      <c r="BW15" s="63">
        <f t="shared" si="22"/>
        <v>0.20640693218991207</v>
      </c>
      <c r="BX15" s="63">
        <f t="shared" si="23"/>
        <v>206.40693218991208</v>
      </c>
      <c r="BY15" s="63" cm="1">
        <f t="array" ref="BY15">IFERROR(INDEX(REF_TABLE!$G$7:$G$28,MATCH('DIST _PHASE_1_V1'!BX15,REF_TABLE!$G$7:$G$28,1)+1),"Aucune valeur supérieure")</f>
        <v>250</v>
      </c>
      <c r="BZ15" s="63">
        <v>150</v>
      </c>
      <c r="CA15" s="69">
        <v>33.444000000000003</v>
      </c>
      <c r="CE15" s="69" t="s">
        <v>287</v>
      </c>
      <c r="CF15" s="69">
        <v>100.33199999999999</v>
      </c>
      <c r="CG15" s="69">
        <f t="shared" si="24"/>
        <v>0.10033199999999999</v>
      </c>
      <c r="CH15" s="63">
        <v>1</v>
      </c>
      <c r="CI15" s="63">
        <f t="shared" si="25"/>
        <v>0.10033199999999999</v>
      </c>
      <c r="CJ15" s="63">
        <f t="shared" si="26"/>
        <v>0.35750729358735167</v>
      </c>
      <c r="CK15" s="63">
        <f t="shared" si="27"/>
        <v>357.50729358735168</v>
      </c>
      <c r="CL15" s="63" cm="1">
        <f t="array" ref="CL15">IFERROR(INDEX(REF_TABLE!$G$7:$G$28,MATCH('DIST _PHASE_1_V1'!CK15,REF_TABLE!$G$7:$G$28,1)+1),"Aucune valeur supérieure")</f>
        <v>400</v>
      </c>
      <c r="CM15" s="63">
        <v>150</v>
      </c>
      <c r="CN15" s="69">
        <v>251</v>
      </c>
    </row>
    <row r="16" spans="5:92" x14ac:dyDescent="0.25">
      <c r="E16" s="69" t="s">
        <v>152</v>
      </c>
      <c r="F16" s="69">
        <v>66.888000000000005</v>
      </c>
      <c r="G16" s="69">
        <f t="shared" si="1"/>
        <v>6.6888000000000003E-2</v>
      </c>
      <c r="H16" s="63">
        <v>1</v>
      </c>
      <c r="I16" s="63">
        <f t="shared" si="2"/>
        <v>6.6888000000000003E-2</v>
      </c>
      <c r="J16" s="63">
        <f t="shared" si="0"/>
        <v>0.29190348287079743</v>
      </c>
      <c r="K16" s="63">
        <f t="shared" si="3"/>
        <v>291.9034828707974</v>
      </c>
      <c r="L16" s="63" cm="1">
        <f t="array" ref="L16">IFERROR(INDEX(REF_TABLE!$G$7:$G$28,MATCH('DIST _PHASE_1_V1'!K16,REF_TABLE!$G$7:$G$28,1)+1),"Aucune valeur supérieure")</f>
        <v>300</v>
      </c>
      <c r="M16" s="63">
        <v>150</v>
      </c>
      <c r="N16" s="69">
        <v>169</v>
      </c>
      <c r="R16" s="69" t="s">
        <v>124</v>
      </c>
      <c r="S16" s="69">
        <v>66.888000000000005</v>
      </c>
      <c r="T16" s="69">
        <f t="shared" si="4"/>
        <v>6.6888000000000003E-2</v>
      </c>
      <c r="U16" s="63">
        <v>1</v>
      </c>
      <c r="V16" s="63">
        <f t="shared" si="5"/>
        <v>6.6888000000000003E-2</v>
      </c>
      <c r="W16" s="63">
        <f t="shared" si="6"/>
        <v>0.29190348287079743</v>
      </c>
      <c r="X16" s="63">
        <f t="shared" si="7"/>
        <v>291.9034828707974</v>
      </c>
      <c r="Y16" s="63" cm="1">
        <f t="array" ref="Y16">IFERROR(INDEX(REF_TABLE!$G$7:$G$28,MATCH('DIST _PHASE_1_V1'!X16,REF_TABLE!$G$7:$G$28,1)+1),"Aucune valeur supérieure")</f>
        <v>300</v>
      </c>
      <c r="Z16" s="63">
        <v>150</v>
      </c>
      <c r="AA16" s="69">
        <v>83</v>
      </c>
      <c r="AE16" s="69" t="s">
        <v>230</v>
      </c>
      <c r="AF16" s="69">
        <v>66.888000000000005</v>
      </c>
      <c r="AG16" s="69">
        <f t="shared" si="8"/>
        <v>6.6888000000000003E-2</v>
      </c>
      <c r="AH16" s="63">
        <v>1</v>
      </c>
      <c r="AI16" s="63">
        <f t="shared" si="9"/>
        <v>6.6888000000000003E-2</v>
      </c>
      <c r="AJ16" s="63">
        <f t="shared" si="10"/>
        <v>0.29190348287079743</v>
      </c>
      <c r="AK16" s="63">
        <f t="shared" si="11"/>
        <v>291.9034828707974</v>
      </c>
      <c r="AL16" s="63" cm="1">
        <f t="array" ref="AL16">IFERROR(INDEX(REF_TABLE!$G$7:$G$28,MATCH('DIST _PHASE_1_V1'!AK16,REF_TABLE!$G$7:$G$28,1)+1),"Aucune valeur supérieure")</f>
        <v>300</v>
      </c>
      <c r="AM16" s="63">
        <v>150</v>
      </c>
      <c r="AN16" s="69">
        <v>80</v>
      </c>
      <c r="AR16" s="69" t="s">
        <v>167</v>
      </c>
      <c r="AS16" s="69">
        <v>133.77500000000001</v>
      </c>
      <c r="AT16" s="69">
        <f t="shared" si="12"/>
        <v>0.13377500000000001</v>
      </c>
      <c r="AU16" s="63">
        <v>1</v>
      </c>
      <c r="AV16" s="63">
        <f t="shared" si="13"/>
        <v>0.13377500000000001</v>
      </c>
      <c r="AW16" s="63">
        <f t="shared" si="14"/>
        <v>0.41281232144747509</v>
      </c>
      <c r="AX16" s="63">
        <f t="shared" si="15"/>
        <v>412.81232144747509</v>
      </c>
      <c r="AY16" s="63" cm="1">
        <f t="array" ref="AY16">IFERROR(INDEX(REF_TABLE!$G$7:$G$28,MATCH('DIST _PHASE_1_V1'!AX16,REF_TABLE!$G$7:$G$28,1)+1),"Aucune valeur supérieure")</f>
        <v>421</v>
      </c>
      <c r="AZ16" s="63">
        <v>150</v>
      </c>
      <c r="BA16" s="69">
        <v>111</v>
      </c>
      <c r="BE16" s="69" t="s">
        <v>266</v>
      </c>
      <c r="BF16" s="69">
        <v>100.33199999999999</v>
      </c>
      <c r="BG16" s="69">
        <f t="shared" si="16"/>
        <v>0.10033199999999999</v>
      </c>
      <c r="BH16" s="63">
        <v>1</v>
      </c>
      <c r="BI16" s="63">
        <f t="shared" si="17"/>
        <v>0.10033199999999999</v>
      </c>
      <c r="BJ16" s="63">
        <f t="shared" si="18"/>
        <v>0.35750729358735167</v>
      </c>
      <c r="BK16" s="63">
        <f t="shared" si="19"/>
        <v>357.50729358735168</v>
      </c>
      <c r="BL16" s="63" cm="1">
        <f t="array" ref="BL16">IFERROR(INDEX(REF_TABLE!$G$7:$G$28,MATCH('DIST _PHASE_1_V1'!BK16,REF_TABLE!$G$7:$G$28,1)+1),"Aucune valeur supérieure")</f>
        <v>400</v>
      </c>
      <c r="BM16" s="63">
        <v>150</v>
      </c>
      <c r="BN16" s="69">
        <v>129</v>
      </c>
      <c r="BR16" s="69" t="s">
        <v>282</v>
      </c>
      <c r="BS16" s="69">
        <v>33.444000000000003</v>
      </c>
      <c r="BT16" s="69">
        <f t="shared" si="20"/>
        <v>3.3444000000000002E-2</v>
      </c>
      <c r="BU16" s="63">
        <v>1</v>
      </c>
      <c r="BV16" s="63">
        <f t="shared" si="21"/>
        <v>3.3444000000000002E-2</v>
      </c>
      <c r="BW16" s="63">
        <f t="shared" si="22"/>
        <v>0.20640693218991207</v>
      </c>
      <c r="BX16" s="63">
        <f t="shared" si="23"/>
        <v>206.40693218991208</v>
      </c>
      <c r="BY16" s="63" cm="1">
        <f t="array" ref="BY16">IFERROR(INDEX(REF_TABLE!$G$7:$G$28,MATCH('DIST _PHASE_1_V1'!BX16,REF_TABLE!$G$7:$G$28,1)+1),"Aucune valeur supérieure")</f>
        <v>250</v>
      </c>
      <c r="BZ16" s="63">
        <v>150</v>
      </c>
      <c r="CA16" s="69">
        <v>33.444000000000003</v>
      </c>
      <c r="CE16" s="69" t="s">
        <v>288</v>
      </c>
      <c r="CF16" s="69">
        <v>100.33199999999999</v>
      </c>
      <c r="CG16" s="69">
        <f t="shared" si="24"/>
        <v>0.10033199999999999</v>
      </c>
      <c r="CH16" s="63">
        <v>1</v>
      </c>
      <c r="CI16" s="63">
        <f t="shared" si="25"/>
        <v>0.10033199999999999</v>
      </c>
      <c r="CJ16" s="63">
        <f t="shared" si="26"/>
        <v>0.35750729358735167</v>
      </c>
      <c r="CK16" s="63">
        <f t="shared" si="27"/>
        <v>357.50729358735168</v>
      </c>
      <c r="CL16" s="63" cm="1">
        <f t="array" ref="CL16">IFERROR(INDEX(REF_TABLE!$G$7:$G$28,MATCH('DIST _PHASE_1_V1'!CK16,REF_TABLE!$G$7:$G$28,1)+1),"Aucune valeur supérieure")</f>
        <v>400</v>
      </c>
      <c r="CM16" s="63">
        <v>150</v>
      </c>
      <c r="CN16" s="69">
        <v>76</v>
      </c>
    </row>
    <row r="17" spans="5:92" x14ac:dyDescent="0.25">
      <c r="E17" s="69" t="s">
        <v>151</v>
      </c>
      <c r="F17" s="69">
        <v>66.888000000000005</v>
      </c>
      <c r="G17" s="69">
        <f t="shared" si="1"/>
        <v>6.6888000000000003E-2</v>
      </c>
      <c r="H17" s="63">
        <v>1</v>
      </c>
      <c r="I17" s="63">
        <f t="shared" si="2"/>
        <v>6.6888000000000003E-2</v>
      </c>
      <c r="J17" s="63">
        <f t="shared" si="0"/>
        <v>0.29190348287079743</v>
      </c>
      <c r="K17" s="63">
        <f t="shared" si="3"/>
        <v>291.9034828707974</v>
      </c>
      <c r="L17" s="63" cm="1">
        <f t="array" ref="L17">IFERROR(INDEX(REF_TABLE!$G$7:$G$28,MATCH('DIST _PHASE_1_V1'!K17,REF_TABLE!$G$7:$G$28,1)+1),"Aucune valeur supérieure")</f>
        <v>300</v>
      </c>
      <c r="M17" s="63">
        <v>150</v>
      </c>
      <c r="N17" s="69">
        <v>175</v>
      </c>
      <c r="R17" s="69" t="s">
        <v>123</v>
      </c>
      <c r="S17" s="69">
        <v>66.888000000000005</v>
      </c>
      <c r="T17" s="69">
        <f t="shared" si="4"/>
        <v>6.6888000000000003E-2</v>
      </c>
      <c r="U17" s="63">
        <v>1</v>
      </c>
      <c r="V17" s="63">
        <f t="shared" si="5"/>
        <v>6.6888000000000003E-2</v>
      </c>
      <c r="W17" s="63">
        <f t="shared" si="6"/>
        <v>0.29190348287079743</v>
      </c>
      <c r="X17" s="63">
        <f t="shared" si="7"/>
        <v>291.9034828707974</v>
      </c>
      <c r="Y17" s="63" cm="1">
        <f t="array" ref="Y17">IFERROR(INDEX(REF_TABLE!$G$7:$G$28,MATCH('DIST _PHASE_1_V1'!X17,REF_TABLE!$G$7:$G$28,1)+1),"Aucune valeur supérieure")</f>
        <v>300</v>
      </c>
      <c r="Z17" s="63">
        <v>150</v>
      </c>
      <c r="AA17" s="69">
        <v>75</v>
      </c>
      <c r="AE17" s="69" t="s">
        <v>215</v>
      </c>
      <c r="AF17" s="69">
        <v>133.77500000000001</v>
      </c>
      <c r="AG17" s="69">
        <f t="shared" si="8"/>
        <v>0.13377500000000001</v>
      </c>
      <c r="AH17" s="63">
        <v>1</v>
      </c>
      <c r="AI17" s="63">
        <f t="shared" si="9"/>
        <v>0.13377500000000001</v>
      </c>
      <c r="AJ17" s="63">
        <f t="shared" si="10"/>
        <v>0.41281232144747509</v>
      </c>
      <c r="AK17" s="63">
        <f t="shared" si="11"/>
        <v>412.81232144747509</v>
      </c>
      <c r="AL17" s="63" cm="1">
        <f t="array" ref="AL17">IFERROR(INDEX(REF_TABLE!$G$7:$G$28,MATCH('DIST _PHASE_1_V1'!AK17,REF_TABLE!$G$7:$G$28,1)+1),"Aucune valeur supérieure")</f>
        <v>421</v>
      </c>
      <c r="AM17" s="63">
        <v>150</v>
      </c>
      <c r="AN17" s="69">
        <v>70</v>
      </c>
      <c r="AR17" s="69" t="s">
        <v>166</v>
      </c>
      <c r="AS17" s="69">
        <v>133.77500000000001</v>
      </c>
      <c r="AT17" s="69">
        <f t="shared" si="12"/>
        <v>0.13377500000000001</v>
      </c>
      <c r="AU17" s="63">
        <v>1</v>
      </c>
      <c r="AV17" s="63">
        <f t="shared" si="13"/>
        <v>0.13377500000000001</v>
      </c>
      <c r="AW17" s="63">
        <f t="shared" si="14"/>
        <v>0.41281232144747509</v>
      </c>
      <c r="AX17" s="63">
        <f t="shared" si="15"/>
        <v>412.81232144747509</v>
      </c>
      <c r="AY17" s="63" cm="1">
        <f t="array" ref="AY17">IFERROR(INDEX(REF_TABLE!$G$7:$G$28,MATCH('DIST _PHASE_1_V1'!AX17,REF_TABLE!$G$7:$G$28,1)+1),"Aucune valeur supérieure")</f>
        <v>421</v>
      </c>
      <c r="AZ17" s="63">
        <v>150</v>
      </c>
      <c r="BA17" s="69">
        <v>129</v>
      </c>
      <c r="BE17" s="69" t="s">
        <v>276</v>
      </c>
      <c r="BF17" s="69">
        <v>33.444000000000003</v>
      </c>
      <c r="BG17" s="69">
        <f t="shared" si="16"/>
        <v>3.3444000000000002E-2</v>
      </c>
      <c r="BH17" s="63">
        <v>1</v>
      </c>
      <c r="BI17" s="63">
        <f t="shared" si="17"/>
        <v>3.3444000000000002E-2</v>
      </c>
      <c r="BJ17" s="63">
        <f t="shared" si="18"/>
        <v>0.20640693218991207</v>
      </c>
      <c r="BK17" s="63">
        <f t="shared" si="19"/>
        <v>206.40693218991208</v>
      </c>
      <c r="BL17" s="63" cm="1">
        <f t="array" ref="BL17">IFERROR(INDEX(REF_TABLE!$G$7:$G$28,MATCH('DIST _PHASE_1_V1'!BK17,REF_TABLE!$G$7:$G$28,1)+1),"Aucune valeur supérieure")</f>
        <v>250</v>
      </c>
      <c r="BM17" s="63">
        <v>150</v>
      </c>
      <c r="BN17" s="69">
        <v>211</v>
      </c>
      <c r="BR17" s="69" t="s">
        <v>283</v>
      </c>
      <c r="BS17" s="69">
        <v>33.444000000000003</v>
      </c>
      <c r="BT17" s="69">
        <f t="shared" si="20"/>
        <v>3.3444000000000002E-2</v>
      </c>
      <c r="BU17" s="63">
        <v>1</v>
      </c>
      <c r="BV17" s="63">
        <f t="shared" si="21"/>
        <v>3.3444000000000002E-2</v>
      </c>
      <c r="BW17" s="63">
        <f t="shared" si="22"/>
        <v>0.20640693218991207</v>
      </c>
      <c r="BX17" s="63">
        <f t="shared" si="23"/>
        <v>206.40693218991208</v>
      </c>
      <c r="BY17" s="63" cm="1">
        <f t="array" ref="BY17">IFERROR(INDEX(REF_TABLE!$G$7:$G$28,MATCH('DIST _PHASE_1_V1'!BX17,REF_TABLE!$G$7:$G$28,1)+1),"Aucune valeur supérieure")</f>
        <v>250</v>
      </c>
      <c r="BZ17" s="63">
        <v>150</v>
      </c>
      <c r="CA17" s="69">
        <v>33.444000000000003</v>
      </c>
      <c r="CE17" s="69" t="s">
        <v>289</v>
      </c>
      <c r="CF17" s="69">
        <v>100.33199999999999</v>
      </c>
      <c r="CG17" s="69">
        <f t="shared" si="24"/>
        <v>0.10033199999999999</v>
      </c>
      <c r="CH17" s="63">
        <v>1</v>
      </c>
      <c r="CI17" s="63">
        <f t="shared" si="25"/>
        <v>0.10033199999999999</v>
      </c>
      <c r="CJ17" s="63">
        <f t="shared" si="26"/>
        <v>0.35750729358735167</v>
      </c>
      <c r="CK17" s="63">
        <f t="shared" si="27"/>
        <v>357.50729358735168</v>
      </c>
      <c r="CL17" s="63" cm="1">
        <f t="array" ref="CL17">IFERROR(INDEX(REF_TABLE!$G$7:$G$28,MATCH('DIST _PHASE_1_V1'!CK17,REF_TABLE!$G$7:$G$28,1)+1),"Aucune valeur supérieure")</f>
        <v>400</v>
      </c>
      <c r="CM17" s="63">
        <v>150</v>
      </c>
      <c r="CN17" s="69">
        <v>69</v>
      </c>
    </row>
    <row r="18" spans="5:92" x14ac:dyDescent="0.25">
      <c r="E18" s="69" t="s">
        <v>150</v>
      </c>
      <c r="F18" s="69">
        <v>66.888000000000005</v>
      </c>
      <c r="G18" s="69">
        <f t="shared" si="1"/>
        <v>6.6888000000000003E-2</v>
      </c>
      <c r="H18" s="63">
        <v>1</v>
      </c>
      <c r="I18" s="63">
        <f t="shared" si="2"/>
        <v>6.6888000000000003E-2</v>
      </c>
      <c r="J18" s="63">
        <f t="shared" si="0"/>
        <v>0.29190348287079743</v>
      </c>
      <c r="K18" s="63">
        <f t="shared" si="3"/>
        <v>291.9034828707974</v>
      </c>
      <c r="L18" s="63" cm="1">
        <f t="array" ref="L18">IFERROR(INDEX(REF_TABLE!$G$7:$G$28,MATCH('DIST _PHASE_1_V1'!K18,REF_TABLE!$G$7:$G$28,1)+1),"Aucune valeur supérieure")</f>
        <v>300</v>
      </c>
      <c r="M18" s="63">
        <v>150</v>
      </c>
      <c r="N18" s="69">
        <v>83</v>
      </c>
      <c r="R18" s="69" t="s">
        <v>122</v>
      </c>
      <c r="S18" s="69">
        <v>66.888000000000005</v>
      </c>
      <c r="T18" s="69">
        <f t="shared" si="4"/>
        <v>6.6888000000000003E-2</v>
      </c>
      <c r="U18" s="63">
        <v>1</v>
      </c>
      <c r="V18" s="63">
        <f t="shared" si="5"/>
        <v>6.6888000000000003E-2</v>
      </c>
      <c r="W18" s="63">
        <f t="shared" si="6"/>
        <v>0.29190348287079743</v>
      </c>
      <c r="X18" s="63">
        <f t="shared" si="7"/>
        <v>291.9034828707974</v>
      </c>
      <c r="Y18" s="63" cm="1">
        <f t="array" ref="Y18">IFERROR(INDEX(REF_TABLE!$G$7:$G$28,MATCH('DIST _PHASE_1_V1'!X18,REF_TABLE!$G$7:$G$28,1)+1),"Aucune valeur supérieure")</f>
        <v>300</v>
      </c>
      <c r="Z18" s="63">
        <v>150</v>
      </c>
      <c r="AA18" s="69">
        <v>85</v>
      </c>
      <c r="AE18" s="69" t="s">
        <v>214</v>
      </c>
      <c r="AF18" s="69">
        <v>133.77500000000001</v>
      </c>
      <c r="AG18" s="69">
        <f t="shared" si="8"/>
        <v>0.13377500000000001</v>
      </c>
      <c r="AH18" s="63">
        <v>1</v>
      </c>
      <c r="AI18" s="63">
        <f t="shared" si="9"/>
        <v>0.13377500000000001</v>
      </c>
      <c r="AJ18" s="63">
        <f t="shared" si="10"/>
        <v>0.41281232144747509</v>
      </c>
      <c r="AK18" s="63">
        <f t="shared" si="11"/>
        <v>412.81232144747509</v>
      </c>
      <c r="AL18" s="63" cm="1">
        <f t="array" ref="AL18">IFERROR(INDEX(REF_TABLE!$G$7:$G$28,MATCH('DIST _PHASE_1_V1'!AK18,REF_TABLE!$G$7:$G$28,1)+1),"Aucune valeur supérieure")</f>
        <v>421</v>
      </c>
      <c r="AM18" s="63">
        <v>150</v>
      </c>
      <c r="AN18" s="69">
        <v>158</v>
      </c>
      <c r="AR18" s="69" t="s">
        <v>165</v>
      </c>
      <c r="AS18" s="69">
        <v>133.77500000000001</v>
      </c>
      <c r="AT18" s="69">
        <f t="shared" si="12"/>
        <v>0.13377500000000001</v>
      </c>
      <c r="AU18" s="63">
        <v>1</v>
      </c>
      <c r="AV18" s="63">
        <f t="shared" si="13"/>
        <v>0.13377500000000001</v>
      </c>
      <c r="AW18" s="63">
        <f t="shared" si="14"/>
        <v>0.41281232144747509</v>
      </c>
      <c r="AX18" s="63">
        <f t="shared" si="15"/>
        <v>412.81232144747509</v>
      </c>
      <c r="AY18" s="63" cm="1">
        <f t="array" ref="AY18">IFERROR(INDEX(REF_TABLE!$G$7:$G$28,MATCH('DIST _PHASE_1_V1'!AX18,REF_TABLE!$G$7:$G$28,1)+1),"Aucune valeur supérieure")</f>
        <v>421</v>
      </c>
      <c r="AZ18" s="63">
        <v>150</v>
      </c>
      <c r="BA18" s="69">
        <v>201</v>
      </c>
      <c r="BE18" s="69" t="s">
        <v>278</v>
      </c>
      <c r="BF18" s="69">
        <v>33.444000000000003</v>
      </c>
      <c r="BG18" s="69">
        <f t="shared" si="16"/>
        <v>3.3444000000000002E-2</v>
      </c>
      <c r="BH18" s="63">
        <v>1</v>
      </c>
      <c r="BI18" s="63">
        <f t="shared" si="17"/>
        <v>3.3444000000000002E-2</v>
      </c>
      <c r="BJ18" s="63">
        <f t="shared" si="18"/>
        <v>0.20640693218991207</v>
      </c>
      <c r="BK18" s="63">
        <f t="shared" si="19"/>
        <v>206.40693218991208</v>
      </c>
      <c r="BL18" s="63" cm="1">
        <f t="array" ref="BL18">IFERROR(INDEX(REF_TABLE!$G$7:$G$28,MATCH('DIST _PHASE_1_V1'!BK18,REF_TABLE!$G$7:$G$28,1)+1),"Aucune valeur supérieure")</f>
        <v>250</v>
      </c>
      <c r="BM18" s="63">
        <v>150</v>
      </c>
      <c r="BN18" s="69">
        <v>232</v>
      </c>
      <c r="BR18" s="69" t="s">
        <v>284</v>
      </c>
      <c r="BS18" s="69">
        <v>33.444000000000003</v>
      </c>
      <c r="BT18" s="69">
        <f t="shared" si="20"/>
        <v>3.3444000000000002E-2</v>
      </c>
      <c r="BU18" s="63">
        <v>1</v>
      </c>
      <c r="BV18" s="63">
        <f t="shared" si="21"/>
        <v>3.3444000000000002E-2</v>
      </c>
      <c r="BW18" s="63">
        <f t="shared" si="22"/>
        <v>0.20640693218991207</v>
      </c>
      <c r="BX18" s="63">
        <f t="shared" si="23"/>
        <v>206.40693218991208</v>
      </c>
      <c r="BY18" s="63" cm="1">
        <f t="array" ref="BY18">IFERROR(INDEX(REF_TABLE!$G$7:$G$28,MATCH('DIST _PHASE_1_V1'!BX18,REF_TABLE!$G$7:$G$28,1)+1),"Aucune valeur supérieure")</f>
        <v>250</v>
      </c>
      <c r="BZ18" s="63">
        <v>150</v>
      </c>
      <c r="CA18" s="69">
        <v>33.444000000000003</v>
      </c>
      <c r="CE18" s="69" t="s">
        <v>290</v>
      </c>
      <c r="CF18" s="69">
        <v>100.33199999999999</v>
      </c>
      <c r="CG18" s="69">
        <f t="shared" si="24"/>
        <v>0.10033199999999999</v>
      </c>
      <c r="CH18" s="63">
        <v>1</v>
      </c>
      <c r="CI18" s="63">
        <f t="shared" si="25"/>
        <v>0.10033199999999999</v>
      </c>
      <c r="CJ18" s="63">
        <f t="shared" si="26"/>
        <v>0.35750729358735167</v>
      </c>
      <c r="CK18" s="63">
        <f t="shared" si="27"/>
        <v>357.50729358735168</v>
      </c>
      <c r="CL18" s="63" cm="1">
        <f t="array" ref="CL18">IFERROR(INDEX(REF_TABLE!$G$7:$G$28,MATCH('DIST _PHASE_1_V1'!CK18,REF_TABLE!$G$7:$G$28,1)+1),"Aucune valeur supérieure")</f>
        <v>400</v>
      </c>
      <c r="CM18" s="63">
        <v>150</v>
      </c>
      <c r="CN18" s="69">
        <v>75</v>
      </c>
    </row>
    <row r="19" spans="5:92" x14ac:dyDescent="0.25">
      <c r="E19" s="69" t="s">
        <v>149</v>
      </c>
      <c r="F19" s="69">
        <v>66.888000000000005</v>
      </c>
      <c r="G19" s="69">
        <f t="shared" si="1"/>
        <v>6.6888000000000003E-2</v>
      </c>
      <c r="H19" s="63">
        <v>1</v>
      </c>
      <c r="I19" s="63">
        <f t="shared" si="2"/>
        <v>6.6888000000000003E-2</v>
      </c>
      <c r="J19" s="63">
        <f t="shared" si="0"/>
        <v>0.29190348287079743</v>
      </c>
      <c r="K19" s="63">
        <f t="shared" si="3"/>
        <v>291.9034828707974</v>
      </c>
      <c r="L19" s="63" cm="1">
        <f t="array" ref="L19">IFERROR(INDEX(REF_TABLE!$G$7:$G$28,MATCH('DIST _PHASE_1_V1'!K19,REF_TABLE!$G$7:$G$28,1)+1),"Aucune valeur supérieure")</f>
        <v>300</v>
      </c>
      <c r="M19" s="63">
        <v>150</v>
      </c>
      <c r="N19" s="69">
        <v>78</v>
      </c>
      <c r="R19" s="69" t="s">
        <v>121</v>
      </c>
      <c r="S19" s="69">
        <v>66.888000000000005</v>
      </c>
      <c r="T19" s="69">
        <f t="shared" si="4"/>
        <v>6.6888000000000003E-2</v>
      </c>
      <c r="U19" s="63">
        <v>1</v>
      </c>
      <c r="V19" s="63">
        <f t="shared" si="5"/>
        <v>6.6888000000000003E-2</v>
      </c>
      <c r="W19" s="63">
        <f t="shared" si="6"/>
        <v>0.29190348287079743</v>
      </c>
      <c r="X19" s="63">
        <f t="shared" si="7"/>
        <v>291.9034828707974</v>
      </c>
      <c r="Y19" s="63" cm="1">
        <f t="array" ref="Y19">IFERROR(INDEX(REF_TABLE!$G$7:$G$28,MATCH('DIST _PHASE_1_V1'!X19,REF_TABLE!$G$7:$G$28,1)+1),"Aucune valeur supérieure")</f>
        <v>300</v>
      </c>
      <c r="Z19" s="63">
        <v>150</v>
      </c>
      <c r="AA19" s="69">
        <v>129</v>
      </c>
      <c r="AE19" s="69" t="s">
        <v>213</v>
      </c>
      <c r="AF19" s="69">
        <v>133.77500000000001</v>
      </c>
      <c r="AG19" s="69">
        <f t="shared" si="8"/>
        <v>0.13377500000000001</v>
      </c>
      <c r="AH19" s="63">
        <v>1</v>
      </c>
      <c r="AI19" s="63">
        <f t="shared" si="9"/>
        <v>0.13377500000000001</v>
      </c>
      <c r="AJ19" s="63">
        <f t="shared" si="10"/>
        <v>0.41281232144747509</v>
      </c>
      <c r="AK19" s="63">
        <f t="shared" si="11"/>
        <v>412.81232144747509</v>
      </c>
      <c r="AL19" s="63" cm="1">
        <f t="array" ref="AL19">IFERROR(INDEX(REF_TABLE!$G$7:$G$28,MATCH('DIST _PHASE_1_V1'!AK19,REF_TABLE!$G$7:$G$28,1)+1),"Aucune valeur supérieure")</f>
        <v>421</v>
      </c>
      <c r="AM19" s="63">
        <v>150</v>
      </c>
      <c r="AN19" s="69">
        <v>80</v>
      </c>
      <c r="AR19" s="69" t="s">
        <v>164</v>
      </c>
      <c r="AS19" s="69">
        <v>133.77500000000001</v>
      </c>
      <c r="AT19" s="69">
        <f t="shared" si="12"/>
        <v>0.13377500000000001</v>
      </c>
      <c r="AU19" s="63">
        <v>1</v>
      </c>
      <c r="AV19" s="63">
        <f t="shared" si="13"/>
        <v>0.13377500000000001</v>
      </c>
      <c r="AW19" s="63">
        <f t="shared" si="14"/>
        <v>0.41281232144747509</v>
      </c>
      <c r="AX19" s="63">
        <f t="shared" si="15"/>
        <v>412.81232144747509</v>
      </c>
      <c r="AY19" s="63" cm="1">
        <f t="array" ref="AY19">IFERROR(INDEX(REF_TABLE!$G$7:$G$28,MATCH('DIST _PHASE_1_V1'!AX19,REF_TABLE!$G$7:$G$28,1)+1),"Aucune valeur supérieure")</f>
        <v>421</v>
      </c>
      <c r="AZ19" s="63">
        <v>150</v>
      </c>
      <c r="BA19" s="69">
        <v>41</v>
      </c>
      <c r="BE19" s="69" t="s">
        <v>253</v>
      </c>
      <c r="BF19" s="69">
        <v>33.444000000000003</v>
      </c>
      <c r="BG19" s="69">
        <f t="shared" si="16"/>
        <v>3.3444000000000002E-2</v>
      </c>
      <c r="BH19" s="63">
        <v>1</v>
      </c>
      <c r="BI19" s="63">
        <f t="shared" si="17"/>
        <v>3.3444000000000002E-2</v>
      </c>
      <c r="BJ19" s="63">
        <f t="shared" si="18"/>
        <v>0.20640693218991207</v>
      </c>
      <c r="BK19" s="63">
        <f t="shared" si="19"/>
        <v>206.40693218991208</v>
      </c>
      <c r="BL19" s="63" cm="1">
        <f t="array" ref="BL19">IFERROR(INDEX(REF_TABLE!$G$7:$G$28,MATCH('DIST _PHASE_1_V1'!BK19,REF_TABLE!$G$7:$G$28,1)+1),"Aucune valeur supérieure")</f>
        <v>250</v>
      </c>
      <c r="BM19" s="63">
        <v>150</v>
      </c>
      <c r="BN19" s="69">
        <v>202</v>
      </c>
      <c r="BR19" s="69" t="s">
        <v>285</v>
      </c>
      <c r="BS19" s="69">
        <v>33.444000000000003</v>
      </c>
      <c r="BT19" s="69">
        <f t="shared" si="20"/>
        <v>3.3444000000000002E-2</v>
      </c>
      <c r="BU19" s="63">
        <v>1</v>
      </c>
      <c r="BV19" s="63">
        <f t="shared" si="21"/>
        <v>3.3444000000000002E-2</v>
      </c>
      <c r="BW19" s="63">
        <f t="shared" si="22"/>
        <v>0.20640693218991207</v>
      </c>
      <c r="BX19" s="63">
        <f t="shared" si="23"/>
        <v>206.40693218991208</v>
      </c>
      <c r="BY19" s="63" cm="1">
        <f t="array" ref="BY19">IFERROR(INDEX(REF_TABLE!$G$7:$G$28,MATCH('DIST _PHASE_1_V1'!BX19,REF_TABLE!$G$7:$G$28,1)+1),"Aucune valeur supérieure")</f>
        <v>250</v>
      </c>
      <c r="BZ19" s="63">
        <v>150</v>
      </c>
      <c r="CA19" s="69">
        <v>33.444000000000003</v>
      </c>
      <c r="CE19" s="69" t="s">
        <v>291</v>
      </c>
      <c r="CF19" s="69">
        <v>100.33199999999999</v>
      </c>
      <c r="CG19" s="69">
        <f t="shared" si="24"/>
        <v>0.10033199999999999</v>
      </c>
      <c r="CH19" s="63">
        <v>1</v>
      </c>
      <c r="CI19" s="63">
        <f t="shared" si="25"/>
        <v>0.10033199999999999</v>
      </c>
      <c r="CJ19" s="63">
        <f t="shared" si="26"/>
        <v>0.35750729358735167</v>
      </c>
      <c r="CK19" s="63">
        <f t="shared" si="27"/>
        <v>357.50729358735168</v>
      </c>
      <c r="CL19" s="63" cm="1">
        <f t="array" ref="CL19">IFERROR(INDEX(REF_TABLE!$G$7:$G$28,MATCH('DIST _PHASE_1_V1'!CK19,REF_TABLE!$G$7:$G$28,1)+1),"Aucune valeur supérieure")</f>
        <v>400</v>
      </c>
      <c r="CM19" s="63">
        <v>150</v>
      </c>
      <c r="CN19" s="69">
        <v>76</v>
      </c>
    </row>
    <row r="20" spans="5:92" x14ac:dyDescent="0.25">
      <c r="E20" s="69" t="s">
        <v>148</v>
      </c>
      <c r="F20" s="69">
        <v>66.888000000000005</v>
      </c>
      <c r="G20" s="69">
        <f t="shared" si="1"/>
        <v>6.6888000000000003E-2</v>
      </c>
      <c r="H20" s="63">
        <v>1</v>
      </c>
      <c r="I20" s="63">
        <f t="shared" si="2"/>
        <v>6.6888000000000003E-2</v>
      </c>
      <c r="J20" s="63">
        <f t="shared" si="0"/>
        <v>0.29190348287079743</v>
      </c>
      <c r="K20" s="63">
        <f t="shared" si="3"/>
        <v>291.9034828707974</v>
      </c>
      <c r="L20" s="63" cm="1">
        <f t="array" ref="L20">IFERROR(INDEX(REF_TABLE!$G$7:$G$28,MATCH('DIST _PHASE_1_V1'!K20,REF_TABLE!$G$7:$G$28,1)+1),"Aucune valeur supérieure")</f>
        <v>300</v>
      </c>
      <c r="M20" s="63">
        <v>150</v>
      </c>
      <c r="N20" s="69">
        <v>90</v>
      </c>
      <c r="R20" s="69" t="s">
        <v>119</v>
      </c>
      <c r="S20" s="69">
        <v>66.888000000000005</v>
      </c>
      <c r="T20" s="69">
        <f t="shared" si="4"/>
        <v>6.6888000000000003E-2</v>
      </c>
      <c r="U20" s="63">
        <v>1</v>
      </c>
      <c r="V20" s="63">
        <f t="shared" si="5"/>
        <v>6.6888000000000003E-2</v>
      </c>
      <c r="W20" s="63">
        <f t="shared" si="6"/>
        <v>0.29190348287079743</v>
      </c>
      <c r="X20" s="63">
        <f t="shared" si="7"/>
        <v>291.9034828707974</v>
      </c>
      <c r="Y20" s="63" cm="1">
        <f t="array" ref="Y20">IFERROR(INDEX(REF_TABLE!$G$7:$G$28,MATCH('DIST _PHASE_1_V1'!X20,REF_TABLE!$G$7:$G$28,1)+1),"Aucune valeur supérieure")</f>
        <v>300</v>
      </c>
      <c r="Z20" s="63">
        <v>150</v>
      </c>
      <c r="AA20" s="69">
        <v>37</v>
      </c>
      <c r="AE20" s="69" t="s">
        <v>212</v>
      </c>
      <c r="AF20" s="69">
        <v>133.77500000000001</v>
      </c>
      <c r="AG20" s="69">
        <f t="shared" si="8"/>
        <v>0.13377500000000001</v>
      </c>
      <c r="AH20" s="63">
        <v>1</v>
      </c>
      <c r="AI20" s="63">
        <f t="shared" si="9"/>
        <v>0.13377500000000001</v>
      </c>
      <c r="AJ20" s="63">
        <f t="shared" si="10"/>
        <v>0.41281232144747509</v>
      </c>
      <c r="AK20" s="63">
        <f t="shared" si="11"/>
        <v>412.81232144747509</v>
      </c>
      <c r="AL20" s="63" cm="1">
        <f t="array" ref="AL20">IFERROR(INDEX(REF_TABLE!$G$7:$G$28,MATCH('DIST _PHASE_1_V1'!AK20,REF_TABLE!$G$7:$G$28,1)+1),"Aucune valeur supérieure")</f>
        <v>421</v>
      </c>
      <c r="AM20" s="63">
        <v>150</v>
      </c>
      <c r="AN20" s="69">
        <v>76</v>
      </c>
      <c r="AR20" s="69" t="s">
        <v>163</v>
      </c>
      <c r="AS20" s="69">
        <v>133.77500000000001</v>
      </c>
      <c r="AT20" s="69">
        <f t="shared" si="12"/>
        <v>0.13377500000000001</v>
      </c>
      <c r="AU20" s="63">
        <v>1</v>
      </c>
      <c r="AV20" s="63">
        <f t="shared" si="13"/>
        <v>0.13377500000000001</v>
      </c>
      <c r="AW20" s="63">
        <f t="shared" si="14"/>
        <v>0.41281232144747509</v>
      </c>
      <c r="AX20" s="63">
        <f t="shared" si="15"/>
        <v>412.81232144747509</v>
      </c>
      <c r="AY20" s="63" cm="1">
        <f t="array" ref="AY20">IFERROR(INDEX(REF_TABLE!$G$7:$G$28,MATCH('DIST _PHASE_1_V1'!AX20,REF_TABLE!$G$7:$G$28,1)+1),"Aucune valeur supérieure")</f>
        <v>421</v>
      </c>
      <c r="AZ20" s="63">
        <v>150</v>
      </c>
      <c r="BA20" s="69">
        <v>63</v>
      </c>
      <c r="BE20" s="69" t="s">
        <v>268</v>
      </c>
      <c r="BF20" s="69">
        <v>33.444000000000003</v>
      </c>
      <c r="BG20" s="69">
        <f t="shared" si="16"/>
        <v>3.3444000000000002E-2</v>
      </c>
      <c r="BH20" s="63">
        <v>1</v>
      </c>
      <c r="BI20" s="63">
        <f t="shared" si="17"/>
        <v>3.3444000000000002E-2</v>
      </c>
      <c r="BJ20" s="63">
        <f t="shared" si="18"/>
        <v>0.20640693218991207</v>
      </c>
      <c r="BK20" s="63">
        <f t="shared" si="19"/>
        <v>206.40693218991208</v>
      </c>
      <c r="BL20" s="63" cm="1">
        <f t="array" ref="BL20">IFERROR(INDEX(REF_TABLE!$G$7:$G$28,MATCH('DIST _PHASE_1_V1'!BK20,REF_TABLE!$G$7:$G$28,1)+1),"Aucune valeur supérieure")</f>
        <v>250</v>
      </c>
      <c r="BM20" s="63">
        <v>150</v>
      </c>
      <c r="BN20" s="69">
        <v>191</v>
      </c>
      <c r="BR20" s="69" t="s">
        <v>286</v>
      </c>
      <c r="BS20" s="69">
        <v>33.444000000000003</v>
      </c>
      <c r="BT20" s="69">
        <f t="shared" si="20"/>
        <v>3.3444000000000002E-2</v>
      </c>
      <c r="BU20" s="63">
        <v>1</v>
      </c>
      <c r="BV20" s="63">
        <f t="shared" si="21"/>
        <v>3.3444000000000002E-2</v>
      </c>
      <c r="BW20" s="63">
        <f t="shared" si="22"/>
        <v>0.20640693218991207</v>
      </c>
      <c r="BX20" s="63">
        <f t="shared" si="23"/>
        <v>206.40693218991208</v>
      </c>
      <c r="BY20" s="63" cm="1">
        <f t="array" ref="BY20">IFERROR(INDEX(REF_TABLE!$G$7:$G$28,MATCH('DIST _PHASE_1_V1'!BX20,REF_TABLE!$G$7:$G$28,1)+1),"Aucune valeur supérieure")</f>
        <v>250</v>
      </c>
      <c r="BZ20" s="63">
        <v>150</v>
      </c>
      <c r="CA20" s="69">
        <v>33.444000000000003</v>
      </c>
      <c r="CE20" s="69" t="s">
        <v>292</v>
      </c>
      <c r="CF20" s="69">
        <v>100.33199999999999</v>
      </c>
      <c r="CG20" s="69">
        <f t="shared" si="24"/>
        <v>0.10033199999999999</v>
      </c>
      <c r="CH20" s="63">
        <v>1</v>
      </c>
      <c r="CI20" s="63">
        <f t="shared" si="25"/>
        <v>0.10033199999999999</v>
      </c>
      <c r="CJ20" s="63">
        <f t="shared" si="26"/>
        <v>0.35750729358735167</v>
      </c>
      <c r="CK20" s="63">
        <f t="shared" si="27"/>
        <v>357.50729358735168</v>
      </c>
      <c r="CL20" s="63" cm="1">
        <f t="array" ref="CL20">IFERROR(INDEX(REF_TABLE!$G$7:$G$28,MATCH('DIST _PHASE_1_V1'!CK20,REF_TABLE!$G$7:$G$28,1)+1),"Aucune valeur supérieure")</f>
        <v>400</v>
      </c>
      <c r="CM20" s="63">
        <v>150</v>
      </c>
      <c r="CN20" s="69">
        <v>80</v>
      </c>
    </row>
    <row r="21" spans="5:92" x14ac:dyDescent="0.25">
      <c r="E21" s="69" t="s">
        <v>147</v>
      </c>
      <c r="F21" s="69">
        <v>66.888000000000005</v>
      </c>
      <c r="G21" s="69">
        <f t="shared" si="1"/>
        <v>6.6888000000000003E-2</v>
      </c>
      <c r="H21" s="63">
        <v>1</v>
      </c>
      <c r="I21" s="63">
        <f t="shared" si="2"/>
        <v>6.6888000000000003E-2</v>
      </c>
      <c r="J21" s="63">
        <f t="shared" si="0"/>
        <v>0.29190348287079743</v>
      </c>
      <c r="K21" s="63">
        <f t="shared" si="3"/>
        <v>291.9034828707974</v>
      </c>
      <c r="L21" s="63" cm="1">
        <f t="array" ref="L21">IFERROR(INDEX(REF_TABLE!$G$7:$G$28,MATCH('DIST _PHASE_1_V1'!K21,REF_TABLE!$G$7:$G$28,1)+1),"Aucune valeur supérieure")</f>
        <v>300</v>
      </c>
      <c r="M21" s="63">
        <v>150</v>
      </c>
      <c r="N21" s="69">
        <v>105</v>
      </c>
      <c r="R21" s="69" t="s">
        <v>120</v>
      </c>
      <c r="S21" s="69">
        <v>66.888000000000005</v>
      </c>
      <c r="T21" s="69">
        <f t="shared" si="4"/>
        <v>6.6888000000000003E-2</v>
      </c>
      <c r="U21" s="63">
        <v>1</v>
      </c>
      <c r="V21" s="63">
        <f t="shared" si="5"/>
        <v>6.6888000000000003E-2</v>
      </c>
      <c r="W21" s="63">
        <f t="shared" si="6"/>
        <v>0.29190348287079743</v>
      </c>
      <c r="X21" s="63">
        <f t="shared" si="7"/>
        <v>291.9034828707974</v>
      </c>
      <c r="Y21" s="63" cm="1">
        <f t="array" ref="Y21">IFERROR(INDEX(REF_TABLE!$G$7:$G$28,MATCH('DIST _PHASE_1_V1'!X21,REF_TABLE!$G$7:$G$28,1)+1),"Aucune valeur supérieure")</f>
        <v>300</v>
      </c>
      <c r="Z21" s="63">
        <v>150</v>
      </c>
      <c r="AA21" s="69">
        <v>77</v>
      </c>
      <c r="AE21" s="69" t="s">
        <v>211</v>
      </c>
      <c r="AF21" s="69">
        <v>133.77500000000001</v>
      </c>
      <c r="AG21" s="69">
        <f t="shared" si="8"/>
        <v>0.13377500000000001</v>
      </c>
      <c r="AH21" s="63">
        <v>1</v>
      </c>
      <c r="AI21" s="63">
        <f t="shared" si="9"/>
        <v>0.13377500000000001</v>
      </c>
      <c r="AJ21" s="63">
        <f t="shared" si="10"/>
        <v>0.41281232144747509</v>
      </c>
      <c r="AK21" s="63">
        <f t="shared" si="11"/>
        <v>412.81232144747509</v>
      </c>
      <c r="AL21" s="63" cm="1">
        <f t="array" ref="AL21">IFERROR(INDEX(REF_TABLE!$G$7:$G$28,MATCH('DIST _PHASE_1_V1'!AK21,REF_TABLE!$G$7:$G$28,1)+1),"Aucune valeur supérieure")</f>
        <v>421</v>
      </c>
      <c r="AM21" s="63">
        <v>150</v>
      </c>
      <c r="AN21" s="69">
        <v>88</v>
      </c>
      <c r="AR21" s="69" t="s">
        <v>162</v>
      </c>
      <c r="AS21" s="69">
        <v>133.77500000000001</v>
      </c>
      <c r="AT21" s="69">
        <f t="shared" si="12"/>
        <v>0.13377500000000001</v>
      </c>
      <c r="AU21" s="63">
        <v>1</v>
      </c>
      <c r="AV21" s="63">
        <f t="shared" si="13"/>
        <v>0.13377500000000001</v>
      </c>
      <c r="AW21" s="63">
        <f t="shared" si="14"/>
        <v>0.41281232144747509</v>
      </c>
      <c r="AX21" s="63">
        <f t="shared" si="15"/>
        <v>412.81232144747509</v>
      </c>
      <c r="AY21" s="63" cm="1">
        <f t="array" ref="AY21">IFERROR(INDEX(REF_TABLE!$G$7:$G$28,MATCH('DIST _PHASE_1_V1'!AX21,REF_TABLE!$G$7:$G$28,1)+1),"Aucune valeur supérieure")</f>
        <v>421</v>
      </c>
      <c r="AZ21" s="63">
        <v>150</v>
      </c>
      <c r="BA21" s="69">
        <v>250</v>
      </c>
      <c r="BE21" s="69" t="s">
        <v>235</v>
      </c>
      <c r="BF21" s="69">
        <v>33.444000000000003</v>
      </c>
      <c r="BG21" s="69">
        <f t="shared" si="16"/>
        <v>3.3444000000000002E-2</v>
      </c>
      <c r="BH21" s="63">
        <v>1</v>
      </c>
      <c r="BI21" s="63">
        <f t="shared" si="17"/>
        <v>3.3444000000000002E-2</v>
      </c>
      <c r="BJ21" s="63">
        <f t="shared" si="18"/>
        <v>0.20640693218991207</v>
      </c>
      <c r="BK21" s="63">
        <f t="shared" si="19"/>
        <v>206.40693218991208</v>
      </c>
      <c r="BL21" s="63" cm="1">
        <f t="array" ref="BL21">IFERROR(INDEX(REF_TABLE!$G$7:$G$28,MATCH('DIST _PHASE_1_V1'!BK21,REF_TABLE!$G$7:$G$28,1)+1),"Aucune valeur supérieure")</f>
        <v>250</v>
      </c>
      <c r="BM21" s="63">
        <v>150</v>
      </c>
      <c r="BN21" s="69">
        <v>100</v>
      </c>
      <c r="BR21" s="69" t="s">
        <v>216</v>
      </c>
      <c r="BS21" s="69">
        <v>33.444000000000003</v>
      </c>
      <c r="BT21" s="69">
        <f t="shared" si="20"/>
        <v>3.3444000000000002E-2</v>
      </c>
      <c r="BU21" s="63">
        <v>1</v>
      </c>
      <c r="BV21" s="63">
        <f t="shared" si="21"/>
        <v>3.3444000000000002E-2</v>
      </c>
      <c r="BW21" s="63">
        <f t="shared" si="22"/>
        <v>0.20640693218991207</v>
      </c>
      <c r="BX21" s="63">
        <f t="shared" si="23"/>
        <v>206.40693218991208</v>
      </c>
      <c r="BY21" s="63" cm="1">
        <f t="array" ref="BY21">IFERROR(INDEX(REF_TABLE!$G$7:$G$28,MATCH('DIST _PHASE_1_V1'!BX21,REF_TABLE!$G$7:$G$28,1)+1),"Aucune valeur supérieure")</f>
        <v>250</v>
      </c>
      <c r="BZ21" s="63">
        <v>150</v>
      </c>
      <c r="CA21" s="69">
        <v>33.444000000000003</v>
      </c>
      <c r="CE21" s="69" t="s">
        <v>293</v>
      </c>
      <c r="CF21" s="69">
        <v>100.33199999999999</v>
      </c>
      <c r="CG21" s="69">
        <f t="shared" si="24"/>
        <v>0.10033199999999999</v>
      </c>
      <c r="CH21" s="63">
        <v>1</v>
      </c>
      <c r="CI21" s="63">
        <f t="shared" si="25"/>
        <v>0.10033199999999999</v>
      </c>
      <c r="CJ21" s="63">
        <f t="shared" si="26"/>
        <v>0.35750729358735167</v>
      </c>
      <c r="CK21" s="63">
        <f t="shared" si="27"/>
        <v>357.50729358735168</v>
      </c>
      <c r="CL21" s="63" cm="1">
        <f t="array" ref="CL21">IFERROR(INDEX(REF_TABLE!$G$7:$G$28,MATCH('DIST _PHASE_1_V1'!CK21,REF_TABLE!$G$7:$G$28,1)+1),"Aucune valeur supérieure")</f>
        <v>400</v>
      </c>
      <c r="CM21" s="63">
        <v>150</v>
      </c>
      <c r="CN21" s="69">
        <v>76</v>
      </c>
    </row>
    <row r="22" spans="5:92" x14ac:dyDescent="0.25">
      <c r="E22" s="69" t="s">
        <v>146</v>
      </c>
      <c r="F22" s="69">
        <v>66.888000000000005</v>
      </c>
      <c r="G22" s="69">
        <f t="shared" si="1"/>
        <v>6.6888000000000003E-2</v>
      </c>
      <c r="H22" s="63">
        <v>1</v>
      </c>
      <c r="I22" s="63">
        <f t="shared" si="2"/>
        <v>6.6888000000000003E-2</v>
      </c>
      <c r="J22" s="63">
        <f t="shared" si="0"/>
        <v>0.29190348287079743</v>
      </c>
      <c r="K22" s="63">
        <f t="shared" si="3"/>
        <v>291.9034828707974</v>
      </c>
      <c r="L22" s="63" cm="1">
        <f t="array" ref="L22">IFERROR(INDEX(REF_TABLE!$G$7:$G$28,MATCH('DIST _PHASE_1_V1'!K22,REF_TABLE!$G$7:$G$28,1)+1),"Aucune valeur supérieure")</f>
        <v>300</v>
      </c>
      <c r="M22" s="63">
        <v>150</v>
      </c>
      <c r="N22" s="69">
        <v>84</v>
      </c>
      <c r="R22" s="69" t="s">
        <v>118</v>
      </c>
      <c r="S22" s="69">
        <v>66.888000000000005</v>
      </c>
      <c r="T22" s="69">
        <f t="shared" si="4"/>
        <v>6.6888000000000003E-2</v>
      </c>
      <c r="U22" s="63">
        <v>1</v>
      </c>
      <c r="V22" s="63">
        <f t="shared" si="5"/>
        <v>6.6888000000000003E-2</v>
      </c>
      <c r="W22" s="63">
        <f t="shared" si="6"/>
        <v>0.29190348287079743</v>
      </c>
      <c r="X22" s="63">
        <f t="shared" si="7"/>
        <v>291.9034828707974</v>
      </c>
      <c r="Y22" s="63" cm="1">
        <f t="array" ref="Y22">IFERROR(INDEX(REF_TABLE!$G$7:$G$28,MATCH('DIST _PHASE_1_V1'!X22,REF_TABLE!$G$7:$G$28,1)+1),"Aucune valeur supérieure")</f>
        <v>300</v>
      </c>
      <c r="Z22" s="63">
        <v>150</v>
      </c>
      <c r="AA22" s="69">
        <v>89</v>
      </c>
      <c r="AE22" s="69" t="s">
        <v>209</v>
      </c>
      <c r="AF22" s="69">
        <v>133.77500000000001</v>
      </c>
      <c r="AG22" s="69">
        <f t="shared" si="8"/>
        <v>0.13377500000000001</v>
      </c>
      <c r="AH22" s="63">
        <v>1</v>
      </c>
      <c r="AI22" s="63">
        <f t="shared" si="9"/>
        <v>0.13377500000000001</v>
      </c>
      <c r="AJ22" s="63">
        <f t="shared" si="10"/>
        <v>0.41281232144747509</v>
      </c>
      <c r="AK22" s="63">
        <f t="shared" si="11"/>
        <v>412.81232144747509</v>
      </c>
      <c r="AL22" s="63" cm="1">
        <f t="array" ref="AL22">IFERROR(INDEX(REF_TABLE!$G$7:$G$28,MATCH('DIST _PHASE_1_V1'!AK22,REF_TABLE!$G$7:$G$28,1)+1),"Aucune valeur supérieure")</f>
        <v>421</v>
      </c>
      <c r="AM22" s="63">
        <v>150</v>
      </c>
      <c r="AN22" s="69">
        <v>89</v>
      </c>
      <c r="AR22" s="69" t="s">
        <v>161</v>
      </c>
      <c r="AS22" s="69">
        <v>133.77500000000001</v>
      </c>
      <c r="AT22" s="69">
        <f t="shared" si="12"/>
        <v>0.13377500000000001</v>
      </c>
      <c r="AU22" s="63">
        <v>1</v>
      </c>
      <c r="AV22" s="63">
        <f t="shared" si="13"/>
        <v>0.13377500000000001</v>
      </c>
      <c r="AW22" s="63">
        <f t="shared" si="14"/>
        <v>0.41281232144747509</v>
      </c>
      <c r="AX22" s="63">
        <f t="shared" si="15"/>
        <v>412.81232144747509</v>
      </c>
      <c r="AY22" s="63" cm="1">
        <f t="array" ref="AY22">IFERROR(INDEX(REF_TABLE!$G$7:$G$28,MATCH('DIST _PHASE_1_V1'!AX22,REF_TABLE!$G$7:$G$28,1)+1),"Aucune valeur supérieure")</f>
        <v>421</v>
      </c>
      <c r="AZ22" s="63">
        <v>150</v>
      </c>
      <c r="BA22" s="69">
        <v>77</v>
      </c>
      <c r="BE22" s="69" t="s">
        <v>236</v>
      </c>
      <c r="BF22" s="69">
        <v>33.444000000000003</v>
      </c>
      <c r="BG22" s="69">
        <f t="shared" si="16"/>
        <v>3.3444000000000002E-2</v>
      </c>
      <c r="BH22" s="63">
        <v>1</v>
      </c>
      <c r="BI22" s="63">
        <f t="shared" si="17"/>
        <v>3.3444000000000002E-2</v>
      </c>
      <c r="BJ22" s="63">
        <f t="shared" si="18"/>
        <v>0.20640693218991207</v>
      </c>
      <c r="BK22" s="63">
        <f t="shared" si="19"/>
        <v>206.40693218991208</v>
      </c>
      <c r="BL22" s="63" cm="1">
        <f t="array" ref="BL22">IFERROR(INDEX(REF_TABLE!$G$7:$G$28,MATCH('DIST _PHASE_1_V1'!BK22,REF_TABLE!$G$7:$G$28,1)+1),"Aucune valeur supérieure")</f>
        <v>250</v>
      </c>
      <c r="BM22" s="63">
        <v>150</v>
      </c>
      <c r="BN22" s="69">
        <v>45</v>
      </c>
      <c r="BR22" s="69" t="s">
        <v>219</v>
      </c>
      <c r="BS22" s="69">
        <v>33.444000000000003</v>
      </c>
      <c r="BT22" s="69">
        <f t="shared" si="20"/>
        <v>3.3444000000000002E-2</v>
      </c>
      <c r="BU22" s="63">
        <v>1</v>
      </c>
      <c r="BV22" s="63">
        <f t="shared" si="21"/>
        <v>3.3444000000000002E-2</v>
      </c>
      <c r="BW22" s="63">
        <f t="shared" si="22"/>
        <v>0.20640693218991207</v>
      </c>
      <c r="BX22" s="63">
        <f t="shared" si="23"/>
        <v>206.40693218991208</v>
      </c>
      <c r="BY22" s="63" cm="1">
        <f t="array" ref="BY22">IFERROR(INDEX(REF_TABLE!$G$7:$G$28,MATCH('DIST _PHASE_1_V1'!BX22,REF_TABLE!$G$7:$G$28,1)+1),"Aucune valeur supérieure")</f>
        <v>250</v>
      </c>
      <c r="BZ22" s="63">
        <v>150</v>
      </c>
      <c r="CA22" s="69">
        <v>33.444000000000003</v>
      </c>
      <c r="CE22" s="69" t="s">
        <v>294</v>
      </c>
      <c r="CF22" s="69">
        <v>100.33199999999999</v>
      </c>
      <c r="CG22" s="69">
        <f t="shared" si="24"/>
        <v>0.10033199999999999</v>
      </c>
      <c r="CH22" s="63">
        <v>1</v>
      </c>
      <c r="CI22" s="63">
        <f t="shared" si="25"/>
        <v>0.10033199999999999</v>
      </c>
      <c r="CJ22" s="63">
        <f t="shared" si="26"/>
        <v>0.35750729358735167</v>
      </c>
      <c r="CK22" s="63">
        <f t="shared" si="27"/>
        <v>357.50729358735168</v>
      </c>
      <c r="CL22" s="63" cm="1">
        <f t="array" ref="CL22">IFERROR(INDEX(REF_TABLE!$G$7:$G$28,MATCH('DIST _PHASE_1_V1'!CK22,REF_TABLE!$G$7:$G$28,1)+1),"Aucune valeur supérieure")</f>
        <v>400</v>
      </c>
      <c r="CM22" s="63">
        <v>150</v>
      </c>
      <c r="CN22" s="69">
        <v>75</v>
      </c>
    </row>
    <row r="23" spans="5:92" x14ac:dyDescent="0.25">
      <c r="E23" s="69" t="s">
        <v>145</v>
      </c>
      <c r="F23" s="69">
        <v>66.888000000000005</v>
      </c>
      <c r="G23" s="69">
        <f t="shared" si="1"/>
        <v>6.6888000000000003E-2</v>
      </c>
      <c r="H23" s="63">
        <v>1</v>
      </c>
      <c r="I23" s="63">
        <f t="shared" si="2"/>
        <v>6.6888000000000003E-2</v>
      </c>
      <c r="J23" s="63">
        <f t="shared" si="0"/>
        <v>0.29190348287079743</v>
      </c>
      <c r="K23" s="63">
        <f t="shared" si="3"/>
        <v>291.9034828707974</v>
      </c>
      <c r="L23" s="63" cm="1">
        <f t="array" ref="L23">IFERROR(INDEX(REF_TABLE!$G$7:$G$28,MATCH('DIST _PHASE_1_V1'!K23,REF_TABLE!$G$7:$G$28,1)+1),"Aucune valeur supérieure")</f>
        <v>300</v>
      </c>
      <c r="M23" s="63">
        <v>150</v>
      </c>
      <c r="N23" s="69">
        <v>58</v>
      </c>
      <c r="R23" s="69" t="s">
        <v>117</v>
      </c>
      <c r="S23" s="69">
        <v>66.888000000000005</v>
      </c>
      <c r="T23" s="69">
        <f t="shared" si="4"/>
        <v>6.6888000000000003E-2</v>
      </c>
      <c r="U23" s="63">
        <v>1</v>
      </c>
      <c r="V23" s="63">
        <f t="shared" si="5"/>
        <v>6.6888000000000003E-2</v>
      </c>
      <c r="W23" s="63">
        <f t="shared" si="6"/>
        <v>0.29190348287079743</v>
      </c>
      <c r="X23" s="63">
        <f t="shared" si="7"/>
        <v>291.9034828707974</v>
      </c>
      <c r="Y23" s="63" cm="1">
        <f t="array" ref="Y23">IFERROR(INDEX(REF_TABLE!$G$7:$G$28,MATCH('DIST _PHASE_1_V1'!X23,REF_TABLE!$G$7:$G$28,1)+1),"Aucune valeur supérieure")</f>
        <v>300</v>
      </c>
      <c r="Z23" s="63">
        <v>150</v>
      </c>
      <c r="AA23" s="69">
        <v>49</v>
      </c>
      <c r="AE23" s="69" t="s">
        <v>210</v>
      </c>
      <c r="AF23" s="69">
        <v>133.77500000000001</v>
      </c>
      <c r="AG23" s="69">
        <f t="shared" si="8"/>
        <v>0.13377500000000001</v>
      </c>
      <c r="AH23" s="63">
        <v>1</v>
      </c>
      <c r="AI23" s="63">
        <f t="shared" si="9"/>
        <v>0.13377500000000001</v>
      </c>
      <c r="AJ23" s="63">
        <f t="shared" si="10"/>
        <v>0.41281232144747509</v>
      </c>
      <c r="AK23" s="63">
        <f t="shared" si="11"/>
        <v>412.81232144747509</v>
      </c>
      <c r="AL23" s="63" cm="1">
        <f t="array" ref="AL23">IFERROR(INDEX(REF_TABLE!$G$7:$G$28,MATCH('DIST _PHASE_1_V1'!AK23,REF_TABLE!$G$7:$G$28,1)+1),"Aucune valeur supérieure")</f>
        <v>421</v>
      </c>
      <c r="AM23" s="63">
        <v>150</v>
      </c>
      <c r="AN23" s="69">
        <v>87</v>
      </c>
      <c r="AR23" s="69" t="s">
        <v>160</v>
      </c>
      <c r="AS23" s="69">
        <v>133.77500000000001</v>
      </c>
      <c r="AT23" s="69">
        <f t="shared" si="12"/>
        <v>0.13377500000000001</v>
      </c>
      <c r="AU23" s="63">
        <v>1</v>
      </c>
      <c r="AV23" s="63">
        <f t="shared" si="13"/>
        <v>0.13377500000000001</v>
      </c>
      <c r="AW23" s="63">
        <f t="shared" si="14"/>
        <v>0.41281232144747509</v>
      </c>
      <c r="AX23" s="63">
        <f t="shared" si="15"/>
        <v>412.81232144747509</v>
      </c>
      <c r="AY23" s="63" cm="1">
        <f t="array" ref="AY23">IFERROR(INDEX(REF_TABLE!$G$7:$G$28,MATCH('DIST _PHASE_1_V1'!AX23,REF_TABLE!$G$7:$G$28,1)+1),"Aucune valeur supérieure")</f>
        <v>421</v>
      </c>
      <c r="AZ23" s="63">
        <v>150</v>
      </c>
      <c r="BA23" s="69">
        <v>73</v>
      </c>
      <c r="BE23" s="69" t="s">
        <v>237</v>
      </c>
      <c r="BF23" s="69">
        <v>33.444000000000003</v>
      </c>
      <c r="BG23" s="69">
        <f t="shared" si="16"/>
        <v>3.3444000000000002E-2</v>
      </c>
      <c r="BH23" s="63">
        <v>1</v>
      </c>
      <c r="BI23" s="63">
        <f t="shared" si="17"/>
        <v>3.3444000000000002E-2</v>
      </c>
      <c r="BJ23" s="63">
        <f t="shared" si="18"/>
        <v>0.20640693218991207</v>
      </c>
      <c r="BK23" s="63">
        <f t="shared" si="19"/>
        <v>206.40693218991208</v>
      </c>
      <c r="BL23" s="63" cm="1">
        <f t="array" ref="BL23">IFERROR(INDEX(REF_TABLE!$G$7:$G$28,MATCH('DIST _PHASE_1_V1'!BK23,REF_TABLE!$G$7:$G$28,1)+1),"Aucune valeur supérieure")</f>
        <v>250</v>
      </c>
      <c r="BM23" s="63">
        <v>150</v>
      </c>
      <c r="BN23" s="69">
        <v>65</v>
      </c>
      <c r="BR23" s="69" t="s">
        <v>220</v>
      </c>
      <c r="BS23" s="69">
        <v>33.444000000000003</v>
      </c>
      <c r="BT23" s="69">
        <f t="shared" si="20"/>
        <v>3.3444000000000002E-2</v>
      </c>
      <c r="BU23" s="63">
        <v>1</v>
      </c>
      <c r="BV23" s="63">
        <f t="shared" si="21"/>
        <v>3.3444000000000002E-2</v>
      </c>
      <c r="BW23" s="63">
        <f t="shared" si="22"/>
        <v>0.20640693218991207</v>
      </c>
      <c r="BX23" s="63">
        <f t="shared" si="23"/>
        <v>206.40693218991208</v>
      </c>
      <c r="BY23" s="63" cm="1">
        <f t="array" ref="BY23">IFERROR(INDEX(REF_TABLE!$G$7:$G$28,MATCH('DIST _PHASE_1_V1'!BX23,REF_TABLE!$G$7:$G$28,1)+1),"Aucune valeur supérieure")</f>
        <v>250</v>
      </c>
      <c r="BZ23" s="63">
        <v>150</v>
      </c>
      <c r="CA23" s="69">
        <v>33.444000000000003</v>
      </c>
      <c r="CE23" s="69" t="s">
        <v>295</v>
      </c>
      <c r="CF23" s="69">
        <v>100.33199999999999</v>
      </c>
      <c r="CG23" s="69">
        <f t="shared" si="24"/>
        <v>0.10033199999999999</v>
      </c>
      <c r="CH23" s="63">
        <v>1</v>
      </c>
      <c r="CI23" s="63">
        <f t="shared" si="25"/>
        <v>0.10033199999999999</v>
      </c>
      <c r="CJ23" s="63">
        <f t="shared" si="26"/>
        <v>0.35750729358735167</v>
      </c>
      <c r="CK23" s="63">
        <f t="shared" si="27"/>
        <v>357.50729358735168</v>
      </c>
      <c r="CL23" s="63" cm="1">
        <f t="array" ref="CL23">IFERROR(INDEX(REF_TABLE!$G$7:$G$28,MATCH('DIST _PHASE_1_V1'!CK23,REF_TABLE!$G$7:$G$28,1)+1),"Aucune valeur supérieure")</f>
        <v>400</v>
      </c>
      <c r="CM23" s="63">
        <v>150</v>
      </c>
      <c r="CN23" s="69">
        <v>92</v>
      </c>
    </row>
    <row r="24" spans="5:92" x14ac:dyDescent="0.25">
      <c r="E24" s="69" t="s">
        <v>144</v>
      </c>
      <c r="F24" s="69">
        <v>66.888000000000005</v>
      </c>
      <c r="G24" s="69">
        <f t="shared" si="1"/>
        <v>6.6888000000000003E-2</v>
      </c>
      <c r="H24" s="63">
        <v>1</v>
      </c>
      <c r="I24" s="63">
        <f t="shared" si="2"/>
        <v>6.6888000000000003E-2</v>
      </c>
      <c r="J24" s="63">
        <f t="shared" si="0"/>
        <v>0.29190348287079743</v>
      </c>
      <c r="K24" s="63">
        <f t="shared" si="3"/>
        <v>291.9034828707974</v>
      </c>
      <c r="L24" s="63" cm="1">
        <f t="array" ref="L24">IFERROR(INDEX(REF_TABLE!$G$7:$G$28,MATCH('DIST _PHASE_1_V1'!K24,REF_TABLE!$G$7:$G$28,1)+1),"Aucune valeur supérieure")</f>
        <v>300</v>
      </c>
      <c r="M24" s="63">
        <v>150</v>
      </c>
      <c r="N24" s="69">
        <v>19</v>
      </c>
      <c r="R24" s="69" t="s">
        <v>116</v>
      </c>
      <c r="S24" s="69">
        <v>66.888000000000005</v>
      </c>
      <c r="T24" s="69">
        <f t="shared" si="4"/>
        <v>6.6888000000000003E-2</v>
      </c>
      <c r="U24" s="63">
        <v>1</v>
      </c>
      <c r="V24" s="63">
        <f t="shared" si="5"/>
        <v>6.6888000000000003E-2</v>
      </c>
      <c r="W24" s="63">
        <f t="shared" si="6"/>
        <v>0.29190348287079743</v>
      </c>
      <c r="X24" s="63">
        <f t="shared" si="7"/>
        <v>291.9034828707974</v>
      </c>
      <c r="Y24" s="63" cm="1">
        <f t="array" ref="Y24">IFERROR(INDEX(REF_TABLE!$G$7:$G$28,MATCH('DIST _PHASE_1_V1'!X24,REF_TABLE!$G$7:$G$28,1)+1),"Aucune valeur supérieure")</f>
        <v>300</v>
      </c>
      <c r="Z24" s="63">
        <v>150</v>
      </c>
      <c r="AA24" s="69">
        <v>35</v>
      </c>
      <c r="AE24" s="69" t="s">
        <v>208</v>
      </c>
      <c r="AF24" s="69">
        <v>133.77500000000001</v>
      </c>
      <c r="AG24" s="69">
        <f t="shared" si="8"/>
        <v>0.13377500000000001</v>
      </c>
      <c r="AH24" s="63">
        <v>1</v>
      </c>
      <c r="AI24" s="63">
        <f t="shared" si="9"/>
        <v>0.13377500000000001</v>
      </c>
      <c r="AJ24" s="63">
        <f t="shared" si="10"/>
        <v>0.41281232144747509</v>
      </c>
      <c r="AK24" s="63">
        <f t="shared" si="11"/>
        <v>412.81232144747509</v>
      </c>
      <c r="AL24" s="63" cm="1">
        <f t="array" ref="AL24">IFERROR(INDEX(REF_TABLE!$G$7:$G$28,MATCH('DIST _PHASE_1_V1'!AK24,REF_TABLE!$G$7:$G$28,1)+1),"Aucune valeur supérieure")</f>
        <v>421</v>
      </c>
      <c r="AM24" s="63">
        <v>150</v>
      </c>
      <c r="AN24" s="69">
        <v>80</v>
      </c>
      <c r="AR24" s="69" t="s">
        <v>159</v>
      </c>
      <c r="AS24" s="69">
        <v>133.77500000000001</v>
      </c>
      <c r="AT24" s="69">
        <f t="shared" si="12"/>
        <v>0.13377500000000001</v>
      </c>
      <c r="AU24" s="63">
        <v>1</v>
      </c>
      <c r="AV24" s="63">
        <f t="shared" si="13"/>
        <v>0.13377500000000001</v>
      </c>
      <c r="AW24" s="63">
        <f t="shared" si="14"/>
        <v>0.41281232144747509</v>
      </c>
      <c r="AX24" s="63">
        <f t="shared" si="15"/>
        <v>412.81232144747509</v>
      </c>
      <c r="AY24" s="63" cm="1">
        <f t="array" ref="AY24">IFERROR(INDEX(REF_TABLE!$G$7:$G$28,MATCH('DIST _PHASE_1_V1'!AX24,REF_TABLE!$G$7:$G$28,1)+1),"Aucune valeur supérieure")</f>
        <v>421</v>
      </c>
      <c r="AZ24" s="63">
        <v>150</v>
      </c>
      <c r="BA24" s="69">
        <v>95</v>
      </c>
      <c r="BE24" s="69" t="s">
        <v>238</v>
      </c>
      <c r="BF24" s="69">
        <v>33.444000000000003</v>
      </c>
      <c r="BG24" s="69">
        <f t="shared" si="16"/>
        <v>3.3444000000000002E-2</v>
      </c>
      <c r="BH24" s="63">
        <v>1</v>
      </c>
      <c r="BI24" s="63">
        <f t="shared" si="17"/>
        <v>3.3444000000000002E-2</v>
      </c>
      <c r="BJ24" s="63">
        <f t="shared" si="18"/>
        <v>0.20640693218991207</v>
      </c>
      <c r="BK24" s="63">
        <f t="shared" si="19"/>
        <v>206.40693218991208</v>
      </c>
      <c r="BL24" s="63" cm="1">
        <f t="array" ref="BL24">IFERROR(INDEX(REF_TABLE!$G$7:$G$28,MATCH('DIST _PHASE_1_V1'!BK24,REF_TABLE!$G$7:$G$28,1)+1),"Aucune valeur supérieure")</f>
        <v>250</v>
      </c>
      <c r="BM24" s="63">
        <v>150</v>
      </c>
      <c r="BN24" s="69">
        <v>73</v>
      </c>
      <c r="BR24" s="69" t="s">
        <v>221</v>
      </c>
      <c r="BS24" s="69">
        <v>33.444000000000003</v>
      </c>
      <c r="BT24" s="69">
        <f t="shared" si="20"/>
        <v>3.3444000000000002E-2</v>
      </c>
      <c r="BU24" s="63">
        <v>1</v>
      </c>
      <c r="BV24" s="63">
        <f t="shared" si="21"/>
        <v>3.3444000000000002E-2</v>
      </c>
      <c r="BW24" s="63">
        <f t="shared" si="22"/>
        <v>0.20640693218991207</v>
      </c>
      <c r="BX24" s="63">
        <f t="shared" si="23"/>
        <v>206.40693218991208</v>
      </c>
      <c r="BY24" s="63" cm="1">
        <f t="array" ref="BY24">IFERROR(INDEX(REF_TABLE!$G$7:$G$28,MATCH('DIST _PHASE_1_V1'!BX24,REF_TABLE!$G$7:$G$28,1)+1),"Aucune valeur supérieure")</f>
        <v>250</v>
      </c>
      <c r="BZ24" s="63">
        <v>150</v>
      </c>
      <c r="CA24" s="69">
        <v>33.444000000000003</v>
      </c>
      <c r="CE24" s="69" t="s">
        <v>296</v>
      </c>
      <c r="CF24" s="69">
        <v>100.33199999999999</v>
      </c>
      <c r="CG24" s="69">
        <f t="shared" si="24"/>
        <v>0.10033199999999999</v>
      </c>
      <c r="CH24" s="63">
        <v>1</v>
      </c>
      <c r="CI24" s="63">
        <f t="shared" si="25"/>
        <v>0.10033199999999999</v>
      </c>
      <c r="CJ24" s="63">
        <f t="shared" si="26"/>
        <v>0.35750729358735167</v>
      </c>
      <c r="CK24" s="63">
        <f t="shared" si="27"/>
        <v>357.50729358735168</v>
      </c>
      <c r="CL24" s="63" cm="1">
        <f t="array" ref="CL24">IFERROR(INDEX(REF_TABLE!$G$7:$G$28,MATCH('DIST _PHASE_1_V1'!CK24,REF_TABLE!$G$7:$G$28,1)+1),"Aucune valeur supérieure")</f>
        <v>400</v>
      </c>
      <c r="CM24" s="63">
        <v>150</v>
      </c>
      <c r="CN24" s="69">
        <v>74</v>
      </c>
    </row>
    <row r="25" spans="5:92" x14ac:dyDescent="0.25">
      <c r="E25" s="69" t="s">
        <v>142</v>
      </c>
      <c r="F25" s="69">
        <v>66.888000000000005</v>
      </c>
      <c r="G25" s="69">
        <f t="shared" si="1"/>
        <v>6.6888000000000003E-2</v>
      </c>
      <c r="H25" s="63">
        <v>1</v>
      </c>
      <c r="I25" s="63">
        <f t="shared" si="2"/>
        <v>6.6888000000000003E-2</v>
      </c>
      <c r="J25" s="63">
        <f t="shared" si="0"/>
        <v>0.29190348287079743</v>
      </c>
      <c r="K25" s="63">
        <f t="shared" si="3"/>
        <v>291.9034828707974</v>
      </c>
      <c r="L25" s="63" cm="1">
        <f t="array" ref="L25">IFERROR(INDEX(REF_TABLE!$G$7:$G$28,MATCH('DIST _PHASE_1_V1'!K25,REF_TABLE!$G$7:$G$28,1)+1),"Aucune valeur supérieure")</f>
        <v>300</v>
      </c>
      <c r="M25" s="63">
        <v>150</v>
      </c>
      <c r="N25" s="69">
        <v>48</v>
      </c>
      <c r="R25" s="69" t="s">
        <v>115</v>
      </c>
      <c r="S25" s="69">
        <v>66.888000000000005</v>
      </c>
      <c r="T25" s="69">
        <f t="shared" si="4"/>
        <v>6.6888000000000003E-2</v>
      </c>
      <c r="U25" s="63">
        <v>1</v>
      </c>
      <c r="V25" s="63">
        <f t="shared" si="5"/>
        <v>6.6888000000000003E-2</v>
      </c>
      <c r="W25" s="63">
        <f t="shared" si="6"/>
        <v>0.29190348287079743</v>
      </c>
      <c r="X25" s="63">
        <f t="shared" si="7"/>
        <v>291.9034828707974</v>
      </c>
      <c r="Y25" s="63" cm="1">
        <f t="array" ref="Y25">IFERROR(INDEX(REF_TABLE!$G$7:$G$28,MATCH('DIST _PHASE_1_V1'!X25,REF_TABLE!$G$7:$G$28,1)+1),"Aucune valeur supérieure")</f>
        <v>300</v>
      </c>
      <c r="Z25" s="63">
        <v>150</v>
      </c>
      <c r="AA25" s="69">
        <v>30</v>
      </c>
      <c r="AE25" s="69" t="s">
        <v>229</v>
      </c>
      <c r="AF25" s="69">
        <v>33.444000000000003</v>
      </c>
      <c r="AG25" s="69">
        <f t="shared" si="8"/>
        <v>3.3444000000000002E-2</v>
      </c>
      <c r="AH25" s="63">
        <v>1</v>
      </c>
      <c r="AI25" s="63">
        <f t="shared" si="9"/>
        <v>3.3444000000000002E-2</v>
      </c>
      <c r="AJ25" s="63">
        <f t="shared" si="10"/>
        <v>0.20640693218991207</v>
      </c>
      <c r="AK25" s="63">
        <f t="shared" si="11"/>
        <v>206.40693218991208</v>
      </c>
      <c r="AL25" s="63" cm="1">
        <f t="array" ref="AL25">IFERROR(INDEX(REF_TABLE!$G$7:$G$28,MATCH('DIST _PHASE_1_V1'!AK25,REF_TABLE!$G$7:$G$28,1)+1),"Aucune valeur supérieure")</f>
        <v>250</v>
      </c>
      <c r="AM25" s="63">
        <v>150</v>
      </c>
      <c r="AN25" s="69">
        <v>91</v>
      </c>
      <c r="AR25" s="69" t="s">
        <v>191</v>
      </c>
      <c r="AS25" s="69">
        <v>133.77500000000001</v>
      </c>
      <c r="AT25" s="69">
        <f t="shared" si="12"/>
        <v>0.13377500000000001</v>
      </c>
      <c r="AU25" s="63">
        <v>1</v>
      </c>
      <c r="AV25" s="63">
        <f t="shared" si="13"/>
        <v>0.13377500000000001</v>
      </c>
      <c r="AW25" s="63">
        <f t="shared" si="14"/>
        <v>0.41281232144747509</v>
      </c>
      <c r="AX25" s="63">
        <f t="shared" si="15"/>
        <v>412.81232144747509</v>
      </c>
      <c r="AY25" s="63" cm="1">
        <f t="array" ref="AY25">IFERROR(INDEX(REF_TABLE!$G$7:$G$28,MATCH('DIST _PHASE_1_V1'!AX25,REF_TABLE!$G$7:$G$28,1)+1),"Aucune valeur supérieure")</f>
        <v>421</v>
      </c>
      <c r="AZ25" s="63">
        <v>150</v>
      </c>
      <c r="BA25" s="69">
        <v>75</v>
      </c>
      <c r="BE25" s="69" t="s">
        <v>239</v>
      </c>
      <c r="BF25" s="69">
        <v>33.444000000000003</v>
      </c>
      <c r="BG25" s="69">
        <f t="shared" si="16"/>
        <v>3.3444000000000002E-2</v>
      </c>
      <c r="BH25" s="63">
        <v>1</v>
      </c>
      <c r="BI25" s="63">
        <f t="shared" si="17"/>
        <v>3.3444000000000002E-2</v>
      </c>
      <c r="BJ25" s="63">
        <f t="shared" si="18"/>
        <v>0.20640693218991207</v>
      </c>
      <c r="BK25" s="63">
        <f t="shared" si="19"/>
        <v>206.40693218991208</v>
      </c>
      <c r="BL25" s="63" cm="1">
        <f t="array" ref="BL25">IFERROR(INDEX(REF_TABLE!$G$7:$G$28,MATCH('DIST _PHASE_1_V1'!BK25,REF_TABLE!$G$7:$G$28,1)+1),"Aucune valeur supérieure")</f>
        <v>250</v>
      </c>
      <c r="BM25" s="63">
        <v>150</v>
      </c>
      <c r="BN25" s="69">
        <v>216</v>
      </c>
      <c r="BR25" s="69" t="s">
        <v>222</v>
      </c>
      <c r="BS25" s="69">
        <v>33.444000000000003</v>
      </c>
      <c r="BT25" s="69">
        <f t="shared" si="20"/>
        <v>3.3444000000000002E-2</v>
      </c>
      <c r="BU25" s="63">
        <v>1</v>
      </c>
      <c r="BV25" s="63">
        <f t="shared" si="21"/>
        <v>3.3444000000000002E-2</v>
      </c>
      <c r="BW25" s="63">
        <f t="shared" si="22"/>
        <v>0.20640693218991207</v>
      </c>
      <c r="BX25" s="63">
        <f t="shared" si="23"/>
        <v>206.40693218991208</v>
      </c>
      <c r="BY25" s="63" cm="1">
        <f t="array" ref="BY25">IFERROR(INDEX(REF_TABLE!$G$7:$G$28,MATCH('DIST _PHASE_1_V1'!BX25,REF_TABLE!$G$7:$G$28,1)+1),"Aucune valeur supérieure")</f>
        <v>250</v>
      </c>
      <c r="BZ25" s="63">
        <v>150</v>
      </c>
      <c r="CA25" s="69">
        <v>33.444000000000003</v>
      </c>
      <c r="CE25" s="69" t="s">
        <v>297</v>
      </c>
      <c r="CF25" s="69">
        <v>100.33199999999999</v>
      </c>
      <c r="CG25" s="69">
        <f t="shared" si="24"/>
        <v>0.10033199999999999</v>
      </c>
      <c r="CH25" s="63">
        <v>1</v>
      </c>
      <c r="CI25" s="63">
        <f t="shared" si="25"/>
        <v>0.10033199999999999</v>
      </c>
      <c r="CJ25" s="63">
        <f t="shared" si="26"/>
        <v>0.35750729358735167</v>
      </c>
      <c r="CK25" s="63">
        <f t="shared" si="27"/>
        <v>357.50729358735168</v>
      </c>
      <c r="CL25" s="63" cm="1">
        <f t="array" ref="CL25">IFERROR(INDEX(REF_TABLE!$G$7:$G$28,MATCH('DIST _PHASE_1_V1'!CK25,REF_TABLE!$G$7:$G$28,1)+1),"Aucune valeur supérieure")</f>
        <v>400</v>
      </c>
      <c r="CM25" s="63">
        <v>150</v>
      </c>
      <c r="CN25" s="69">
        <v>194</v>
      </c>
    </row>
    <row r="26" spans="5:92" x14ac:dyDescent="0.25">
      <c r="E26" s="69" t="s">
        <v>143</v>
      </c>
      <c r="F26" s="69">
        <v>66.888000000000005</v>
      </c>
      <c r="G26" s="69">
        <f t="shared" si="1"/>
        <v>6.6888000000000003E-2</v>
      </c>
      <c r="H26" s="63">
        <v>1</v>
      </c>
      <c r="I26" s="63">
        <f t="shared" si="2"/>
        <v>6.6888000000000003E-2</v>
      </c>
      <c r="J26" s="63">
        <f t="shared" si="0"/>
        <v>0.29190348287079743</v>
      </c>
      <c r="K26" s="63">
        <f t="shared" si="3"/>
        <v>291.9034828707974</v>
      </c>
      <c r="L26" s="63" cm="1">
        <f t="array" ref="L26">IFERROR(INDEX(REF_TABLE!$G$7:$G$28,MATCH('DIST _PHASE_1_V1'!K26,REF_TABLE!$G$7:$G$28,1)+1),"Aucune valeur supérieure")</f>
        <v>300</v>
      </c>
      <c r="M26" s="63">
        <v>150</v>
      </c>
      <c r="N26" s="69">
        <v>66</v>
      </c>
      <c r="R26" s="69" t="s">
        <v>182</v>
      </c>
      <c r="S26" s="69">
        <v>133.77500000000001</v>
      </c>
      <c r="T26" s="69">
        <f t="shared" si="4"/>
        <v>0.13377500000000001</v>
      </c>
      <c r="U26" s="63">
        <v>1</v>
      </c>
      <c r="V26" s="63">
        <f t="shared" si="5"/>
        <v>0.13377500000000001</v>
      </c>
      <c r="W26" s="63">
        <f t="shared" si="6"/>
        <v>0.41281232144747509</v>
      </c>
      <c r="X26" s="63">
        <f t="shared" si="7"/>
        <v>412.81232144747509</v>
      </c>
      <c r="Y26" s="63" cm="1">
        <f t="array" ref="Y26">IFERROR(INDEX(REF_TABLE!$G$7:$G$28,MATCH('DIST _PHASE_1_V1'!X26,REF_TABLE!$G$7:$G$28,1)+1),"Aucune valeur supérieure")</f>
        <v>421</v>
      </c>
      <c r="Z26" s="63">
        <v>150</v>
      </c>
      <c r="AA26" s="69">
        <v>214</v>
      </c>
      <c r="AE26" s="69" t="s">
        <v>232</v>
      </c>
      <c r="AF26" s="69">
        <v>33.444000000000003</v>
      </c>
      <c r="AG26" s="69">
        <f t="shared" si="8"/>
        <v>3.3444000000000002E-2</v>
      </c>
      <c r="AH26" s="63">
        <v>1</v>
      </c>
      <c r="AI26" s="63">
        <f t="shared" si="9"/>
        <v>3.3444000000000002E-2</v>
      </c>
      <c r="AJ26" s="63">
        <f t="shared" si="10"/>
        <v>0.20640693218991207</v>
      </c>
      <c r="AK26" s="63">
        <f t="shared" si="11"/>
        <v>206.40693218991208</v>
      </c>
      <c r="AL26" s="63" cm="1">
        <f t="array" ref="AL26">IFERROR(INDEX(REF_TABLE!$G$7:$G$28,MATCH('DIST _PHASE_1_V1'!AK26,REF_TABLE!$G$7:$G$28,1)+1),"Aucune valeur supérieure")</f>
        <v>250</v>
      </c>
      <c r="AM26" s="63">
        <v>150</v>
      </c>
      <c r="AN26" s="69">
        <v>59</v>
      </c>
      <c r="AR26" s="69" t="s">
        <v>183</v>
      </c>
      <c r="AS26" s="69">
        <v>66.888000000000005</v>
      </c>
      <c r="AT26" s="69">
        <f t="shared" si="12"/>
        <v>6.6888000000000003E-2</v>
      </c>
      <c r="AU26" s="63">
        <v>1</v>
      </c>
      <c r="AV26" s="63">
        <f t="shared" si="13"/>
        <v>6.6888000000000003E-2</v>
      </c>
      <c r="AW26" s="63">
        <f t="shared" si="14"/>
        <v>0.29190348287079743</v>
      </c>
      <c r="AX26" s="63">
        <f t="shared" si="15"/>
        <v>291.9034828707974</v>
      </c>
      <c r="AY26" s="63" cm="1">
        <f t="array" ref="AY26">IFERROR(INDEX(REF_TABLE!$G$7:$G$28,MATCH('DIST _PHASE_1_V1'!AX26,REF_TABLE!$G$7:$G$28,1)+1),"Aucune valeur supérieure")</f>
        <v>300</v>
      </c>
      <c r="AZ26" s="63">
        <v>150</v>
      </c>
      <c r="BA26" s="69">
        <v>152</v>
      </c>
      <c r="BE26" s="69" t="s">
        <v>240</v>
      </c>
      <c r="BF26" s="69">
        <v>33.444000000000003</v>
      </c>
      <c r="BG26" s="69">
        <f t="shared" si="16"/>
        <v>3.3444000000000002E-2</v>
      </c>
      <c r="BH26" s="63">
        <v>1</v>
      </c>
      <c r="BI26" s="63">
        <f t="shared" si="17"/>
        <v>3.3444000000000002E-2</v>
      </c>
      <c r="BJ26" s="63">
        <f t="shared" si="18"/>
        <v>0.20640693218991207</v>
      </c>
      <c r="BK26" s="63">
        <f t="shared" si="19"/>
        <v>206.40693218991208</v>
      </c>
      <c r="BL26" s="63" cm="1">
        <f t="array" ref="BL26">IFERROR(INDEX(REF_TABLE!$G$7:$G$28,MATCH('DIST _PHASE_1_V1'!BK26,REF_TABLE!$G$7:$G$28,1)+1),"Aucune valeur supérieure")</f>
        <v>250</v>
      </c>
      <c r="BM26" s="63">
        <v>150</v>
      </c>
      <c r="BN26" s="69">
        <v>58</v>
      </c>
      <c r="BR26" s="69" t="s">
        <v>223</v>
      </c>
      <c r="BS26" s="69">
        <v>33.444000000000003</v>
      </c>
      <c r="BT26" s="69">
        <f t="shared" si="20"/>
        <v>3.3444000000000002E-2</v>
      </c>
      <c r="BU26" s="63">
        <v>1</v>
      </c>
      <c r="BV26" s="63">
        <f t="shared" si="21"/>
        <v>3.3444000000000002E-2</v>
      </c>
      <c r="BW26" s="63">
        <f t="shared" si="22"/>
        <v>0.20640693218991207</v>
      </c>
      <c r="BX26" s="63">
        <f t="shared" si="23"/>
        <v>206.40693218991208</v>
      </c>
      <c r="BY26" s="63" cm="1">
        <f t="array" ref="BY26">IFERROR(INDEX(REF_TABLE!$G$7:$G$28,MATCH('DIST _PHASE_1_V1'!BX26,REF_TABLE!$G$7:$G$28,1)+1),"Aucune valeur supérieure")</f>
        <v>250</v>
      </c>
      <c r="BZ26" s="63">
        <v>150</v>
      </c>
      <c r="CA26" s="69">
        <v>33.444000000000003</v>
      </c>
      <c r="CE26" s="69" t="s">
        <v>298</v>
      </c>
      <c r="CF26" s="69">
        <v>100.33199999999999</v>
      </c>
      <c r="CG26" s="69">
        <f t="shared" si="24"/>
        <v>0.10033199999999999</v>
      </c>
      <c r="CH26" s="63">
        <v>1</v>
      </c>
      <c r="CI26" s="63">
        <f t="shared" si="25"/>
        <v>0.10033199999999999</v>
      </c>
      <c r="CJ26" s="63">
        <f t="shared" si="26"/>
        <v>0.35750729358735167</v>
      </c>
      <c r="CK26" s="63">
        <f t="shared" si="27"/>
        <v>357.50729358735168</v>
      </c>
      <c r="CL26" s="63" cm="1">
        <f t="array" ref="CL26">IFERROR(INDEX(REF_TABLE!$G$7:$G$28,MATCH('DIST _PHASE_1_V1'!CK26,REF_TABLE!$G$7:$G$28,1)+1),"Aucune valeur supérieure")</f>
        <v>400</v>
      </c>
      <c r="CM26" s="63">
        <v>150</v>
      </c>
      <c r="CN26" s="69">
        <v>67</v>
      </c>
    </row>
    <row r="27" spans="5:92" x14ac:dyDescent="0.25">
      <c r="E27" s="69" t="s">
        <v>141</v>
      </c>
      <c r="F27" s="69">
        <v>66.888000000000005</v>
      </c>
      <c r="G27" s="69">
        <f t="shared" si="1"/>
        <v>6.6888000000000003E-2</v>
      </c>
      <c r="H27" s="63">
        <v>1</v>
      </c>
      <c r="I27" s="63">
        <f t="shared" si="2"/>
        <v>6.6888000000000003E-2</v>
      </c>
      <c r="J27" s="63">
        <f t="shared" si="0"/>
        <v>0.29190348287079743</v>
      </c>
      <c r="K27" s="63">
        <f t="shared" si="3"/>
        <v>291.9034828707974</v>
      </c>
      <c r="L27" s="63" cm="1">
        <f t="array" ref="L27">IFERROR(INDEX(REF_TABLE!$G$7:$G$28,MATCH('DIST _PHASE_1_V1'!K27,REF_TABLE!$G$7:$G$28,1)+1),"Aucune valeur supérieure")</f>
        <v>300</v>
      </c>
      <c r="M27" s="63">
        <v>150</v>
      </c>
      <c r="N27" s="69">
        <v>43</v>
      </c>
      <c r="R27" s="69" t="s">
        <v>181</v>
      </c>
      <c r="S27" s="69">
        <v>133.77500000000001</v>
      </c>
      <c r="T27" s="69">
        <f t="shared" si="4"/>
        <v>0.13377500000000001</v>
      </c>
      <c r="U27" s="63">
        <v>1</v>
      </c>
      <c r="V27" s="63">
        <f t="shared" si="5"/>
        <v>0.13377500000000001</v>
      </c>
      <c r="W27" s="63">
        <f t="shared" si="6"/>
        <v>0.41281232144747509</v>
      </c>
      <c r="X27" s="63">
        <f t="shared" si="7"/>
        <v>412.81232144747509</v>
      </c>
      <c r="Y27" s="63" cm="1">
        <f t="array" ref="Y27">IFERROR(INDEX(REF_TABLE!$G$7:$G$28,MATCH('DIST _PHASE_1_V1'!X27,REF_TABLE!$G$7:$G$28,1)+1),"Aucune valeur supérieure")</f>
        <v>421</v>
      </c>
      <c r="Z27" s="63">
        <v>150</v>
      </c>
      <c r="AA27" s="69">
        <v>168</v>
      </c>
      <c r="AE27" s="69" t="s">
        <v>207</v>
      </c>
      <c r="AF27" s="69">
        <v>66.888000000000005</v>
      </c>
      <c r="AG27" s="69">
        <f t="shared" si="8"/>
        <v>6.6888000000000003E-2</v>
      </c>
      <c r="AH27" s="63">
        <v>1</v>
      </c>
      <c r="AI27" s="63">
        <f t="shared" si="9"/>
        <v>6.6888000000000003E-2</v>
      </c>
      <c r="AJ27" s="63">
        <f t="shared" si="10"/>
        <v>0.29190348287079743</v>
      </c>
      <c r="AK27" s="63">
        <f t="shared" si="11"/>
        <v>291.9034828707974</v>
      </c>
      <c r="AL27" s="63" cm="1">
        <f t="array" ref="AL27">IFERROR(INDEX(REF_TABLE!$G$7:$G$28,MATCH('DIST _PHASE_1_V1'!AK27,REF_TABLE!$G$7:$G$28,1)+1),"Aucune valeur supérieure")</f>
        <v>300</v>
      </c>
      <c r="AM27" s="63">
        <v>150</v>
      </c>
      <c r="AN27" s="69">
        <v>362</v>
      </c>
      <c r="AR27" s="69" t="s">
        <v>192</v>
      </c>
      <c r="AS27" s="69">
        <v>66.888000000000005</v>
      </c>
      <c r="AT27" s="69">
        <f t="shared" si="12"/>
        <v>6.6888000000000003E-2</v>
      </c>
      <c r="AU27" s="63">
        <v>1</v>
      </c>
      <c r="AV27" s="63">
        <f t="shared" si="13"/>
        <v>6.6888000000000003E-2</v>
      </c>
      <c r="AW27" s="63">
        <f t="shared" si="14"/>
        <v>0.29190348287079743</v>
      </c>
      <c r="AX27" s="63">
        <f t="shared" si="15"/>
        <v>291.9034828707974</v>
      </c>
      <c r="AY27" s="63" cm="1">
        <f t="array" ref="AY27">IFERROR(INDEX(REF_TABLE!$G$7:$G$28,MATCH('DIST _PHASE_1_V1'!AX27,REF_TABLE!$G$7:$G$28,1)+1),"Aucune valeur supérieure")</f>
        <v>300</v>
      </c>
      <c r="AZ27" s="63">
        <v>150</v>
      </c>
      <c r="BA27" s="69">
        <v>68</v>
      </c>
      <c r="BE27" s="69" t="s">
        <v>241</v>
      </c>
      <c r="BF27" s="69">
        <v>33.444000000000003</v>
      </c>
      <c r="BG27" s="69">
        <f t="shared" si="16"/>
        <v>3.3444000000000002E-2</v>
      </c>
      <c r="BH27" s="63">
        <v>1</v>
      </c>
      <c r="BI27" s="63">
        <f t="shared" si="17"/>
        <v>3.3444000000000002E-2</v>
      </c>
      <c r="BJ27" s="63">
        <f t="shared" si="18"/>
        <v>0.20640693218991207</v>
      </c>
      <c r="BK27" s="63">
        <f t="shared" si="19"/>
        <v>206.40693218991208</v>
      </c>
      <c r="BL27" s="63" cm="1">
        <f t="array" ref="BL27">IFERROR(INDEX(REF_TABLE!$G$7:$G$28,MATCH('DIST _PHASE_1_V1'!BK27,REF_TABLE!$G$7:$G$28,1)+1),"Aucune valeur supérieure")</f>
        <v>250</v>
      </c>
      <c r="BM27" s="63">
        <v>150</v>
      </c>
      <c r="BN27" s="69">
        <v>73</v>
      </c>
      <c r="BR27" s="69" t="s">
        <v>224</v>
      </c>
      <c r="BS27" s="69">
        <v>33.444000000000003</v>
      </c>
      <c r="BT27" s="69">
        <f t="shared" si="20"/>
        <v>3.3444000000000002E-2</v>
      </c>
      <c r="BU27" s="63">
        <v>1</v>
      </c>
      <c r="BV27" s="63">
        <f t="shared" si="21"/>
        <v>3.3444000000000002E-2</v>
      </c>
      <c r="BW27" s="63">
        <f t="shared" si="22"/>
        <v>0.20640693218991207</v>
      </c>
      <c r="BX27" s="63">
        <f t="shared" si="23"/>
        <v>206.40693218991208</v>
      </c>
      <c r="BY27" s="63" cm="1">
        <f t="array" ref="BY27">IFERROR(INDEX(REF_TABLE!$G$7:$G$28,MATCH('DIST _PHASE_1_V1'!BX27,REF_TABLE!$G$7:$G$28,1)+1),"Aucune valeur supérieure")</f>
        <v>250</v>
      </c>
      <c r="BZ27" s="63">
        <v>150</v>
      </c>
      <c r="CA27" s="69">
        <v>33.444000000000003</v>
      </c>
      <c r="CE27" s="69" t="s">
        <v>299</v>
      </c>
      <c r="CF27" s="69">
        <v>100.33199999999999</v>
      </c>
      <c r="CG27" s="69">
        <f t="shared" si="24"/>
        <v>0.10033199999999999</v>
      </c>
      <c r="CH27" s="63">
        <v>1</v>
      </c>
      <c r="CI27" s="63">
        <f t="shared" si="25"/>
        <v>0.10033199999999999</v>
      </c>
      <c r="CJ27" s="63">
        <f t="shared" si="26"/>
        <v>0.35750729358735167</v>
      </c>
      <c r="CK27" s="63">
        <f t="shared" si="27"/>
        <v>357.50729358735168</v>
      </c>
      <c r="CL27" s="63" cm="1">
        <f t="array" ref="CL27">IFERROR(INDEX(REF_TABLE!$G$7:$G$28,MATCH('DIST _PHASE_1_V1'!CK27,REF_TABLE!$G$7:$G$28,1)+1),"Aucune valeur supérieure")</f>
        <v>400</v>
      </c>
      <c r="CM27" s="63">
        <v>150</v>
      </c>
      <c r="CN27" s="69">
        <v>60</v>
      </c>
    </row>
    <row r="28" spans="5:92" x14ac:dyDescent="0.25">
      <c r="E28" s="69" t="s">
        <v>140</v>
      </c>
      <c r="F28" s="69">
        <v>66.888000000000005</v>
      </c>
      <c r="G28" s="69">
        <f t="shared" si="1"/>
        <v>6.6888000000000003E-2</v>
      </c>
      <c r="H28" s="63">
        <v>1</v>
      </c>
      <c r="I28" s="63">
        <f t="shared" si="2"/>
        <v>6.6888000000000003E-2</v>
      </c>
      <c r="J28" s="63">
        <f t="shared" si="0"/>
        <v>0.29190348287079743</v>
      </c>
      <c r="K28" s="63">
        <f t="shared" si="3"/>
        <v>291.9034828707974</v>
      </c>
      <c r="L28" s="63" cm="1">
        <f t="array" ref="L28">IFERROR(INDEX(REF_TABLE!$G$7:$G$28,MATCH('DIST _PHASE_1_V1'!K28,REF_TABLE!$G$7:$G$28,1)+1),"Aucune valeur supérieure")</f>
        <v>300</v>
      </c>
      <c r="M28" s="63">
        <v>150</v>
      </c>
      <c r="N28" s="69">
        <v>45</v>
      </c>
      <c r="R28" s="69" t="s">
        <v>179</v>
      </c>
      <c r="S28" s="69">
        <v>133.77500000000001</v>
      </c>
      <c r="T28" s="69">
        <f t="shared" si="4"/>
        <v>0.13377500000000001</v>
      </c>
      <c r="U28" s="63">
        <v>1</v>
      </c>
      <c r="V28" s="63">
        <f t="shared" si="5"/>
        <v>0.13377500000000001</v>
      </c>
      <c r="W28" s="63">
        <f t="shared" si="6"/>
        <v>0.41281232144747509</v>
      </c>
      <c r="X28" s="63">
        <f t="shared" si="7"/>
        <v>412.81232144747509</v>
      </c>
      <c r="Y28" s="63" cm="1">
        <f t="array" ref="Y28">IFERROR(INDEX(REF_TABLE!$G$7:$G$28,MATCH('DIST _PHASE_1_V1'!X28,REF_TABLE!$G$7:$G$28,1)+1),"Aucune valeur supérieure")</f>
        <v>421</v>
      </c>
      <c r="Z28" s="63">
        <v>150</v>
      </c>
      <c r="AA28" s="69">
        <v>115</v>
      </c>
      <c r="AE28" s="69" t="s">
        <v>206</v>
      </c>
      <c r="AF28" s="69">
        <v>66.888000000000005</v>
      </c>
      <c r="AG28" s="69">
        <f t="shared" si="8"/>
        <v>6.6888000000000003E-2</v>
      </c>
      <c r="AH28" s="63">
        <v>1</v>
      </c>
      <c r="AI28" s="63">
        <f t="shared" si="9"/>
        <v>6.6888000000000003E-2</v>
      </c>
      <c r="AJ28" s="63">
        <f t="shared" si="10"/>
        <v>0.29190348287079743</v>
      </c>
      <c r="AK28" s="63">
        <f t="shared" si="11"/>
        <v>291.9034828707974</v>
      </c>
      <c r="AL28" s="63" cm="1">
        <f t="array" ref="AL28">IFERROR(INDEX(REF_TABLE!$G$7:$G$28,MATCH('DIST _PHASE_1_V1'!AK28,REF_TABLE!$G$7:$G$28,1)+1),"Aucune valeur supérieure")</f>
        <v>300</v>
      </c>
      <c r="AM28" s="63">
        <v>150</v>
      </c>
      <c r="AN28" s="69">
        <v>199</v>
      </c>
      <c r="AR28" s="69" t="s">
        <v>230</v>
      </c>
      <c r="AS28" s="69">
        <v>66.888000000000005</v>
      </c>
      <c r="AT28" s="69">
        <f t="shared" si="12"/>
        <v>6.6888000000000003E-2</v>
      </c>
      <c r="AU28" s="63">
        <v>1</v>
      </c>
      <c r="AV28" s="63">
        <f t="shared" si="13"/>
        <v>6.6888000000000003E-2</v>
      </c>
      <c r="AW28" s="63">
        <f t="shared" si="14"/>
        <v>0.29190348287079743</v>
      </c>
      <c r="AX28" s="63">
        <f t="shared" si="15"/>
        <v>291.9034828707974</v>
      </c>
      <c r="AY28" s="63" cm="1">
        <f t="array" ref="AY28">IFERROR(INDEX(REF_TABLE!$G$7:$G$28,MATCH('DIST _PHASE_1_V1'!AX28,REF_TABLE!$G$7:$G$28,1)+1),"Aucune valeur supérieure")</f>
        <v>300</v>
      </c>
      <c r="AZ28" s="63">
        <v>150</v>
      </c>
      <c r="BA28" s="69">
        <v>80</v>
      </c>
      <c r="BE28" s="69" t="s">
        <v>243</v>
      </c>
      <c r="BF28" s="69">
        <v>33.444000000000003</v>
      </c>
      <c r="BG28" s="69">
        <f t="shared" si="16"/>
        <v>3.3444000000000002E-2</v>
      </c>
      <c r="BH28" s="63">
        <v>1</v>
      </c>
      <c r="BI28" s="63">
        <f t="shared" si="17"/>
        <v>3.3444000000000002E-2</v>
      </c>
      <c r="BJ28" s="63">
        <f t="shared" si="18"/>
        <v>0.20640693218991207</v>
      </c>
      <c r="BK28" s="63">
        <f t="shared" si="19"/>
        <v>206.40693218991208</v>
      </c>
      <c r="BL28" s="63" cm="1">
        <f t="array" ref="BL28">IFERROR(INDEX(REF_TABLE!$G$7:$G$28,MATCH('DIST _PHASE_1_V1'!BK28,REF_TABLE!$G$7:$G$28,1)+1),"Aucune valeur supérieure")</f>
        <v>250</v>
      </c>
      <c r="BM28" s="63">
        <v>150</v>
      </c>
      <c r="BN28" s="69">
        <v>51</v>
      </c>
      <c r="BR28" s="69" t="s">
        <v>225</v>
      </c>
      <c r="BS28" s="69">
        <v>33.444000000000003</v>
      </c>
      <c r="BT28" s="69">
        <f t="shared" si="20"/>
        <v>3.3444000000000002E-2</v>
      </c>
      <c r="BU28" s="63">
        <v>1</v>
      </c>
      <c r="BV28" s="63">
        <f t="shared" si="21"/>
        <v>3.3444000000000002E-2</v>
      </c>
      <c r="BW28" s="63">
        <f t="shared" si="22"/>
        <v>0.20640693218991207</v>
      </c>
      <c r="BX28" s="63">
        <f t="shared" si="23"/>
        <v>206.40693218991208</v>
      </c>
      <c r="BY28" s="63" cm="1">
        <f t="array" ref="BY28">IFERROR(INDEX(REF_TABLE!$G$7:$G$28,MATCH('DIST _PHASE_1_V1'!BX28,REF_TABLE!$G$7:$G$28,1)+1),"Aucune valeur supérieure")</f>
        <v>250</v>
      </c>
      <c r="BZ28" s="63">
        <v>150</v>
      </c>
      <c r="CA28" s="69">
        <v>33.444000000000003</v>
      </c>
      <c r="CE28" s="69" t="s">
        <v>300</v>
      </c>
      <c r="CF28" s="69">
        <v>100.33199999999999</v>
      </c>
      <c r="CG28" s="69">
        <f t="shared" si="24"/>
        <v>0.10033199999999999</v>
      </c>
      <c r="CH28" s="63">
        <v>1</v>
      </c>
      <c r="CI28" s="63">
        <f t="shared" si="25"/>
        <v>0.10033199999999999</v>
      </c>
      <c r="CJ28" s="63">
        <f t="shared" si="26"/>
        <v>0.35750729358735167</v>
      </c>
      <c r="CK28" s="63">
        <f t="shared" si="27"/>
        <v>357.50729358735168</v>
      </c>
      <c r="CL28" s="63" cm="1">
        <f t="array" ref="CL28">IFERROR(INDEX(REF_TABLE!$G$7:$G$28,MATCH('DIST _PHASE_1_V1'!CK28,REF_TABLE!$G$7:$G$28,1)+1),"Aucune valeur supérieure")</f>
        <v>400</v>
      </c>
      <c r="CM28" s="63">
        <v>150</v>
      </c>
      <c r="CN28" s="69">
        <v>56</v>
      </c>
    </row>
    <row r="29" spans="5:92" x14ac:dyDescent="0.25">
      <c r="E29" s="69" t="s">
        <v>139</v>
      </c>
      <c r="F29" s="69">
        <v>66.888000000000005</v>
      </c>
      <c r="G29" s="69">
        <f t="shared" si="1"/>
        <v>6.6888000000000003E-2</v>
      </c>
      <c r="H29" s="63">
        <v>1</v>
      </c>
      <c r="I29" s="63">
        <f t="shared" si="2"/>
        <v>6.6888000000000003E-2</v>
      </c>
      <c r="J29" s="63">
        <f t="shared" si="0"/>
        <v>0.29190348287079743</v>
      </c>
      <c r="K29" s="63">
        <f t="shared" si="3"/>
        <v>291.9034828707974</v>
      </c>
      <c r="L29" s="63" cm="1">
        <f t="array" ref="L29">IFERROR(INDEX(REF_TABLE!$G$7:$G$28,MATCH('DIST _PHASE_1_V1'!K29,REF_TABLE!$G$7:$G$28,1)+1),"Aucune valeur supérieure")</f>
        <v>300</v>
      </c>
      <c r="M29" s="63">
        <v>150</v>
      </c>
      <c r="N29" s="69">
        <v>89</v>
      </c>
      <c r="R29" s="69" t="s">
        <v>180</v>
      </c>
      <c r="S29" s="69">
        <v>133.77500000000001</v>
      </c>
      <c r="T29" s="69">
        <f t="shared" si="4"/>
        <v>0.13377500000000001</v>
      </c>
      <c r="U29" s="63">
        <v>1</v>
      </c>
      <c r="V29" s="63">
        <f t="shared" si="5"/>
        <v>0.13377500000000001</v>
      </c>
      <c r="W29" s="63">
        <f t="shared" si="6"/>
        <v>0.41281232144747509</v>
      </c>
      <c r="X29" s="63">
        <f t="shared" si="7"/>
        <v>412.81232144747509</v>
      </c>
      <c r="Y29" s="63" cm="1">
        <f t="array" ref="Y29">IFERROR(INDEX(REF_TABLE!$G$7:$G$28,MATCH('DIST _PHASE_1_V1'!X29,REF_TABLE!$G$7:$G$28,1)+1),"Aucune valeur supérieure")</f>
        <v>421</v>
      </c>
      <c r="Z29" s="63">
        <v>150</v>
      </c>
      <c r="AA29" s="69">
        <v>87</v>
      </c>
      <c r="AE29" s="69" t="s">
        <v>205</v>
      </c>
      <c r="AF29" s="69">
        <v>66.888000000000005</v>
      </c>
      <c r="AG29" s="69">
        <f t="shared" si="8"/>
        <v>6.6888000000000003E-2</v>
      </c>
      <c r="AH29" s="63">
        <v>1</v>
      </c>
      <c r="AI29" s="63">
        <f t="shared" si="9"/>
        <v>6.6888000000000003E-2</v>
      </c>
      <c r="AJ29" s="63">
        <f t="shared" si="10"/>
        <v>0.29190348287079743</v>
      </c>
      <c r="AK29" s="63">
        <f t="shared" si="11"/>
        <v>291.9034828707974</v>
      </c>
      <c r="AL29" s="63" cm="1">
        <f t="array" ref="AL29">IFERROR(INDEX(REF_TABLE!$G$7:$G$28,MATCH('DIST _PHASE_1_V1'!AK29,REF_TABLE!$G$7:$G$28,1)+1),"Aucune valeur supérieure")</f>
        <v>300</v>
      </c>
      <c r="AM29" s="63">
        <v>150</v>
      </c>
      <c r="AN29" s="69">
        <v>215</v>
      </c>
      <c r="AR29" s="69" t="s">
        <v>215</v>
      </c>
      <c r="AS29" s="69">
        <v>133.77500000000001</v>
      </c>
      <c r="AT29" s="69">
        <f t="shared" si="12"/>
        <v>0.13377500000000001</v>
      </c>
      <c r="AU29" s="63">
        <v>1</v>
      </c>
      <c r="AV29" s="63">
        <f t="shared" si="13"/>
        <v>0.13377500000000001</v>
      </c>
      <c r="AW29" s="63">
        <f t="shared" si="14"/>
        <v>0.41281232144747509</v>
      </c>
      <c r="AX29" s="63">
        <f t="shared" si="15"/>
        <v>412.81232144747509</v>
      </c>
      <c r="AY29" s="63" cm="1">
        <f t="array" ref="AY29">IFERROR(INDEX(REF_TABLE!$G$7:$G$28,MATCH('DIST _PHASE_1_V1'!AX29,REF_TABLE!$G$7:$G$28,1)+1),"Aucune valeur supérieure")</f>
        <v>421</v>
      </c>
      <c r="AZ29" s="63">
        <v>150</v>
      </c>
      <c r="BA29" s="69">
        <v>70</v>
      </c>
      <c r="BE29" s="69" t="s">
        <v>242</v>
      </c>
      <c r="BF29" s="69">
        <v>33.444000000000003</v>
      </c>
      <c r="BG29" s="69">
        <f t="shared" si="16"/>
        <v>3.3444000000000002E-2</v>
      </c>
      <c r="BH29" s="63">
        <v>1</v>
      </c>
      <c r="BI29" s="63">
        <f t="shared" si="17"/>
        <v>3.3444000000000002E-2</v>
      </c>
      <c r="BJ29" s="63">
        <f t="shared" si="18"/>
        <v>0.20640693218991207</v>
      </c>
      <c r="BK29" s="63">
        <f t="shared" si="19"/>
        <v>206.40693218991208</v>
      </c>
      <c r="BL29" s="63" cm="1">
        <f t="array" ref="BL29">IFERROR(INDEX(REF_TABLE!$G$7:$G$28,MATCH('DIST _PHASE_1_V1'!BK29,REF_TABLE!$G$7:$G$28,1)+1),"Aucune valeur supérieure")</f>
        <v>250</v>
      </c>
      <c r="BM29" s="63">
        <v>150</v>
      </c>
      <c r="BN29" s="69">
        <v>79</v>
      </c>
      <c r="BR29" s="69" t="s">
        <v>226</v>
      </c>
      <c r="BS29" s="69">
        <v>33.444000000000003</v>
      </c>
      <c r="BT29" s="69">
        <f t="shared" si="20"/>
        <v>3.3444000000000002E-2</v>
      </c>
      <c r="BU29" s="63">
        <v>1</v>
      </c>
      <c r="BV29" s="63">
        <f t="shared" si="21"/>
        <v>3.3444000000000002E-2</v>
      </c>
      <c r="BW29" s="63">
        <f t="shared" si="22"/>
        <v>0.20640693218991207</v>
      </c>
      <c r="BX29" s="63">
        <f t="shared" si="23"/>
        <v>206.40693218991208</v>
      </c>
      <c r="BY29" s="63" cm="1">
        <f t="array" ref="BY29">IFERROR(INDEX(REF_TABLE!$G$7:$G$28,MATCH('DIST _PHASE_1_V1'!BX29,REF_TABLE!$G$7:$G$28,1)+1),"Aucune valeur supérieure")</f>
        <v>250</v>
      </c>
      <c r="BZ29" s="63">
        <v>150</v>
      </c>
      <c r="CA29" s="69">
        <v>33.444000000000003</v>
      </c>
      <c r="CE29" s="69" t="s">
        <v>301</v>
      </c>
      <c r="CF29" s="69">
        <v>100.33199999999999</v>
      </c>
      <c r="CG29" s="69">
        <f t="shared" si="24"/>
        <v>0.10033199999999999</v>
      </c>
      <c r="CH29" s="63">
        <v>1</v>
      </c>
      <c r="CI29" s="63">
        <f t="shared" si="25"/>
        <v>0.10033199999999999</v>
      </c>
      <c r="CJ29" s="63">
        <f t="shared" si="26"/>
        <v>0.35750729358735167</v>
      </c>
      <c r="CK29" s="63">
        <f t="shared" si="27"/>
        <v>357.50729358735168</v>
      </c>
      <c r="CL29" s="63" cm="1">
        <f t="array" ref="CL29">IFERROR(INDEX(REF_TABLE!$G$7:$G$28,MATCH('DIST _PHASE_1_V1'!CK29,REF_TABLE!$G$7:$G$28,1)+1),"Aucune valeur supérieure")</f>
        <v>400</v>
      </c>
      <c r="CM29" s="63">
        <v>150</v>
      </c>
      <c r="CN29" s="69">
        <v>93</v>
      </c>
    </row>
    <row r="30" spans="5:92" x14ac:dyDescent="0.25">
      <c r="E30" s="69" t="s">
        <v>138</v>
      </c>
      <c r="F30" s="69">
        <v>66.888000000000005</v>
      </c>
      <c r="G30" s="69">
        <f t="shared" si="1"/>
        <v>6.6888000000000003E-2</v>
      </c>
      <c r="H30" s="63">
        <v>1</v>
      </c>
      <c r="I30" s="63">
        <f t="shared" si="2"/>
        <v>6.6888000000000003E-2</v>
      </c>
      <c r="J30" s="63">
        <f t="shared" si="0"/>
        <v>0.29190348287079743</v>
      </c>
      <c r="K30" s="63">
        <f t="shared" si="3"/>
        <v>291.9034828707974</v>
      </c>
      <c r="L30" s="63" cm="1">
        <f t="array" ref="L30">IFERROR(INDEX(REF_TABLE!$G$7:$G$28,MATCH('DIST _PHASE_1_V1'!K30,REF_TABLE!$G$7:$G$28,1)+1),"Aucune valeur supérieure")</f>
        <v>300</v>
      </c>
      <c r="M30" s="63">
        <v>150</v>
      </c>
      <c r="N30" s="69">
        <v>89</v>
      </c>
      <c r="R30" s="69" t="s">
        <v>178</v>
      </c>
      <c r="S30" s="69">
        <v>133.77500000000001</v>
      </c>
      <c r="T30" s="69">
        <f t="shared" si="4"/>
        <v>0.13377500000000001</v>
      </c>
      <c r="U30" s="63">
        <v>1</v>
      </c>
      <c r="V30" s="63">
        <f t="shared" si="5"/>
        <v>0.13377500000000001</v>
      </c>
      <c r="W30" s="63">
        <f t="shared" si="6"/>
        <v>0.41281232144747509</v>
      </c>
      <c r="X30" s="63">
        <f t="shared" si="7"/>
        <v>412.81232144747509</v>
      </c>
      <c r="Y30" s="63" cm="1">
        <f t="array" ref="Y30">IFERROR(INDEX(REF_TABLE!$G$7:$G$28,MATCH('DIST _PHASE_1_V1'!X30,REF_TABLE!$G$7:$G$28,1)+1),"Aucune valeur supérieure")</f>
        <v>421</v>
      </c>
      <c r="Z30" s="63">
        <v>150</v>
      </c>
      <c r="AA30" s="69">
        <v>427</v>
      </c>
      <c r="AE30" s="69" t="s">
        <v>204</v>
      </c>
      <c r="AF30" s="69">
        <v>66.888000000000005</v>
      </c>
      <c r="AG30" s="69">
        <f t="shared" si="8"/>
        <v>6.6888000000000003E-2</v>
      </c>
      <c r="AH30" s="63">
        <v>1</v>
      </c>
      <c r="AI30" s="63">
        <f t="shared" si="9"/>
        <v>6.6888000000000003E-2</v>
      </c>
      <c r="AJ30" s="63">
        <f t="shared" si="10"/>
        <v>0.29190348287079743</v>
      </c>
      <c r="AK30" s="63">
        <f t="shared" si="11"/>
        <v>291.9034828707974</v>
      </c>
      <c r="AL30" s="63" cm="1">
        <f t="array" ref="AL30">IFERROR(INDEX(REF_TABLE!$G$7:$G$28,MATCH('DIST _PHASE_1_V1'!AK30,REF_TABLE!$G$7:$G$28,1)+1),"Aucune valeur supérieure")</f>
        <v>300</v>
      </c>
      <c r="AM30" s="63">
        <v>150</v>
      </c>
      <c r="AN30" s="69">
        <v>193</v>
      </c>
      <c r="AR30" s="69" t="s">
        <v>214</v>
      </c>
      <c r="AS30" s="69">
        <v>133.77500000000001</v>
      </c>
      <c r="AT30" s="69">
        <f t="shared" si="12"/>
        <v>0.13377500000000001</v>
      </c>
      <c r="AU30" s="63">
        <v>1</v>
      </c>
      <c r="AV30" s="63">
        <f t="shared" si="13"/>
        <v>0.13377500000000001</v>
      </c>
      <c r="AW30" s="63">
        <f t="shared" si="14"/>
        <v>0.41281232144747509</v>
      </c>
      <c r="AX30" s="63">
        <f t="shared" si="15"/>
        <v>412.81232144747509</v>
      </c>
      <c r="AY30" s="63" cm="1">
        <f t="array" ref="AY30">IFERROR(INDEX(REF_TABLE!$G$7:$G$28,MATCH('DIST _PHASE_1_V1'!AX30,REF_TABLE!$G$7:$G$28,1)+1),"Aucune valeur supérieure")</f>
        <v>421</v>
      </c>
      <c r="AZ30" s="63">
        <v>150</v>
      </c>
      <c r="BA30" s="69">
        <v>158</v>
      </c>
      <c r="BE30" s="69" t="s">
        <v>244</v>
      </c>
      <c r="BF30" s="69">
        <v>33.444000000000003</v>
      </c>
      <c r="BG30" s="69">
        <f t="shared" si="16"/>
        <v>3.3444000000000002E-2</v>
      </c>
      <c r="BH30" s="63">
        <v>1</v>
      </c>
      <c r="BI30" s="63">
        <f t="shared" si="17"/>
        <v>3.3444000000000002E-2</v>
      </c>
      <c r="BJ30" s="63">
        <f t="shared" si="18"/>
        <v>0.20640693218991207</v>
      </c>
      <c r="BK30" s="63">
        <f t="shared" si="19"/>
        <v>206.40693218991208</v>
      </c>
      <c r="BL30" s="63" cm="1">
        <f t="array" ref="BL30">IFERROR(INDEX(REF_TABLE!$G$7:$G$28,MATCH('DIST _PHASE_1_V1'!BK30,REF_TABLE!$G$7:$G$28,1)+1),"Aucune valeur supérieure")</f>
        <v>250</v>
      </c>
      <c r="BM30" s="63">
        <v>150</v>
      </c>
      <c r="BN30" s="69">
        <v>32</v>
      </c>
      <c r="BR30" s="69" t="s">
        <v>227</v>
      </c>
      <c r="BS30" s="69">
        <v>33.444000000000003</v>
      </c>
      <c r="BT30" s="69">
        <f t="shared" si="20"/>
        <v>3.3444000000000002E-2</v>
      </c>
      <c r="BU30" s="63">
        <v>1</v>
      </c>
      <c r="BV30" s="63">
        <f t="shared" si="21"/>
        <v>3.3444000000000002E-2</v>
      </c>
      <c r="BW30" s="63">
        <f t="shared" si="22"/>
        <v>0.20640693218991207</v>
      </c>
      <c r="BX30" s="63">
        <f t="shared" si="23"/>
        <v>206.40693218991208</v>
      </c>
      <c r="BY30" s="63" cm="1">
        <f t="array" ref="BY30">IFERROR(INDEX(REF_TABLE!$G$7:$G$28,MATCH('DIST _PHASE_1_V1'!BX30,REF_TABLE!$G$7:$G$28,1)+1),"Aucune valeur supérieure")</f>
        <v>250</v>
      </c>
      <c r="BZ30" s="63">
        <v>150</v>
      </c>
      <c r="CA30" s="69">
        <v>33.444000000000003</v>
      </c>
      <c r="CE30" s="69" t="s">
        <v>302</v>
      </c>
      <c r="CF30" s="69">
        <v>100.33199999999999</v>
      </c>
      <c r="CG30" s="69">
        <f t="shared" si="24"/>
        <v>0.10033199999999999</v>
      </c>
      <c r="CH30" s="63">
        <v>1</v>
      </c>
      <c r="CI30" s="63">
        <f t="shared" si="25"/>
        <v>0.10033199999999999</v>
      </c>
      <c r="CJ30" s="63">
        <f t="shared" si="26"/>
        <v>0.35750729358735167</v>
      </c>
      <c r="CK30" s="63">
        <f t="shared" si="27"/>
        <v>357.50729358735168</v>
      </c>
      <c r="CL30" s="63" cm="1">
        <f t="array" ref="CL30">IFERROR(INDEX(REF_TABLE!$G$7:$G$28,MATCH('DIST _PHASE_1_V1'!CK30,REF_TABLE!$G$7:$G$28,1)+1),"Aucune valeur supérieure")</f>
        <v>400</v>
      </c>
      <c r="CM30" s="63">
        <v>150</v>
      </c>
      <c r="CN30" s="69">
        <v>181</v>
      </c>
    </row>
    <row r="31" spans="5:92" x14ac:dyDescent="0.25">
      <c r="E31" s="69" t="s">
        <v>137</v>
      </c>
      <c r="F31" s="69">
        <v>66.888000000000005</v>
      </c>
      <c r="G31" s="69">
        <f t="shared" si="1"/>
        <v>6.6888000000000003E-2</v>
      </c>
      <c r="H31" s="63">
        <v>1</v>
      </c>
      <c r="I31" s="63">
        <f t="shared" si="2"/>
        <v>6.6888000000000003E-2</v>
      </c>
      <c r="J31" s="63">
        <f t="shared" si="0"/>
        <v>0.29190348287079743</v>
      </c>
      <c r="K31" s="63">
        <f t="shared" si="3"/>
        <v>291.9034828707974</v>
      </c>
      <c r="L31" s="63" cm="1">
        <f t="array" ref="L31">IFERROR(INDEX(REF_TABLE!$G$7:$G$28,MATCH('DIST _PHASE_1_V1'!K31,REF_TABLE!$G$7:$G$28,1)+1),"Aucune valeur supérieure")</f>
        <v>300</v>
      </c>
      <c r="M31" s="63">
        <v>150</v>
      </c>
      <c r="N31" s="69">
        <v>79</v>
      </c>
      <c r="R31" s="69" t="s">
        <v>189</v>
      </c>
      <c r="S31" s="69">
        <v>133.77500000000001</v>
      </c>
      <c r="T31" s="69">
        <f t="shared" si="4"/>
        <v>0.13377500000000001</v>
      </c>
      <c r="U31" s="63">
        <v>1</v>
      </c>
      <c r="V31" s="63">
        <f t="shared" si="5"/>
        <v>0.13377500000000001</v>
      </c>
      <c r="W31" s="63">
        <f t="shared" si="6"/>
        <v>0.41281232144747509</v>
      </c>
      <c r="X31" s="63">
        <f t="shared" si="7"/>
        <v>412.81232144747509</v>
      </c>
      <c r="Y31" s="63" cm="1">
        <f t="array" ref="Y31">IFERROR(INDEX(REF_TABLE!$G$7:$G$28,MATCH('DIST _PHASE_1_V1'!X31,REF_TABLE!$G$7:$G$28,1)+1),"Aucune valeur supérieure")</f>
        <v>421</v>
      </c>
      <c r="Z31" s="63">
        <v>150</v>
      </c>
      <c r="AA31" s="69">
        <v>100</v>
      </c>
      <c r="AE31" s="69" t="s">
        <v>218</v>
      </c>
      <c r="AF31" s="69">
        <v>33.444000000000003</v>
      </c>
      <c r="AG31" s="69">
        <f t="shared" si="8"/>
        <v>3.3444000000000002E-2</v>
      </c>
      <c r="AH31" s="63">
        <v>1</v>
      </c>
      <c r="AI31" s="63">
        <f t="shared" si="9"/>
        <v>3.3444000000000002E-2</v>
      </c>
      <c r="AJ31" s="63">
        <f t="shared" si="10"/>
        <v>0.20640693218991207</v>
      </c>
      <c r="AK31" s="63">
        <f t="shared" si="11"/>
        <v>206.40693218991208</v>
      </c>
      <c r="AL31" s="63" cm="1">
        <f t="array" ref="AL31">IFERROR(INDEX(REF_TABLE!$G$7:$G$28,MATCH('DIST _PHASE_1_V1'!AK31,REF_TABLE!$G$7:$G$28,1)+1),"Aucune valeur supérieure")</f>
        <v>250</v>
      </c>
      <c r="AM31" s="63">
        <v>150</v>
      </c>
      <c r="AN31" s="69">
        <v>72</v>
      </c>
      <c r="AR31" s="69" t="s">
        <v>213</v>
      </c>
      <c r="AS31" s="69">
        <v>133.77500000000001</v>
      </c>
      <c r="AT31" s="69">
        <f t="shared" si="12"/>
        <v>0.13377500000000001</v>
      </c>
      <c r="AU31" s="63">
        <v>1</v>
      </c>
      <c r="AV31" s="63">
        <f t="shared" si="13"/>
        <v>0.13377500000000001</v>
      </c>
      <c r="AW31" s="63">
        <f t="shared" si="14"/>
        <v>0.41281232144747509</v>
      </c>
      <c r="AX31" s="63">
        <f t="shared" si="15"/>
        <v>412.81232144747509</v>
      </c>
      <c r="AY31" s="63" cm="1">
        <f t="array" ref="AY31">IFERROR(INDEX(REF_TABLE!$G$7:$G$28,MATCH('DIST _PHASE_1_V1'!AX31,REF_TABLE!$G$7:$G$28,1)+1),"Aucune valeur supérieure")</f>
        <v>421</v>
      </c>
      <c r="AZ31" s="63">
        <v>150</v>
      </c>
      <c r="BA31" s="69">
        <v>80</v>
      </c>
      <c r="BE31" s="69" t="s">
        <v>245</v>
      </c>
      <c r="BF31" s="69">
        <v>33.444000000000003</v>
      </c>
      <c r="BG31" s="69">
        <f t="shared" si="16"/>
        <v>3.3444000000000002E-2</v>
      </c>
      <c r="BH31" s="63">
        <v>1</v>
      </c>
      <c r="BI31" s="63">
        <f t="shared" si="17"/>
        <v>3.3444000000000002E-2</v>
      </c>
      <c r="BJ31" s="63">
        <f t="shared" si="18"/>
        <v>0.20640693218991207</v>
      </c>
      <c r="BK31" s="63">
        <f t="shared" si="19"/>
        <v>206.40693218991208</v>
      </c>
      <c r="BL31" s="63" cm="1">
        <f t="array" ref="BL31">IFERROR(INDEX(REF_TABLE!$G$7:$G$28,MATCH('DIST _PHASE_1_V1'!BK31,REF_TABLE!$G$7:$G$28,1)+1),"Aucune valeur supérieure")</f>
        <v>250</v>
      </c>
      <c r="BM31" s="63">
        <v>150</v>
      </c>
      <c r="BN31" s="69">
        <v>36</v>
      </c>
      <c r="BR31" s="69" t="s">
        <v>228</v>
      </c>
      <c r="BS31" s="69">
        <v>33.444000000000003</v>
      </c>
      <c r="BT31" s="69">
        <f t="shared" si="20"/>
        <v>3.3444000000000002E-2</v>
      </c>
      <c r="BU31" s="63">
        <v>1</v>
      </c>
      <c r="BV31" s="63">
        <f t="shared" si="21"/>
        <v>3.3444000000000002E-2</v>
      </c>
      <c r="BW31" s="63">
        <f t="shared" si="22"/>
        <v>0.20640693218991207</v>
      </c>
      <c r="BX31" s="63">
        <f t="shared" si="23"/>
        <v>206.40693218991208</v>
      </c>
      <c r="BY31" s="63" cm="1">
        <f t="array" ref="BY31">IFERROR(INDEX(REF_TABLE!$G$7:$G$28,MATCH('DIST _PHASE_1_V1'!BX31,REF_TABLE!$G$7:$G$28,1)+1),"Aucune valeur supérieure")</f>
        <v>250</v>
      </c>
      <c r="BZ31" s="63">
        <v>150</v>
      </c>
      <c r="CA31" s="69">
        <v>33.444000000000003</v>
      </c>
      <c r="CE31" s="69" t="s">
        <v>303</v>
      </c>
      <c r="CF31" s="69">
        <v>100.33199999999999</v>
      </c>
      <c r="CG31" s="69">
        <f t="shared" si="24"/>
        <v>0.10033199999999999</v>
      </c>
      <c r="CH31" s="63">
        <v>1</v>
      </c>
      <c r="CI31" s="63">
        <f t="shared" si="25"/>
        <v>0.10033199999999999</v>
      </c>
      <c r="CJ31" s="63">
        <f t="shared" si="26"/>
        <v>0.35750729358735167</v>
      </c>
      <c r="CK31" s="63">
        <f t="shared" si="27"/>
        <v>357.50729358735168</v>
      </c>
      <c r="CL31" s="63" cm="1">
        <f t="array" ref="CL31">IFERROR(INDEX(REF_TABLE!$G$7:$G$28,MATCH('DIST _PHASE_1_V1'!CK31,REF_TABLE!$G$7:$G$28,1)+1),"Aucune valeur supérieure")</f>
        <v>400</v>
      </c>
      <c r="CM31" s="63">
        <v>150</v>
      </c>
      <c r="CN31" s="69">
        <v>133</v>
      </c>
    </row>
    <row r="32" spans="5:92" x14ac:dyDescent="0.25">
      <c r="E32" s="69" t="s">
        <v>136</v>
      </c>
      <c r="F32" s="69">
        <v>66.888000000000005</v>
      </c>
      <c r="G32" s="69">
        <f t="shared" si="1"/>
        <v>6.6888000000000003E-2</v>
      </c>
      <c r="H32" s="63">
        <v>1</v>
      </c>
      <c r="I32" s="63">
        <f t="shared" si="2"/>
        <v>6.6888000000000003E-2</v>
      </c>
      <c r="J32" s="63">
        <f t="shared" si="0"/>
        <v>0.29190348287079743</v>
      </c>
      <c r="K32" s="63">
        <f t="shared" si="3"/>
        <v>291.9034828707974</v>
      </c>
      <c r="L32" s="63" cm="1">
        <f t="array" ref="L32">IFERROR(INDEX(REF_TABLE!$G$7:$G$28,MATCH('DIST _PHASE_1_V1'!K32,REF_TABLE!$G$7:$G$28,1)+1),"Aucune valeur supérieure")</f>
        <v>300</v>
      </c>
      <c r="M32" s="63">
        <v>150</v>
      </c>
      <c r="N32" s="69">
        <v>104</v>
      </c>
      <c r="R32" s="69" t="s">
        <v>188</v>
      </c>
      <c r="S32" s="69">
        <v>133.77500000000001</v>
      </c>
      <c r="T32" s="69">
        <f t="shared" si="4"/>
        <v>0.13377500000000001</v>
      </c>
      <c r="U32" s="63">
        <v>1</v>
      </c>
      <c r="V32" s="63">
        <f t="shared" si="5"/>
        <v>0.13377500000000001</v>
      </c>
      <c r="W32" s="63">
        <f t="shared" si="6"/>
        <v>0.41281232144747509</v>
      </c>
      <c r="X32" s="63">
        <f t="shared" si="7"/>
        <v>412.81232144747509</v>
      </c>
      <c r="Y32" s="63" cm="1">
        <f t="array" ref="Y32">IFERROR(INDEX(REF_TABLE!$G$7:$G$28,MATCH('DIST _PHASE_1_V1'!X32,REF_TABLE!$G$7:$G$28,1)+1),"Aucune valeur supérieure")</f>
        <v>421</v>
      </c>
      <c r="Z32" s="63">
        <v>150</v>
      </c>
      <c r="AA32" s="69">
        <v>210</v>
      </c>
      <c r="AE32" s="69" t="s">
        <v>216</v>
      </c>
      <c r="AF32" s="69">
        <v>33.444000000000003</v>
      </c>
      <c r="AG32" s="69">
        <f t="shared" si="8"/>
        <v>3.3444000000000002E-2</v>
      </c>
      <c r="AH32" s="63">
        <v>1</v>
      </c>
      <c r="AI32" s="63">
        <f t="shared" si="9"/>
        <v>3.3444000000000002E-2</v>
      </c>
      <c r="AJ32" s="63">
        <f t="shared" si="10"/>
        <v>0.20640693218991207</v>
      </c>
      <c r="AK32" s="63">
        <f t="shared" si="11"/>
        <v>206.40693218991208</v>
      </c>
      <c r="AL32" s="63" cm="1">
        <f t="array" ref="AL32">IFERROR(INDEX(REF_TABLE!$G$7:$G$28,MATCH('DIST _PHASE_1_V1'!AK32,REF_TABLE!$G$7:$G$28,1)+1),"Aucune valeur supérieure")</f>
        <v>250</v>
      </c>
      <c r="AM32" s="63">
        <v>150</v>
      </c>
      <c r="AN32" s="69">
        <v>133</v>
      </c>
      <c r="AR32" s="69" t="s">
        <v>212</v>
      </c>
      <c r="AS32" s="69">
        <v>133.77500000000001</v>
      </c>
      <c r="AT32" s="69">
        <f t="shared" si="12"/>
        <v>0.13377500000000001</v>
      </c>
      <c r="AU32" s="63">
        <v>1</v>
      </c>
      <c r="AV32" s="63">
        <f t="shared" si="13"/>
        <v>0.13377500000000001</v>
      </c>
      <c r="AW32" s="63">
        <f t="shared" si="14"/>
        <v>0.41281232144747509</v>
      </c>
      <c r="AX32" s="63">
        <f t="shared" si="15"/>
        <v>412.81232144747509</v>
      </c>
      <c r="AY32" s="63" cm="1">
        <f t="array" ref="AY32">IFERROR(INDEX(REF_TABLE!$G$7:$G$28,MATCH('DIST _PHASE_1_V1'!AX32,REF_TABLE!$G$7:$G$28,1)+1),"Aucune valeur supérieure")</f>
        <v>421</v>
      </c>
      <c r="AZ32" s="63">
        <v>150</v>
      </c>
      <c r="BA32" s="69">
        <v>76</v>
      </c>
      <c r="BE32" s="69" t="s">
        <v>246</v>
      </c>
      <c r="BF32" s="69">
        <v>33.444000000000003</v>
      </c>
      <c r="BG32" s="69">
        <f t="shared" si="16"/>
        <v>3.3444000000000002E-2</v>
      </c>
      <c r="BH32" s="63">
        <v>1</v>
      </c>
      <c r="BI32" s="63">
        <f t="shared" si="17"/>
        <v>3.3444000000000002E-2</v>
      </c>
      <c r="BJ32" s="63">
        <f t="shared" si="18"/>
        <v>0.20640693218991207</v>
      </c>
      <c r="BK32" s="63">
        <f t="shared" si="19"/>
        <v>206.40693218991208</v>
      </c>
      <c r="BL32" s="63" cm="1">
        <f t="array" ref="BL32">IFERROR(INDEX(REF_TABLE!$G$7:$G$28,MATCH('DIST _PHASE_1_V1'!BK32,REF_TABLE!$G$7:$G$28,1)+1),"Aucune valeur supérieure")</f>
        <v>250</v>
      </c>
      <c r="BM32" s="63">
        <v>150</v>
      </c>
      <c r="BN32" s="69">
        <v>76</v>
      </c>
      <c r="BR32" s="69" t="s">
        <v>265</v>
      </c>
      <c r="BS32" s="69">
        <v>33.444000000000003</v>
      </c>
      <c r="BT32" s="69">
        <f t="shared" si="20"/>
        <v>3.3444000000000002E-2</v>
      </c>
      <c r="BU32" s="63">
        <v>1</v>
      </c>
      <c r="BV32" s="63">
        <f t="shared" si="21"/>
        <v>3.3444000000000002E-2</v>
      </c>
      <c r="BW32" s="63">
        <f t="shared" si="22"/>
        <v>0.20640693218991207</v>
      </c>
      <c r="BX32" s="63">
        <f t="shared" si="23"/>
        <v>206.40693218991208</v>
      </c>
      <c r="BY32" s="63" cm="1">
        <f t="array" ref="BY32">IFERROR(INDEX(REF_TABLE!$G$7:$G$28,MATCH('DIST _PHASE_1_V1'!BX32,REF_TABLE!$G$7:$G$28,1)+1),"Aucune valeur supérieure")</f>
        <v>250</v>
      </c>
      <c r="BZ32" s="63">
        <v>150</v>
      </c>
      <c r="CA32" s="69">
        <v>33.444000000000003</v>
      </c>
      <c r="CE32" s="69" t="s">
        <v>315</v>
      </c>
      <c r="CF32" s="69">
        <v>100.33199999999999</v>
      </c>
      <c r="CG32" s="69">
        <f t="shared" si="24"/>
        <v>0.10033199999999999</v>
      </c>
      <c r="CH32" s="63">
        <v>1</v>
      </c>
      <c r="CI32" s="63">
        <f t="shared" si="25"/>
        <v>0.10033199999999999</v>
      </c>
      <c r="CJ32" s="63">
        <f t="shared" si="26"/>
        <v>0.35750729358735167</v>
      </c>
      <c r="CK32" s="63">
        <f t="shared" si="27"/>
        <v>357.50729358735168</v>
      </c>
      <c r="CL32" s="63" cm="1">
        <f t="array" ref="CL32">IFERROR(INDEX(REF_TABLE!$G$7:$G$28,MATCH('DIST _PHASE_1_V1'!CK32,REF_TABLE!$G$7:$G$28,1)+1),"Aucune valeur supérieure")</f>
        <v>400</v>
      </c>
      <c r="CM32" s="63">
        <v>150</v>
      </c>
      <c r="CN32" s="69">
        <v>133</v>
      </c>
    </row>
    <row r="33" spans="5:92" x14ac:dyDescent="0.25">
      <c r="E33" s="69" t="s">
        <v>134</v>
      </c>
      <c r="F33" s="69">
        <v>66.888000000000005</v>
      </c>
      <c r="G33" s="69">
        <f t="shared" si="1"/>
        <v>6.6888000000000003E-2</v>
      </c>
      <c r="H33" s="63">
        <v>1</v>
      </c>
      <c r="I33" s="63">
        <f t="shared" si="2"/>
        <v>6.6888000000000003E-2</v>
      </c>
      <c r="J33" s="63">
        <f t="shared" si="0"/>
        <v>0.29190348287079743</v>
      </c>
      <c r="K33" s="63">
        <f t="shared" si="3"/>
        <v>291.9034828707974</v>
      </c>
      <c r="L33" s="63" cm="1">
        <f t="array" ref="L33">IFERROR(INDEX(REF_TABLE!$G$7:$G$28,MATCH('DIST _PHASE_1_V1'!K33,REF_TABLE!$G$7:$G$28,1)+1),"Aucune valeur supérieure")</f>
        <v>300</v>
      </c>
      <c r="M33" s="63">
        <v>150</v>
      </c>
      <c r="N33" s="69">
        <v>129</v>
      </c>
      <c r="R33" s="69" t="s">
        <v>186</v>
      </c>
      <c r="S33" s="69">
        <v>133.77500000000001</v>
      </c>
      <c r="T33" s="69">
        <f t="shared" si="4"/>
        <v>0.13377500000000001</v>
      </c>
      <c r="U33" s="63">
        <v>1</v>
      </c>
      <c r="V33" s="63">
        <f t="shared" si="5"/>
        <v>0.13377500000000001</v>
      </c>
      <c r="W33" s="63">
        <f t="shared" si="6"/>
        <v>0.41281232144747509</v>
      </c>
      <c r="X33" s="63">
        <f t="shared" si="7"/>
        <v>412.81232144747509</v>
      </c>
      <c r="Y33" s="63" cm="1">
        <f t="array" ref="Y33">IFERROR(INDEX(REF_TABLE!$G$7:$G$28,MATCH('DIST _PHASE_1_V1'!X33,REF_TABLE!$G$7:$G$28,1)+1),"Aucune valeur supérieure")</f>
        <v>421</v>
      </c>
      <c r="Z33" s="63">
        <v>150</v>
      </c>
      <c r="AA33" s="69">
        <v>180</v>
      </c>
      <c r="AE33" s="69" t="s">
        <v>220</v>
      </c>
      <c r="AF33" s="69">
        <v>33.444000000000003</v>
      </c>
      <c r="AG33" s="69">
        <f t="shared" si="8"/>
        <v>3.3444000000000002E-2</v>
      </c>
      <c r="AH33" s="63">
        <v>1</v>
      </c>
      <c r="AI33" s="63">
        <f t="shared" si="9"/>
        <v>3.3444000000000002E-2</v>
      </c>
      <c r="AJ33" s="63">
        <f t="shared" si="10"/>
        <v>0.20640693218991207</v>
      </c>
      <c r="AK33" s="63">
        <f t="shared" si="11"/>
        <v>206.40693218991208</v>
      </c>
      <c r="AL33" s="63" cm="1">
        <f t="array" ref="AL33">IFERROR(INDEX(REF_TABLE!$G$7:$G$28,MATCH('DIST _PHASE_1_V1'!AK33,REF_TABLE!$G$7:$G$28,1)+1),"Aucune valeur supérieure")</f>
        <v>250</v>
      </c>
      <c r="AM33" s="63">
        <v>150</v>
      </c>
      <c r="AN33" s="69">
        <v>173</v>
      </c>
      <c r="AR33" s="69" t="s">
        <v>211</v>
      </c>
      <c r="AS33" s="69">
        <v>133.77500000000001</v>
      </c>
      <c r="AT33" s="69">
        <f t="shared" si="12"/>
        <v>0.13377500000000001</v>
      </c>
      <c r="AU33" s="63">
        <v>1</v>
      </c>
      <c r="AV33" s="63">
        <f t="shared" si="13"/>
        <v>0.13377500000000001</v>
      </c>
      <c r="AW33" s="63">
        <f t="shared" si="14"/>
        <v>0.41281232144747509</v>
      </c>
      <c r="AX33" s="63">
        <f t="shared" si="15"/>
        <v>412.81232144747509</v>
      </c>
      <c r="AY33" s="63" cm="1">
        <f t="array" ref="AY33">IFERROR(INDEX(REF_TABLE!$G$7:$G$28,MATCH('DIST _PHASE_1_V1'!AX33,REF_TABLE!$G$7:$G$28,1)+1),"Aucune valeur supérieure")</f>
        <v>421</v>
      </c>
      <c r="AZ33" s="63">
        <v>150</v>
      </c>
      <c r="BA33" s="69">
        <v>88</v>
      </c>
      <c r="BE33" s="69" t="s">
        <v>247</v>
      </c>
      <c r="BF33" s="69">
        <v>33.444000000000003</v>
      </c>
      <c r="BG33" s="69">
        <f t="shared" si="16"/>
        <v>3.3444000000000002E-2</v>
      </c>
      <c r="BH33" s="63">
        <v>1</v>
      </c>
      <c r="BI33" s="63">
        <f t="shared" si="17"/>
        <v>3.3444000000000002E-2</v>
      </c>
      <c r="BJ33" s="63">
        <f t="shared" si="18"/>
        <v>0.20640693218991207</v>
      </c>
      <c r="BK33" s="63">
        <f t="shared" si="19"/>
        <v>206.40693218991208</v>
      </c>
      <c r="BL33" s="63" cm="1">
        <f t="array" ref="BL33">IFERROR(INDEX(REF_TABLE!$G$7:$G$28,MATCH('DIST _PHASE_1_V1'!BK33,REF_TABLE!$G$7:$G$28,1)+1),"Aucune valeur supérieure")</f>
        <v>250</v>
      </c>
      <c r="BM33" s="63">
        <v>150</v>
      </c>
      <c r="BN33" s="69">
        <v>77</v>
      </c>
      <c r="BR33" s="69" t="s">
        <v>232</v>
      </c>
      <c r="BS33" s="69">
        <v>33.444000000000003</v>
      </c>
      <c r="BT33" s="69">
        <f t="shared" si="20"/>
        <v>3.3444000000000002E-2</v>
      </c>
      <c r="BU33" s="63">
        <v>1</v>
      </c>
      <c r="BV33" s="63">
        <f t="shared" si="21"/>
        <v>3.3444000000000002E-2</v>
      </c>
      <c r="BW33" s="63">
        <f t="shared" si="22"/>
        <v>0.20640693218991207</v>
      </c>
      <c r="BX33" s="63">
        <f t="shared" si="23"/>
        <v>206.40693218991208</v>
      </c>
      <c r="BY33" s="63" cm="1">
        <f t="array" ref="BY33">IFERROR(INDEX(REF_TABLE!$G$7:$G$28,MATCH('DIST _PHASE_1_V1'!BX33,REF_TABLE!$G$7:$G$28,1)+1),"Aucune valeur supérieure")</f>
        <v>250</v>
      </c>
      <c r="BZ33" s="63">
        <v>150</v>
      </c>
      <c r="CA33" s="69">
        <v>33.444000000000003</v>
      </c>
      <c r="CE33" s="69" t="s">
        <v>304</v>
      </c>
      <c r="CF33" s="69">
        <v>100.33199999999999</v>
      </c>
      <c r="CG33" s="69">
        <f t="shared" si="24"/>
        <v>0.10033199999999999</v>
      </c>
      <c r="CH33" s="63">
        <v>1</v>
      </c>
      <c r="CI33" s="63">
        <f t="shared" si="25"/>
        <v>0.10033199999999999</v>
      </c>
      <c r="CJ33" s="63">
        <f t="shared" si="26"/>
        <v>0.35750729358735167</v>
      </c>
      <c r="CK33" s="63">
        <f t="shared" si="27"/>
        <v>357.50729358735168</v>
      </c>
      <c r="CL33" s="63" cm="1">
        <f t="array" ref="CL33">IFERROR(INDEX(REF_TABLE!$G$7:$G$28,MATCH('DIST _PHASE_1_V1'!CK33,REF_TABLE!$G$7:$G$28,1)+1),"Aucune valeur supérieure")</f>
        <v>400</v>
      </c>
      <c r="CM33" s="63">
        <v>150</v>
      </c>
      <c r="CN33" s="69">
        <v>75</v>
      </c>
    </row>
    <row r="34" spans="5:92" x14ac:dyDescent="0.25">
      <c r="E34" s="69" t="s">
        <v>135</v>
      </c>
      <c r="F34" s="69">
        <v>66.888000000000005</v>
      </c>
      <c r="G34" s="69">
        <f t="shared" si="1"/>
        <v>6.6888000000000003E-2</v>
      </c>
      <c r="H34" s="63">
        <v>1</v>
      </c>
      <c r="I34" s="63">
        <f t="shared" si="2"/>
        <v>6.6888000000000003E-2</v>
      </c>
      <c r="J34" s="63">
        <f t="shared" si="0"/>
        <v>0.29190348287079743</v>
      </c>
      <c r="K34" s="63">
        <f t="shared" si="3"/>
        <v>291.9034828707974</v>
      </c>
      <c r="L34" s="63" cm="1">
        <f t="array" ref="L34">IFERROR(INDEX(REF_TABLE!$G$7:$G$28,MATCH('DIST _PHASE_1_V1'!K34,REF_TABLE!$G$7:$G$28,1)+1),"Aucune valeur supérieure")</f>
        <v>300</v>
      </c>
      <c r="M34" s="63">
        <v>150</v>
      </c>
      <c r="N34" s="69">
        <v>145</v>
      </c>
      <c r="R34" s="69" t="s">
        <v>187</v>
      </c>
      <c r="S34" s="69">
        <v>133.77500000000001</v>
      </c>
      <c r="T34" s="69">
        <f t="shared" si="4"/>
        <v>0.13377500000000001</v>
      </c>
      <c r="U34" s="63">
        <v>1</v>
      </c>
      <c r="V34" s="63">
        <f t="shared" si="5"/>
        <v>0.13377500000000001</v>
      </c>
      <c r="W34" s="63">
        <f t="shared" si="6"/>
        <v>0.41281232144747509</v>
      </c>
      <c r="X34" s="63">
        <f t="shared" si="7"/>
        <v>412.81232144747509</v>
      </c>
      <c r="Y34" s="63" cm="1">
        <f t="array" ref="Y34">IFERROR(INDEX(REF_TABLE!$G$7:$G$28,MATCH('DIST _PHASE_1_V1'!X34,REF_TABLE!$G$7:$G$28,1)+1),"Aucune valeur supérieure")</f>
        <v>421</v>
      </c>
      <c r="Z34" s="63">
        <v>150</v>
      </c>
      <c r="AA34" s="69">
        <v>270</v>
      </c>
      <c r="AE34" s="69" t="s">
        <v>219</v>
      </c>
      <c r="AF34" s="69">
        <v>33.444000000000003</v>
      </c>
      <c r="AG34" s="69">
        <f t="shared" si="8"/>
        <v>3.3444000000000002E-2</v>
      </c>
      <c r="AH34" s="63">
        <v>1</v>
      </c>
      <c r="AI34" s="63">
        <f t="shared" si="9"/>
        <v>3.3444000000000002E-2</v>
      </c>
      <c r="AJ34" s="63">
        <f t="shared" si="10"/>
        <v>0.20640693218991207</v>
      </c>
      <c r="AK34" s="63">
        <f t="shared" si="11"/>
        <v>206.40693218991208</v>
      </c>
      <c r="AL34" s="63" cm="1">
        <f t="array" ref="AL34">IFERROR(INDEX(REF_TABLE!$G$7:$G$28,MATCH('DIST _PHASE_1_V1'!AK34,REF_TABLE!$G$7:$G$28,1)+1),"Aucune valeur supérieure")</f>
        <v>250</v>
      </c>
      <c r="AM34" s="63">
        <v>150</v>
      </c>
      <c r="AN34" s="69">
        <v>212</v>
      </c>
      <c r="AR34" s="69" t="s">
        <v>209</v>
      </c>
      <c r="AS34" s="69">
        <v>133.77500000000001</v>
      </c>
      <c r="AT34" s="69">
        <f t="shared" si="12"/>
        <v>0.13377500000000001</v>
      </c>
      <c r="AU34" s="63">
        <v>1</v>
      </c>
      <c r="AV34" s="63">
        <f t="shared" si="13"/>
        <v>0.13377500000000001</v>
      </c>
      <c r="AW34" s="63">
        <f t="shared" si="14"/>
        <v>0.41281232144747509</v>
      </c>
      <c r="AX34" s="63">
        <f t="shared" si="15"/>
        <v>412.81232144747509</v>
      </c>
      <c r="AY34" s="63" cm="1">
        <f t="array" ref="AY34">IFERROR(INDEX(REF_TABLE!$G$7:$G$28,MATCH('DIST _PHASE_1_V1'!AX34,REF_TABLE!$G$7:$G$28,1)+1),"Aucune valeur supérieure")</f>
        <v>421</v>
      </c>
      <c r="AZ34" s="63">
        <v>150</v>
      </c>
      <c r="BA34" s="69">
        <v>89</v>
      </c>
      <c r="BE34" s="69" t="s">
        <v>248</v>
      </c>
      <c r="BF34" s="69">
        <v>33.444000000000003</v>
      </c>
      <c r="BG34" s="69">
        <f t="shared" si="16"/>
        <v>3.3444000000000002E-2</v>
      </c>
      <c r="BH34" s="63">
        <v>1</v>
      </c>
      <c r="BI34" s="63">
        <f t="shared" si="17"/>
        <v>3.3444000000000002E-2</v>
      </c>
      <c r="BJ34" s="63">
        <f t="shared" si="18"/>
        <v>0.20640693218991207</v>
      </c>
      <c r="BK34" s="63">
        <f t="shared" si="19"/>
        <v>206.40693218991208</v>
      </c>
      <c r="BL34" s="63" cm="1">
        <f t="array" ref="BL34">IFERROR(INDEX(REF_TABLE!$G$7:$G$28,MATCH('DIST _PHASE_1_V1'!BK34,REF_TABLE!$G$7:$G$28,1)+1),"Aucune valeur supérieure")</f>
        <v>250</v>
      </c>
      <c r="BM34" s="63">
        <v>150</v>
      </c>
      <c r="BN34" s="69">
        <v>77</v>
      </c>
      <c r="BR34" s="69" t="s">
        <v>266</v>
      </c>
      <c r="BS34" s="69">
        <v>100.33199999999999</v>
      </c>
      <c r="BT34" s="69">
        <f t="shared" si="20"/>
        <v>0.10033199999999999</v>
      </c>
      <c r="BU34" s="63">
        <v>1</v>
      </c>
      <c r="BV34" s="63">
        <f t="shared" si="21"/>
        <v>0.10033199999999999</v>
      </c>
      <c r="BW34" s="63">
        <f t="shared" si="22"/>
        <v>0.35750729358735167</v>
      </c>
      <c r="BX34" s="63">
        <f t="shared" si="23"/>
        <v>357.50729358735168</v>
      </c>
      <c r="BY34" s="63" cm="1">
        <f t="array" ref="BY34">IFERROR(INDEX(REF_TABLE!$G$7:$G$28,MATCH('DIST _PHASE_1_V1'!BX34,REF_TABLE!$G$7:$G$28,1)+1),"Aucune valeur supérieure")</f>
        <v>400</v>
      </c>
      <c r="BZ34" s="63">
        <v>150</v>
      </c>
      <c r="CA34" s="69">
        <v>100.33199999999999</v>
      </c>
      <c r="CE34" s="69" t="s">
        <v>276</v>
      </c>
      <c r="CF34" s="69">
        <v>33.444000000000003</v>
      </c>
      <c r="CG34" s="69">
        <f t="shared" si="24"/>
        <v>3.3444000000000002E-2</v>
      </c>
      <c r="CH34" s="63">
        <v>1</v>
      </c>
      <c r="CI34" s="63">
        <f t="shared" si="25"/>
        <v>3.3444000000000002E-2</v>
      </c>
      <c r="CJ34" s="63">
        <f t="shared" si="26"/>
        <v>0.20640693218991207</v>
      </c>
      <c r="CK34" s="63">
        <f t="shared" si="27"/>
        <v>206.40693218991208</v>
      </c>
      <c r="CL34" s="63" cm="1">
        <f t="array" ref="CL34">IFERROR(INDEX(REF_TABLE!$G$7:$G$28,MATCH('DIST _PHASE_1_V1'!CK34,REF_TABLE!$G$7:$G$28,1)+1),"Aucune valeur supérieure")</f>
        <v>250</v>
      </c>
      <c r="CM34" s="63">
        <v>150</v>
      </c>
      <c r="CN34" s="69">
        <v>211</v>
      </c>
    </row>
    <row r="35" spans="5:92" x14ac:dyDescent="0.25">
      <c r="E35" s="69" t="s">
        <v>133</v>
      </c>
      <c r="F35" s="69">
        <v>66.888000000000005</v>
      </c>
      <c r="G35" s="69">
        <f t="shared" si="1"/>
        <v>6.6888000000000003E-2</v>
      </c>
      <c r="H35" s="63">
        <v>1</v>
      </c>
      <c r="I35" s="63">
        <f t="shared" si="2"/>
        <v>6.6888000000000003E-2</v>
      </c>
      <c r="J35" s="63">
        <f t="shared" si="0"/>
        <v>0.29190348287079743</v>
      </c>
      <c r="K35" s="63">
        <f t="shared" si="3"/>
        <v>291.9034828707974</v>
      </c>
      <c r="L35" s="63" cm="1">
        <f t="array" ref="L35">IFERROR(INDEX(REF_TABLE!$G$7:$G$28,MATCH('DIST _PHASE_1_V1'!K35,REF_TABLE!$G$7:$G$28,1)+1),"Aucune valeur supérieure")</f>
        <v>300</v>
      </c>
      <c r="M35" s="63">
        <v>150</v>
      </c>
      <c r="N35" s="69">
        <v>230</v>
      </c>
      <c r="R35" s="69" t="s">
        <v>185</v>
      </c>
      <c r="S35" s="69">
        <v>133.77500000000001</v>
      </c>
      <c r="T35" s="69">
        <f t="shared" si="4"/>
        <v>0.13377500000000001</v>
      </c>
      <c r="U35" s="63">
        <v>1</v>
      </c>
      <c r="V35" s="63">
        <f t="shared" si="5"/>
        <v>0.13377500000000001</v>
      </c>
      <c r="W35" s="63">
        <f t="shared" si="6"/>
        <v>0.41281232144747509</v>
      </c>
      <c r="X35" s="63">
        <f t="shared" si="7"/>
        <v>412.81232144747509</v>
      </c>
      <c r="Y35" s="63" cm="1">
        <f t="array" ref="Y35">IFERROR(INDEX(REF_TABLE!$G$7:$G$28,MATCH('DIST _PHASE_1_V1'!X35,REF_TABLE!$G$7:$G$28,1)+1),"Aucune valeur supérieure")</f>
        <v>421</v>
      </c>
      <c r="Z35" s="63">
        <v>150</v>
      </c>
      <c r="AA35" s="69">
        <v>315</v>
      </c>
      <c r="AE35" s="69" t="s">
        <v>221</v>
      </c>
      <c r="AF35" s="69">
        <v>33.444000000000003</v>
      </c>
      <c r="AG35" s="69">
        <f t="shared" si="8"/>
        <v>3.3444000000000002E-2</v>
      </c>
      <c r="AH35" s="63">
        <v>1</v>
      </c>
      <c r="AI35" s="63">
        <f t="shared" si="9"/>
        <v>3.3444000000000002E-2</v>
      </c>
      <c r="AJ35" s="63">
        <f t="shared" si="10"/>
        <v>0.20640693218991207</v>
      </c>
      <c r="AK35" s="63">
        <f t="shared" si="11"/>
        <v>206.40693218991208</v>
      </c>
      <c r="AL35" s="63" cm="1">
        <f t="array" ref="AL35">IFERROR(INDEX(REF_TABLE!$G$7:$G$28,MATCH('DIST _PHASE_1_V1'!AK35,REF_TABLE!$G$7:$G$28,1)+1),"Aucune valeur supérieure")</f>
        <v>250</v>
      </c>
      <c r="AM35" s="63">
        <v>150</v>
      </c>
      <c r="AN35" s="69">
        <v>132</v>
      </c>
      <c r="AR35" s="69" t="s">
        <v>210</v>
      </c>
      <c r="AS35" s="69">
        <v>133.77500000000001</v>
      </c>
      <c r="AT35" s="69">
        <f t="shared" si="12"/>
        <v>0.13377500000000001</v>
      </c>
      <c r="AU35" s="63">
        <v>1</v>
      </c>
      <c r="AV35" s="63">
        <f t="shared" si="13"/>
        <v>0.13377500000000001</v>
      </c>
      <c r="AW35" s="63">
        <f t="shared" si="14"/>
        <v>0.41281232144747509</v>
      </c>
      <c r="AX35" s="63">
        <f t="shared" si="15"/>
        <v>412.81232144747509</v>
      </c>
      <c r="AY35" s="63" cm="1">
        <f t="array" ref="AY35">IFERROR(INDEX(REF_TABLE!$G$7:$G$28,MATCH('DIST _PHASE_1_V1'!AX35,REF_TABLE!$G$7:$G$28,1)+1),"Aucune valeur supérieure")</f>
        <v>421</v>
      </c>
      <c r="AZ35" s="63">
        <v>150</v>
      </c>
      <c r="BA35" s="69">
        <v>87</v>
      </c>
      <c r="BE35" s="69" t="s">
        <v>249</v>
      </c>
      <c r="BF35" s="69">
        <v>33.444000000000003</v>
      </c>
      <c r="BG35" s="69">
        <f t="shared" si="16"/>
        <v>3.3444000000000002E-2</v>
      </c>
      <c r="BH35" s="63">
        <v>1</v>
      </c>
      <c r="BI35" s="63">
        <f t="shared" si="17"/>
        <v>3.3444000000000002E-2</v>
      </c>
      <c r="BJ35" s="63">
        <f t="shared" si="18"/>
        <v>0.20640693218991207</v>
      </c>
      <c r="BK35" s="63">
        <f t="shared" si="19"/>
        <v>206.40693218991208</v>
      </c>
      <c r="BL35" s="63" cm="1">
        <f t="array" ref="BL35">IFERROR(INDEX(REF_TABLE!$G$7:$G$28,MATCH('DIST _PHASE_1_V1'!BK35,REF_TABLE!$G$7:$G$28,1)+1),"Aucune valeur supérieure")</f>
        <v>250</v>
      </c>
      <c r="BM35" s="63">
        <v>150</v>
      </c>
      <c r="BN35" s="69">
        <v>191</v>
      </c>
      <c r="BR35" s="69" t="s">
        <v>287</v>
      </c>
      <c r="BS35" s="69">
        <v>100.33199999999999</v>
      </c>
      <c r="BT35" s="69">
        <f t="shared" si="20"/>
        <v>0.10033199999999999</v>
      </c>
      <c r="BU35" s="63">
        <v>1</v>
      </c>
      <c r="BV35" s="63">
        <f t="shared" si="21"/>
        <v>0.10033199999999999</v>
      </c>
      <c r="BW35" s="63">
        <f t="shared" si="22"/>
        <v>0.35750729358735167</v>
      </c>
      <c r="BX35" s="63">
        <f t="shared" si="23"/>
        <v>357.50729358735168</v>
      </c>
      <c r="BY35" s="63" cm="1">
        <f t="array" ref="BY35">IFERROR(INDEX(REF_TABLE!$G$7:$G$28,MATCH('DIST _PHASE_1_V1'!BX35,REF_TABLE!$G$7:$G$28,1)+1),"Aucune valeur supérieure")</f>
        <v>400</v>
      </c>
      <c r="BZ35" s="63">
        <v>150</v>
      </c>
      <c r="CA35" s="69">
        <v>100.33199999999999</v>
      </c>
      <c r="CE35" s="69" t="s">
        <v>316</v>
      </c>
      <c r="CF35" s="69">
        <v>33.444000000000003</v>
      </c>
      <c r="CG35" s="69">
        <f t="shared" si="24"/>
        <v>3.3444000000000002E-2</v>
      </c>
      <c r="CH35" s="63">
        <v>1</v>
      </c>
      <c r="CI35" s="63">
        <f t="shared" si="25"/>
        <v>3.3444000000000002E-2</v>
      </c>
      <c r="CJ35" s="63">
        <f t="shared" si="26"/>
        <v>0.20640693218991207</v>
      </c>
      <c r="CK35" s="63">
        <f t="shared" si="27"/>
        <v>206.40693218991208</v>
      </c>
      <c r="CL35" s="63" cm="1">
        <f t="array" ref="CL35">IFERROR(INDEX(REF_TABLE!$G$7:$G$28,MATCH('DIST _PHASE_1_V1'!CK35,REF_TABLE!$G$7:$G$28,1)+1),"Aucune valeur supérieure")</f>
        <v>250</v>
      </c>
      <c r="CM35" s="63">
        <v>150</v>
      </c>
      <c r="CN35" s="69">
        <v>414</v>
      </c>
    </row>
    <row r="36" spans="5:92" x14ac:dyDescent="0.25">
      <c r="E36" s="69" t="s">
        <v>132</v>
      </c>
      <c r="F36" s="69">
        <v>66.888000000000005</v>
      </c>
      <c r="G36" s="69">
        <f t="shared" si="1"/>
        <v>6.6888000000000003E-2</v>
      </c>
      <c r="H36" s="63">
        <v>1</v>
      </c>
      <c r="I36" s="63">
        <f t="shared" si="2"/>
        <v>6.6888000000000003E-2</v>
      </c>
      <c r="J36" s="63">
        <f t="shared" si="0"/>
        <v>0.29190348287079743</v>
      </c>
      <c r="K36" s="63">
        <f t="shared" si="3"/>
        <v>291.9034828707974</v>
      </c>
      <c r="L36" s="63" cm="1">
        <f t="array" ref="L36">IFERROR(INDEX(REF_TABLE!$G$7:$G$28,MATCH('DIST _PHASE_1_V1'!K36,REF_TABLE!$G$7:$G$28,1)+1),"Aucune valeur supérieure")</f>
        <v>300</v>
      </c>
      <c r="M36" s="63">
        <v>150</v>
      </c>
      <c r="N36" s="69">
        <v>101</v>
      </c>
      <c r="R36" s="69" t="s">
        <v>184</v>
      </c>
      <c r="S36" s="69">
        <v>133.77500000000001</v>
      </c>
      <c r="T36" s="69">
        <f t="shared" si="4"/>
        <v>0.13377500000000001</v>
      </c>
      <c r="U36" s="63">
        <v>1</v>
      </c>
      <c r="V36" s="63">
        <f t="shared" si="5"/>
        <v>0.13377500000000001</v>
      </c>
      <c r="W36" s="63">
        <f t="shared" si="6"/>
        <v>0.41281232144747509</v>
      </c>
      <c r="X36" s="63">
        <f t="shared" si="7"/>
        <v>412.81232144747509</v>
      </c>
      <c r="Y36" s="63" cm="1">
        <f t="array" ref="Y36">IFERROR(INDEX(REF_TABLE!$G$7:$G$28,MATCH('DIST _PHASE_1_V1'!X36,REF_TABLE!$G$7:$G$28,1)+1),"Aucune valeur supérieure")</f>
        <v>421</v>
      </c>
      <c r="Z36" s="63">
        <v>150</v>
      </c>
      <c r="AA36" s="69">
        <v>360</v>
      </c>
      <c r="AE36" s="69" t="s">
        <v>222</v>
      </c>
      <c r="AF36" s="69">
        <v>33.444000000000003</v>
      </c>
      <c r="AG36" s="69">
        <f t="shared" si="8"/>
        <v>3.3444000000000002E-2</v>
      </c>
      <c r="AH36" s="63">
        <v>1</v>
      </c>
      <c r="AI36" s="63">
        <f t="shared" si="9"/>
        <v>3.3444000000000002E-2</v>
      </c>
      <c r="AJ36" s="63">
        <f t="shared" si="10"/>
        <v>0.20640693218991207</v>
      </c>
      <c r="AK36" s="63">
        <f t="shared" si="11"/>
        <v>206.40693218991208</v>
      </c>
      <c r="AL36" s="63" cm="1">
        <f t="array" ref="AL36">IFERROR(INDEX(REF_TABLE!$G$7:$G$28,MATCH('DIST _PHASE_1_V1'!AK36,REF_TABLE!$G$7:$G$28,1)+1),"Aucune valeur supérieure")</f>
        <v>250</v>
      </c>
      <c r="AM36" s="63">
        <v>150</v>
      </c>
      <c r="AN36" s="69">
        <v>154</v>
      </c>
      <c r="AR36" s="69" t="s">
        <v>208</v>
      </c>
      <c r="AS36" s="69">
        <v>133.77500000000001</v>
      </c>
      <c r="AT36" s="69">
        <f t="shared" si="12"/>
        <v>0.13377500000000001</v>
      </c>
      <c r="AU36" s="63">
        <v>1</v>
      </c>
      <c r="AV36" s="63">
        <f t="shared" si="13"/>
        <v>0.13377500000000001</v>
      </c>
      <c r="AW36" s="63">
        <f t="shared" si="14"/>
        <v>0.41281232144747509</v>
      </c>
      <c r="AX36" s="63">
        <f t="shared" si="15"/>
        <v>412.81232144747509</v>
      </c>
      <c r="AY36" s="63" cm="1">
        <f t="array" ref="AY36">IFERROR(INDEX(REF_TABLE!$G$7:$G$28,MATCH('DIST _PHASE_1_V1'!AX36,REF_TABLE!$G$7:$G$28,1)+1),"Aucune valeur supérieure")</f>
        <v>421</v>
      </c>
      <c r="AZ36" s="63">
        <v>150</v>
      </c>
      <c r="BA36" s="69">
        <v>80</v>
      </c>
      <c r="BE36" s="69" t="s">
        <v>250</v>
      </c>
      <c r="BF36" s="69">
        <v>33.444000000000003</v>
      </c>
      <c r="BG36" s="69">
        <f t="shared" si="16"/>
        <v>3.3444000000000002E-2</v>
      </c>
      <c r="BH36" s="63">
        <v>1</v>
      </c>
      <c r="BI36" s="63">
        <f t="shared" si="17"/>
        <v>3.3444000000000002E-2</v>
      </c>
      <c r="BJ36" s="63">
        <f t="shared" si="18"/>
        <v>0.20640693218991207</v>
      </c>
      <c r="BK36" s="63">
        <f t="shared" si="19"/>
        <v>206.40693218991208</v>
      </c>
      <c r="BL36" s="63" cm="1">
        <f t="array" ref="BL36">IFERROR(INDEX(REF_TABLE!$G$7:$G$28,MATCH('DIST _PHASE_1_V1'!BK36,REF_TABLE!$G$7:$G$28,1)+1),"Aucune valeur supérieure")</f>
        <v>250</v>
      </c>
      <c r="BM36" s="63">
        <v>150</v>
      </c>
      <c r="BN36" s="69">
        <v>94</v>
      </c>
      <c r="BR36" s="69" t="s">
        <v>288</v>
      </c>
      <c r="BS36" s="69">
        <v>100.33199999999999</v>
      </c>
      <c r="BT36" s="69">
        <f t="shared" si="20"/>
        <v>0.10033199999999999</v>
      </c>
      <c r="BU36" s="63">
        <v>1</v>
      </c>
      <c r="BV36" s="63">
        <f t="shared" si="21"/>
        <v>0.10033199999999999</v>
      </c>
      <c r="BW36" s="63">
        <f t="shared" si="22"/>
        <v>0.35750729358735167</v>
      </c>
      <c r="BX36" s="63">
        <f t="shared" si="23"/>
        <v>357.50729358735168</v>
      </c>
      <c r="BY36" s="63" cm="1">
        <f t="array" ref="BY36">IFERROR(INDEX(REF_TABLE!$G$7:$G$28,MATCH('DIST _PHASE_1_V1'!BX36,REF_TABLE!$G$7:$G$28,1)+1),"Aucune valeur supérieure")</f>
        <v>400</v>
      </c>
      <c r="BZ36" s="63">
        <v>150</v>
      </c>
      <c r="CA36" s="69">
        <v>100.33199999999999</v>
      </c>
    </row>
    <row r="37" spans="5:92" x14ac:dyDescent="0.25">
      <c r="E37" s="69" t="s">
        <v>131</v>
      </c>
      <c r="F37" s="69">
        <v>66.888000000000005</v>
      </c>
      <c r="G37" s="69">
        <f t="shared" si="1"/>
        <v>6.6888000000000003E-2</v>
      </c>
      <c r="H37" s="63">
        <v>1</v>
      </c>
      <c r="I37" s="63">
        <f t="shared" si="2"/>
        <v>6.6888000000000003E-2</v>
      </c>
      <c r="J37" s="63">
        <f t="shared" si="0"/>
        <v>0.29190348287079743</v>
      </c>
      <c r="K37" s="63">
        <f t="shared" si="3"/>
        <v>291.9034828707974</v>
      </c>
      <c r="L37" s="63" cm="1">
        <f t="array" ref="L37">IFERROR(INDEX(REF_TABLE!$G$7:$G$28,MATCH('DIST _PHASE_1_V1'!K37,REF_TABLE!$G$7:$G$28,1)+1),"Aucune valeur supérieure")</f>
        <v>300</v>
      </c>
      <c r="M37" s="63">
        <v>150</v>
      </c>
      <c r="N37" s="69">
        <v>91</v>
      </c>
      <c r="R37" s="69" t="s">
        <v>200</v>
      </c>
      <c r="S37" s="69">
        <v>66.888000000000005</v>
      </c>
      <c r="T37" s="69">
        <f t="shared" si="4"/>
        <v>6.6888000000000003E-2</v>
      </c>
      <c r="U37" s="63">
        <v>1</v>
      </c>
      <c r="V37" s="63">
        <f t="shared" si="5"/>
        <v>6.6888000000000003E-2</v>
      </c>
      <c r="W37" s="63">
        <f t="shared" si="6"/>
        <v>0.29190348287079743</v>
      </c>
      <c r="X37" s="63">
        <f t="shared" si="7"/>
        <v>291.9034828707974</v>
      </c>
      <c r="Y37" s="63" cm="1">
        <f t="array" ref="Y37">IFERROR(INDEX(REF_TABLE!$G$7:$G$28,MATCH('DIST _PHASE_1_V1'!X37,REF_TABLE!$G$7:$G$28,1)+1),"Aucune valeur supérieure")</f>
        <v>300</v>
      </c>
      <c r="Z37" s="63">
        <v>150</v>
      </c>
      <c r="AA37" s="69">
        <v>222</v>
      </c>
      <c r="AE37" s="69" t="s">
        <v>223</v>
      </c>
      <c r="AF37" s="69">
        <v>33.444000000000003</v>
      </c>
      <c r="AG37" s="69">
        <f t="shared" si="8"/>
        <v>3.3444000000000002E-2</v>
      </c>
      <c r="AH37" s="63">
        <v>1</v>
      </c>
      <c r="AI37" s="63">
        <f t="shared" si="9"/>
        <v>3.3444000000000002E-2</v>
      </c>
      <c r="AJ37" s="63">
        <f t="shared" si="10"/>
        <v>0.20640693218991207</v>
      </c>
      <c r="AK37" s="63">
        <f t="shared" si="11"/>
        <v>206.40693218991208</v>
      </c>
      <c r="AL37" s="63" cm="1">
        <f t="array" ref="AL37">IFERROR(INDEX(REF_TABLE!$G$7:$G$28,MATCH('DIST _PHASE_1_V1'!AK37,REF_TABLE!$G$7:$G$28,1)+1),"Aucune valeur supérieure")</f>
        <v>250</v>
      </c>
      <c r="AM37" s="63">
        <v>150</v>
      </c>
      <c r="AN37" s="69">
        <v>76</v>
      </c>
      <c r="AR37" s="69" t="s">
        <v>229</v>
      </c>
      <c r="AS37" s="69">
        <v>33.444000000000003</v>
      </c>
      <c r="AT37" s="69">
        <f t="shared" si="12"/>
        <v>3.3444000000000002E-2</v>
      </c>
      <c r="AU37" s="63">
        <v>1</v>
      </c>
      <c r="AV37" s="63">
        <f t="shared" si="13"/>
        <v>3.3444000000000002E-2</v>
      </c>
      <c r="AW37" s="63">
        <f t="shared" si="14"/>
        <v>0.20640693218991207</v>
      </c>
      <c r="AX37" s="63">
        <f t="shared" si="15"/>
        <v>206.40693218991208</v>
      </c>
      <c r="AY37" s="63" cm="1">
        <f t="array" ref="AY37">IFERROR(INDEX(REF_TABLE!$G$7:$G$28,MATCH('DIST _PHASE_1_V1'!AX37,REF_TABLE!$G$7:$G$28,1)+1),"Aucune valeur supérieure")</f>
        <v>250</v>
      </c>
      <c r="AZ37" s="63">
        <v>150</v>
      </c>
      <c r="BA37" s="69">
        <v>91</v>
      </c>
      <c r="BE37" s="69" t="s">
        <v>269</v>
      </c>
      <c r="BF37" s="69">
        <v>33.444000000000003</v>
      </c>
      <c r="BG37" s="69">
        <f t="shared" si="16"/>
        <v>3.3444000000000002E-2</v>
      </c>
      <c r="BH37" s="63">
        <v>1</v>
      </c>
      <c r="BI37" s="63">
        <f t="shared" si="17"/>
        <v>3.3444000000000002E-2</v>
      </c>
      <c r="BJ37" s="63">
        <f t="shared" si="18"/>
        <v>0.20640693218991207</v>
      </c>
      <c r="BK37" s="63">
        <f t="shared" si="19"/>
        <v>206.40693218991208</v>
      </c>
      <c r="BL37" s="63" cm="1">
        <f t="array" ref="BL37">IFERROR(INDEX(REF_TABLE!$G$7:$G$28,MATCH('DIST _PHASE_1_V1'!BK37,REF_TABLE!$G$7:$G$28,1)+1),"Aucune valeur supérieure")</f>
        <v>250</v>
      </c>
      <c r="BM37" s="63">
        <v>150</v>
      </c>
      <c r="BN37" s="69">
        <v>186</v>
      </c>
      <c r="BR37" s="69" t="s">
        <v>289</v>
      </c>
      <c r="BS37" s="69">
        <v>100.33199999999999</v>
      </c>
      <c r="BT37" s="69">
        <f t="shared" si="20"/>
        <v>0.10033199999999999</v>
      </c>
      <c r="BU37" s="63">
        <v>1</v>
      </c>
      <c r="BV37" s="63">
        <f t="shared" si="21"/>
        <v>0.10033199999999999</v>
      </c>
      <c r="BW37" s="63">
        <f t="shared" si="22"/>
        <v>0.35750729358735167</v>
      </c>
      <c r="BX37" s="63">
        <f t="shared" si="23"/>
        <v>357.50729358735168</v>
      </c>
      <c r="BY37" s="63" cm="1">
        <f t="array" ref="BY37">IFERROR(INDEX(REF_TABLE!$G$7:$G$28,MATCH('DIST _PHASE_1_V1'!BX37,REF_TABLE!$G$7:$G$28,1)+1),"Aucune valeur supérieure")</f>
        <v>400</v>
      </c>
      <c r="BZ37" s="63">
        <v>150</v>
      </c>
      <c r="CA37" s="69">
        <v>100.33199999999999</v>
      </c>
    </row>
    <row r="38" spans="5:92" x14ac:dyDescent="0.25">
      <c r="E38" s="69" t="s">
        <v>172</v>
      </c>
      <c r="F38" s="69">
        <v>133.77500000000001</v>
      </c>
      <c r="G38" s="69">
        <f t="shared" si="1"/>
        <v>0.13377500000000001</v>
      </c>
      <c r="H38" s="63">
        <v>1</v>
      </c>
      <c r="I38" s="63">
        <f t="shared" si="2"/>
        <v>0.13377500000000001</v>
      </c>
      <c r="J38" s="63">
        <f t="shared" ref="J38:J68" si="28">SQRT(4*I38/3.14)</f>
        <v>0.41281232144747509</v>
      </c>
      <c r="K38" s="63">
        <f t="shared" si="3"/>
        <v>412.81232144747509</v>
      </c>
      <c r="L38" s="63" cm="1">
        <f t="array" ref="L38">IFERROR(INDEX(REF_TABLE!$G$7:$G$28,MATCH('DIST _PHASE_1_V1'!K38,REF_TABLE!$G$7:$G$28,1)+1),"Aucune valeur supérieure")</f>
        <v>421</v>
      </c>
      <c r="M38" s="63">
        <v>150</v>
      </c>
      <c r="N38" s="69">
        <v>128</v>
      </c>
      <c r="R38" s="69" t="s">
        <v>202</v>
      </c>
      <c r="S38" s="69">
        <v>66.888000000000005</v>
      </c>
      <c r="T38" s="69">
        <f t="shared" si="4"/>
        <v>6.6888000000000003E-2</v>
      </c>
      <c r="U38" s="63">
        <v>1</v>
      </c>
      <c r="V38" s="63">
        <f t="shared" si="5"/>
        <v>6.6888000000000003E-2</v>
      </c>
      <c r="W38" s="63">
        <f t="shared" si="6"/>
        <v>0.29190348287079743</v>
      </c>
      <c r="X38" s="63">
        <f t="shared" si="7"/>
        <v>291.9034828707974</v>
      </c>
      <c r="Y38" s="63" cm="1">
        <f t="array" ref="Y38">IFERROR(INDEX(REF_TABLE!$G$7:$G$28,MATCH('DIST _PHASE_1_V1'!X38,REF_TABLE!$G$7:$G$28,1)+1),"Aucune valeur supérieure")</f>
        <v>300</v>
      </c>
      <c r="Z38" s="63">
        <v>150</v>
      </c>
      <c r="AA38" s="69">
        <v>190</v>
      </c>
      <c r="AE38" s="69" t="s">
        <v>224</v>
      </c>
      <c r="AF38" s="69">
        <v>33.444000000000003</v>
      </c>
      <c r="AG38" s="69">
        <f t="shared" si="8"/>
        <v>3.3444000000000002E-2</v>
      </c>
      <c r="AH38" s="63">
        <v>1</v>
      </c>
      <c r="AI38" s="63">
        <f t="shared" si="9"/>
        <v>3.3444000000000002E-2</v>
      </c>
      <c r="AJ38" s="63">
        <f t="shared" si="10"/>
        <v>0.20640693218991207</v>
      </c>
      <c r="AK38" s="63">
        <f t="shared" si="11"/>
        <v>206.40693218991208</v>
      </c>
      <c r="AL38" s="63" cm="1">
        <f t="array" ref="AL38">IFERROR(INDEX(REF_TABLE!$G$7:$G$28,MATCH('DIST _PHASE_1_V1'!AK38,REF_TABLE!$G$7:$G$28,1)+1),"Aucune valeur supérieure")</f>
        <v>250</v>
      </c>
      <c r="AM38" s="63">
        <v>150</v>
      </c>
      <c r="AN38" s="69">
        <v>61</v>
      </c>
      <c r="AR38" s="69" t="s">
        <v>251</v>
      </c>
      <c r="AS38" s="69">
        <v>33.444000000000003</v>
      </c>
      <c r="AT38" s="69">
        <f t="shared" si="12"/>
        <v>3.3444000000000002E-2</v>
      </c>
      <c r="AU38" s="63">
        <v>1</v>
      </c>
      <c r="AV38" s="63">
        <f t="shared" si="13"/>
        <v>3.3444000000000002E-2</v>
      </c>
      <c r="AW38" s="63">
        <f t="shared" si="14"/>
        <v>0.20640693218991207</v>
      </c>
      <c r="AX38" s="63">
        <f t="shared" si="15"/>
        <v>206.40693218991208</v>
      </c>
      <c r="AY38" s="63" cm="1">
        <f t="array" ref="AY38">IFERROR(INDEX(REF_TABLE!$G$7:$G$28,MATCH('DIST _PHASE_1_V1'!AX38,REF_TABLE!$G$7:$G$28,1)+1),"Aucune valeur supérieure")</f>
        <v>250</v>
      </c>
      <c r="AZ38" s="63">
        <v>150</v>
      </c>
      <c r="BA38" s="69">
        <v>223</v>
      </c>
      <c r="BE38" s="69" t="s">
        <v>270</v>
      </c>
      <c r="BF38" s="69">
        <v>33.444000000000003</v>
      </c>
      <c r="BG38" s="69">
        <f t="shared" si="16"/>
        <v>3.3444000000000002E-2</v>
      </c>
      <c r="BH38" s="63">
        <v>1</v>
      </c>
      <c r="BI38" s="63">
        <f t="shared" si="17"/>
        <v>3.3444000000000002E-2</v>
      </c>
      <c r="BJ38" s="63">
        <f t="shared" si="18"/>
        <v>0.20640693218991207</v>
      </c>
      <c r="BK38" s="63">
        <f t="shared" si="19"/>
        <v>206.40693218991208</v>
      </c>
      <c r="BL38" s="63" cm="1">
        <f t="array" ref="BL38">IFERROR(INDEX(REF_TABLE!$G$7:$G$28,MATCH('DIST _PHASE_1_V1'!BK38,REF_TABLE!$G$7:$G$28,1)+1),"Aucune valeur supérieure")</f>
        <v>250</v>
      </c>
      <c r="BM38" s="63">
        <v>150</v>
      </c>
      <c r="BN38" s="69">
        <v>151</v>
      </c>
      <c r="BR38" s="69" t="s">
        <v>290</v>
      </c>
      <c r="BS38" s="69">
        <v>100.33199999999999</v>
      </c>
      <c r="BT38" s="69">
        <f t="shared" si="20"/>
        <v>0.10033199999999999</v>
      </c>
      <c r="BU38" s="63">
        <v>1</v>
      </c>
      <c r="BV38" s="63">
        <f t="shared" si="21"/>
        <v>0.10033199999999999</v>
      </c>
      <c r="BW38" s="63">
        <f t="shared" si="22"/>
        <v>0.35750729358735167</v>
      </c>
      <c r="BX38" s="63">
        <f t="shared" si="23"/>
        <v>357.50729358735168</v>
      </c>
      <c r="BY38" s="63" cm="1">
        <f t="array" ref="BY38">IFERROR(INDEX(REF_TABLE!$G$7:$G$28,MATCH('DIST _PHASE_1_V1'!BX38,REF_TABLE!$G$7:$G$28,1)+1),"Aucune valeur supérieure")</f>
        <v>400</v>
      </c>
      <c r="BZ38" s="63">
        <v>150</v>
      </c>
      <c r="CA38" s="69">
        <v>100.33199999999999</v>
      </c>
    </row>
    <row r="39" spans="5:92" x14ac:dyDescent="0.25">
      <c r="E39" s="69" t="s">
        <v>170</v>
      </c>
      <c r="F39" s="69">
        <v>133.77500000000001</v>
      </c>
      <c r="G39" s="69">
        <f t="shared" si="1"/>
        <v>0.13377500000000001</v>
      </c>
      <c r="H39" s="63">
        <v>1</v>
      </c>
      <c r="I39" s="63">
        <f t="shared" si="2"/>
        <v>0.13377500000000001</v>
      </c>
      <c r="J39" s="63">
        <f t="shared" si="28"/>
        <v>0.41281232144747509</v>
      </c>
      <c r="K39" s="63">
        <f t="shared" si="3"/>
        <v>412.81232144747509</v>
      </c>
      <c r="L39" s="63" cm="1">
        <f t="array" ref="L39">IFERROR(INDEX(REF_TABLE!$G$7:$G$28,MATCH('DIST _PHASE_1_V1'!K39,REF_TABLE!$G$7:$G$28,1)+1),"Aucune valeur supérieure")</f>
        <v>421</v>
      </c>
      <c r="M39" s="63">
        <v>150</v>
      </c>
      <c r="N39" s="69">
        <v>116</v>
      </c>
      <c r="R39" s="69" t="s">
        <v>201</v>
      </c>
      <c r="S39" s="69">
        <v>66.888000000000005</v>
      </c>
      <c r="T39" s="69">
        <f t="shared" si="4"/>
        <v>6.6888000000000003E-2</v>
      </c>
      <c r="U39" s="63">
        <v>1</v>
      </c>
      <c r="V39" s="63">
        <f t="shared" si="5"/>
        <v>6.6888000000000003E-2</v>
      </c>
      <c r="W39" s="63">
        <f t="shared" si="6"/>
        <v>0.29190348287079743</v>
      </c>
      <c r="X39" s="63">
        <f t="shared" si="7"/>
        <v>291.9034828707974</v>
      </c>
      <c r="Y39" s="63" cm="1">
        <f t="array" ref="Y39">IFERROR(INDEX(REF_TABLE!$G$7:$G$28,MATCH('DIST _PHASE_1_V1'!X39,REF_TABLE!$G$7:$G$28,1)+1),"Aucune valeur supérieure")</f>
        <v>300</v>
      </c>
      <c r="Z39" s="63">
        <v>150</v>
      </c>
      <c r="AA39" s="69">
        <v>290</v>
      </c>
      <c r="AE39" s="69" t="s">
        <v>225</v>
      </c>
      <c r="AF39" s="69">
        <v>33.444000000000003</v>
      </c>
      <c r="AG39" s="69">
        <f t="shared" si="8"/>
        <v>3.3444000000000002E-2</v>
      </c>
      <c r="AH39" s="63">
        <v>1</v>
      </c>
      <c r="AI39" s="63">
        <f t="shared" si="9"/>
        <v>3.3444000000000002E-2</v>
      </c>
      <c r="AJ39" s="63">
        <f t="shared" si="10"/>
        <v>0.20640693218991207</v>
      </c>
      <c r="AK39" s="63">
        <f t="shared" si="11"/>
        <v>206.40693218991208</v>
      </c>
      <c r="AL39" s="63" cm="1">
        <f t="array" ref="AL39">IFERROR(INDEX(REF_TABLE!$G$7:$G$28,MATCH('DIST _PHASE_1_V1'!AK39,REF_TABLE!$G$7:$G$28,1)+1),"Aucune valeur supérieure")</f>
        <v>250</v>
      </c>
      <c r="AM39" s="63">
        <v>150</v>
      </c>
      <c r="AN39" s="69">
        <v>241</v>
      </c>
      <c r="AR39" s="69" t="s">
        <v>234</v>
      </c>
      <c r="AS39" s="69">
        <v>66.888000000000005</v>
      </c>
      <c r="AT39" s="69">
        <f t="shared" si="12"/>
        <v>6.6888000000000003E-2</v>
      </c>
      <c r="AU39" s="63">
        <v>1</v>
      </c>
      <c r="AV39" s="63">
        <f t="shared" si="13"/>
        <v>6.6888000000000003E-2</v>
      </c>
      <c r="AW39" s="63">
        <f t="shared" si="14"/>
        <v>0.29190348287079743</v>
      </c>
      <c r="AX39" s="63">
        <f t="shared" si="15"/>
        <v>291.9034828707974</v>
      </c>
      <c r="AY39" s="63" cm="1">
        <f t="array" ref="AY39">IFERROR(INDEX(REF_TABLE!$G$7:$G$28,MATCH('DIST _PHASE_1_V1'!AX39,REF_TABLE!$G$7:$G$28,1)+1),"Aucune valeur supérieure")</f>
        <v>300</v>
      </c>
      <c r="AZ39" s="63">
        <v>150</v>
      </c>
      <c r="BA39" s="69">
        <v>584</v>
      </c>
      <c r="BE39" s="69" t="s">
        <v>272</v>
      </c>
      <c r="BF39" s="69">
        <v>33.444000000000003</v>
      </c>
      <c r="BG39" s="69">
        <f t="shared" si="16"/>
        <v>3.3444000000000002E-2</v>
      </c>
      <c r="BH39" s="63">
        <v>1</v>
      </c>
      <c r="BI39" s="63">
        <f t="shared" si="17"/>
        <v>3.3444000000000002E-2</v>
      </c>
      <c r="BJ39" s="63">
        <f t="shared" si="18"/>
        <v>0.20640693218991207</v>
      </c>
      <c r="BK39" s="63">
        <f t="shared" si="19"/>
        <v>206.40693218991208</v>
      </c>
      <c r="BL39" s="63" cm="1">
        <f t="array" ref="BL39">IFERROR(INDEX(REF_TABLE!$G$7:$G$28,MATCH('DIST _PHASE_1_V1'!BK39,REF_TABLE!$G$7:$G$28,1)+1),"Aucune valeur supérieure")</f>
        <v>250</v>
      </c>
      <c r="BM39" s="63">
        <v>150</v>
      </c>
      <c r="BN39" s="69">
        <v>395</v>
      </c>
      <c r="BR39" s="69" t="s">
        <v>291</v>
      </c>
      <c r="BS39" s="69">
        <v>100.33199999999999</v>
      </c>
      <c r="BT39" s="69">
        <f t="shared" si="20"/>
        <v>0.10033199999999999</v>
      </c>
      <c r="BU39" s="63">
        <v>1</v>
      </c>
      <c r="BV39" s="63">
        <f t="shared" si="21"/>
        <v>0.10033199999999999</v>
      </c>
      <c r="BW39" s="63">
        <f t="shared" si="22"/>
        <v>0.35750729358735167</v>
      </c>
      <c r="BX39" s="63">
        <f t="shared" si="23"/>
        <v>357.50729358735168</v>
      </c>
      <c r="BY39" s="63" cm="1">
        <f t="array" ref="BY39">IFERROR(INDEX(REF_TABLE!$G$7:$G$28,MATCH('DIST _PHASE_1_V1'!BX39,REF_TABLE!$G$7:$G$28,1)+1),"Aucune valeur supérieure")</f>
        <v>400</v>
      </c>
      <c r="BZ39" s="63">
        <v>150</v>
      </c>
      <c r="CA39" s="69">
        <v>100.33199999999999</v>
      </c>
    </row>
    <row r="40" spans="5:92" x14ac:dyDescent="0.25">
      <c r="E40" s="69" t="s">
        <v>171</v>
      </c>
      <c r="F40" s="69">
        <v>133.77500000000001</v>
      </c>
      <c r="G40" s="69">
        <f t="shared" si="1"/>
        <v>0.13377500000000001</v>
      </c>
      <c r="H40" s="63">
        <v>1</v>
      </c>
      <c r="I40" s="63">
        <f t="shared" si="2"/>
        <v>0.13377500000000001</v>
      </c>
      <c r="J40" s="63">
        <f t="shared" si="28"/>
        <v>0.41281232144747509</v>
      </c>
      <c r="K40" s="63">
        <f t="shared" si="3"/>
        <v>412.81232144747509</v>
      </c>
      <c r="L40" s="63" cm="1">
        <f t="array" ref="L40">IFERROR(INDEX(REF_TABLE!$G$7:$G$28,MATCH('DIST _PHASE_1_V1'!K40,REF_TABLE!$G$7:$G$28,1)+1),"Aucune valeur supérieure")</f>
        <v>421</v>
      </c>
      <c r="M40" s="63">
        <v>150</v>
      </c>
      <c r="N40" s="69">
        <v>248</v>
      </c>
      <c r="R40" s="69" t="s">
        <v>199</v>
      </c>
      <c r="S40" s="69">
        <v>66.888000000000005</v>
      </c>
      <c r="T40" s="69">
        <f t="shared" si="4"/>
        <v>6.6888000000000003E-2</v>
      </c>
      <c r="U40" s="63">
        <v>1</v>
      </c>
      <c r="V40" s="63">
        <f t="shared" si="5"/>
        <v>6.6888000000000003E-2</v>
      </c>
      <c r="W40" s="63">
        <f t="shared" si="6"/>
        <v>0.29190348287079743</v>
      </c>
      <c r="X40" s="63">
        <f t="shared" si="7"/>
        <v>291.9034828707974</v>
      </c>
      <c r="Y40" s="63" cm="1">
        <f t="array" ref="Y40">IFERROR(INDEX(REF_TABLE!$G$7:$G$28,MATCH('DIST _PHASE_1_V1'!X40,REF_TABLE!$G$7:$G$28,1)+1),"Aucune valeur supérieure")</f>
        <v>300</v>
      </c>
      <c r="Z40" s="63">
        <v>150</v>
      </c>
      <c r="AA40" s="69">
        <v>82</v>
      </c>
      <c r="AE40" s="69" t="s">
        <v>226</v>
      </c>
      <c r="AF40" s="69">
        <v>33.444000000000003</v>
      </c>
      <c r="AG40" s="69">
        <f t="shared" si="8"/>
        <v>3.3444000000000002E-2</v>
      </c>
      <c r="AH40" s="63">
        <v>1</v>
      </c>
      <c r="AI40" s="63">
        <f t="shared" si="9"/>
        <v>3.3444000000000002E-2</v>
      </c>
      <c r="AJ40" s="63">
        <f t="shared" si="10"/>
        <v>0.20640693218991207</v>
      </c>
      <c r="AK40" s="63">
        <f t="shared" si="11"/>
        <v>206.40693218991208</v>
      </c>
      <c r="AL40" s="63" cm="1">
        <f t="array" ref="AL40">IFERROR(INDEX(REF_TABLE!$G$7:$G$28,MATCH('DIST _PHASE_1_V1'!AK40,REF_TABLE!$G$7:$G$28,1)+1),"Aucune valeur supérieure")</f>
        <v>250</v>
      </c>
      <c r="AM40" s="63">
        <v>150</v>
      </c>
      <c r="AN40" s="69">
        <v>79</v>
      </c>
      <c r="AR40" s="69" t="s">
        <v>252</v>
      </c>
      <c r="AS40" s="69">
        <v>33.444000000000003</v>
      </c>
      <c r="AT40" s="69">
        <f t="shared" si="12"/>
        <v>3.3444000000000002E-2</v>
      </c>
      <c r="AU40" s="63">
        <v>1</v>
      </c>
      <c r="AV40" s="63">
        <f t="shared" si="13"/>
        <v>3.3444000000000002E-2</v>
      </c>
      <c r="AW40" s="63">
        <f t="shared" si="14"/>
        <v>0.20640693218991207</v>
      </c>
      <c r="AX40" s="63">
        <f t="shared" si="15"/>
        <v>206.40693218991208</v>
      </c>
      <c r="AY40" s="63" cm="1">
        <f t="array" ref="AY40">IFERROR(INDEX(REF_TABLE!$G$7:$G$28,MATCH('DIST _PHASE_1_V1'!AX40,REF_TABLE!$G$7:$G$28,1)+1),"Aucune valeur supérieure")</f>
        <v>250</v>
      </c>
      <c r="AZ40" s="63">
        <v>150</v>
      </c>
      <c r="BA40" s="69">
        <v>166</v>
      </c>
      <c r="BE40" s="69" t="s">
        <v>271</v>
      </c>
      <c r="BF40" s="69">
        <v>33.444000000000003</v>
      </c>
      <c r="BG40" s="69">
        <f t="shared" si="16"/>
        <v>3.3444000000000002E-2</v>
      </c>
      <c r="BH40" s="63">
        <v>1</v>
      </c>
      <c r="BI40" s="63">
        <f t="shared" si="17"/>
        <v>3.3444000000000002E-2</v>
      </c>
      <c r="BJ40" s="63">
        <f t="shared" si="18"/>
        <v>0.20640693218991207</v>
      </c>
      <c r="BK40" s="63">
        <f t="shared" si="19"/>
        <v>206.40693218991208</v>
      </c>
      <c r="BL40" s="63" cm="1">
        <f t="array" ref="BL40">IFERROR(INDEX(REF_TABLE!$G$7:$G$28,MATCH('DIST _PHASE_1_V1'!BK40,REF_TABLE!$G$7:$G$28,1)+1),"Aucune valeur supérieure")</f>
        <v>250</v>
      </c>
      <c r="BM40" s="63">
        <v>150</v>
      </c>
      <c r="BN40" s="69">
        <v>407</v>
      </c>
      <c r="BR40" s="69" t="s">
        <v>292</v>
      </c>
      <c r="BS40" s="69">
        <v>100.33199999999999</v>
      </c>
      <c r="BT40" s="69">
        <f t="shared" si="20"/>
        <v>0.10033199999999999</v>
      </c>
      <c r="BU40" s="63">
        <v>1</v>
      </c>
      <c r="BV40" s="63">
        <f t="shared" si="21"/>
        <v>0.10033199999999999</v>
      </c>
      <c r="BW40" s="63">
        <f t="shared" si="22"/>
        <v>0.35750729358735167</v>
      </c>
      <c r="BX40" s="63">
        <f t="shared" si="23"/>
        <v>357.50729358735168</v>
      </c>
      <c r="BY40" s="63" cm="1">
        <f t="array" ref="BY40">IFERROR(INDEX(REF_TABLE!$G$7:$G$28,MATCH('DIST _PHASE_1_V1'!BX40,REF_TABLE!$G$7:$G$28,1)+1),"Aucune valeur supérieure")</f>
        <v>400</v>
      </c>
      <c r="BZ40" s="63">
        <v>150</v>
      </c>
      <c r="CA40" s="69">
        <v>100.33199999999999</v>
      </c>
    </row>
    <row r="41" spans="5:92" x14ac:dyDescent="0.25">
      <c r="E41" s="69" t="s">
        <v>169</v>
      </c>
      <c r="F41" s="69">
        <v>133.77500000000001</v>
      </c>
      <c r="G41" s="69">
        <f t="shared" si="1"/>
        <v>0.13377500000000001</v>
      </c>
      <c r="H41" s="63">
        <v>1</v>
      </c>
      <c r="I41" s="63">
        <f t="shared" si="2"/>
        <v>0.13377500000000001</v>
      </c>
      <c r="J41" s="63">
        <f t="shared" si="28"/>
        <v>0.41281232144747509</v>
      </c>
      <c r="K41" s="63">
        <f t="shared" si="3"/>
        <v>412.81232144747509</v>
      </c>
      <c r="L41" s="63" cm="1">
        <f t="array" ref="L41">IFERROR(INDEX(REF_TABLE!$G$7:$G$28,MATCH('DIST _PHASE_1_V1'!K41,REF_TABLE!$G$7:$G$28,1)+1),"Aucune valeur supérieure")</f>
        <v>421</v>
      </c>
      <c r="M41" s="63">
        <v>150</v>
      </c>
      <c r="N41" s="69">
        <v>74</v>
      </c>
      <c r="R41" s="69" t="s">
        <v>198</v>
      </c>
      <c r="S41" s="69">
        <v>66.888000000000005</v>
      </c>
      <c r="T41" s="69">
        <f t="shared" si="4"/>
        <v>6.6888000000000003E-2</v>
      </c>
      <c r="U41" s="63">
        <v>1</v>
      </c>
      <c r="V41" s="63">
        <f t="shared" si="5"/>
        <v>6.6888000000000003E-2</v>
      </c>
      <c r="W41" s="63">
        <f t="shared" si="6"/>
        <v>0.29190348287079743</v>
      </c>
      <c r="X41" s="63">
        <f t="shared" si="7"/>
        <v>291.9034828707974</v>
      </c>
      <c r="Y41" s="63" cm="1">
        <f t="array" ref="Y41">IFERROR(INDEX(REF_TABLE!$G$7:$G$28,MATCH('DIST _PHASE_1_V1'!X41,REF_TABLE!$G$7:$G$28,1)+1),"Aucune valeur supérieure")</f>
        <v>300</v>
      </c>
      <c r="Z41" s="63">
        <v>150</v>
      </c>
      <c r="AA41" s="69">
        <v>75</v>
      </c>
      <c r="AE41" s="69" t="s">
        <v>228</v>
      </c>
      <c r="AF41" s="69">
        <v>33.444000000000003</v>
      </c>
      <c r="AG41" s="69">
        <f t="shared" si="8"/>
        <v>3.3444000000000002E-2</v>
      </c>
      <c r="AH41" s="63">
        <v>1</v>
      </c>
      <c r="AI41" s="63">
        <f t="shared" si="9"/>
        <v>3.3444000000000002E-2</v>
      </c>
      <c r="AJ41" s="63">
        <f t="shared" si="10"/>
        <v>0.20640693218991207</v>
      </c>
      <c r="AK41" s="63">
        <f t="shared" si="11"/>
        <v>206.40693218991208</v>
      </c>
      <c r="AL41" s="63" cm="1">
        <f t="array" ref="AL41">IFERROR(INDEX(REF_TABLE!$G$7:$G$28,MATCH('DIST _PHASE_1_V1'!AK41,REF_TABLE!$G$7:$G$28,1)+1),"Aucune valeur supérieure")</f>
        <v>250</v>
      </c>
      <c r="AM41" s="63">
        <v>150</v>
      </c>
      <c r="AN41" s="69">
        <v>74</v>
      </c>
      <c r="AR41" s="69" t="s">
        <v>253</v>
      </c>
      <c r="AS41" s="69">
        <v>33.444000000000003</v>
      </c>
      <c r="AT41" s="69">
        <f t="shared" si="12"/>
        <v>3.3444000000000002E-2</v>
      </c>
      <c r="AU41" s="63">
        <v>1</v>
      </c>
      <c r="AV41" s="63">
        <f t="shared" si="13"/>
        <v>3.3444000000000002E-2</v>
      </c>
      <c r="AW41" s="63">
        <f t="shared" si="14"/>
        <v>0.20640693218991207</v>
      </c>
      <c r="AX41" s="63">
        <f t="shared" si="15"/>
        <v>206.40693218991208</v>
      </c>
      <c r="AY41" s="63" cm="1">
        <f t="array" ref="AY41">IFERROR(INDEX(REF_TABLE!$G$7:$G$28,MATCH('DIST _PHASE_1_V1'!AX41,REF_TABLE!$G$7:$G$28,1)+1),"Aucune valeur supérieure")</f>
        <v>250</v>
      </c>
      <c r="AZ41" s="63">
        <v>150</v>
      </c>
      <c r="BA41" s="69">
        <v>202</v>
      </c>
      <c r="BE41" s="69" t="s">
        <v>273</v>
      </c>
      <c r="BF41" s="69">
        <v>33.444000000000003</v>
      </c>
      <c r="BG41" s="69">
        <f t="shared" si="16"/>
        <v>3.3444000000000002E-2</v>
      </c>
      <c r="BH41" s="63">
        <v>1</v>
      </c>
      <c r="BI41" s="63">
        <f t="shared" si="17"/>
        <v>3.3444000000000002E-2</v>
      </c>
      <c r="BJ41" s="63">
        <f t="shared" si="18"/>
        <v>0.20640693218991207</v>
      </c>
      <c r="BK41" s="63">
        <f t="shared" si="19"/>
        <v>206.40693218991208</v>
      </c>
      <c r="BL41" s="63" cm="1">
        <f t="array" ref="BL41">IFERROR(INDEX(REF_TABLE!$G$7:$G$28,MATCH('DIST _PHASE_1_V1'!BK41,REF_TABLE!$G$7:$G$28,1)+1),"Aucune valeur supérieure")</f>
        <v>250</v>
      </c>
      <c r="BM41" s="63">
        <v>150</v>
      </c>
      <c r="BN41" s="69">
        <v>275</v>
      </c>
      <c r="BR41" s="69" t="s">
        <v>293</v>
      </c>
      <c r="BS41" s="69">
        <v>100.33199999999999</v>
      </c>
      <c r="BT41" s="69">
        <f t="shared" si="20"/>
        <v>0.10033199999999999</v>
      </c>
      <c r="BU41" s="63">
        <v>1</v>
      </c>
      <c r="BV41" s="63">
        <f t="shared" si="21"/>
        <v>0.10033199999999999</v>
      </c>
      <c r="BW41" s="63">
        <f t="shared" si="22"/>
        <v>0.35750729358735167</v>
      </c>
      <c r="BX41" s="63">
        <f t="shared" si="23"/>
        <v>357.50729358735168</v>
      </c>
      <c r="BY41" s="63" cm="1">
        <f t="array" ref="BY41">IFERROR(INDEX(REF_TABLE!$G$7:$G$28,MATCH('DIST _PHASE_1_V1'!BX41,REF_TABLE!$G$7:$G$28,1)+1),"Aucune valeur supérieure")</f>
        <v>400</v>
      </c>
      <c r="BZ41" s="63">
        <v>150</v>
      </c>
      <c r="CA41" s="69">
        <v>100.33199999999999</v>
      </c>
    </row>
    <row r="42" spans="5:92" x14ac:dyDescent="0.25">
      <c r="E42" s="69" t="s">
        <v>168</v>
      </c>
      <c r="F42" s="69">
        <v>133.77500000000001</v>
      </c>
      <c r="G42" s="69">
        <f t="shared" si="1"/>
        <v>0.13377500000000001</v>
      </c>
      <c r="H42" s="63">
        <v>1</v>
      </c>
      <c r="I42" s="63">
        <f t="shared" si="2"/>
        <v>0.13377500000000001</v>
      </c>
      <c r="J42" s="63">
        <f t="shared" si="28"/>
        <v>0.41281232144747509</v>
      </c>
      <c r="K42" s="63">
        <f t="shared" si="3"/>
        <v>412.81232144747509</v>
      </c>
      <c r="L42" s="63" cm="1">
        <f t="array" ref="L42">IFERROR(INDEX(REF_TABLE!$G$7:$G$28,MATCH('DIST _PHASE_1_V1'!K42,REF_TABLE!$G$7:$G$28,1)+1),"Aucune valeur supérieure")</f>
        <v>421</v>
      </c>
      <c r="M42" s="63">
        <v>150</v>
      </c>
      <c r="N42" s="69">
        <v>88</v>
      </c>
      <c r="R42" s="69" t="s">
        <v>197</v>
      </c>
      <c r="S42" s="69">
        <v>66.888000000000005</v>
      </c>
      <c r="T42" s="69">
        <f t="shared" si="4"/>
        <v>6.6888000000000003E-2</v>
      </c>
      <c r="U42" s="63">
        <v>1</v>
      </c>
      <c r="V42" s="63">
        <f t="shared" si="5"/>
        <v>6.6888000000000003E-2</v>
      </c>
      <c r="W42" s="63">
        <f t="shared" si="6"/>
        <v>0.29190348287079743</v>
      </c>
      <c r="X42" s="63">
        <f t="shared" si="7"/>
        <v>291.9034828707974</v>
      </c>
      <c r="Y42" s="63" cm="1">
        <f t="array" ref="Y42">IFERROR(INDEX(REF_TABLE!$G$7:$G$28,MATCH('DIST _PHASE_1_V1'!X42,REF_TABLE!$G$7:$G$28,1)+1),"Aucune valeur supérieure")</f>
        <v>300</v>
      </c>
      <c r="Z42" s="63">
        <v>150</v>
      </c>
      <c r="AA42" s="69">
        <v>108</v>
      </c>
      <c r="AE42" s="69" t="s">
        <v>227</v>
      </c>
      <c r="AF42" s="69">
        <v>33.444000000000003</v>
      </c>
      <c r="AG42" s="69">
        <f t="shared" si="8"/>
        <v>3.3444000000000002E-2</v>
      </c>
      <c r="AH42" s="63">
        <v>1</v>
      </c>
      <c r="AI42" s="63">
        <f t="shared" si="9"/>
        <v>3.3444000000000002E-2</v>
      </c>
      <c r="AJ42" s="63">
        <f t="shared" si="10"/>
        <v>0.20640693218991207</v>
      </c>
      <c r="AK42" s="63">
        <f t="shared" si="11"/>
        <v>206.40693218991208</v>
      </c>
      <c r="AL42" s="63" cm="1">
        <f t="array" ref="AL42">IFERROR(INDEX(REF_TABLE!$G$7:$G$28,MATCH('DIST _PHASE_1_V1'!AK42,REF_TABLE!$G$7:$G$28,1)+1),"Aucune valeur supérieure")</f>
        <v>250</v>
      </c>
      <c r="AM42" s="63">
        <v>150</v>
      </c>
      <c r="AN42" s="69">
        <v>234</v>
      </c>
      <c r="AR42" s="69" t="s">
        <v>235</v>
      </c>
      <c r="AS42" s="69">
        <v>33.444000000000003</v>
      </c>
      <c r="AT42" s="69">
        <f t="shared" si="12"/>
        <v>3.3444000000000002E-2</v>
      </c>
      <c r="AU42" s="63">
        <v>1</v>
      </c>
      <c r="AV42" s="63">
        <f t="shared" si="13"/>
        <v>3.3444000000000002E-2</v>
      </c>
      <c r="AW42" s="63">
        <f t="shared" si="14"/>
        <v>0.20640693218991207</v>
      </c>
      <c r="AX42" s="63">
        <f t="shared" si="15"/>
        <v>206.40693218991208</v>
      </c>
      <c r="AY42" s="63" cm="1">
        <f t="array" ref="AY42">IFERROR(INDEX(REF_TABLE!$G$7:$G$28,MATCH('DIST _PHASE_1_V1'!AX42,REF_TABLE!$G$7:$G$28,1)+1),"Aucune valeur supérieure")</f>
        <v>250</v>
      </c>
      <c r="AZ42" s="63">
        <v>150</v>
      </c>
      <c r="BA42" s="69">
        <v>100</v>
      </c>
      <c r="BE42" s="69" t="s">
        <v>274</v>
      </c>
      <c r="BF42" s="69">
        <v>33.444000000000003</v>
      </c>
      <c r="BG42" s="69">
        <f t="shared" si="16"/>
        <v>3.3444000000000002E-2</v>
      </c>
      <c r="BH42" s="63">
        <v>1</v>
      </c>
      <c r="BI42" s="63">
        <f t="shared" si="17"/>
        <v>3.3444000000000002E-2</v>
      </c>
      <c r="BJ42" s="63">
        <f t="shared" si="18"/>
        <v>0.20640693218991207</v>
      </c>
      <c r="BK42" s="63">
        <f t="shared" si="19"/>
        <v>206.40693218991208</v>
      </c>
      <c r="BL42" s="63" cm="1">
        <f t="array" ref="BL42">IFERROR(INDEX(REF_TABLE!$G$7:$G$28,MATCH('DIST _PHASE_1_V1'!BK42,REF_TABLE!$G$7:$G$28,1)+1),"Aucune valeur supérieure")</f>
        <v>250</v>
      </c>
      <c r="BM42" s="63">
        <v>150</v>
      </c>
      <c r="BN42" s="69">
        <v>196</v>
      </c>
      <c r="BR42" s="69" t="s">
        <v>294</v>
      </c>
      <c r="BS42" s="69">
        <v>100.33199999999999</v>
      </c>
      <c r="BT42" s="69">
        <f t="shared" si="20"/>
        <v>0.10033199999999999</v>
      </c>
      <c r="BU42" s="63">
        <v>1</v>
      </c>
      <c r="BV42" s="63">
        <f t="shared" si="21"/>
        <v>0.10033199999999999</v>
      </c>
      <c r="BW42" s="63">
        <f t="shared" si="22"/>
        <v>0.35750729358735167</v>
      </c>
      <c r="BX42" s="63">
        <f t="shared" si="23"/>
        <v>357.50729358735168</v>
      </c>
      <c r="BY42" s="63" cm="1">
        <f t="array" ref="BY42">IFERROR(INDEX(REF_TABLE!$G$7:$G$28,MATCH('DIST _PHASE_1_V1'!BX42,REF_TABLE!$G$7:$G$28,1)+1),"Aucune valeur supérieure")</f>
        <v>400</v>
      </c>
      <c r="BZ42" s="63">
        <v>150</v>
      </c>
      <c r="CA42" s="69">
        <v>100.33199999999999</v>
      </c>
    </row>
    <row r="43" spans="5:92" x14ac:dyDescent="0.25">
      <c r="E43" s="69" t="s">
        <v>167</v>
      </c>
      <c r="F43" s="69">
        <v>133.77500000000001</v>
      </c>
      <c r="G43" s="69">
        <f t="shared" si="1"/>
        <v>0.13377500000000001</v>
      </c>
      <c r="H43" s="63">
        <v>1</v>
      </c>
      <c r="I43" s="63">
        <f t="shared" si="2"/>
        <v>0.13377500000000001</v>
      </c>
      <c r="J43" s="63">
        <f t="shared" si="28"/>
        <v>0.41281232144747509</v>
      </c>
      <c r="K43" s="63">
        <f t="shared" si="3"/>
        <v>412.81232144747509</v>
      </c>
      <c r="L43" s="63" cm="1">
        <f t="array" ref="L43">IFERROR(INDEX(REF_TABLE!$G$7:$G$28,MATCH('DIST _PHASE_1_V1'!K43,REF_TABLE!$G$7:$G$28,1)+1),"Aucune valeur supérieure")</f>
        <v>421</v>
      </c>
      <c r="M43" s="63">
        <v>150</v>
      </c>
      <c r="N43" s="69">
        <v>111</v>
      </c>
      <c r="R43" s="69" t="s">
        <v>196</v>
      </c>
      <c r="S43" s="69">
        <v>66.888000000000005</v>
      </c>
      <c r="T43" s="69">
        <f t="shared" si="4"/>
        <v>6.6888000000000003E-2</v>
      </c>
      <c r="U43" s="63">
        <v>1</v>
      </c>
      <c r="V43" s="63">
        <f t="shared" si="5"/>
        <v>6.6888000000000003E-2</v>
      </c>
      <c r="W43" s="63">
        <f t="shared" si="6"/>
        <v>0.29190348287079743</v>
      </c>
      <c r="X43" s="63">
        <f t="shared" si="7"/>
        <v>291.9034828707974</v>
      </c>
      <c r="Y43" s="63" cm="1">
        <f t="array" ref="Y43">IFERROR(INDEX(REF_TABLE!$G$7:$G$28,MATCH('DIST _PHASE_1_V1'!X43,REF_TABLE!$G$7:$G$28,1)+1),"Aucune valeur supérieure")</f>
        <v>300</v>
      </c>
      <c r="Z43" s="63">
        <v>150</v>
      </c>
      <c r="AA43" s="69">
        <v>150</v>
      </c>
      <c r="AR43" s="69" t="s">
        <v>236</v>
      </c>
      <c r="AS43" s="69">
        <v>33.444000000000003</v>
      </c>
      <c r="AT43" s="69">
        <f t="shared" si="12"/>
        <v>3.3444000000000002E-2</v>
      </c>
      <c r="AU43" s="63">
        <v>1</v>
      </c>
      <c r="AV43" s="63">
        <f t="shared" si="13"/>
        <v>3.3444000000000002E-2</v>
      </c>
      <c r="AW43" s="63">
        <f t="shared" si="14"/>
        <v>0.20640693218991207</v>
      </c>
      <c r="AX43" s="63">
        <f t="shared" si="15"/>
        <v>206.40693218991208</v>
      </c>
      <c r="AY43" s="63" cm="1">
        <f t="array" ref="AY43">IFERROR(INDEX(REF_TABLE!$G$7:$G$28,MATCH('DIST _PHASE_1_V1'!AX43,REF_TABLE!$G$7:$G$28,1)+1),"Aucune valeur supérieure")</f>
        <v>250</v>
      </c>
      <c r="AZ43" s="63">
        <v>150</v>
      </c>
      <c r="BA43" s="69">
        <v>45</v>
      </c>
      <c r="BE43" s="69" t="s">
        <v>275</v>
      </c>
      <c r="BF43" s="69">
        <v>33.444000000000003</v>
      </c>
      <c r="BG43" s="69">
        <f t="shared" si="16"/>
        <v>3.3444000000000002E-2</v>
      </c>
      <c r="BH43" s="63">
        <v>1</v>
      </c>
      <c r="BI43" s="63">
        <f t="shared" si="17"/>
        <v>3.3444000000000002E-2</v>
      </c>
      <c r="BJ43" s="63">
        <f t="shared" si="18"/>
        <v>0.20640693218991207</v>
      </c>
      <c r="BK43" s="63">
        <f t="shared" si="19"/>
        <v>206.40693218991208</v>
      </c>
      <c r="BL43" s="63" cm="1">
        <f t="array" ref="BL43">IFERROR(INDEX(REF_TABLE!$G$7:$G$28,MATCH('DIST _PHASE_1_V1'!BK43,REF_TABLE!$G$7:$G$28,1)+1),"Aucune valeur supérieure")</f>
        <v>250</v>
      </c>
      <c r="BM43" s="63">
        <v>150</v>
      </c>
      <c r="BN43" s="69">
        <v>205</v>
      </c>
      <c r="BR43" s="69" t="s">
        <v>295</v>
      </c>
      <c r="BS43" s="69">
        <v>100.33199999999999</v>
      </c>
      <c r="BT43" s="69">
        <f t="shared" si="20"/>
        <v>0.10033199999999999</v>
      </c>
      <c r="BU43" s="63">
        <v>1</v>
      </c>
      <c r="BV43" s="63">
        <f t="shared" si="21"/>
        <v>0.10033199999999999</v>
      </c>
      <c r="BW43" s="63">
        <f t="shared" si="22"/>
        <v>0.35750729358735167</v>
      </c>
      <c r="BX43" s="63">
        <f t="shared" si="23"/>
        <v>357.50729358735168</v>
      </c>
      <c r="BY43" s="63" cm="1">
        <f t="array" ref="BY43">IFERROR(INDEX(REF_TABLE!$G$7:$G$28,MATCH('DIST _PHASE_1_V1'!BX43,REF_TABLE!$G$7:$G$28,1)+1),"Aucune valeur supérieure")</f>
        <v>400</v>
      </c>
      <c r="BZ43" s="63">
        <v>150</v>
      </c>
      <c r="CA43" s="69">
        <v>100.33199999999999</v>
      </c>
    </row>
    <row r="44" spans="5:92" x14ac:dyDescent="0.25">
      <c r="E44" s="69" t="s">
        <v>166</v>
      </c>
      <c r="F44" s="69">
        <v>133.77500000000001</v>
      </c>
      <c r="G44" s="69">
        <f t="shared" si="1"/>
        <v>0.13377500000000001</v>
      </c>
      <c r="H44" s="63">
        <v>1</v>
      </c>
      <c r="I44" s="63">
        <f t="shared" si="2"/>
        <v>0.13377500000000001</v>
      </c>
      <c r="J44" s="63">
        <f t="shared" si="28"/>
        <v>0.41281232144747509</v>
      </c>
      <c r="K44" s="63">
        <f t="shared" si="3"/>
        <v>412.81232144747509</v>
      </c>
      <c r="L44" s="63" cm="1">
        <f t="array" ref="L44">IFERROR(INDEX(REF_TABLE!$G$7:$G$28,MATCH('DIST _PHASE_1_V1'!K44,REF_TABLE!$G$7:$G$28,1)+1),"Aucune valeur supérieure")</f>
        <v>421</v>
      </c>
      <c r="M44" s="63">
        <v>150</v>
      </c>
      <c r="N44" s="69">
        <v>129</v>
      </c>
      <c r="R44" s="69" t="s">
        <v>195</v>
      </c>
      <c r="S44" s="69">
        <v>66.888000000000005</v>
      </c>
      <c r="T44" s="69">
        <f t="shared" si="4"/>
        <v>6.6888000000000003E-2</v>
      </c>
      <c r="U44" s="63">
        <v>1</v>
      </c>
      <c r="V44" s="63">
        <f t="shared" si="5"/>
        <v>6.6888000000000003E-2</v>
      </c>
      <c r="W44" s="63">
        <f t="shared" si="6"/>
        <v>0.29190348287079743</v>
      </c>
      <c r="X44" s="63">
        <f t="shared" si="7"/>
        <v>291.9034828707974</v>
      </c>
      <c r="Y44" s="63" cm="1">
        <f t="array" ref="Y44">IFERROR(INDEX(REF_TABLE!$G$7:$G$28,MATCH('DIST _PHASE_1_V1'!X44,REF_TABLE!$G$7:$G$28,1)+1),"Aucune valeur supérieure")</f>
        <v>300</v>
      </c>
      <c r="Z44" s="63">
        <v>150</v>
      </c>
      <c r="AA44" s="69">
        <v>54</v>
      </c>
      <c r="AR44" s="69" t="s">
        <v>237</v>
      </c>
      <c r="AS44" s="69">
        <v>33.444000000000003</v>
      </c>
      <c r="AT44" s="69">
        <f t="shared" si="12"/>
        <v>3.3444000000000002E-2</v>
      </c>
      <c r="AU44" s="63">
        <v>1</v>
      </c>
      <c r="AV44" s="63">
        <f t="shared" si="13"/>
        <v>3.3444000000000002E-2</v>
      </c>
      <c r="AW44" s="63">
        <f t="shared" si="14"/>
        <v>0.20640693218991207</v>
      </c>
      <c r="AX44" s="63">
        <f t="shared" si="15"/>
        <v>206.40693218991208</v>
      </c>
      <c r="AY44" s="63" cm="1">
        <f t="array" ref="AY44">IFERROR(INDEX(REF_TABLE!$G$7:$G$28,MATCH('DIST _PHASE_1_V1'!AX44,REF_TABLE!$G$7:$G$28,1)+1),"Aucune valeur supérieure")</f>
        <v>250</v>
      </c>
      <c r="AZ44" s="63">
        <v>150</v>
      </c>
      <c r="BA44" s="69">
        <v>65</v>
      </c>
      <c r="BE44" s="69" t="s">
        <v>277</v>
      </c>
      <c r="BF44" s="69">
        <v>33.444000000000003</v>
      </c>
      <c r="BG44" s="69">
        <f t="shared" si="16"/>
        <v>3.3444000000000002E-2</v>
      </c>
      <c r="BH44" s="63">
        <v>1</v>
      </c>
      <c r="BI44" s="63">
        <f t="shared" si="17"/>
        <v>3.3444000000000002E-2</v>
      </c>
      <c r="BJ44" s="63">
        <f t="shared" si="18"/>
        <v>0.20640693218991207</v>
      </c>
      <c r="BK44" s="63">
        <f t="shared" si="19"/>
        <v>206.40693218991208</v>
      </c>
      <c r="BL44" s="63" cm="1">
        <f t="array" ref="BL44">IFERROR(INDEX(REF_TABLE!$G$7:$G$28,MATCH('DIST _PHASE_1_V1'!BK44,REF_TABLE!$G$7:$G$28,1)+1),"Aucune valeur supérieure")</f>
        <v>250</v>
      </c>
      <c r="BM44" s="63">
        <v>150</v>
      </c>
      <c r="BN44" s="69">
        <v>340</v>
      </c>
      <c r="BR44" s="69" t="s">
        <v>296</v>
      </c>
      <c r="BS44" s="69">
        <v>100.33199999999999</v>
      </c>
      <c r="BT44" s="69">
        <f t="shared" si="20"/>
        <v>0.10033199999999999</v>
      </c>
      <c r="BU44" s="63">
        <v>1</v>
      </c>
      <c r="BV44" s="63">
        <f t="shared" si="21"/>
        <v>0.10033199999999999</v>
      </c>
      <c r="BW44" s="63">
        <f t="shared" si="22"/>
        <v>0.35750729358735167</v>
      </c>
      <c r="BX44" s="63">
        <f t="shared" si="23"/>
        <v>357.50729358735168</v>
      </c>
      <c r="BY44" s="63" cm="1">
        <f t="array" ref="BY44">IFERROR(INDEX(REF_TABLE!$G$7:$G$28,MATCH('DIST _PHASE_1_V1'!BX44,REF_TABLE!$G$7:$G$28,1)+1),"Aucune valeur supérieure")</f>
        <v>400</v>
      </c>
      <c r="BZ44" s="63">
        <v>150</v>
      </c>
      <c r="CA44" s="69">
        <v>100.33199999999999</v>
      </c>
    </row>
    <row r="45" spans="5:92" x14ac:dyDescent="0.25">
      <c r="E45" s="69" t="s">
        <v>165</v>
      </c>
      <c r="F45" s="69">
        <v>133.77500000000001</v>
      </c>
      <c r="G45" s="69">
        <f t="shared" si="1"/>
        <v>0.13377500000000001</v>
      </c>
      <c r="H45" s="63">
        <v>1</v>
      </c>
      <c r="I45" s="63">
        <f t="shared" si="2"/>
        <v>0.13377500000000001</v>
      </c>
      <c r="J45" s="63">
        <f t="shared" si="28"/>
        <v>0.41281232144747509</v>
      </c>
      <c r="K45" s="63">
        <f t="shared" si="3"/>
        <v>412.81232144747509</v>
      </c>
      <c r="L45" s="63" cm="1">
        <f t="array" ref="L45">IFERROR(INDEX(REF_TABLE!$G$7:$G$28,MATCH('DIST _PHASE_1_V1'!K45,REF_TABLE!$G$7:$G$28,1)+1),"Aucune valeur supérieure")</f>
        <v>421</v>
      </c>
      <c r="M45" s="63">
        <v>150</v>
      </c>
      <c r="N45" s="69">
        <v>201</v>
      </c>
      <c r="R45" s="69" t="s">
        <v>194</v>
      </c>
      <c r="S45" s="69">
        <v>66.888000000000005</v>
      </c>
      <c r="T45" s="69">
        <f t="shared" si="4"/>
        <v>6.6888000000000003E-2</v>
      </c>
      <c r="U45" s="63">
        <v>1</v>
      </c>
      <c r="V45" s="63">
        <f t="shared" si="5"/>
        <v>6.6888000000000003E-2</v>
      </c>
      <c r="W45" s="63">
        <f t="shared" si="6"/>
        <v>0.29190348287079743</v>
      </c>
      <c r="X45" s="63">
        <f t="shared" si="7"/>
        <v>291.9034828707974</v>
      </c>
      <c r="Y45" s="63" cm="1">
        <f t="array" ref="Y45">IFERROR(INDEX(REF_TABLE!$G$7:$G$28,MATCH('DIST _PHASE_1_V1'!X45,REF_TABLE!$G$7:$G$28,1)+1),"Aucune valeur supérieure")</f>
        <v>300</v>
      </c>
      <c r="Z45" s="63">
        <v>150</v>
      </c>
      <c r="AA45" s="69">
        <v>93</v>
      </c>
      <c r="AR45" s="69" t="s">
        <v>238</v>
      </c>
      <c r="AS45" s="69">
        <v>33.444000000000003</v>
      </c>
      <c r="AT45" s="69">
        <f t="shared" si="12"/>
        <v>3.3444000000000002E-2</v>
      </c>
      <c r="AU45" s="63">
        <v>1</v>
      </c>
      <c r="AV45" s="63">
        <f t="shared" si="13"/>
        <v>3.3444000000000002E-2</v>
      </c>
      <c r="AW45" s="63">
        <f t="shared" si="14"/>
        <v>0.20640693218991207</v>
      </c>
      <c r="AX45" s="63">
        <f t="shared" si="15"/>
        <v>206.40693218991208</v>
      </c>
      <c r="AY45" s="63" cm="1">
        <f t="array" ref="AY45">IFERROR(INDEX(REF_TABLE!$G$7:$G$28,MATCH('DIST _PHASE_1_V1'!AX45,REF_TABLE!$G$7:$G$28,1)+1),"Aucune valeur supérieure")</f>
        <v>250</v>
      </c>
      <c r="AZ45" s="63">
        <v>150</v>
      </c>
      <c r="BA45" s="69">
        <v>73</v>
      </c>
      <c r="BR45" s="69" t="s">
        <v>297</v>
      </c>
      <c r="BS45" s="69">
        <v>100.33199999999999</v>
      </c>
      <c r="BT45" s="69">
        <f t="shared" si="20"/>
        <v>0.10033199999999999</v>
      </c>
      <c r="BU45" s="63">
        <v>1</v>
      </c>
      <c r="BV45" s="63">
        <f t="shared" si="21"/>
        <v>0.10033199999999999</v>
      </c>
      <c r="BW45" s="63">
        <f t="shared" si="22"/>
        <v>0.35750729358735167</v>
      </c>
      <c r="BX45" s="63">
        <f t="shared" si="23"/>
        <v>357.50729358735168</v>
      </c>
      <c r="BY45" s="63" cm="1">
        <f t="array" ref="BY45">IFERROR(INDEX(REF_TABLE!$G$7:$G$28,MATCH('DIST _PHASE_1_V1'!BX45,REF_TABLE!$G$7:$G$28,1)+1),"Aucune valeur supérieure")</f>
        <v>400</v>
      </c>
      <c r="BZ45" s="63">
        <v>150</v>
      </c>
      <c r="CA45" s="69">
        <v>100.33199999999999</v>
      </c>
    </row>
    <row r="46" spans="5:92" x14ac:dyDescent="0.25">
      <c r="E46" s="69" t="s">
        <v>164</v>
      </c>
      <c r="F46" s="69">
        <v>133.77500000000001</v>
      </c>
      <c r="G46" s="69">
        <f t="shared" si="1"/>
        <v>0.13377500000000001</v>
      </c>
      <c r="H46" s="63">
        <v>1</v>
      </c>
      <c r="I46" s="63">
        <f t="shared" si="2"/>
        <v>0.13377500000000001</v>
      </c>
      <c r="J46" s="63">
        <f t="shared" si="28"/>
        <v>0.41281232144747509</v>
      </c>
      <c r="K46" s="63">
        <f t="shared" si="3"/>
        <v>412.81232144747509</v>
      </c>
      <c r="L46" s="63" cm="1">
        <f t="array" ref="L46">IFERROR(INDEX(REF_TABLE!$G$7:$G$28,MATCH('DIST _PHASE_1_V1'!K46,REF_TABLE!$G$7:$G$28,1)+1),"Aucune valeur supérieure")</f>
        <v>421</v>
      </c>
      <c r="M46" s="63">
        <v>150</v>
      </c>
      <c r="N46" s="69">
        <v>41</v>
      </c>
      <c r="R46" s="69" t="s">
        <v>193</v>
      </c>
      <c r="S46" s="69">
        <v>66.888000000000005</v>
      </c>
      <c r="T46" s="69">
        <f t="shared" si="4"/>
        <v>6.6888000000000003E-2</v>
      </c>
      <c r="U46" s="63">
        <v>1</v>
      </c>
      <c r="V46" s="63">
        <f t="shared" si="5"/>
        <v>6.6888000000000003E-2</v>
      </c>
      <c r="W46" s="63">
        <f t="shared" si="6"/>
        <v>0.29190348287079743</v>
      </c>
      <c r="X46" s="63">
        <f t="shared" si="7"/>
        <v>291.9034828707974</v>
      </c>
      <c r="Y46" s="63" cm="1">
        <f t="array" ref="Y46">IFERROR(INDEX(REF_TABLE!$G$7:$G$28,MATCH('DIST _PHASE_1_V1'!X46,REF_TABLE!$G$7:$G$28,1)+1),"Aucune valeur supérieure")</f>
        <v>300</v>
      </c>
      <c r="Z46" s="63">
        <v>150</v>
      </c>
      <c r="AA46" s="69">
        <v>88</v>
      </c>
      <c r="AR46" s="69" t="s">
        <v>239</v>
      </c>
      <c r="AS46" s="69">
        <v>33.444000000000003</v>
      </c>
      <c r="AT46" s="69">
        <f t="shared" si="12"/>
        <v>3.3444000000000002E-2</v>
      </c>
      <c r="AU46" s="63">
        <v>1</v>
      </c>
      <c r="AV46" s="63">
        <f t="shared" si="13"/>
        <v>3.3444000000000002E-2</v>
      </c>
      <c r="AW46" s="63">
        <f t="shared" si="14"/>
        <v>0.20640693218991207</v>
      </c>
      <c r="AX46" s="63">
        <f t="shared" si="15"/>
        <v>206.40693218991208</v>
      </c>
      <c r="AY46" s="63" cm="1">
        <f t="array" ref="AY46">IFERROR(INDEX(REF_TABLE!$G$7:$G$28,MATCH('DIST _PHASE_1_V1'!AX46,REF_TABLE!$G$7:$G$28,1)+1),"Aucune valeur supérieure")</f>
        <v>250</v>
      </c>
      <c r="AZ46" s="63">
        <v>150</v>
      </c>
      <c r="BA46" s="69">
        <v>216</v>
      </c>
      <c r="BR46" s="69" t="s">
        <v>298</v>
      </c>
      <c r="BS46" s="69">
        <v>100.33199999999999</v>
      </c>
      <c r="BT46" s="69">
        <f t="shared" si="20"/>
        <v>0.10033199999999999</v>
      </c>
      <c r="BU46" s="63">
        <v>1</v>
      </c>
      <c r="BV46" s="63">
        <f t="shared" si="21"/>
        <v>0.10033199999999999</v>
      </c>
      <c r="BW46" s="63">
        <f t="shared" si="22"/>
        <v>0.35750729358735167</v>
      </c>
      <c r="BX46" s="63">
        <f t="shared" si="23"/>
        <v>357.50729358735168</v>
      </c>
      <c r="BY46" s="63" cm="1">
        <f t="array" ref="BY46">IFERROR(INDEX(REF_TABLE!$G$7:$G$28,MATCH('DIST _PHASE_1_V1'!BX46,REF_TABLE!$G$7:$G$28,1)+1),"Aucune valeur supérieure")</f>
        <v>400</v>
      </c>
      <c r="BZ46" s="63">
        <v>150</v>
      </c>
      <c r="CA46" s="69">
        <v>100.33199999999999</v>
      </c>
    </row>
    <row r="47" spans="5:92" x14ac:dyDescent="0.25">
      <c r="E47" s="69" t="s">
        <v>163</v>
      </c>
      <c r="F47" s="69">
        <v>133.77500000000001</v>
      </c>
      <c r="G47" s="69">
        <f t="shared" si="1"/>
        <v>0.13377500000000001</v>
      </c>
      <c r="H47" s="63">
        <v>1</v>
      </c>
      <c r="I47" s="63">
        <f t="shared" si="2"/>
        <v>0.13377500000000001</v>
      </c>
      <c r="J47" s="63">
        <f t="shared" si="28"/>
        <v>0.41281232144747509</v>
      </c>
      <c r="K47" s="63">
        <f t="shared" si="3"/>
        <v>412.81232144747509</v>
      </c>
      <c r="L47" s="63" cm="1">
        <f t="array" ref="L47">IFERROR(INDEX(REF_TABLE!$G$7:$G$28,MATCH('DIST _PHASE_1_V1'!K47,REF_TABLE!$G$7:$G$28,1)+1),"Aucune valeur supérieure")</f>
        <v>421</v>
      </c>
      <c r="M47" s="63">
        <v>150</v>
      </c>
      <c r="N47" s="69">
        <v>63</v>
      </c>
      <c r="R47" s="69" t="s">
        <v>183</v>
      </c>
      <c r="S47" s="69">
        <v>66.888000000000005</v>
      </c>
      <c r="T47" s="69">
        <f t="shared" si="4"/>
        <v>6.6888000000000003E-2</v>
      </c>
      <c r="U47" s="63">
        <v>1</v>
      </c>
      <c r="V47" s="63">
        <f t="shared" si="5"/>
        <v>6.6888000000000003E-2</v>
      </c>
      <c r="W47" s="63">
        <f t="shared" si="6"/>
        <v>0.29190348287079743</v>
      </c>
      <c r="X47" s="63">
        <f t="shared" si="7"/>
        <v>291.9034828707974</v>
      </c>
      <c r="Y47" s="63" cm="1">
        <f t="array" ref="Y47">IFERROR(INDEX(REF_TABLE!$G$7:$G$28,MATCH('DIST _PHASE_1_V1'!X47,REF_TABLE!$G$7:$G$28,1)+1),"Aucune valeur supérieure")</f>
        <v>300</v>
      </c>
      <c r="Z47" s="63">
        <v>150</v>
      </c>
      <c r="AA47" s="69">
        <v>152</v>
      </c>
      <c r="AR47" s="69" t="s">
        <v>240</v>
      </c>
      <c r="AS47" s="69">
        <v>33.444000000000003</v>
      </c>
      <c r="AT47" s="69">
        <f t="shared" si="12"/>
        <v>3.3444000000000002E-2</v>
      </c>
      <c r="AU47" s="63">
        <v>1</v>
      </c>
      <c r="AV47" s="63">
        <f t="shared" si="13"/>
        <v>3.3444000000000002E-2</v>
      </c>
      <c r="AW47" s="63">
        <f t="shared" si="14"/>
        <v>0.20640693218991207</v>
      </c>
      <c r="AX47" s="63">
        <f t="shared" si="15"/>
        <v>206.40693218991208</v>
      </c>
      <c r="AY47" s="63" cm="1">
        <f t="array" ref="AY47">IFERROR(INDEX(REF_TABLE!$G$7:$G$28,MATCH('DIST _PHASE_1_V1'!AX47,REF_TABLE!$G$7:$G$28,1)+1),"Aucune valeur supérieure")</f>
        <v>250</v>
      </c>
      <c r="AZ47" s="63">
        <v>150</v>
      </c>
      <c r="BA47" s="69">
        <v>58</v>
      </c>
      <c r="BR47" s="69" t="s">
        <v>299</v>
      </c>
      <c r="BS47" s="69">
        <v>100.33199999999999</v>
      </c>
      <c r="BT47" s="69">
        <f t="shared" si="20"/>
        <v>0.10033199999999999</v>
      </c>
      <c r="BU47" s="63">
        <v>1</v>
      </c>
      <c r="BV47" s="63">
        <f t="shared" si="21"/>
        <v>0.10033199999999999</v>
      </c>
      <c r="BW47" s="63">
        <f t="shared" si="22"/>
        <v>0.35750729358735167</v>
      </c>
      <c r="BX47" s="63">
        <f t="shared" si="23"/>
        <v>357.50729358735168</v>
      </c>
      <c r="BY47" s="63" cm="1">
        <f t="array" ref="BY47">IFERROR(INDEX(REF_TABLE!$G$7:$G$28,MATCH('DIST _PHASE_1_V1'!BX47,REF_TABLE!$G$7:$G$28,1)+1),"Aucune valeur supérieure")</f>
        <v>400</v>
      </c>
      <c r="BZ47" s="63">
        <v>150</v>
      </c>
      <c r="CA47" s="69">
        <v>100.33199999999999</v>
      </c>
    </row>
    <row r="48" spans="5:92" x14ac:dyDescent="0.25">
      <c r="E48" s="69" t="s">
        <v>162</v>
      </c>
      <c r="F48" s="69">
        <v>133.77500000000001</v>
      </c>
      <c r="G48" s="69">
        <f t="shared" si="1"/>
        <v>0.13377500000000001</v>
      </c>
      <c r="H48" s="63">
        <v>1</v>
      </c>
      <c r="I48" s="63">
        <f t="shared" si="2"/>
        <v>0.13377500000000001</v>
      </c>
      <c r="J48" s="63">
        <f t="shared" si="28"/>
        <v>0.41281232144747509</v>
      </c>
      <c r="K48" s="63">
        <f t="shared" si="3"/>
        <v>412.81232144747509</v>
      </c>
      <c r="L48" s="63" cm="1">
        <f t="array" ref="L48">IFERROR(INDEX(REF_TABLE!$G$7:$G$28,MATCH('DIST _PHASE_1_V1'!K48,REF_TABLE!$G$7:$G$28,1)+1),"Aucune valeur supérieure")</f>
        <v>421</v>
      </c>
      <c r="M48" s="63">
        <v>150</v>
      </c>
      <c r="N48" s="69">
        <v>250</v>
      </c>
      <c r="R48" s="69" t="s">
        <v>192</v>
      </c>
      <c r="S48" s="69">
        <v>66.888000000000005</v>
      </c>
      <c r="T48" s="69">
        <f t="shared" si="4"/>
        <v>6.6888000000000003E-2</v>
      </c>
      <c r="U48" s="63">
        <v>1</v>
      </c>
      <c r="V48" s="63">
        <f t="shared" si="5"/>
        <v>6.6888000000000003E-2</v>
      </c>
      <c r="W48" s="63">
        <f t="shared" si="6"/>
        <v>0.29190348287079743</v>
      </c>
      <c r="X48" s="63">
        <f t="shared" si="7"/>
        <v>291.9034828707974</v>
      </c>
      <c r="Y48" s="63" cm="1">
        <f t="array" ref="Y48">IFERROR(INDEX(REF_TABLE!$G$7:$G$28,MATCH('DIST _PHASE_1_V1'!X48,REF_TABLE!$G$7:$G$28,1)+1),"Aucune valeur supérieure")</f>
        <v>300</v>
      </c>
      <c r="Z48" s="63">
        <v>150</v>
      </c>
      <c r="AA48" s="69">
        <v>68</v>
      </c>
      <c r="AR48" s="69" t="s">
        <v>241</v>
      </c>
      <c r="AS48" s="69">
        <v>33.444000000000003</v>
      </c>
      <c r="AT48" s="69">
        <f t="shared" si="12"/>
        <v>3.3444000000000002E-2</v>
      </c>
      <c r="AU48" s="63">
        <v>1</v>
      </c>
      <c r="AV48" s="63">
        <f t="shared" si="13"/>
        <v>3.3444000000000002E-2</v>
      </c>
      <c r="AW48" s="63">
        <f t="shared" si="14"/>
        <v>0.20640693218991207</v>
      </c>
      <c r="AX48" s="63">
        <f t="shared" si="15"/>
        <v>206.40693218991208</v>
      </c>
      <c r="AY48" s="63" cm="1">
        <f t="array" ref="AY48">IFERROR(INDEX(REF_TABLE!$G$7:$G$28,MATCH('DIST _PHASE_1_V1'!AX48,REF_TABLE!$G$7:$G$28,1)+1),"Aucune valeur supérieure")</f>
        <v>250</v>
      </c>
      <c r="AZ48" s="63">
        <v>150</v>
      </c>
      <c r="BA48" s="69">
        <v>73</v>
      </c>
      <c r="BR48" s="69" t="s">
        <v>300</v>
      </c>
      <c r="BS48" s="69">
        <v>100.33199999999999</v>
      </c>
      <c r="BT48" s="69">
        <f t="shared" si="20"/>
        <v>0.10033199999999999</v>
      </c>
      <c r="BU48" s="63">
        <v>1</v>
      </c>
      <c r="BV48" s="63">
        <f t="shared" si="21"/>
        <v>0.10033199999999999</v>
      </c>
      <c r="BW48" s="63">
        <f t="shared" si="22"/>
        <v>0.35750729358735167</v>
      </c>
      <c r="BX48" s="63">
        <f t="shared" si="23"/>
        <v>357.50729358735168</v>
      </c>
      <c r="BY48" s="63" cm="1">
        <f t="array" ref="BY48">IFERROR(INDEX(REF_TABLE!$G$7:$G$28,MATCH('DIST _PHASE_1_V1'!BX48,REF_TABLE!$G$7:$G$28,1)+1),"Aucune valeur supérieure")</f>
        <v>400</v>
      </c>
      <c r="BZ48" s="63">
        <v>150</v>
      </c>
      <c r="CA48" s="69">
        <v>100.33199999999999</v>
      </c>
    </row>
    <row r="49" spans="5:79" x14ac:dyDescent="0.25">
      <c r="E49" s="69" t="s">
        <v>161</v>
      </c>
      <c r="F49" s="69">
        <v>133.77500000000001</v>
      </c>
      <c r="G49" s="69">
        <f t="shared" si="1"/>
        <v>0.13377500000000001</v>
      </c>
      <c r="H49" s="63">
        <v>1</v>
      </c>
      <c r="I49" s="63">
        <f t="shared" si="2"/>
        <v>0.13377500000000001</v>
      </c>
      <c r="J49" s="63">
        <f t="shared" si="28"/>
        <v>0.41281232144747509</v>
      </c>
      <c r="K49" s="63">
        <f t="shared" si="3"/>
        <v>412.81232144747509</v>
      </c>
      <c r="L49" s="63" cm="1">
        <f t="array" ref="L49">IFERROR(INDEX(REF_TABLE!$G$7:$G$28,MATCH('DIST _PHASE_1_V1'!K49,REF_TABLE!$G$7:$G$28,1)+1),"Aucune valeur supérieure")</f>
        <v>421</v>
      </c>
      <c r="M49" s="63">
        <v>150</v>
      </c>
      <c r="N49" s="69">
        <v>77</v>
      </c>
      <c r="T49" s="78"/>
      <c r="AR49" s="69" t="s">
        <v>243</v>
      </c>
      <c r="AS49" s="69">
        <v>33.444000000000003</v>
      </c>
      <c r="AT49" s="69">
        <f t="shared" si="12"/>
        <v>3.3444000000000002E-2</v>
      </c>
      <c r="AU49" s="63">
        <v>1</v>
      </c>
      <c r="AV49" s="63">
        <f t="shared" si="13"/>
        <v>3.3444000000000002E-2</v>
      </c>
      <c r="AW49" s="63">
        <f t="shared" si="14"/>
        <v>0.20640693218991207</v>
      </c>
      <c r="AX49" s="63">
        <f t="shared" si="15"/>
        <v>206.40693218991208</v>
      </c>
      <c r="AY49" s="63" cm="1">
        <f t="array" ref="AY49">IFERROR(INDEX(REF_TABLE!$G$7:$G$28,MATCH('DIST _PHASE_1_V1'!AX49,REF_TABLE!$G$7:$G$28,1)+1),"Aucune valeur supérieure")</f>
        <v>250</v>
      </c>
      <c r="AZ49" s="63">
        <v>150</v>
      </c>
      <c r="BA49" s="69">
        <v>51</v>
      </c>
      <c r="BR49" s="69" t="s">
        <v>301</v>
      </c>
      <c r="BS49" s="69">
        <v>100.33199999999999</v>
      </c>
      <c r="BT49" s="69">
        <f t="shared" si="20"/>
        <v>0.10033199999999999</v>
      </c>
      <c r="BU49" s="63">
        <v>1</v>
      </c>
      <c r="BV49" s="63">
        <f t="shared" si="21"/>
        <v>0.10033199999999999</v>
      </c>
      <c r="BW49" s="63">
        <f t="shared" si="22"/>
        <v>0.35750729358735167</v>
      </c>
      <c r="BX49" s="63">
        <f t="shared" si="23"/>
        <v>357.50729358735168</v>
      </c>
      <c r="BY49" s="63" cm="1">
        <f t="array" ref="BY49">IFERROR(INDEX(REF_TABLE!$G$7:$G$28,MATCH('DIST _PHASE_1_V1'!BX49,REF_TABLE!$G$7:$G$28,1)+1),"Aucune valeur supérieure")</f>
        <v>400</v>
      </c>
      <c r="BZ49" s="63">
        <v>150</v>
      </c>
      <c r="CA49" s="69">
        <v>100.33199999999999</v>
      </c>
    </row>
    <row r="50" spans="5:79" x14ac:dyDescent="0.25">
      <c r="E50" s="69" t="s">
        <v>160</v>
      </c>
      <c r="F50" s="69">
        <v>133.77500000000001</v>
      </c>
      <c r="G50" s="69">
        <f t="shared" si="1"/>
        <v>0.13377500000000001</v>
      </c>
      <c r="H50" s="63">
        <v>1</v>
      </c>
      <c r="I50" s="63">
        <f t="shared" si="2"/>
        <v>0.13377500000000001</v>
      </c>
      <c r="J50" s="63">
        <f t="shared" si="28"/>
        <v>0.41281232144747509</v>
      </c>
      <c r="K50" s="63">
        <f t="shared" si="3"/>
        <v>412.81232144747509</v>
      </c>
      <c r="L50" s="63" cm="1">
        <f t="array" ref="L50">IFERROR(INDEX(REF_TABLE!$G$7:$G$28,MATCH('DIST _PHASE_1_V1'!K50,REF_TABLE!$G$7:$G$28,1)+1),"Aucune valeur supérieure")</f>
        <v>421</v>
      </c>
      <c r="M50" s="63">
        <v>150</v>
      </c>
      <c r="N50" s="69">
        <v>73</v>
      </c>
      <c r="T50" s="78"/>
      <c r="AR50" s="69" t="s">
        <v>242</v>
      </c>
      <c r="AS50" s="69">
        <v>33.444000000000003</v>
      </c>
      <c r="AT50" s="69">
        <f t="shared" si="12"/>
        <v>3.3444000000000002E-2</v>
      </c>
      <c r="AU50" s="63">
        <v>1</v>
      </c>
      <c r="AV50" s="63">
        <f t="shared" si="13"/>
        <v>3.3444000000000002E-2</v>
      </c>
      <c r="AW50" s="63">
        <f t="shared" si="14"/>
        <v>0.20640693218991207</v>
      </c>
      <c r="AX50" s="63">
        <f t="shared" si="15"/>
        <v>206.40693218991208</v>
      </c>
      <c r="AY50" s="63" cm="1">
        <f t="array" ref="AY50">IFERROR(INDEX(REF_TABLE!$G$7:$G$28,MATCH('DIST _PHASE_1_V1'!AX50,REF_TABLE!$G$7:$G$28,1)+1),"Aucune valeur supérieure")</f>
        <v>250</v>
      </c>
      <c r="AZ50" s="63">
        <v>150</v>
      </c>
      <c r="BA50" s="69">
        <v>79</v>
      </c>
      <c r="BR50" s="69" t="s">
        <v>302</v>
      </c>
      <c r="BS50" s="69">
        <v>100.33199999999999</v>
      </c>
      <c r="BT50" s="69">
        <f t="shared" si="20"/>
        <v>0.10033199999999999</v>
      </c>
      <c r="BU50" s="63">
        <v>1</v>
      </c>
      <c r="BV50" s="63">
        <f t="shared" si="21"/>
        <v>0.10033199999999999</v>
      </c>
      <c r="BW50" s="63">
        <f t="shared" si="22"/>
        <v>0.35750729358735167</v>
      </c>
      <c r="BX50" s="63">
        <f t="shared" si="23"/>
        <v>357.50729358735168</v>
      </c>
      <c r="BY50" s="63" cm="1">
        <f t="array" ref="BY50">IFERROR(INDEX(REF_TABLE!$G$7:$G$28,MATCH('DIST _PHASE_1_V1'!BX50,REF_TABLE!$G$7:$G$28,1)+1),"Aucune valeur supérieure")</f>
        <v>400</v>
      </c>
      <c r="BZ50" s="63">
        <v>150</v>
      </c>
      <c r="CA50" s="69">
        <v>100.33199999999999</v>
      </c>
    </row>
    <row r="51" spans="5:79" x14ac:dyDescent="0.25">
      <c r="E51" s="69" t="s">
        <v>159</v>
      </c>
      <c r="F51" s="69">
        <v>133.77500000000001</v>
      </c>
      <c r="G51" s="69">
        <f t="shared" si="1"/>
        <v>0.13377500000000001</v>
      </c>
      <c r="H51" s="63">
        <v>1</v>
      </c>
      <c r="I51" s="63">
        <f t="shared" si="2"/>
        <v>0.13377500000000001</v>
      </c>
      <c r="J51" s="63">
        <f t="shared" si="28"/>
        <v>0.41281232144747509</v>
      </c>
      <c r="K51" s="63">
        <f t="shared" si="3"/>
        <v>412.81232144747509</v>
      </c>
      <c r="L51" s="63" cm="1">
        <f t="array" ref="L51">IFERROR(INDEX(REF_TABLE!$G$7:$G$28,MATCH('DIST _PHASE_1_V1'!K51,REF_TABLE!$G$7:$G$28,1)+1),"Aucune valeur supérieure")</f>
        <v>421</v>
      </c>
      <c r="M51" s="63">
        <v>150</v>
      </c>
      <c r="N51" s="69">
        <v>95</v>
      </c>
      <c r="T51" s="78"/>
      <c r="AR51" s="69" t="s">
        <v>244</v>
      </c>
      <c r="AS51" s="69">
        <v>33.444000000000003</v>
      </c>
      <c r="AT51" s="69">
        <f t="shared" si="12"/>
        <v>3.3444000000000002E-2</v>
      </c>
      <c r="AU51" s="63">
        <v>1</v>
      </c>
      <c r="AV51" s="63">
        <f t="shared" si="13"/>
        <v>3.3444000000000002E-2</v>
      </c>
      <c r="AW51" s="63">
        <f t="shared" si="14"/>
        <v>0.20640693218991207</v>
      </c>
      <c r="AX51" s="63">
        <f t="shared" si="15"/>
        <v>206.40693218991208</v>
      </c>
      <c r="AY51" s="63" cm="1">
        <f t="array" ref="AY51">IFERROR(INDEX(REF_TABLE!$G$7:$G$28,MATCH('DIST _PHASE_1_V1'!AX51,REF_TABLE!$G$7:$G$28,1)+1),"Aucune valeur supérieure")</f>
        <v>250</v>
      </c>
      <c r="AZ51" s="63">
        <v>150</v>
      </c>
      <c r="BA51" s="69">
        <v>32</v>
      </c>
      <c r="BR51" s="69" t="s">
        <v>303</v>
      </c>
      <c r="BS51" s="69">
        <v>100.33199999999999</v>
      </c>
      <c r="BT51" s="69">
        <f t="shared" si="20"/>
        <v>0.10033199999999999</v>
      </c>
      <c r="BU51" s="63">
        <v>1</v>
      </c>
      <c r="BV51" s="63">
        <f t="shared" si="21"/>
        <v>0.10033199999999999</v>
      </c>
      <c r="BW51" s="63">
        <f t="shared" si="22"/>
        <v>0.35750729358735167</v>
      </c>
      <c r="BX51" s="63">
        <f t="shared" si="23"/>
        <v>357.50729358735168</v>
      </c>
      <c r="BY51" s="63" cm="1">
        <f t="array" ref="BY51">IFERROR(INDEX(REF_TABLE!$G$7:$G$28,MATCH('DIST _PHASE_1_V1'!BX51,REF_TABLE!$G$7:$G$28,1)+1),"Aucune valeur supérieure")</f>
        <v>400</v>
      </c>
      <c r="BZ51" s="63">
        <v>150</v>
      </c>
      <c r="CA51" s="69">
        <v>100.33199999999999</v>
      </c>
    </row>
    <row r="52" spans="5:79" x14ac:dyDescent="0.25">
      <c r="E52" s="69" t="s">
        <v>158</v>
      </c>
      <c r="F52" s="69">
        <v>133.77500000000001</v>
      </c>
      <c r="G52" s="69">
        <f t="shared" si="1"/>
        <v>0.13377500000000001</v>
      </c>
      <c r="H52" s="63">
        <v>1</v>
      </c>
      <c r="I52" s="63">
        <f t="shared" si="2"/>
        <v>0.13377500000000001</v>
      </c>
      <c r="J52" s="63">
        <f t="shared" si="28"/>
        <v>0.41281232144747509</v>
      </c>
      <c r="K52" s="63">
        <f t="shared" si="3"/>
        <v>412.81232144747509</v>
      </c>
      <c r="L52" s="63" cm="1">
        <f t="array" ref="L52">IFERROR(INDEX(REF_TABLE!$G$7:$G$28,MATCH('DIST _PHASE_1_V1'!K52,REF_TABLE!$G$7:$G$28,1)+1),"Aucune valeur supérieure")</f>
        <v>421</v>
      </c>
      <c r="M52" s="63">
        <v>150</v>
      </c>
      <c r="N52" s="69">
        <v>96</v>
      </c>
      <c r="T52" s="78"/>
      <c r="AR52" s="69" t="s">
        <v>245</v>
      </c>
      <c r="AS52" s="69">
        <v>33.444000000000003</v>
      </c>
      <c r="AT52" s="69">
        <f t="shared" si="12"/>
        <v>3.3444000000000002E-2</v>
      </c>
      <c r="AU52" s="63">
        <v>1</v>
      </c>
      <c r="AV52" s="63">
        <f t="shared" si="13"/>
        <v>3.3444000000000002E-2</v>
      </c>
      <c r="AW52" s="63">
        <f t="shared" si="14"/>
        <v>0.20640693218991207</v>
      </c>
      <c r="AX52" s="63">
        <f t="shared" si="15"/>
        <v>206.40693218991208</v>
      </c>
      <c r="AY52" s="63" cm="1">
        <f t="array" ref="AY52">IFERROR(INDEX(REF_TABLE!$G$7:$G$28,MATCH('DIST _PHASE_1_V1'!AX52,REF_TABLE!$G$7:$G$28,1)+1),"Aucune valeur supérieure")</f>
        <v>250</v>
      </c>
      <c r="AZ52" s="63">
        <v>150</v>
      </c>
      <c r="BA52" s="69">
        <v>36</v>
      </c>
      <c r="BR52" s="69" t="s">
        <v>304</v>
      </c>
      <c r="BS52" s="69">
        <v>100.33199999999999</v>
      </c>
      <c r="BT52" s="69">
        <f t="shared" si="20"/>
        <v>0.10033199999999999</v>
      </c>
      <c r="BU52" s="63">
        <v>1</v>
      </c>
      <c r="BV52" s="63">
        <f t="shared" si="21"/>
        <v>0.10033199999999999</v>
      </c>
      <c r="BW52" s="63">
        <f t="shared" si="22"/>
        <v>0.35750729358735167</v>
      </c>
      <c r="BX52" s="63">
        <f t="shared" si="23"/>
        <v>357.50729358735168</v>
      </c>
      <c r="BY52" s="63" cm="1">
        <f t="array" ref="BY52">IFERROR(INDEX(REF_TABLE!$G$7:$G$28,MATCH('DIST _PHASE_1_V1'!BX52,REF_TABLE!$G$7:$G$28,1)+1),"Aucune valeur supérieure")</f>
        <v>400</v>
      </c>
      <c r="BZ52" s="63">
        <v>150</v>
      </c>
      <c r="CA52" s="69">
        <v>100.33199999999999</v>
      </c>
    </row>
    <row r="53" spans="5:79" x14ac:dyDescent="0.25">
      <c r="E53" s="69" t="s">
        <v>130</v>
      </c>
      <c r="F53" s="69">
        <v>66.888000000000005</v>
      </c>
      <c r="G53" s="69">
        <f t="shared" si="1"/>
        <v>6.6888000000000003E-2</v>
      </c>
      <c r="H53" s="63">
        <v>1</v>
      </c>
      <c r="I53" s="63">
        <f t="shared" si="2"/>
        <v>6.6888000000000003E-2</v>
      </c>
      <c r="J53" s="63">
        <f t="shared" si="28"/>
        <v>0.29190348287079743</v>
      </c>
      <c r="K53" s="63">
        <f t="shared" si="3"/>
        <v>291.9034828707974</v>
      </c>
      <c r="L53" s="63" cm="1">
        <f t="array" ref="L53">IFERROR(INDEX(REF_TABLE!$G$7:$G$28,MATCH('DIST _PHASE_1_V1'!K53,REF_TABLE!$G$7:$G$28,1)+1),"Aucune valeur supérieure")</f>
        <v>300</v>
      </c>
      <c r="M53" s="63">
        <v>150</v>
      </c>
      <c r="N53" s="69">
        <v>88</v>
      </c>
      <c r="T53" s="78"/>
      <c r="AR53" s="69" t="s">
        <v>246</v>
      </c>
      <c r="AS53" s="69">
        <v>33.444000000000003</v>
      </c>
      <c r="AT53" s="69">
        <f t="shared" si="12"/>
        <v>3.3444000000000002E-2</v>
      </c>
      <c r="AU53" s="63">
        <v>1</v>
      </c>
      <c r="AV53" s="63">
        <f t="shared" si="13"/>
        <v>3.3444000000000002E-2</v>
      </c>
      <c r="AW53" s="63">
        <f t="shared" si="14"/>
        <v>0.20640693218991207</v>
      </c>
      <c r="AX53" s="63">
        <f t="shared" si="15"/>
        <v>206.40693218991208</v>
      </c>
      <c r="AY53" s="63" cm="1">
        <f t="array" ref="AY53">IFERROR(INDEX(REF_TABLE!$G$7:$G$28,MATCH('DIST _PHASE_1_V1'!AX53,REF_TABLE!$G$7:$G$28,1)+1),"Aucune valeur supérieure")</f>
        <v>250</v>
      </c>
      <c r="AZ53" s="63">
        <v>150</v>
      </c>
      <c r="BA53" s="69">
        <v>76</v>
      </c>
    </row>
    <row r="54" spans="5:79" x14ac:dyDescent="0.25">
      <c r="E54" s="69" t="s">
        <v>129</v>
      </c>
      <c r="F54" s="69">
        <v>66.888000000000005</v>
      </c>
      <c r="G54" s="69">
        <f t="shared" si="1"/>
        <v>6.6888000000000003E-2</v>
      </c>
      <c r="H54" s="63">
        <v>1</v>
      </c>
      <c r="I54" s="63">
        <f t="shared" si="2"/>
        <v>6.6888000000000003E-2</v>
      </c>
      <c r="J54" s="63">
        <f t="shared" si="28"/>
        <v>0.29190348287079743</v>
      </c>
      <c r="K54" s="63">
        <f t="shared" si="3"/>
        <v>291.9034828707974</v>
      </c>
      <c r="L54" s="63" cm="1">
        <f t="array" ref="L54">IFERROR(INDEX(REF_TABLE!$G$7:$G$28,MATCH('DIST _PHASE_1_V1'!K54,REF_TABLE!$G$7:$G$28,1)+1),"Aucune valeur supérieure")</f>
        <v>300</v>
      </c>
      <c r="M54" s="63">
        <v>150</v>
      </c>
      <c r="N54" s="69">
        <v>35</v>
      </c>
      <c r="T54" s="78"/>
      <c r="AR54" s="69" t="s">
        <v>247</v>
      </c>
      <c r="AS54" s="69">
        <v>33.444000000000003</v>
      </c>
      <c r="AT54" s="69">
        <f t="shared" si="12"/>
        <v>3.3444000000000002E-2</v>
      </c>
      <c r="AU54" s="63">
        <v>1</v>
      </c>
      <c r="AV54" s="63">
        <f t="shared" si="13"/>
        <v>3.3444000000000002E-2</v>
      </c>
      <c r="AW54" s="63">
        <f t="shared" si="14"/>
        <v>0.20640693218991207</v>
      </c>
      <c r="AX54" s="63">
        <f t="shared" si="15"/>
        <v>206.40693218991208</v>
      </c>
      <c r="AY54" s="63" cm="1">
        <f t="array" ref="AY54">IFERROR(INDEX(REF_TABLE!$G$7:$G$28,MATCH('DIST _PHASE_1_V1'!AX54,REF_TABLE!$G$7:$G$28,1)+1),"Aucune valeur supérieure")</f>
        <v>250</v>
      </c>
      <c r="AZ54" s="63">
        <v>150</v>
      </c>
      <c r="BA54" s="69">
        <v>77</v>
      </c>
    </row>
    <row r="55" spans="5:79" x14ac:dyDescent="0.25">
      <c r="E55" s="69" t="s">
        <v>128</v>
      </c>
      <c r="F55" s="69">
        <v>66.888000000000005</v>
      </c>
      <c r="G55" s="69">
        <f t="shared" si="1"/>
        <v>6.6888000000000003E-2</v>
      </c>
      <c r="H55" s="63">
        <v>1</v>
      </c>
      <c r="I55" s="63">
        <f t="shared" si="2"/>
        <v>6.6888000000000003E-2</v>
      </c>
      <c r="J55" s="63">
        <f t="shared" si="28"/>
        <v>0.29190348287079743</v>
      </c>
      <c r="K55" s="63">
        <f t="shared" si="3"/>
        <v>291.9034828707974</v>
      </c>
      <c r="L55" s="63" cm="1">
        <f t="array" ref="L55">IFERROR(INDEX(REF_TABLE!$G$7:$G$28,MATCH('DIST _PHASE_1_V1'!K55,REF_TABLE!$G$7:$G$28,1)+1),"Aucune valeur supérieure")</f>
        <v>300</v>
      </c>
      <c r="M55" s="63">
        <v>150</v>
      </c>
      <c r="N55" s="69">
        <v>54</v>
      </c>
      <c r="T55" s="78"/>
      <c r="AR55" s="69" t="s">
        <v>248</v>
      </c>
      <c r="AS55" s="69">
        <v>33.444000000000003</v>
      </c>
      <c r="AT55" s="69">
        <f t="shared" si="12"/>
        <v>3.3444000000000002E-2</v>
      </c>
      <c r="AU55" s="63">
        <v>1</v>
      </c>
      <c r="AV55" s="63">
        <f t="shared" si="13"/>
        <v>3.3444000000000002E-2</v>
      </c>
      <c r="AW55" s="63">
        <f t="shared" si="14"/>
        <v>0.20640693218991207</v>
      </c>
      <c r="AX55" s="63">
        <f t="shared" si="15"/>
        <v>206.40693218991208</v>
      </c>
      <c r="AY55" s="63" cm="1">
        <f t="array" ref="AY55">IFERROR(INDEX(REF_TABLE!$G$7:$G$28,MATCH('DIST _PHASE_1_V1'!AX55,REF_TABLE!$G$7:$G$28,1)+1),"Aucune valeur supérieure")</f>
        <v>250</v>
      </c>
      <c r="AZ55" s="63">
        <v>150</v>
      </c>
      <c r="BA55" s="69">
        <v>77</v>
      </c>
    </row>
    <row r="56" spans="5:79" x14ac:dyDescent="0.25">
      <c r="E56" s="69" t="s">
        <v>127</v>
      </c>
      <c r="F56" s="69">
        <v>66.888000000000005</v>
      </c>
      <c r="G56" s="69">
        <f t="shared" si="1"/>
        <v>6.6888000000000003E-2</v>
      </c>
      <c r="H56" s="63">
        <v>1</v>
      </c>
      <c r="I56" s="63">
        <f t="shared" si="2"/>
        <v>6.6888000000000003E-2</v>
      </c>
      <c r="J56" s="63">
        <f t="shared" si="28"/>
        <v>0.29190348287079743</v>
      </c>
      <c r="K56" s="63">
        <f t="shared" si="3"/>
        <v>291.9034828707974</v>
      </c>
      <c r="L56" s="63" cm="1">
        <f t="array" ref="L56">IFERROR(INDEX(REF_TABLE!$G$7:$G$28,MATCH('DIST _PHASE_1_V1'!K56,REF_TABLE!$G$7:$G$28,1)+1),"Aucune valeur supérieure")</f>
        <v>300</v>
      </c>
      <c r="M56" s="63">
        <v>150</v>
      </c>
      <c r="N56" s="69">
        <v>151</v>
      </c>
      <c r="T56" s="78"/>
      <c r="AR56" s="69" t="s">
        <v>249</v>
      </c>
      <c r="AS56" s="69">
        <v>33.444000000000003</v>
      </c>
      <c r="AT56" s="69">
        <f t="shared" si="12"/>
        <v>3.3444000000000002E-2</v>
      </c>
      <c r="AU56" s="63">
        <v>1</v>
      </c>
      <c r="AV56" s="63">
        <f t="shared" si="13"/>
        <v>3.3444000000000002E-2</v>
      </c>
      <c r="AW56" s="63">
        <f t="shared" si="14"/>
        <v>0.20640693218991207</v>
      </c>
      <c r="AX56" s="63">
        <f t="shared" si="15"/>
        <v>206.40693218991208</v>
      </c>
      <c r="AY56" s="63" cm="1">
        <f t="array" ref="AY56">IFERROR(INDEX(REF_TABLE!$G$7:$G$28,MATCH('DIST _PHASE_1_V1'!AX56,REF_TABLE!$G$7:$G$28,1)+1),"Aucune valeur supérieure")</f>
        <v>250</v>
      </c>
      <c r="AZ56" s="63">
        <v>150</v>
      </c>
      <c r="BA56" s="69">
        <v>191</v>
      </c>
    </row>
    <row r="57" spans="5:79" x14ac:dyDescent="0.25">
      <c r="E57" s="69" t="s">
        <v>126</v>
      </c>
      <c r="F57" s="69">
        <v>66.888000000000005</v>
      </c>
      <c r="G57" s="69">
        <f t="shared" si="1"/>
        <v>6.6888000000000003E-2</v>
      </c>
      <c r="H57" s="63">
        <v>1</v>
      </c>
      <c r="I57" s="63">
        <f t="shared" si="2"/>
        <v>6.6888000000000003E-2</v>
      </c>
      <c r="J57" s="63">
        <f t="shared" si="28"/>
        <v>0.29190348287079743</v>
      </c>
      <c r="K57" s="63">
        <f t="shared" si="3"/>
        <v>291.9034828707974</v>
      </c>
      <c r="L57" s="63" cm="1">
        <f t="array" ref="L57">IFERROR(INDEX(REF_TABLE!$G$7:$G$28,MATCH('DIST _PHASE_1_V1'!K57,REF_TABLE!$G$7:$G$28,1)+1),"Aucune valeur supérieure")</f>
        <v>300</v>
      </c>
      <c r="M57" s="63">
        <v>150</v>
      </c>
      <c r="N57" s="69">
        <v>78</v>
      </c>
      <c r="T57" s="78"/>
      <c r="AR57" s="69" t="s">
        <v>250</v>
      </c>
      <c r="AS57" s="69">
        <v>33.444000000000003</v>
      </c>
      <c r="AT57" s="69">
        <f t="shared" si="12"/>
        <v>3.3444000000000002E-2</v>
      </c>
      <c r="AU57" s="63">
        <v>1</v>
      </c>
      <c r="AV57" s="63">
        <f t="shared" si="13"/>
        <v>3.3444000000000002E-2</v>
      </c>
      <c r="AW57" s="63">
        <f t="shared" si="14"/>
        <v>0.20640693218991207</v>
      </c>
      <c r="AX57" s="63">
        <f t="shared" si="15"/>
        <v>206.40693218991208</v>
      </c>
      <c r="AY57" s="63" cm="1">
        <f t="array" ref="AY57">IFERROR(INDEX(REF_TABLE!$G$7:$G$28,MATCH('DIST _PHASE_1_V1'!AX57,REF_TABLE!$G$7:$G$28,1)+1),"Aucune valeur supérieure")</f>
        <v>250</v>
      </c>
      <c r="AZ57" s="63">
        <v>150</v>
      </c>
      <c r="BA57" s="69">
        <v>94</v>
      </c>
    </row>
    <row r="58" spans="5:79" x14ac:dyDescent="0.25">
      <c r="E58" s="69" t="s">
        <v>125</v>
      </c>
      <c r="F58" s="69">
        <v>66.888000000000005</v>
      </c>
      <c r="G58" s="69">
        <f t="shared" si="1"/>
        <v>6.6888000000000003E-2</v>
      </c>
      <c r="H58" s="63">
        <v>1</v>
      </c>
      <c r="I58" s="63">
        <f t="shared" si="2"/>
        <v>6.6888000000000003E-2</v>
      </c>
      <c r="J58" s="63">
        <f t="shared" si="28"/>
        <v>0.29190348287079743</v>
      </c>
      <c r="K58" s="63">
        <f t="shared" si="3"/>
        <v>291.9034828707974</v>
      </c>
      <c r="L58" s="63" cm="1">
        <f t="array" ref="L58">IFERROR(INDEX(REF_TABLE!$G$7:$G$28,MATCH('DIST _PHASE_1_V1'!K58,REF_TABLE!$G$7:$G$28,1)+1),"Aucune valeur supérieure")</f>
        <v>300</v>
      </c>
      <c r="M58" s="63">
        <v>150</v>
      </c>
      <c r="N58" s="69">
        <v>84</v>
      </c>
      <c r="T58" s="78"/>
    </row>
    <row r="59" spans="5:79" x14ac:dyDescent="0.25">
      <c r="E59" s="69" t="s">
        <v>124</v>
      </c>
      <c r="F59" s="69">
        <v>66.888000000000005</v>
      </c>
      <c r="G59" s="69">
        <f t="shared" si="1"/>
        <v>6.6888000000000003E-2</v>
      </c>
      <c r="H59" s="63">
        <v>1</v>
      </c>
      <c r="I59" s="63">
        <f t="shared" si="2"/>
        <v>6.6888000000000003E-2</v>
      </c>
      <c r="J59" s="63">
        <f t="shared" si="28"/>
        <v>0.29190348287079743</v>
      </c>
      <c r="K59" s="63">
        <f t="shared" si="3"/>
        <v>291.9034828707974</v>
      </c>
      <c r="L59" s="63" cm="1">
        <f t="array" ref="L59">IFERROR(INDEX(REF_TABLE!$G$7:$G$28,MATCH('DIST _PHASE_1_V1'!K59,REF_TABLE!$G$7:$G$28,1)+1),"Aucune valeur supérieure")</f>
        <v>300</v>
      </c>
      <c r="M59" s="63">
        <v>150</v>
      </c>
      <c r="N59" s="69">
        <v>83</v>
      </c>
      <c r="T59" s="78"/>
    </row>
    <row r="60" spans="5:79" x14ac:dyDescent="0.25">
      <c r="E60" s="69" t="s">
        <v>123</v>
      </c>
      <c r="F60" s="69">
        <v>66.888000000000005</v>
      </c>
      <c r="G60" s="69">
        <f t="shared" si="1"/>
        <v>6.6888000000000003E-2</v>
      </c>
      <c r="H60" s="63">
        <v>1</v>
      </c>
      <c r="I60" s="63">
        <f t="shared" si="2"/>
        <v>6.6888000000000003E-2</v>
      </c>
      <c r="J60" s="63">
        <f t="shared" si="28"/>
        <v>0.29190348287079743</v>
      </c>
      <c r="K60" s="63">
        <f t="shared" si="3"/>
        <v>291.9034828707974</v>
      </c>
      <c r="L60" s="63" cm="1">
        <f t="array" ref="L60">IFERROR(INDEX(REF_TABLE!$G$7:$G$28,MATCH('DIST _PHASE_1_V1'!K60,REF_TABLE!$G$7:$G$28,1)+1),"Aucune valeur supérieure")</f>
        <v>300</v>
      </c>
      <c r="M60" s="63">
        <v>150</v>
      </c>
      <c r="N60" s="69">
        <v>75</v>
      </c>
      <c r="T60" s="78"/>
    </row>
    <row r="61" spans="5:79" x14ac:dyDescent="0.25">
      <c r="E61" s="69" t="s">
        <v>122</v>
      </c>
      <c r="F61" s="69">
        <v>66.888000000000005</v>
      </c>
      <c r="G61" s="69">
        <f t="shared" si="1"/>
        <v>6.6888000000000003E-2</v>
      </c>
      <c r="H61" s="63">
        <v>1</v>
      </c>
      <c r="I61" s="63">
        <f t="shared" si="2"/>
        <v>6.6888000000000003E-2</v>
      </c>
      <c r="J61" s="63">
        <f t="shared" si="28"/>
        <v>0.29190348287079743</v>
      </c>
      <c r="K61" s="63">
        <f t="shared" si="3"/>
        <v>291.9034828707974</v>
      </c>
      <c r="L61" s="63" cm="1">
        <f t="array" ref="L61">IFERROR(INDEX(REF_TABLE!$G$7:$G$28,MATCH('DIST _PHASE_1_V1'!K61,REF_TABLE!$G$7:$G$28,1)+1),"Aucune valeur supérieure")</f>
        <v>300</v>
      </c>
      <c r="M61" s="63">
        <v>150</v>
      </c>
      <c r="N61" s="69">
        <v>85</v>
      </c>
      <c r="T61" s="78"/>
    </row>
    <row r="62" spans="5:79" x14ac:dyDescent="0.25">
      <c r="E62" s="69" t="s">
        <v>121</v>
      </c>
      <c r="F62" s="69">
        <v>66.888000000000005</v>
      </c>
      <c r="G62" s="69">
        <f t="shared" si="1"/>
        <v>6.6888000000000003E-2</v>
      </c>
      <c r="H62" s="63">
        <v>1</v>
      </c>
      <c r="I62" s="63">
        <f t="shared" si="2"/>
        <v>6.6888000000000003E-2</v>
      </c>
      <c r="J62" s="63">
        <f t="shared" si="28"/>
        <v>0.29190348287079743</v>
      </c>
      <c r="K62" s="63">
        <f t="shared" si="3"/>
        <v>291.9034828707974</v>
      </c>
      <c r="L62" s="63" cm="1">
        <f t="array" ref="L62">IFERROR(INDEX(REF_TABLE!$G$7:$G$28,MATCH('DIST _PHASE_1_V1'!K62,REF_TABLE!$G$7:$G$28,1)+1),"Aucune valeur supérieure")</f>
        <v>300</v>
      </c>
      <c r="M62" s="63">
        <v>150</v>
      </c>
      <c r="N62" s="69">
        <v>129</v>
      </c>
      <c r="T62" s="78"/>
    </row>
    <row r="63" spans="5:79" x14ac:dyDescent="0.25">
      <c r="E63" s="69" t="s">
        <v>119</v>
      </c>
      <c r="F63" s="69">
        <v>66.888000000000005</v>
      </c>
      <c r="G63" s="69">
        <f t="shared" si="1"/>
        <v>6.6888000000000003E-2</v>
      </c>
      <c r="H63" s="63">
        <v>1</v>
      </c>
      <c r="I63" s="63">
        <f t="shared" si="2"/>
        <v>6.6888000000000003E-2</v>
      </c>
      <c r="J63" s="63">
        <f t="shared" si="28"/>
        <v>0.29190348287079743</v>
      </c>
      <c r="K63" s="63">
        <f t="shared" si="3"/>
        <v>291.9034828707974</v>
      </c>
      <c r="L63" s="63" cm="1">
        <f t="array" ref="L63">IFERROR(INDEX(REF_TABLE!$G$7:$G$28,MATCH('DIST _PHASE_1_V1'!K63,REF_TABLE!$G$7:$G$28,1)+1),"Aucune valeur supérieure")</f>
        <v>300</v>
      </c>
      <c r="M63" s="63">
        <v>150</v>
      </c>
      <c r="N63" s="69">
        <v>37</v>
      </c>
      <c r="T63" s="78"/>
    </row>
    <row r="64" spans="5:79" x14ac:dyDescent="0.25">
      <c r="E64" s="69" t="s">
        <v>120</v>
      </c>
      <c r="F64" s="69">
        <v>66.888000000000005</v>
      </c>
      <c r="G64" s="69">
        <f t="shared" si="1"/>
        <v>6.6888000000000003E-2</v>
      </c>
      <c r="H64" s="63">
        <v>1</v>
      </c>
      <c r="I64" s="63">
        <f t="shared" si="2"/>
        <v>6.6888000000000003E-2</v>
      </c>
      <c r="J64" s="63">
        <f t="shared" si="28"/>
        <v>0.29190348287079743</v>
      </c>
      <c r="K64" s="63">
        <f t="shared" si="3"/>
        <v>291.9034828707974</v>
      </c>
      <c r="L64" s="63" cm="1">
        <f t="array" ref="L64">IFERROR(INDEX(REF_TABLE!$G$7:$G$28,MATCH('DIST _PHASE_1_V1'!K64,REF_TABLE!$G$7:$G$28,1)+1),"Aucune valeur supérieure")</f>
        <v>300</v>
      </c>
      <c r="M64" s="63">
        <v>150</v>
      </c>
      <c r="N64" s="69">
        <v>77</v>
      </c>
      <c r="T64" s="78"/>
    </row>
    <row r="65" spans="5:20" x14ac:dyDescent="0.25">
      <c r="E65" s="69" t="s">
        <v>118</v>
      </c>
      <c r="F65" s="69">
        <v>66.888000000000005</v>
      </c>
      <c r="G65" s="69">
        <f t="shared" si="1"/>
        <v>6.6888000000000003E-2</v>
      </c>
      <c r="H65" s="63">
        <v>1</v>
      </c>
      <c r="I65" s="63">
        <f t="shared" si="2"/>
        <v>6.6888000000000003E-2</v>
      </c>
      <c r="J65" s="63">
        <f t="shared" si="28"/>
        <v>0.29190348287079743</v>
      </c>
      <c r="K65" s="63">
        <f t="shared" si="3"/>
        <v>291.9034828707974</v>
      </c>
      <c r="L65" s="63" cm="1">
        <f t="array" ref="L65">IFERROR(INDEX(REF_TABLE!$G$7:$G$28,MATCH('DIST _PHASE_1_V1'!K65,REF_TABLE!$G$7:$G$28,1)+1),"Aucune valeur supérieure")</f>
        <v>300</v>
      </c>
      <c r="M65" s="63">
        <v>150</v>
      </c>
      <c r="N65" s="69">
        <v>89</v>
      </c>
      <c r="T65" s="78"/>
    </row>
    <row r="66" spans="5:20" x14ac:dyDescent="0.25">
      <c r="E66" s="69" t="s">
        <v>117</v>
      </c>
      <c r="F66" s="69">
        <v>66.888000000000005</v>
      </c>
      <c r="G66" s="69">
        <f t="shared" si="1"/>
        <v>6.6888000000000003E-2</v>
      </c>
      <c r="H66" s="63">
        <v>1</v>
      </c>
      <c r="I66" s="63">
        <f t="shared" si="2"/>
        <v>6.6888000000000003E-2</v>
      </c>
      <c r="J66" s="63">
        <f t="shared" si="28"/>
        <v>0.29190348287079743</v>
      </c>
      <c r="K66" s="63">
        <f t="shared" si="3"/>
        <v>291.9034828707974</v>
      </c>
      <c r="L66" s="63" cm="1">
        <f t="array" ref="L66">IFERROR(INDEX(REF_TABLE!$G$7:$G$28,MATCH('DIST _PHASE_1_V1'!K66,REF_TABLE!$G$7:$G$28,1)+1),"Aucune valeur supérieure")</f>
        <v>300</v>
      </c>
      <c r="M66" s="63">
        <v>150</v>
      </c>
      <c r="N66" s="69">
        <v>49</v>
      </c>
      <c r="T66" s="78"/>
    </row>
    <row r="67" spans="5:20" x14ac:dyDescent="0.25">
      <c r="E67" s="69" t="s">
        <v>116</v>
      </c>
      <c r="F67" s="69">
        <v>66.888000000000005</v>
      </c>
      <c r="G67" s="69">
        <f t="shared" si="1"/>
        <v>6.6888000000000003E-2</v>
      </c>
      <c r="H67" s="63">
        <v>1</v>
      </c>
      <c r="I67" s="63">
        <f t="shared" si="2"/>
        <v>6.6888000000000003E-2</v>
      </c>
      <c r="J67" s="63">
        <f t="shared" si="28"/>
        <v>0.29190348287079743</v>
      </c>
      <c r="K67" s="63">
        <f t="shared" si="3"/>
        <v>291.9034828707974</v>
      </c>
      <c r="L67" s="63" cm="1">
        <f t="array" ref="L67">IFERROR(INDEX(REF_TABLE!$G$7:$G$28,MATCH('DIST _PHASE_1_V1'!K67,REF_TABLE!$G$7:$G$28,1)+1),"Aucune valeur supérieure")</f>
        <v>300</v>
      </c>
      <c r="M67" s="63">
        <v>150</v>
      </c>
      <c r="N67" s="69">
        <v>35</v>
      </c>
      <c r="T67" s="78"/>
    </row>
    <row r="68" spans="5:20" x14ac:dyDescent="0.25">
      <c r="E68" s="69" t="s">
        <v>115</v>
      </c>
      <c r="F68" s="69">
        <v>66.888000000000005</v>
      </c>
      <c r="G68" s="69">
        <f t="shared" si="1"/>
        <v>6.6888000000000003E-2</v>
      </c>
      <c r="H68" s="63">
        <v>1</v>
      </c>
      <c r="I68" s="63">
        <f t="shared" si="2"/>
        <v>6.6888000000000003E-2</v>
      </c>
      <c r="J68" s="63">
        <f t="shared" si="28"/>
        <v>0.29190348287079743</v>
      </c>
      <c r="K68" s="63">
        <f t="shared" si="3"/>
        <v>291.9034828707974</v>
      </c>
      <c r="L68" s="63" cm="1">
        <f t="array" ref="L68">IFERROR(INDEX(REF_TABLE!$G$7:$G$28,MATCH('DIST _PHASE_1_V1'!K68,REF_TABLE!$G$7:$G$28,1)+1),"Aucune valeur supérieure")</f>
        <v>300</v>
      </c>
      <c r="M68" s="63">
        <v>150</v>
      </c>
      <c r="N68" s="69">
        <v>30</v>
      </c>
      <c r="T68" s="78"/>
    </row>
  </sheetData>
  <mergeCells count="7">
    <mergeCell ref="CE4:CN4"/>
    <mergeCell ref="E4:N4"/>
    <mergeCell ref="R4:AA4"/>
    <mergeCell ref="AE4:AN4"/>
    <mergeCell ref="AR4:BA4"/>
    <mergeCell ref="BE4:BN4"/>
    <mergeCell ref="BR4:CA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138F-1AC5-493F-8052-5C349968F323}">
  <sheetPr codeName="Feuil7"/>
  <dimension ref="D5:CP170"/>
  <sheetViews>
    <sheetView tabSelected="1" topLeftCell="A89" zoomScale="70" zoomScaleNormal="70" workbookViewId="0">
      <selection activeCell="I116" sqref="D98:J169"/>
    </sheetView>
  </sheetViews>
  <sheetFormatPr baseColWidth="10" defaultRowHeight="15" x14ac:dyDescent="0.25"/>
  <cols>
    <col min="6" max="6" width="15.42578125" bestFit="1" customWidth="1"/>
    <col min="7" max="7" width="18.7109375" bestFit="1" customWidth="1"/>
    <col min="8" max="8" width="19.7109375" bestFit="1" customWidth="1"/>
    <col min="9" max="9" width="13.42578125" bestFit="1" customWidth="1"/>
    <col min="10" max="10" width="13.7109375" bestFit="1" customWidth="1"/>
    <col min="11" max="11" width="15.42578125" bestFit="1" customWidth="1"/>
    <col min="12" max="12" width="12" bestFit="1" customWidth="1"/>
    <col min="13" max="13" width="4.5703125" bestFit="1" customWidth="1"/>
    <col min="14" max="14" width="13.5703125" bestFit="1" customWidth="1"/>
    <col min="19" max="19" width="15.42578125" bestFit="1" customWidth="1"/>
    <col min="20" max="20" width="18.7109375" bestFit="1" customWidth="1"/>
    <col min="21" max="21" width="19.7109375" bestFit="1" customWidth="1"/>
    <col min="22" max="22" width="13.42578125" bestFit="1" customWidth="1"/>
    <col min="23" max="23" width="13.7109375" bestFit="1" customWidth="1"/>
    <col min="24" max="24" width="15.42578125" bestFit="1" customWidth="1"/>
    <col min="26" max="26" width="13" bestFit="1" customWidth="1"/>
    <col min="27" max="27" width="13.5703125" bestFit="1" customWidth="1"/>
    <col min="31" max="31" width="10.140625" bestFit="1" customWidth="1"/>
    <col min="32" max="32" width="15.42578125" bestFit="1" customWidth="1"/>
    <col min="33" max="33" width="18.7109375" bestFit="1" customWidth="1"/>
    <col min="34" max="34" width="19.7109375" bestFit="1" customWidth="1"/>
    <col min="35" max="35" width="13.42578125" bestFit="1" customWidth="1"/>
    <col min="36" max="36" width="13.7109375" bestFit="1" customWidth="1"/>
    <col min="37" max="37" width="15.42578125" bestFit="1" customWidth="1"/>
    <col min="38" max="38" width="12" bestFit="1" customWidth="1"/>
    <col min="40" max="40" width="13.5703125" bestFit="1" customWidth="1"/>
    <col min="46" max="46" width="18.7109375" bestFit="1" customWidth="1"/>
    <col min="47" max="47" width="19.7109375" bestFit="1" customWidth="1"/>
    <col min="48" max="48" width="13.42578125" bestFit="1" customWidth="1"/>
    <col min="49" max="49" width="13.7109375" bestFit="1" customWidth="1"/>
    <col min="50" max="50" width="15.42578125" bestFit="1" customWidth="1"/>
    <col min="52" max="52" width="18.28515625" bestFit="1" customWidth="1"/>
    <col min="53" max="53" width="13.5703125" bestFit="1" customWidth="1"/>
    <col min="60" max="60" width="15.42578125" bestFit="1" customWidth="1"/>
    <col min="61" max="61" width="18.7109375" bestFit="1" customWidth="1"/>
    <col min="62" max="62" width="19.7109375" bestFit="1" customWidth="1"/>
    <col min="63" max="63" width="13.42578125" bestFit="1" customWidth="1"/>
    <col min="64" max="64" width="13.7109375" bestFit="1" customWidth="1"/>
    <col min="65" max="65" width="15.42578125" bestFit="1" customWidth="1"/>
    <col min="68" max="68" width="13.5703125" bestFit="1" customWidth="1"/>
    <col min="72" max="72" width="10.140625" bestFit="1" customWidth="1"/>
    <col min="73" max="73" width="15.42578125" bestFit="1" customWidth="1"/>
    <col min="74" max="74" width="18.7109375" bestFit="1" customWidth="1"/>
    <col min="75" max="75" width="19.7109375" bestFit="1" customWidth="1"/>
    <col min="76" max="76" width="13.42578125" bestFit="1" customWidth="1"/>
    <col min="77" max="77" width="13.7109375" bestFit="1" customWidth="1"/>
    <col min="78" max="78" width="15.42578125" bestFit="1" customWidth="1"/>
    <col min="80" max="80" width="4.5703125" bestFit="1" customWidth="1"/>
    <col min="81" max="81" width="13.5703125" bestFit="1" customWidth="1"/>
    <col min="86" max="86" width="15.42578125" bestFit="1" customWidth="1"/>
    <col min="87" max="87" width="18.7109375" bestFit="1" customWidth="1"/>
    <col min="88" max="88" width="19.7109375" bestFit="1" customWidth="1"/>
    <col min="89" max="89" width="13.42578125" bestFit="1" customWidth="1"/>
    <col min="90" max="90" width="13.7109375" bestFit="1" customWidth="1"/>
    <col min="91" max="91" width="15.42578125" bestFit="1" customWidth="1"/>
    <col min="92" max="92" width="22.42578125" bestFit="1" customWidth="1"/>
    <col min="93" max="93" width="4.5703125" bestFit="1" customWidth="1"/>
    <col min="94" max="94" width="13.5703125" bestFit="1" customWidth="1"/>
  </cols>
  <sheetData>
    <row r="5" spans="4:94" x14ac:dyDescent="0.25">
      <c r="BI5" s="78"/>
      <c r="BV5" s="78"/>
      <c r="CI5" s="78"/>
    </row>
    <row r="9" spans="4:94" x14ac:dyDescent="0.25">
      <c r="E9" s="218" t="str">
        <f>TRONCONS_V1!$N$14</f>
        <v>BOUCLE 1</v>
      </c>
      <c r="F9" s="218"/>
      <c r="G9" s="218"/>
      <c r="H9" s="218"/>
      <c r="I9" s="218"/>
      <c r="J9" s="218"/>
      <c r="K9" s="218"/>
      <c r="L9" s="218"/>
      <c r="M9" s="218"/>
      <c r="N9" s="218"/>
      <c r="Q9" s="222" t="str">
        <f>TRONCONS_V1!$V$14</f>
        <v>BOUCLE 2</v>
      </c>
      <c r="R9" s="222"/>
      <c r="S9" s="222"/>
      <c r="T9" s="222"/>
      <c r="U9" s="222"/>
      <c r="V9" s="222"/>
      <c r="W9" s="222"/>
      <c r="X9" s="222"/>
      <c r="Y9" s="222"/>
      <c r="Z9" s="222"/>
      <c r="AA9" s="223"/>
      <c r="AE9" s="218" t="str">
        <f>TRONCONS_V1!$AD$14</f>
        <v>BOUCLE 3</v>
      </c>
      <c r="AF9" s="218"/>
      <c r="AG9" s="218"/>
      <c r="AH9" s="218"/>
      <c r="AI9" s="218"/>
      <c r="AJ9" s="218"/>
      <c r="AK9" s="218"/>
      <c r="AL9" s="218"/>
      <c r="AM9" s="218"/>
      <c r="AN9" s="218"/>
      <c r="AR9" s="218" t="str">
        <f>TRONCONS_V1!$AL$14</f>
        <v>BOUCLE 4</v>
      </c>
      <c r="AS9" s="218"/>
      <c r="AT9" s="218"/>
      <c r="AU9" s="218"/>
      <c r="AV9" s="218"/>
      <c r="AW9" s="218"/>
      <c r="AX9" s="218"/>
      <c r="AY9" s="218"/>
      <c r="AZ9" s="218"/>
      <c r="BA9" s="218"/>
      <c r="BG9" s="218" t="str">
        <f>TRONCONS_V1!$AT$14</f>
        <v>BOUCLE 5</v>
      </c>
      <c r="BH9" s="218"/>
      <c r="BI9" s="218"/>
      <c r="BJ9" s="218"/>
      <c r="BK9" s="218"/>
      <c r="BL9" s="218"/>
      <c r="BM9" s="218"/>
      <c r="BN9" s="218"/>
      <c r="BO9" s="218"/>
      <c r="BP9" s="218"/>
      <c r="BT9" s="218" t="str">
        <f>TRONCONS_V1!$BB$14</f>
        <v>BOUCLE 6</v>
      </c>
      <c r="BU9" s="218"/>
      <c r="BV9" s="218"/>
      <c r="BW9" s="218"/>
      <c r="BX9" s="218"/>
      <c r="BY9" s="218"/>
      <c r="BZ9" s="218"/>
      <c r="CA9" s="218"/>
      <c r="CB9" s="218"/>
      <c r="CC9" s="218"/>
      <c r="CF9" s="219" t="str">
        <f>TRONCONS_V1!$BJ$14</f>
        <v>BOUCLE 7</v>
      </c>
      <c r="CG9" s="220"/>
      <c r="CH9" s="220"/>
      <c r="CI9" s="220"/>
      <c r="CJ9" s="220"/>
      <c r="CK9" s="220"/>
      <c r="CL9" s="220"/>
      <c r="CM9" s="220"/>
      <c r="CN9" s="220"/>
      <c r="CO9" s="220"/>
      <c r="CP9" s="221"/>
    </row>
    <row r="10" spans="4:94" x14ac:dyDescent="0.25">
      <c r="D10" s="60" t="s">
        <v>542</v>
      </c>
      <c r="E10" s="63" t="s">
        <v>102</v>
      </c>
      <c r="F10" s="63" t="s">
        <v>383</v>
      </c>
      <c r="G10" s="63" t="s">
        <v>384</v>
      </c>
      <c r="H10" s="63" t="s">
        <v>318</v>
      </c>
      <c r="I10" s="63" t="s">
        <v>103</v>
      </c>
      <c r="J10" s="63" t="s">
        <v>104</v>
      </c>
      <c r="K10" s="63" t="s">
        <v>344</v>
      </c>
      <c r="L10" s="63" t="s">
        <v>440</v>
      </c>
      <c r="M10" s="63" t="s">
        <v>106</v>
      </c>
      <c r="N10" s="63" t="s">
        <v>107</v>
      </c>
      <c r="Q10" s="91" t="s">
        <v>541</v>
      </c>
      <c r="R10" s="63" t="s">
        <v>102</v>
      </c>
      <c r="S10" s="63" t="s">
        <v>383</v>
      </c>
      <c r="T10" s="63" t="s">
        <v>384</v>
      </c>
      <c r="U10" s="63" t="s">
        <v>318</v>
      </c>
      <c r="V10" s="63" t="s">
        <v>103</v>
      </c>
      <c r="W10" s="63" t="s">
        <v>104</v>
      </c>
      <c r="X10" s="63" t="s">
        <v>344</v>
      </c>
      <c r="Y10" s="63" t="s">
        <v>440</v>
      </c>
      <c r="Z10" s="63" t="s">
        <v>106</v>
      </c>
      <c r="AA10" s="63" t="s">
        <v>107</v>
      </c>
      <c r="AD10" s="60" t="s">
        <v>542</v>
      </c>
      <c r="AE10" s="63" t="s">
        <v>102</v>
      </c>
      <c r="AF10" s="63" t="s">
        <v>383</v>
      </c>
      <c r="AG10" s="63" t="s">
        <v>384</v>
      </c>
      <c r="AH10" s="63" t="s">
        <v>318</v>
      </c>
      <c r="AI10" s="63" t="s">
        <v>103</v>
      </c>
      <c r="AJ10" s="63" t="s">
        <v>104</v>
      </c>
      <c r="AK10" s="63" t="s">
        <v>344</v>
      </c>
      <c r="AL10" s="63" t="s">
        <v>440</v>
      </c>
      <c r="AM10" s="63" t="s">
        <v>106</v>
      </c>
      <c r="AN10" s="63" t="s">
        <v>107</v>
      </c>
      <c r="AQ10" s="91" t="s">
        <v>541</v>
      </c>
      <c r="AR10" s="63" t="s">
        <v>102</v>
      </c>
      <c r="AS10" s="63" t="s">
        <v>383</v>
      </c>
      <c r="AT10" s="63" t="s">
        <v>384</v>
      </c>
      <c r="AU10" s="63" t="s">
        <v>318</v>
      </c>
      <c r="AV10" s="63" t="s">
        <v>103</v>
      </c>
      <c r="AW10" s="63" t="s">
        <v>104</v>
      </c>
      <c r="AX10" s="63" t="s">
        <v>344</v>
      </c>
      <c r="AY10" s="63" t="s">
        <v>440</v>
      </c>
      <c r="AZ10" s="63" t="s">
        <v>106</v>
      </c>
      <c r="BA10" s="63" t="s">
        <v>107</v>
      </c>
      <c r="BF10" s="60" t="s">
        <v>542</v>
      </c>
      <c r="BG10" s="63" t="s">
        <v>102</v>
      </c>
      <c r="BH10" s="63" t="s">
        <v>383</v>
      </c>
      <c r="BI10" s="63" t="s">
        <v>384</v>
      </c>
      <c r="BJ10" s="63" t="s">
        <v>318</v>
      </c>
      <c r="BK10" s="63" t="s">
        <v>103</v>
      </c>
      <c r="BL10" s="63" t="s">
        <v>104</v>
      </c>
      <c r="BM10" s="63" t="s">
        <v>344</v>
      </c>
      <c r="BN10" s="63" t="s">
        <v>440</v>
      </c>
      <c r="BO10" s="63" t="s">
        <v>106</v>
      </c>
      <c r="BP10" s="63" t="s">
        <v>107</v>
      </c>
      <c r="BS10" s="60" t="s">
        <v>542</v>
      </c>
      <c r="BT10" s="63" t="s">
        <v>102</v>
      </c>
      <c r="BU10" s="63" t="s">
        <v>383</v>
      </c>
      <c r="BV10" s="63" t="s">
        <v>384</v>
      </c>
      <c r="BW10" s="63" t="s">
        <v>318</v>
      </c>
      <c r="BX10" s="63" t="s">
        <v>103</v>
      </c>
      <c r="BY10" s="63" t="s">
        <v>104</v>
      </c>
      <c r="BZ10" s="63" t="s">
        <v>344</v>
      </c>
      <c r="CA10" s="63" t="s">
        <v>440</v>
      </c>
      <c r="CB10" s="63" t="s">
        <v>106</v>
      </c>
      <c r="CC10" s="63" t="s">
        <v>107</v>
      </c>
      <c r="CF10" s="69" t="s">
        <v>542</v>
      </c>
      <c r="CG10" s="90" t="s">
        <v>102</v>
      </c>
      <c r="CH10" s="90" t="s">
        <v>383</v>
      </c>
      <c r="CI10" s="90" t="s">
        <v>384</v>
      </c>
      <c r="CJ10" s="90" t="s">
        <v>318</v>
      </c>
      <c r="CK10" s="90" t="s">
        <v>103</v>
      </c>
      <c r="CL10" s="90" t="s">
        <v>104</v>
      </c>
      <c r="CM10" s="90" t="s">
        <v>344</v>
      </c>
      <c r="CN10" s="90" t="s">
        <v>440</v>
      </c>
      <c r="CO10" s="90" t="s">
        <v>106</v>
      </c>
      <c r="CP10" s="90" t="s">
        <v>107</v>
      </c>
    </row>
    <row r="11" spans="4:94" x14ac:dyDescent="0.25">
      <c r="D11" s="60" t="s">
        <v>1460</v>
      </c>
      <c r="E11" s="106" t="s">
        <v>884</v>
      </c>
      <c r="F11" s="63">
        <f>TRONCONS_V2!AW9</f>
        <v>96</v>
      </c>
      <c r="G11" s="69">
        <f>F11/1000</f>
        <v>9.6000000000000002E-2</v>
      </c>
      <c r="H11" s="63">
        <v>1</v>
      </c>
      <c r="I11" s="63">
        <f>G11*H11</f>
        <v>9.6000000000000002E-2</v>
      </c>
      <c r="J11" s="63">
        <f t="shared" ref="J11:J74" si="0">SQRT(4*I11/3.14)</f>
        <v>0.34970415157754881</v>
      </c>
      <c r="K11" s="63">
        <f>J11*1000</f>
        <v>349.70415157754883</v>
      </c>
      <c r="L11" s="63" cm="1">
        <f t="array" ref="L11">IFERROR(INDEX(REF_TABLE!$G$7:$G$32,MATCH(K11,REF_TABLE!$G$7:$G$32,1)+1),"Aucune valeur supérieure")</f>
        <v>350</v>
      </c>
      <c r="M11" s="63">
        <v>150</v>
      </c>
      <c r="N11" s="60">
        <v>96</v>
      </c>
      <c r="Q11" s="60" t="s">
        <v>1460</v>
      </c>
      <c r="R11" s="63" t="str">
        <f>TRONCONS_V2!BG9</f>
        <v>N81_N82</v>
      </c>
      <c r="S11" s="63">
        <f>TRONCONS_V2!BH9</f>
        <v>90.894000000000005</v>
      </c>
      <c r="T11" s="69">
        <f>S11/1000</f>
        <v>9.0894000000000003E-2</v>
      </c>
      <c r="U11" s="63">
        <v>1</v>
      </c>
      <c r="V11" s="63">
        <f>T11*U11</f>
        <v>9.0894000000000003E-2</v>
      </c>
      <c r="W11" s="63">
        <f t="shared" ref="W11:W74" si="1">SQRT(4*V11/3.14)</f>
        <v>0.34027714444529938</v>
      </c>
      <c r="X11" s="63">
        <f>W11*1000</f>
        <v>340.27714444529937</v>
      </c>
      <c r="Y11" s="63" cm="1">
        <f t="array" ref="Y11">IFERROR(INDEX(REF_TABLE!$G$7:$G$32,MATCH(X11,REF_TABLE!$G$7:$G$32,1)+1),"Aucune valeur supérieure")</f>
        <v>350</v>
      </c>
      <c r="Z11" s="63">
        <v>150</v>
      </c>
      <c r="AA11" s="63">
        <f>TRONCONS_V2!BF9</f>
        <v>68</v>
      </c>
      <c r="AD11" s="60" t="s">
        <v>1460</v>
      </c>
      <c r="AE11" s="63" t="str">
        <f>TRONCONS_V2!AE9</f>
        <v>N42_N72</v>
      </c>
      <c r="AF11" s="63">
        <f>TRONCONS_V2!AF9</f>
        <v>32.835999999999999</v>
      </c>
      <c r="AG11" s="69">
        <f>AF11/1000</f>
        <v>3.2835999999999997E-2</v>
      </c>
      <c r="AH11" s="63">
        <v>1</v>
      </c>
      <c r="AI11" s="63">
        <f>AG11*AH11</f>
        <v>3.2835999999999997E-2</v>
      </c>
      <c r="AJ11" s="63">
        <f t="shared" ref="AJ11:AJ47" si="2">SQRT(4*AI11/3.14)</f>
        <v>0.20452212438525402</v>
      </c>
      <c r="AK11" s="63">
        <f>AJ11*1000</f>
        <v>204.52212438525402</v>
      </c>
      <c r="AL11" s="63" cm="1">
        <f t="array" ref="AL11">IFERROR(INDEX(REF_TABLE!$G$7:$G$32,MATCH(AK11,REF_TABLE!$G$7:$G$32,1)+1),"Aucune valeur supérieure")</f>
        <v>250</v>
      </c>
      <c r="AM11" s="63">
        <v>150</v>
      </c>
      <c r="AN11" s="63">
        <f>TRONCONS_V2!AD9</f>
        <v>91</v>
      </c>
      <c r="AQ11" s="60" t="s">
        <v>1460</v>
      </c>
      <c r="AR11" s="63" t="str">
        <f>TRONCONS_V2!AN9</f>
        <v>N42_N52</v>
      </c>
      <c r="AS11" s="63">
        <f>TRONCONS_V2!AO9</f>
        <v>32.835999999999999</v>
      </c>
      <c r="AT11" s="69">
        <f>AS11/1000</f>
        <v>3.2835999999999997E-2</v>
      </c>
      <c r="AU11" s="63">
        <v>1</v>
      </c>
      <c r="AV11" s="63">
        <f>AT11*AU11</f>
        <v>3.2835999999999997E-2</v>
      </c>
      <c r="AW11" s="63">
        <f t="shared" ref="AW11:AW62" si="3">SQRT(4*AV11/3.14)</f>
        <v>0.20452212438525402</v>
      </c>
      <c r="AX11" s="63">
        <f>AW11*1000</f>
        <v>204.52212438525402</v>
      </c>
      <c r="AY11" s="63" cm="1">
        <f t="array" ref="AY11">IFERROR(INDEX(REF_TABLE!$G$7:$G$32,MATCH(AX11,REF_TABLE!$G$7:$G$32,1)+1),"Aucune valeur supérieure")</f>
        <v>250</v>
      </c>
      <c r="AZ11" s="63">
        <v>150</v>
      </c>
      <c r="BA11" s="63">
        <f>TRONCONS_V2!AM9</f>
        <v>223</v>
      </c>
      <c r="BF11" s="60" t="s">
        <v>1345</v>
      </c>
      <c r="BG11" s="63" t="str">
        <f>TRONCONS_V2!V9</f>
        <v>N31_N17</v>
      </c>
      <c r="BH11" s="63">
        <f>TRONCONS_V2!W9</f>
        <v>166.56</v>
      </c>
      <c r="BI11" s="69">
        <f>BH11/1000</f>
        <v>0.16656000000000001</v>
      </c>
      <c r="BJ11" s="63">
        <v>1</v>
      </c>
      <c r="BK11" s="63">
        <f>BI11*BJ11</f>
        <v>0.16656000000000001</v>
      </c>
      <c r="BL11" s="63">
        <f t="shared" ref="BL11:BL51" si="4">SQRT(4*BK11/3.14)</f>
        <v>0.46062820576799746</v>
      </c>
      <c r="BM11" s="63">
        <f>BL11*1000</f>
        <v>460.62820576799743</v>
      </c>
      <c r="BN11" s="63" cm="1">
        <f t="array" ref="BN11">IFERROR(INDEX(REF_TABLE!$G$7:$G$32,MATCH(BM11,REF_TABLE!$G$7:$G$32,1)+1),"Aucune valeur supérieure")</f>
        <v>466</v>
      </c>
      <c r="BO11" s="63">
        <v>150</v>
      </c>
      <c r="BP11" s="63">
        <f>TRONCONS_V2!U9</f>
        <v>211</v>
      </c>
      <c r="BS11" s="60" t="s">
        <v>1460</v>
      </c>
      <c r="BT11" s="63" t="str">
        <f>TRONCONS_V2!M9</f>
        <v>N3_N18</v>
      </c>
      <c r="BU11" s="63">
        <f>TRONCONS_V2!N9</f>
        <v>166.56</v>
      </c>
      <c r="BV11" s="69">
        <f>BU11/1000</f>
        <v>0.16656000000000001</v>
      </c>
      <c r="BW11" s="63">
        <v>1</v>
      </c>
      <c r="BX11" s="63">
        <f>BV11*BW11</f>
        <v>0.16656000000000001</v>
      </c>
      <c r="BY11" s="63">
        <f t="shared" ref="BY11:BY58" si="5">SQRT(4*BX11/3.14)</f>
        <v>0.46062820576799746</v>
      </c>
      <c r="BZ11" s="63">
        <f>BY11*1000</f>
        <v>460.62820576799743</v>
      </c>
      <c r="CA11" s="63" cm="1">
        <f t="array" ref="CA11">IFERROR(INDEX(REF_TABLE!$G$7:$G$32,MATCH(BZ11,REF_TABLE!$G$7:$G$32,1)+1),"Aucune valeur supérieure")</f>
        <v>466</v>
      </c>
      <c r="CB11" s="63">
        <v>150</v>
      </c>
      <c r="CC11" s="63">
        <f>TRONCONS_V2!L9</f>
        <v>93</v>
      </c>
      <c r="CF11" s="69" t="s">
        <v>1460</v>
      </c>
      <c r="CG11" s="69" t="s">
        <v>405</v>
      </c>
      <c r="CH11" s="69">
        <v>332.12</v>
      </c>
      <c r="CI11" s="69">
        <f>CH11/1000</f>
        <v>0.33212000000000003</v>
      </c>
      <c r="CJ11" s="63">
        <v>1</v>
      </c>
      <c r="CK11" s="63">
        <f>CI11*CJ11</f>
        <v>0.33212000000000003</v>
      </c>
      <c r="CL11" s="63">
        <f t="shared" ref="CL11:CL43" si="6">SQRT(4*CK11/3.14)</f>
        <v>0.65044815515748122</v>
      </c>
      <c r="CM11" s="63">
        <f>CL11*1000</f>
        <v>650.44815515748121</v>
      </c>
      <c r="CN11" s="63" cm="1">
        <f t="array" ref="CN11">IFERROR(INDEX(REF_TABLE!$G$7:$G$32,MATCH(CM11,REF_TABLE!$G$7:$G$32,1)+1),"Aucune valeur supérieure")</f>
        <v>700</v>
      </c>
      <c r="CO11" s="63">
        <v>150</v>
      </c>
      <c r="CP11" s="69">
        <v>47</v>
      </c>
    </row>
    <row r="12" spans="4:94" x14ac:dyDescent="0.25">
      <c r="D12" s="60" t="s">
        <v>1460</v>
      </c>
      <c r="E12" s="60" t="s">
        <v>201</v>
      </c>
      <c r="F12" s="63">
        <f>TRONCONS_V2!AW10</f>
        <v>95</v>
      </c>
      <c r="G12" s="69">
        <f t="shared" ref="G12:G75" si="7">F12/1000</f>
        <v>9.5000000000000001E-2</v>
      </c>
      <c r="H12" s="63">
        <v>1</v>
      </c>
      <c r="I12" s="63">
        <f t="shared" ref="I12:I75" si="8">G12*H12</f>
        <v>9.5000000000000001E-2</v>
      </c>
      <c r="J12" s="63">
        <f t="shared" si="0"/>
        <v>0.34787800775595856</v>
      </c>
      <c r="K12" s="63">
        <f t="shared" ref="K12:K75" si="9">J12*1000</f>
        <v>347.87800775595855</v>
      </c>
      <c r="L12" s="63" cm="1">
        <f t="array" ref="L12">IFERROR(INDEX(REF_TABLE!$G$7:$G$32,MATCH(K12,REF_TABLE!$G$7:$G$32,1)+1),"Aucune valeur supérieure")</f>
        <v>350</v>
      </c>
      <c r="M12" s="63">
        <v>150</v>
      </c>
      <c r="N12" s="60">
        <v>95</v>
      </c>
      <c r="Q12" s="60" t="s">
        <v>1460</v>
      </c>
      <c r="R12" s="63" t="str">
        <f>TRONCONS_V2!BG10</f>
        <v>N81_N135</v>
      </c>
      <c r="S12" s="63">
        <f>TRONCONS_V2!BH10</f>
        <v>58.058</v>
      </c>
      <c r="T12" s="69">
        <f t="shared" ref="T12:T75" si="10">S12/1000</f>
        <v>5.8057999999999998E-2</v>
      </c>
      <c r="U12" s="63">
        <v>1</v>
      </c>
      <c r="V12" s="63">
        <f t="shared" ref="V12:V75" si="11">T12*U12</f>
        <v>5.8057999999999998E-2</v>
      </c>
      <c r="W12" s="63">
        <f t="shared" si="1"/>
        <v>0.27195447352229712</v>
      </c>
      <c r="X12" s="63">
        <f t="shared" ref="X12:X75" si="12">W12*1000</f>
        <v>271.95447352229712</v>
      </c>
      <c r="Y12" s="63" cm="1">
        <f t="array" ref="Y12">IFERROR(INDEX(REF_TABLE!$G$7:$G$32,MATCH(X12,REF_TABLE!$G$7:$G$32,1)+1),"Aucune valeur supérieure")</f>
        <v>300</v>
      </c>
      <c r="Z12" s="63">
        <v>150</v>
      </c>
      <c r="AA12" s="63">
        <f>TRONCONS_V2!BF10</f>
        <v>88</v>
      </c>
      <c r="AD12" s="60" t="s">
        <v>1345</v>
      </c>
      <c r="AE12" s="63" t="str">
        <f>TRONCONS_V2!AE10</f>
        <v>N42_N111</v>
      </c>
      <c r="AF12" s="63">
        <f>TRONCONS_V2!AF10</f>
        <v>32.835999999999999</v>
      </c>
      <c r="AG12" s="69">
        <f t="shared" ref="AG12:AG47" si="13">AF12/1000</f>
        <v>3.2835999999999997E-2</v>
      </c>
      <c r="AH12" s="63">
        <v>1</v>
      </c>
      <c r="AI12" s="63">
        <f t="shared" ref="AI12:AI47" si="14">AG12*AH12</f>
        <v>3.2835999999999997E-2</v>
      </c>
      <c r="AJ12" s="63">
        <f t="shared" si="2"/>
        <v>0.20452212438525402</v>
      </c>
      <c r="AK12" s="63">
        <f t="shared" ref="AK12:AK47" si="15">AJ12*1000</f>
        <v>204.52212438525402</v>
      </c>
      <c r="AL12" s="63" cm="1">
        <f t="array" ref="AL12">IFERROR(INDEX(REF_TABLE!$G$7:$G$32,MATCH(AK12,REF_TABLE!$G$7:$G$32,1)+1),"Aucune valeur supérieure")</f>
        <v>250</v>
      </c>
      <c r="AM12" s="63">
        <v>150</v>
      </c>
      <c r="AN12" s="63">
        <f>TRONCONS_V2!AD10</f>
        <v>59</v>
      </c>
      <c r="AQ12" s="60" t="s">
        <v>1345</v>
      </c>
      <c r="AR12" s="63" t="str">
        <f>TRONCONS_V2!AN10</f>
        <v>N42_N72</v>
      </c>
      <c r="AS12" s="63">
        <f>TRONCONS_V2!AO10</f>
        <v>32.835999999999999</v>
      </c>
      <c r="AT12" s="69">
        <f t="shared" ref="AT12:AT62" si="16">AS12/1000</f>
        <v>3.2835999999999997E-2</v>
      </c>
      <c r="AU12" s="63">
        <v>1</v>
      </c>
      <c r="AV12" s="63">
        <f t="shared" ref="AV12:AV62" si="17">AT12*AU12</f>
        <v>3.2835999999999997E-2</v>
      </c>
      <c r="AW12" s="63">
        <f t="shared" si="3"/>
        <v>0.20452212438525402</v>
      </c>
      <c r="AX12" s="63">
        <f t="shared" ref="AX12:AX62" si="18">AW12*1000</f>
        <v>204.52212438525402</v>
      </c>
      <c r="AY12" s="63" cm="1">
        <f t="array" ref="AY12">IFERROR(INDEX(REF_TABLE!$G$7:$G$32,MATCH(AX12,REF_TABLE!$G$7:$G$32,1)+1),"Aucune valeur supérieure")</f>
        <v>250</v>
      </c>
      <c r="AZ12" s="63">
        <v>150</v>
      </c>
      <c r="BA12" s="63">
        <f>TRONCONS_V2!AM10</f>
        <v>91</v>
      </c>
      <c r="BF12" s="60" t="s">
        <v>1460</v>
      </c>
      <c r="BG12" s="63" t="str">
        <f>TRONCONS_V2!V10</f>
        <v>N17_N43</v>
      </c>
      <c r="BH12" s="63">
        <f>TRONCONS_V2!W10</f>
        <v>166.56</v>
      </c>
      <c r="BI12" s="69">
        <f t="shared" ref="BI12:BI51" si="19">BH12/1000</f>
        <v>0.16656000000000001</v>
      </c>
      <c r="BJ12" s="63">
        <v>1</v>
      </c>
      <c r="BK12" s="63">
        <f t="shared" ref="BK12:BK51" si="20">BI12*BJ12</f>
        <v>0.16656000000000001</v>
      </c>
      <c r="BL12" s="63">
        <f t="shared" si="4"/>
        <v>0.46062820576799746</v>
      </c>
      <c r="BM12" s="63">
        <f t="shared" ref="BM12:BM51" si="21">BL12*1000</f>
        <v>460.62820576799743</v>
      </c>
      <c r="BN12" s="63" cm="1">
        <f t="array" ref="BN12">IFERROR(INDEX(REF_TABLE!$G$7:$G$32,MATCH(BM12,REF_TABLE!$G$7:$G$32,1)+1),"Aucune valeur supérieure")</f>
        <v>466</v>
      </c>
      <c r="BO12" s="63">
        <v>150</v>
      </c>
      <c r="BP12" s="63">
        <f>TRONCONS_V2!U10</f>
        <v>232</v>
      </c>
      <c r="BS12" s="60" t="s">
        <v>1345</v>
      </c>
      <c r="BT12" s="63" t="str">
        <f>TRONCONS_V2!M10</f>
        <v>N3_N4</v>
      </c>
      <c r="BU12" s="63">
        <f>TRONCONS_V2!N10</f>
        <v>166.56</v>
      </c>
      <c r="BV12" s="69">
        <f t="shared" ref="BV12:BV58" si="22">BU12/1000</f>
        <v>0.16656000000000001</v>
      </c>
      <c r="BW12" s="63">
        <v>1</v>
      </c>
      <c r="BX12" s="63">
        <f t="shared" ref="BX12:BX58" si="23">BV12*BW12</f>
        <v>0.16656000000000001</v>
      </c>
      <c r="BY12" s="63">
        <f t="shared" si="5"/>
        <v>0.46062820576799746</v>
      </c>
      <c r="BZ12" s="63">
        <f t="shared" ref="BZ12:BZ58" si="24">BY12*1000</f>
        <v>460.62820576799743</v>
      </c>
      <c r="CA12" s="63" cm="1">
        <f t="array" ref="CA12">IFERROR(INDEX(REF_TABLE!$G$7:$G$32,MATCH(BZ12,REF_TABLE!$G$7:$G$32,1)+1),"Aucune valeur supérieure")</f>
        <v>466</v>
      </c>
      <c r="CB12" s="63">
        <v>150</v>
      </c>
      <c r="CC12" s="63">
        <f>TRONCONS_V2!L10</f>
        <v>181</v>
      </c>
      <c r="CF12" s="69" t="s">
        <v>1460</v>
      </c>
      <c r="CG12" s="69" t="s">
        <v>406</v>
      </c>
      <c r="CH12" s="69">
        <v>332.12</v>
      </c>
      <c r="CI12" s="69">
        <f t="shared" ref="CI12:CI43" si="25">CH12/1000</f>
        <v>0.33212000000000003</v>
      </c>
      <c r="CJ12" s="63">
        <v>1</v>
      </c>
      <c r="CK12" s="63">
        <f t="shared" ref="CK12:CK43" si="26">CI12*CJ12</f>
        <v>0.33212000000000003</v>
      </c>
      <c r="CL12" s="63">
        <f t="shared" si="6"/>
        <v>0.65044815515748122</v>
      </c>
      <c r="CM12" s="63">
        <f t="shared" ref="CM12:CM43" si="27">CL12*1000</f>
        <v>650.44815515748121</v>
      </c>
      <c r="CN12" s="63" cm="1">
        <f t="array" ref="CN12">IFERROR(INDEX(REF_TABLE!$G$7:$G$32,MATCH(CM12,REF_TABLE!$G$7:$G$32,1)+1),"Aucune valeur supérieure")</f>
        <v>700</v>
      </c>
      <c r="CO12" s="63">
        <v>150</v>
      </c>
      <c r="CP12" s="69">
        <v>117</v>
      </c>
    </row>
    <row r="13" spans="4:94" x14ac:dyDescent="0.25">
      <c r="D13" s="60" t="s">
        <v>1460</v>
      </c>
      <c r="E13" s="60" t="s">
        <v>199</v>
      </c>
      <c r="F13" s="63">
        <f>TRONCONS_V2!AW11</f>
        <v>73</v>
      </c>
      <c r="G13" s="69">
        <f t="shared" si="7"/>
        <v>7.2999999999999995E-2</v>
      </c>
      <c r="H13" s="63">
        <v>1</v>
      </c>
      <c r="I13" s="63">
        <f t="shared" si="8"/>
        <v>7.2999999999999995E-2</v>
      </c>
      <c r="J13" s="63">
        <f t="shared" si="0"/>
        <v>0.30494857037416717</v>
      </c>
      <c r="K13" s="63">
        <f t="shared" si="9"/>
        <v>304.94857037416716</v>
      </c>
      <c r="L13" s="63" cm="1">
        <f t="array" ref="L13">IFERROR(INDEX(REF_TABLE!$G$7:$G$32,MATCH(K13,REF_TABLE!$G$7:$G$32,1)+1),"Aucune valeur supérieure")</f>
        <v>350</v>
      </c>
      <c r="M13" s="63">
        <v>150</v>
      </c>
      <c r="N13" s="60">
        <v>73</v>
      </c>
      <c r="Q13" s="60" t="s">
        <v>1460</v>
      </c>
      <c r="R13" s="63" t="str">
        <f>TRONCONS_V2!BG11</f>
        <v>N82_N83</v>
      </c>
      <c r="S13" s="63">
        <f>TRONCONS_V2!BH11</f>
        <v>90.894000000000005</v>
      </c>
      <c r="T13" s="69">
        <f t="shared" si="10"/>
        <v>9.0894000000000003E-2</v>
      </c>
      <c r="U13" s="63">
        <v>1</v>
      </c>
      <c r="V13" s="63">
        <f t="shared" si="11"/>
        <v>9.0894000000000003E-2</v>
      </c>
      <c r="W13" s="63">
        <f t="shared" si="1"/>
        <v>0.34027714444529938</v>
      </c>
      <c r="X13" s="63">
        <f t="shared" si="12"/>
        <v>340.27714444529937</v>
      </c>
      <c r="Y13" s="63" cm="1">
        <f t="array" ref="Y13">IFERROR(INDEX(REF_TABLE!$G$7:$G$32,MATCH(X13,REF_TABLE!$G$7:$G$32,1)+1),"Aucune valeur supérieure")</f>
        <v>350</v>
      </c>
      <c r="Z13" s="63">
        <v>150</v>
      </c>
      <c r="AA13" s="63">
        <f>TRONCONS_V2!BF11</f>
        <v>152</v>
      </c>
      <c r="AD13" s="60" t="s">
        <v>1460</v>
      </c>
      <c r="AE13" s="63" t="str">
        <f>TRONCONS_V2!AE11</f>
        <v>N72_N73</v>
      </c>
      <c r="AF13" s="63">
        <f>TRONCONS_V2!AF11</f>
        <v>32.837000000000003</v>
      </c>
      <c r="AG13" s="69">
        <f t="shared" si="13"/>
        <v>3.2837000000000005E-2</v>
      </c>
      <c r="AH13" s="63">
        <v>1</v>
      </c>
      <c r="AI13" s="63">
        <f t="shared" si="14"/>
        <v>3.2837000000000005E-2</v>
      </c>
      <c r="AJ13" s="63">
        <f t="shared" si="2"/>
        <v>0.20452523865872313</v>
      </c>
      <c r="AK13" s="63">
        <f t="shared" si="15"/>
        <v>204.52523865872314</v>
      </c>
      <c r="AL13" s="63" cm="1">
        <f t="array" ref="AL13">IFERROR(INDEX(REF_TABLE!$G$7:$G$32,MATCH(AK13,REF_TABLE!$G$7:$G$32,1)+1),"Aucune valeur supérieure")</f>
        <v>250</v>
      </c>
      <c r="AM13" s="63">
        <v>150</v>
      </c>
      <c r="AN13" s="63">
        <f>TRONCONS_V2!AD11</f>
        <v>80</v>
      </c>
      <c r="AQ13" s="60" t="s">
        <v>1460</v>
      </c>
      <c r="AR13" s="63" t="str">
        <f>TRONCONS_V2!AN11</f>
        <v>N52_N53</v>
      </c>
      <c r="AS13" s="63">
        <f>TRONCONS_V2!AO11</f>
        <v>32.837000000000003</v>
      </c>
      <c r="AT13" s="69">
        <f t="shared" si="16"/>
        <v>3.2837000000000005E-2</v>
      </c>
      <c r="AU13" s="63">
        <v>1</v>
      </c>
      <c r="AV13" s="63">
        <f t="shared" si="17"/>
        <v>3.2837000000000005E-2</v>
      </c>
      <c r="AW13" s="63">
        <f t="shared" si="3"/>
        <v>0.20452523865872313</v>
      </c>
      <c r="AX13" s="63">
        <f t="shared" si="18"/>
        <v>204.52523865872314</v>
      </c>
      <c r="AY13" s="63" cm="1">
        <f t="array" ref="AY13">IFERROR(INDEX(REF_TABLE!$G$7:$G$32,MATCH(AX13,REF_TABLE!$G$7:$G$32,1)+1),"Aucune valeur supérieure")</f>
        <v>250</v>
      </c>
      <c r="AZ13" s="63">
        <v>150</v>
      </c>
      <c r="BA13" s="63">
        <f>TRONCONS_V2!AM11</f>
        <v>94</v>
      </c>
      <c r="BF13" s="60" t="s">
        <v>1345</v>
      </c>
      <c r="BG13" s="63" t="str">
        <f>TRONCONS_V2!V11</f>
        <v>N31_N32</v>
      </c>
      <c r="BH13" s="63">
        <f>TRONCONS_V2!W11</f>
        <v>83.28</v>
      </c>
      <c r="BI13" s="69">
        <f t="shared" si="19"/>
        <v>8.3280000000000007E-2</v>
      </c>
      <c r="BJ13" s="63">
        <v>1</v>
      </c>
      <c r="BK13" s="63">
        <f t="shared" si="20"/>
        <v>8.3280000000000007E-2</v>
      </c>
      <c r="BL13" s="63">
        <f t="shared" si="4"/>
        <v>0.32571332790434337</v>
      </c>
      <c r="BM13" s="63">
        <f t="shared" si="21"/>
        <v>325.71332790434337</v>
      </c>
      <c r="BN13" s="63" cm="1">
        <f t="array" ref="BN13">IFERROR(INDEX(REF_TABLE!$G$7:$G$32,MATCH(BM13,REF_TABLE!$G$7:$G$32,1)+1),"Aucune valeur supérieure")</f>
        <v>350</v>
      </c>
      <c r="BO13" s="63">
        <v>150</v>
      </c>
      <c r="BP13" s="63">
        <f>TRONCONS_V2!U11</f>
        <v>129</v>
      </c>
      <c r="BS13" s="60" t="s">
        <v>1345</v>
      </c>
      <c r="BT13" s="63" t="str">
        <f>TRONCONS_V2!M11</f>
        <v>N4_N5</v>
      </c>
      <c r="BU13" s="63">
        <f>TRONCONS_V2!N11</f>
        <v>166.56</v>
      </c>
      <c r="BV13" s="69">
        <f t="shared" si="22"/>
        <v>0.16656000000000001</v>
      </c>
      <c r="BW13" s="63">
        <v>1</v>
      </c>
      <c r="BX13" s="63">
        <f t="shared" si="23"/>
        <v>0.16656000000000001</v>
      </c>
      <c r="BY13" s="63">
        <f t="shared" si="5"/>
        <v>0.46062820576799746</v>
      </c>
      <c r="BZ13" s="63">
        <f t="shared" si="24"/>
        <v>460.62820576799743</v>
      </c>
      <c r="CA13" s="63" cm="1">
        <f t="array" ref="CA13">IFERROR(INDEX(REF_TABLE!$G$7:$G$32,MATCH(BZ13,REF_TABLE!$G$7:$G$32,1)+1),"Aucune valeur supérieure")</f>
        <v>466</v>
      </c>
      <c r="CB13" s="63">
        <v>150</v>
      </c>
      <c r="CC13" s="63">
        <f>TRONCONS_V2!L11</f>
        <v>133</v>
      </c>
      <c r="CF13" s="69" t="s">
        <v>1460</v>
      </c>
      <c r="CG13" s="69" t="s">
        <v>407</v>
      </c>
      <c r="CH13" s="69">
        <v>332.12</v>
      </c>
      <c r="CI13" s="69">
        <f t="shared" si="25"/>
        <v>0.33212000000000003</v>
      </c>
      <c r="CJ13" s="63">
        <v>1</v>
      </c>
      <c r="CK13" s="63">
        <f t="shared" si="26"/>
        <v>0.33212000000000003</v>
      </c>
      <c r="CL13" s="63">
        <f t="shared" si="6"/>
        <v>0.65044815515748122</v>
      </c>
      <c r="CM13" s="63">
        <f t="shared" si="27"/>
        <v>650.44815515748121</v>
      </c>
      <c r="CN13" s="63" cm="1">
        <f t="array" ref="CN13">IFERROR(INDEX(REF_TABLE!$G$7:$G$32,MATCH(CM13,REF_TABLE!$G$7:$G$32,1)+1),"Aucune valeur supérieure")</f>
        <v>700</v>
      </c>
      <c r="CO13" s="63">
        <v>150</v>
      </c>
      <c r="CP13" s="69">
        <v>167</v>
      </c>
    </row>
    <row r="14" spans="4:94" x14ac:dyDescent="0.25">
      <c r="D14" s="60" t="s">
        <v>1460</v>
      </c>
      <c r="E14" s="60" t="s">
        <v>198</v>
      </c>
      <c r="F14" s="63">
        <f>TRONCONS_V2!AW12</f>
        <v>77</v>
      </c>
      <c r="G14" s="69">
        <f t="shared" si="7"/>
        <v>7.6999999999999999E-2</v>
      </c>
      <c r="H14" s="63">
        <v>1</v>
      </c>
      <c r="I14" s="63">
        <f t="shared" si="8"/>
        <v>7.6999999999999999E-2</v>
      </c>
      <c r="J14" s="63">
        <f t="shared" si="0"/>
        <v>0.31319190917793882</v>
      </c>
      <c r="K14" s="63">
        <f t="shared" si="9"/>
        <v>313.19190917793884</v>
      </c>
      <c r="L14" s="63" cm="1">
        <f t="array" ref="L14">IFERROR(INDEX(REF_TABLE!$G$7:$G$32,MATCH(K14,REF_TABLE!$G$7:$G$32,1)+1),"Aucune valeur supérieure")</f>
        <v>350</v>
      </c>
      <c r="M14" s="63">
        <v>150</v>
      </c>
      <c r="N14" s="60">
        <v>77</v>
      </c>
      <c r="Q14" s="60" t="s">
        <v>1460</v>
      </c>
      <c r="R14" s="63" t="str">
        <f>TRONCONS_V2!BG12</f>
        <v>N83_N84</v>
      </c>
      <c r="S14" s="63">
        <f>TRONCONS_V2!BH12</f>
        <v>90.894000000000005</v>
      </c>
      <c r="T14" s="69">
        <f t="shared" si="10"/>
        <v>9.0894000000000003E-2</v>
      </c>
      <c r="U14" s="63">
        <v>1</v>
      </c>
      <c r="V14" s="63">
        <f t="shared" si="11"/>
        <v>9.0894000000000003E-2</v>
      </c>
      <c r="W14" s="63">
        <f t="shared" si="1"/>
        <v>0.34027714444529938</v>
      </c>
      <c r="X14" s="63">
        <f t="shared" si="12"/>
        <v>340.27714444529937</v>
      </c>
      <c r="Y14" s="63" cm="1">
        <f t="array" ref="Y14">IFERROR(INDEX(REF_TABLE!$G$7:$G$32,MATCH(X14,REF_TABLE!$G$7:$G$32,1)+1),"Aucune valeur supérieure")</f>
        <v>350</v>
      </c>
      <c r="Z14" s="63">
        <v>150</v>
      </c>
      <c r="AA14" s="63">
        <f>TRONCONS_V2!BF12</f>
        <v>75</v>
      </c>
      <c r="AD14" s="60" t="s">
        <v>1460</v>
      </c>
      <c r="AE14" s="63" t="str">
        <f>TRONCONS_V2!AE12</f>
        <v>N73_N74</v>
      </c>
      <c r="AF14" s="63">
        <f>TRONCONS_V2!AF12</f>
        <v>32.837000000000003</v>
      </c>
      <c r="AG14" s="69">
        <f t="shared" si="13"/>
        <v>3.2837000000000005E-2</v>
      </c>
      <c r="AH14" s="63">
        <v>1</v>
      </c>
      <c r="AI14" s="63">
        <f t="shared" si="14"/>
        <v>3.2837000000000005E-2</v>
      </c>
      <c r="AJ14" s="63">
        <f t="shared" si="2"/>
        <v>0.20452523865872313</v>
      </c>
      <c r="AK14" s="63">
        <f t="shared" si="15"/>
        <v>204.52523865872314</v>
      </c>
      <c r="AL14" s="63" cm="1">
        <f t="array" ref="AL14">IFERROR(INDEX(REF_TABLE!$G$7:$G$32,MATCH(AK14,REF_TABLE!$G$7:$G$32,1)+1),"Aucune valeur supérieure")</f>
        <v>250</v>
      </c>
      <c r="AM14" s="63">
        <v>150</v>
      </c>
      <c r="AN14" s="63">
        <f>TRONCONS_V2!AD12</f>
        <v>87</v>
      </c>
      <c r="AQ14" s="60" t="s">
        <v>1460</v>
      </c>
      <c r="AR14" s="63" t="str">
        <f>TRONCONS_V2!AN12</f>
        <v>N53_N54</v>
      </c>
      <c r="AS14" s="63">
        <f>TRONCONS_V2!AO12</f>
        <v>32.837000000000003</v>
      </c>
      <c r="AT14" s="69">
        <f t="shared" si="16"/>
        <v>3.2837000000000005E-2</v>
      </c>
      <c r="AU14" s="63">
        <v>1</v>
      </c>
      <c r="AV14" s="63">
        <f t="shared" si="17"/>
        <v>3.2837000000000005E-2</v>
      </c>
      <c r="AW14" s="63">
        <f t="shared" si="3"/>
        <v>0.20452523865872313</v>
      </c>
      <c r="AX14" s="63">
        <f t="shared" si="18"/>
        <v>204.52523865872314</v>
      </c>
      <c r="AY14" s="63" cm="1">
        <f t="array" ref="AY14">IFERROR(INDEX(REF_TABLE!$G$7:$G$32,MATCH(AX14,REF_TABLE!$G$7:$G$32,1)+1),"Aucune valeur supérieure")</f>
        <v>250</v>
      </c>
      <c r="AZ14" s="63">
        <v>150</v>
      </c>
      <c r="BA14" s="63">
        <f>TRONCONS_V2!AM12</f>
        <v>191</v>
      </c>
      <c r="BF14" s="60" t="s">
        <v>1345</v>
      </c>
      <c r="BG14" s="63" t="str">
        <f>TRONCONS_V2!V12</f>
        <v>N32_N33</v>
      </c>
      <c r="BH14" s="63">
        <f>TRONCONS_V2!W12</f>
        <v>83.28</v>
      </c>
      <c r="BI14" s="69">
        <f t="shared" si="19"/>
        <v>8.3280000000000007E-2</v>
      </c>
      <c r="BJ14" s="63">
        <v>1</v>
      </c>
      <c r="BK14" s="63">
        <f t="shared" si="20"/>
        <v>8.3280000000000007E-2</v>
      </c>
      <c r="BL14" s="63">
        <f t="shared" si="4"/>
        <v>0.32571332790434337</v>
      </c>
      <c r="BM14" s="63">
        <f t="shared" si="21"/>
        <v>325.71332790434337</v>
      </c>
      <c r="BN14" s="63" cm="1">
        <f t="array" ref="BN14">IFERROR(INDEX(REF_TABLE!$G$7:$G$32,MATCH(BM14,REF_TABLE!$G$7:$G$32,1)+1),"Aucune valeur supérieure")</f>
        <v>350</v>
      </c>
      <c r="BO14" s="63">
        <v>150</v>
      </c>
      <c r="BP14" s="63">
        <f>TRONCONS_V2!U12</f>
        <v>157</v>
      </c>
      <c r="BS14" s="60" t="s">
        <v>1345</v>
      </c>
      <c r="BT14" s="63" t="str">
        <f>TRONCONS_V2!M12</f>
        <v>N5_N6</v>
      </c>
      <c r="BU14" s="63">
        <f>TRONCONS_V2!N12</f>
        <v>166.56</v>
      </c>
      <c r="BV14" s="69">
        <f t="shared" si="22"/>
        <v>0.16656000000000001</v>
      </c>
      <c r="BW14" s="63">
        <v>1</v>
      </c>
      <c r="BX14" s="63">
        <f t="shared" si="23"/>
        <v>0.16656000000000001</v>
      </c>
      <c r="BY14" s="63">
        <f t="shared" si="5"/>
        <v>0.46062820576799746</v>
      </c>
      <c r="BZ14" s="63">
        <f t="shared" si="24"/>
        <v>460.62820576799743</v>
      </c>
      <c r="CA14" s="63" cm="1">
        <f t="array" ref="CA14">IFERROR(INDEX(REF_TABLE!$G$7:$G$32,MATCH(BZ14,REF_TABLE!$G$7:$G$32,1)+1),"Aucune valeur supérieure")</f>
        <v>466</v>
      </c>
      <c r="CB14" s="63">
        <v>150</v>
      </c>
      <c r="CC14" s="63">
        <f>TRONCONS_V2!L12</f>
        <v>75</v>
      </c>
      <c r="CF14" s="69" t="s">
        <v>1345</v>
      </c>
      <c r="CG14" s="69" t="s">
        <v>399</v>
      </c>
      <c r="CH14" s="69">
        <v>166.56</v>
      </c>
      <c r="CI14" s="69">
        <f t="shared" si="25"/>
        <v>0.16656000000000001</v>
      </c>
      <c r="CJ14" s="63">
        <v>1</v>
      </c>
      <c r="CK14" s="63">
        <f t="shared" si="26"/>
        <v>0.16656000000000001</v>
      </c>
      <c r="CL14" s="63">
        <f t="shared" si="6"/>
        <v>0.46062820576799746</v>
      </c>
      <c r="CM14" s="63">
        <f t="shared" si="27"/>
        <v>460.62820576799743</v>
      </c>
      <c r="CN14" s="63" cm="1">
        <f t="array" ref="CN14">IFERROR(INDEX(REF_TABLE!$G$7:$G$32,MATCH(CM14,REF_TABLE!$G$7:$G$32,1)+1),"Aucune valeur supérieure")</f>
        <v>466</v>
      </c>
      <c r="CO14" s="63">
        <v>150</v>
      </c>
      <c r="CP14" s="69">
        <v>93</v>
      </c>
    </row>
    <row r="15" spans="4:94" x14ac:dyDescent="0.25">
      <c r="D15" s="60" t="s">
        <v>1460</v>
      </c>
      <c r="E15" s="60" t="s">
        <v>197</v>
      </c>
      <c r="F15" s="63">
        <f>TRONCONS_V2!AW13</f>
        <v>250</v>
      </c>
      <c r="G15" s="69">
        <f t="shared" si="7"/>
        <v>0.25</v>
      </c>
      <c r="H15" s="63">
        <v>1</v>
      </c>
      <c r="I15" s="63">
        <f t="shared" si="8"/>
        <v>0.25</v>
      </c>
      <c r="J15" s="63">
        <f t="shared" si="0"/>
        <v>0.56433264798310034</v>
      </c>
      <c r="K15" s="63">
        <f t="shared" si="9"/>
        <v>564.33264798310029</v>
      </c>
      <c r="L15" s="63" cm="1">
        <f t="array" ref="L15">IFERROR(INDEX(REF_TABLE!$G$7:$G$32,MATCH(K15,REF_TABLE!$G$7:$G$32,1)+1),"Aucune valeur supérieure")</f>
        <v>565</v>
      </c>
      <c r="M15" s="63">
        <v>150</v>
      </c>
      <c r="N15" s="60">
        <v>250</v>
      </c>
      <c r="Q15" s="60" t="s">
        <v>1345</v>
      </c>
      <c r="R15" s="63" t="str">
        <f>TRONCONS_V2!BG13</f>
        <v>N84_N165</v>
      </c>
      <c r="S15" s="63">
        <f>TRONCONS_V2!BH13</f>
        <v>29.029</v>
      </c>
      <c r="T15" s="69">
        <f t="shared" si="10"/>
        <v>2.9028999999999999E-2</v>
      </c>
      <c r="U15" s="63">
        <v>1</v>
      </c>
      <c r="V15" s="63">
        <f t="shared" si="11"/>
        <v>2.9028999999999999E-2</v>
      </c>
      <c r="W15" s="63">
        <f t="shared" si="1"/>
        <v>0.19230085240163367</v>
      </c>
      <c r="X15" s="63">
        <f t="shared" si="12"/>
        <v>192.30085240163368</v>
      </c>
      <c r="Y15" s="63" cm="1">
        <f t="array" ref="Y15">IFERROR(INDEX(REF_TABLE!$G$7:$G$32,MATCH(X15,REF_TABLE!$G$7:$G$32,1)+1),"Aucune valeur supérieure")</f>
        <v>200</v>
      </c>
      <c r="Z15" s="63">
        <v>150</v>
      </c>
      <c r="AA15" s="63">
        <f>TRONCONS_V2!BF13</f>
        <v>96</v>
      </c>
      <c r="AD15" s="60" t="s">
        <v>1460</v>
      </c>
      <c r="AE15" s="63" t="str">
        <f>TRONCONS_V2!AE13</f>
        <v>N74_N75</v>
      </c>
      <c r="AF15" s="63">
        <f>TRONCONS_V2!AF13</f>
        <v>32.837000000000003</v>
      </c>
      <c r="AG15" s="69">
        <f t="shared" si="13"/>
        <v>3.2837000000000005E-2</v>
      </c>
      <c r="AH15" s="63">
        <v>1</v>
      </c>
      <c r="AI15" s="63">
        <f t="shared" si="14"/>
        <v>3.2837000000000005E-2</v>
      </c>
      <c r="AJ15" s="63">
        <f t="shared" si="2"/>
        <v>0.20452523865872313</v>
      </c>
      <c r="AK15" s="63">
        <f t="shared" si="15"/>
        <v>204.52523865872314</v>
      </c>
      <c r="AL15" s="63" cm="1">
        <f t="array" ref="AL15">IFERROR(INDEX(REF_TABLE!$G$7:$G$32,MATCH(AK15,REF_TABLE!$G$7:$G$32,1)+1),"Aucune valeur supérieure")</f>
        <v>250</v>
      </c>
      <c r="AM15" s="63">
        <v>150</v>
      </c>
      <c r="AN15" s="63">
        <f>TRONCONS_V2!AD13</f>
        <v>89</v>
      </c>
      <c r="AQ15" s="60" t="s">
        <v>1460</v>
      </c>
      <c r="AR15" s="63" t="str">
        <f>TRONCONS_V2!AN13</f>
        <v>N54_N55</v>
      </c>
      <c r="AS15" s="63">
        <f>TRONCONS_V2!AO13</f>
        <v>32.837000000000003</v>
      </c>
      <c r="AT15" s="69">
        <f t="shared" si="16"/>
        <v>3.2837000000000005E-2</v>
      </c>
      <c r="AU15" s="63">
        <v>1</v>
      </c>
      <c r="AV15" s="63">
        <f t="shared" si="17"/>
        <v>3.2837000000000005E-2</v>
      </c>
      <c r="AW15" s="63">
        <f t="shared" si="3"/>
        <v>0.20452523865872313</v>
      </c>
      <c r="AX15" s="63">
        <f t="shared" si="18"/>
        <v>204.52523865872314</v>
      </c>
      <c r="AY15" s="63" cm="1">
        <f t="array" ref="AY15">IFERROR(INDEX(REF_TABLE!$G$7:$G$32,MATCH(AX15,REF_TABLE!$G$7:$G$32,1)+1),"Aucune valeur supérieure")</f>
        <v>250</v>
      </c>
      <c r="AZ15" s="63">
        <v>150</v>
      </c>
      <c r="BA15" s="63">
        <f>TRONCONS_V2!AM13</f>
        <v>77</v>
      </c>
      <c r="BF15" s="60" t="s">
        <v>1345</v>
      </c>
      <c r="BG15" s="63" t="str">
        <f>TRONCONS_V2!V13</f>
        <v>N33_N34</v>
      </c>
      <c r="BH15" s="63">
        <f>TRONCONS_V2!W13</f>
        <v>83.28</v>
      </c>
      <c r="BI15" s="69">
        <f t="shared" si="19"/>
        <v>8.3280000000000007E-2</v>
      </c>
      <c r="BJ15" s="63">
        <v>1</v>
      </c>
      <c r="BK15" s="63">
        <f t="shared" si="20"/>
        <v>8.3280000000000007E-2</v>
      </c>
      <c r="BL15" s="63">
        <f t="shared" si="4"/>
        <v>0.32571332790434337</v>
      </c>
      <c r="BM15" s="63">
        <f t="shared" si="21"/>
        <v>325.71332790434337</v>
      </c>
      <c r="BN15" s="63" cm="1">
        <f t="array" ref="BN15">IFERROR(INDEX(REF_TABLE!$G$7:$G$32,MATCH(BM15,REF_TABLE!$G$7:$G$32,1)+1),"Aucune valeur supérieure")</f>
        <v>350</v>
      </c>
      <c r="BO15" s="63">
        <v>150</v>
      </c>
      <c r="BP15" s="63">
        <f>TRONCONS_V2!U13</f>
        <v>82</v>
      </c>
      <c r="BS15" s="60" t="s">
        <v>1345</v>
      </c>
      <c r="BT15" s="63" t="str">
        <f>TRONCONS_V2!M13</f>
        <v>N6_N7</v>
      </c>
      <c r="BU15" s="63">
        <f>TRONCONS_V2!N13</f>
        <v>166.56</v>
      </c>
      <c r="BV15" s="69">
        <f t="shared" si="22"/>
        <v>0.16656000000000001</v>
      </c>
      <c r="BW15" s="63">
        <v>1</v>
      </c>
      <c r="BX15" s="63">
        <f t="shared" si="23"/>
        <v>0.16656000000000001</v>
      </c>
      <c r="BY15" s="63">
        <f t="shared" si="5"/>
        <v>0.46062820576799746</v>
      </c>
      <c r="BZ15" s="63">
        <f t="shared" si="24"/>
        <v>460.62820576799743</v>
      </c>
      <c r="CA15" s="63" cm="1">
        <f t="array" ref="CA15">IFERROR(INDEX(REF_TABLE!$G$7:$G$32,MATCH(BZ15,REF_TABLE!$G$7:$G$32,1)+1),"Aucune valeur supérieure")</f>
        <v>466</v>
      </c>
      <c r="CB15" s="63">
        <v>150</v>
      </c>
      <c r="CC15" s="63">
        <f>TRONCONS_V2!L13</f>
        <v>94</v>
      </c>
      <c r="CF15" s="69" t="s">
        <v>1460</v>
      </c>
      <c r="CG15" s="69" t="s">
        <v>400</v>
      </c>
      <c r="CH15" s="69">
        <v>166.56</v>
      </c>
      <c r="CI15" s="69">
        <f t="shared" si="25"/>
        <v>0.16656000000000001</v>
      </c>
      <c r="CJ15" s="63">
        <v>1</v>
      </c>
      <c r="CK15" s="63">
        <f t="shared" si="26"/>
        <v>0.16656000000000001</v>
      </c>
      <c r="CL15" s="63">
        <f t="shared" si="6"/>
        <v>0.46062820576799746</v>
      </c>
      <c r="CM15" s="63">
        <f t="shared" si="27"/>
        <v>460.62820576799743</v>
      </c>
      <c r="CN15" s="63" cm="1">
        <f t="array" ref="CN15">IFERROR(INDEX(REF_TABLE!$G$7:$G$32,MATCH(CM15,REF_TABLE!$G$7:$G$32,1)+1),"Aucune valeur supérieure")</f>
        <v>466</v>
      </c>
      <c r="CO15" s="63">
        <v>150</v>
      </c>
      <c r="CP15" s="69">
        <v>181</v>
      </c>
    </row>
    <row r="16" spans="4:94" x14ac:dyDescent="0.25">
      <c r="D16" s="60" t="s">
        <v>1460</v>
      </c>
      <c r="E16" s="60" t="s">
        <v>196</v>
      </c>
      <c r="F16" s="63">
        <f>TRONCONS_V2!AW14</f>
        <v>63</v>
      </c>
      <c r="G16" s="69">
        <f t="shared" si="7"/>
        <v>6.3E-2</v>
      </c>
      <c r="H16" s="63">
        <v>1</v>
      </c>
      <c r="I16" s="63">
        <f t="shared" si="8"/>
        <v>6.3E-2</v>
      </c>
      <c r="J16" s="63">
        <f t="shared" si="0"/>
        <v>0.28329274094135148</v>
      </c>
      <c r="K16" s="63">
        <f t="shared" si="9"/>
        <v>283.2927409413515</v>
      </c>
      <c r="L16" s="63" cm="1">
        <f t="array" ref="L16">IFERROR(INDEX(REF_TABLE!$G$7:$G$32,MATCH(K16,REF_TABLE!$G$7:$G$32,1)+1),"Aucune valeur supérieure")</f>
        <v>300</v>
      </c>
      <c r="M16" s="63">
        <v>150</v>
      </c>
      <c r="N16" s="60">
        <v>63</v>
      </c>
      <c r="Q16" s="60" t="s">
        <v>1345</v>
      </c>
      <c r="R16" s="63" t="str">
        <f>TRONCONS_V2!BG14</f>
        <v>N127_N136</v>
      </c>
      <c r="S16" s="63">
        <f>TRONCONS_V2!BH14</f>
        <v>58.058</v>
      </c>
      <c r="T16" s="69">
        <f t="shared" si="10"/>
        <v>5.8057999999999998E-2</v>
      </c>
      <c r="U16" s="63">
        <v>1</v>
      </c>
      <c r="V16" s="63">
        <f t="shared" si="11"/>
        <v>5.8057999999999998E-2</v>
      </c>
      <c r="W16" s="63">
        <f t="shared" si="1"/>
        <v>0.27195447352229712</v>
      </c>
      <c r="X16" s="63">
        <f t="shared" si="12"/>
        <v>271.95447352229712</v>
      </c>
      <c r="Y16" s="63" cm="1">
        <f t="array" ref="Y16">IFERROR(INDEX(REF_TABLE!$G$7:$G$32,MATCH(X16,REF_TABLE!$G$7:$G$32,1)+1),"Aucune valeur supérieure")</f>
        <v>300</v>
      </c>
      <c r="Z16" s="63">
        <v>150</v>
      </c>
      <c r="AA16" s="63">
        <f>TRONCONS_V2!BF14</f>
        <v>222</v>
      </c>
      <c r="AD16" s="60" t="s">
        <v>1460</v>
      </c>
      <c r="AE16" s="63" t="str">
        <f>TRONCONS_V2!AE14</f>
        <v>N75_N76</v>
      </c>
      <c r="AF16" s="63">
        <f>TRONCONS_V2!AF14</f>
        <v>32.837000000000003</v>
      </c>
      <c r="AG16" s="69">
        <f t="shared" si="13"/>
        <v>3.2837000000000005E-2</v>
      </c>
      <c r="AH16" s="63">
        <v>1</v>
      </c>
      <c r="AI16" s="63">
        <f t="shared" si="14"/>
        <v>3.2837000000000005E-2</v>
      </c>
      <c r="AJ16" s="63">
        <f t="shared" si="2"/>
        <v>0.20452523865872313</v>
      </c>
      <c r="AK16" s="63">
        <f t="shared" si="15"/>
        <v>204.52523865872314</v>
      </c>
      <c r="AL16" s="63" cm="1">
        <f t="array" ref="AL16">IFERROR(INDEX(REF_TABLE!$G$7:$G$32,MATCH(AK16,REF_TABLE!$G$7:$G$32,1)+1),"Aucune valeur supérieure")</f>
        <v>250</v>
      </c>
      <c r="AM16" s="63">
        <v>150</v>
      </c>
      <c r="AN16" s="63">
        <f>TRONCONS_V2!AD14</f>
        <v>88</v>
      </c>
      <c r="AQ16" s="60" t="s">
        <v>1460</v>
      </c>
      <c r="AR16" s="63" t="str">
        <f>TRONCONS_V2!AN14</f>
        <v>N55_N56</v>
      </c>
      <c r="AS16" s="63">
        <f>TRONCONS_V2!AO14</f>
        <v>32.837000000000003</v>
      </c>
      <c r="AT16" s="69">
        <f t="shared" si="16"/>
        <v>3.2837000000000005E-2</v>
      </c>
      <c r="AU16" s="63">
        <v>1</v>
      </c>
      <c r="AV16" s="63">
        <f t="shared" si="17"/>
        <v>3.2837000000000005E-2</v>
      </c>
      <c r="AW16" s="63">
        <f t="shared" si="3"/>
        <v>0.20452523865872313</v>
      </c>
      <c r="AX16" s="63">
        <f t="shared" si="18"/>
        <v>204.52523865872314</v>
      </c>
      <c r="AY16" s="63" cm="1">
        <f t="array" ref="AY16">IFERROR(INDEX(REF_TABLE!$G$7:$G$32,MATCH(AX16,REF_TABLE!$G$7:$G$32,1)+1),"Aucune valeur supérieure")</f>
        <v>250</v>
      </c>
      <c r="AZ16" s="63">
        <v>150</v>
      </c>
      <c r="BA16" s="63">
        <f>TRONCONS_V2!AM14</f>
        <v>77</v>
      </c>
      <c r="BF16" s="60" t="s">
        <v>1345</v>
      </c>
      <c r="BG16" s="63" t="str">
        <f>TRONCONS_V2!V14</f>
        <v>N34_N35</v>
      </c>
      <c r="BH16" s="63">
        <f>TRONCONS_V2!W14</f>
        <v>83.28</v>
      </c>
      <c r="BI16" s="69">
        <f t="shared" si="19"/>
        <v>8.3280000000000007E-2</v>
      </c>
      <c r="BJ16" s="63">
        <v>1</v>
      </c>
      <c r="BK16" s="63">
        <f t="shared" si="20"/>
        <v>8.3280000000000007E-2</v>
      </c>
      <c r="BL16" s="63">
        <f t="shared" si="4"/>
        <v>0.32571332790434337</v>
      </c>
      <c r="BM16" s="63">
        <f t="shared" si="21"/>
        <v>325.71332790434337</v>
      </c>
      <c r="BN16" s="63" cm="1">
        <f t="array" ref="BN16">IFERROR(INDEX(REF_TABLE!$G$7:$G$32,MATCH(BM16,REF_TABLE!$G$7:$G$32,1)+1),"Aucune valeur supérieure")</f>
        <v>350</v>
      </c>
      <c r="BO16" s="63">
        <v>150</v>
      </c>
      <c r="BP16" s="63">
        <f>TRONCONS_V2!U14</f>
        <v>69</v>
      </c>
      <c r="BS16" s="60" t="s">
        <v>1345</v>
      </c>
      <c r="BT16" s="63" t="str">
        <f>TRONCONS_V2!M14</f>
        <v>N7_N106</v>
      </c>
      <c r="BU16" s="63">
        <f>TRONCONS_V2!N14</f>
        <v>83.28</v>
      </c>
      <c r="BV16" s="69">
        <f t="shared" si="22"/>
        <v>8.3280000000000007E-2</v>
      </c>
      <c r="BW16" s="63">
        <v>1</v>
      </c>
      <c r="BX16" s="63">
        <f t="shared" si="23"/>
        <v>8.3280000000000007E-2</v>
      </c>
      <c r="BY16" s="63">
        <f t="shared" si="5"/>
        <v>0.32571332790434337</v>
      </c>
      <c r="BZ16" s="63">
        <f t="shared" si="24"/>
        <v>325.71332790434337</v>
      </c>
      <c r="CA16" s="63" cm="1">
        <f t="array" ref="CA16">IFERROR(INDEX(REF_TABLE!$G$7:$G$32,MATCH(BZ16,REF_TABLE!$G$7:$G$32,1)+1),"Aucune valeur supérieure")</f>
        <v>350</v>
      </c>
      <c r="CB16" s="63">
        <v>150</v>
      </c>
      <c r="CC16" s="63">
        <f>TRONCONS_V2!L14</f>
        <v>322</v>
      </c>
      <c r="CF16" s="69" t="s">
        <v>1460</v>
      </c>
      <c r="CG16" s="69" t="s">
        <v>401</v>
      </c>
      <c r="CH16" s="69">
        <v>166.56</v>
      </c>
      <c r="CI16" s="69">
        <f t="shared" si="25"/>
        <v>0.16656000000000001</v>
      </c>
      <c r="CJ16" s="63">
        <v>1</v>
      </c>
      <c r="CK16" s="63">
        <f t="shared" si="26"/>
        <v>0.16656000000000001</v>
      </c>
      <c r="CL16" s="63">
        <f t="shared" si="6"/>
        <v>0.46062820576799746</v>
      </c>
      <c r="CM16" s="63">
        <f t="shared" si="27"/>
        <v>460.62820576799743</v>
      </c>
      <c r="CN16" s="63" cm="1">
        <f t="array" ref="CN16">IFERROR(INDEX(REF_TABLE!$G$7:$G$32,MATCH(CM16,REF_TABLE!$G$7:$G$32,1)+1),"Aucune valeur supérieure")</f>
        <v>466</v>
      </c>
      <c r="CO16" s="63">
        <v>150</v>
      </c>
      <c r="CP16" s="69">
        <v>133</v>
      </c>
    </row>
    <row r="17" spans="4:94" x14ac:dyDescent="0.25">
      <c r="D17" s="60" t="s">
        <v>1460</v>
      </c>
      <c r="E17" s="60" t="s">
        <v>195</v>
      </c>
      <c r="F17" s="63">
        <f>TRONCONS_V2!AW15</f>
        <v>41</v>
      </c>
      <c r="G17" s="69">
        <f t="shared" si="7"/>
        <v>4.1000000000000002E-2</v>
      </c>
      <c r="H17" s="63">
        <v>1</v>
      </c>
      <c r="I17" s="63">
        <f t="shared" si="8"/>
        <v>4.1000000000000002E-2</v>
      </c>
      <c r="J17" s="63">
        <f t="shared" si="0"/>
        <v>0.22853730409510245</v>
      </c>
      <c r="K17" s="63">
        <f t="shared" si="9"/>
        <v>228.53730409510246</v>
      </c>
      <c r="L17" s="63" cm="1">
        <f t="array" ref="L17">IFERROR(INDEX(REF_TABLE!$G$7:$G$32,MATCH(K17,REF_TABLE!$G$7:$G$32,1)+1),"Aucune valeur supérieure")</f>
        <v>250</v>
      </c>
      <c r="M17" s="63">
        <v>150</v>
      </c>
      <c r="N17" s="60">
        <v>41</v>
      </c>
      <c r="Q17" s="60" t="s">
        <v>1460</v>
      </c>
      <c r="R17" s="63" t="str">
        <f>TRONCONS_V2!BG15</f>
        <v>N127_N128</v>
      </c>
      <c r="S17" s="63">
        <f>TRONCONS_V2!BH15</f>
        <v>58.058</v>
      </c>
      <c r="T17" s="69">
        <f t="shared" si="10"/>
        <v>5.8057999999999998E-2</v>
      </c>
      <c r="U17" s="63">
        <v>1</v>
      </c>
      <c r="V17" s="63">
        <f t="shared" si="11"/>
        <v>5.8057999999999998E-2</v>
      </c>
      <c r="W17" s="63">
        <f t="shared" si="1"/>
        <v>0.27195447352229712</v>
      </c>
      <c r="X17" s="63">
        <f t="shared" si="12"/>
        <v>271.95447352229712</v>
      </c>
      <c r="Y17" s="63" cm="1">
        <f t="array" ref="Y17">IFERROR(INDEX(REF_TABLE!$G$7:$G$32,MATCH(X17,REF_TABLE!$G$7:$G$32,1)+1),"Aucune valeur supérieure")</f>
        <v>300</v>
      </c>
      <c r="Z17" s="63">
        <v>150</v>
      </c>
      <c r="AA17" s="63">
        <f>TRONCONS_V2!BF15</f>
        <v>190</v>
      </c>
      <c r="AD17" s="60" t="s">
        <v>1460</v>
      </c>
      <c r="AE17" s="63" t="str">
        <f>TRONCONS_V2!AE15</f>
        <v>N76_N77</v>
      </c>
      <c r="AF17" s="63">
        <f>TRONCONS_V2!AF15</f>
        <v>32.837000000000003</v>
      </c>
      <c r="AG17" s="69">
        <f t="shared" si="13"/>
        <v>3.2837000000000005E-2</v>
      </c>
      <c r="AH17" s="63">
        <v>1</v>
      </c>
      <c r="AI17" s="63">
        <f t="shared" si="14"/>
        <v>3.2837000000000005E-2</v>
      </c>
      <c r="AJ17" s="63">
        <f t="shared" si="2"/>
        <v>0.20452523865872313</v>
      </c>
      <c r="AK17" s="63">
        <f t="shared" si="15"/>
        <v>204.52523865872314</v>
      </c>
      <c r="AL17" s="63" cm="1">
        <f t="array" ref="AL17">IFERROR(INDEX(REF_TABLE!$G$7:$G$32,MATCH(AK17,REF_TABLE!$G$7:$G$32,1)+1),"Aucune valeur supérieure")</f>
        <v>250</v>
      </c>
      <c r="AM17" s="63">
        <v>150</v>
      </c>
      <c r="AN17" s="63">
        <f>TRONCONS_V2!AD15</f>
        <v>76</v>
      </c>
      <c r="AQ17" s="60" t="s">
        <v>1460</v>
      </c>
      <c r="AR17" s="63" t="str">
        <f>TRONCONS_V2!AN15</f>
        <v>N56_N57</v>
      </c>
      <c r="AS17" s="63">
        <f>TRONCONS_V2!AO15</f>
        <v>32.837000000000003</v>
      </c>
      <c r="AT17" s="69">
        <f t="shared" si="16"/>
        <v>3.2837000000000005E-2</v>
      </c>
      <c r="AU17" s="63">
        <v>1</v>
      </c>
      <c r="AV17" s="63">
        <f t="shared" si="17"/>
        <v>3.2837000000000005E-2</v>
      </c>
      <c r="AW17" s="63">
        <f t="shared" si="3"/>
        <v>0.20452523865872313</v>
      </c>
      <c r="AX17" s="63">
        <f t="shared" si="18"/>
        <v>204.52523865872314</v>
      </c>
      <c r="AY17" s="63" cm="1">
        <f t="array" ref="AY17">IFERROR(INDEX(REF_TABLE!$G$7:$G$32,MATCH(AX17,REF_TABLE!$G$7:$G$32,1)+1),"Aucune valeur supérieure")</f>
        <v>250</v>
      </c>
      <c r="AZ17" s="63">
        <v>150</v>
      </c>
      <c r="BA17" s="63">
        <f>TRONCONS_V2!AM15</f>
        <v>76</v>
      </c>
      <c r="BF17" s="60" t="s">
        <v>1345</v>
      </c>
      <c r="BG17" s="63" t="str">
        <f>TRONCONS_V2!V15</f>
        <v>N35_N36</v>
      </c>
      <c r="BH17" s="63">
        <f>TRONCONS_V2!W15</f>
        <v>83.28</v>
      </c>
      <c r="BI17" s="69">
        <f t="shared" si="19"/>
        <v>8.3280000000000007E-2</v>
      </c>
      <c r="BJ17" s="63">
        <v>1</v>
      </c>
      <c r="BK17" s="63">
        <f t="shared" si="20"/>
        <v>8.3280000000000007E-2</v>
      </c>
      <c r="BL17" s="63">
        <f t="shared" si="4"/>
        <v>0.32571332790434337</v>
      </c>
      <c r="BM17" s="63">
        <f t="shared" si="21"/>
        <v>325.71332790434337</v>
      </c>
      <c r="BN17" s="63" cm="1">
        <f t="array" ref="BN17">IFERROR(INDEX(REF_TABLE!$G$7:$G$32,MATCH(BM17,REF_TABLE!$G$7:$G$32,1)+1),"Aucune valeur supérieure")</f>
        <v>350</v>
      </c>
      <c r="BO17" s="63">
        <v>150</v>
      </c>
      <c r="BP17" s="63">
        <f>TRONCONS_V2!U15</f>
        <v>73</v>
      </c>
      <c r="BS17" s="60" t="s">
        <v>1460</v>
      </c>
      <c r="BT17" s="63" t="str">
        <f>TRONCONS_V2!M15</f>
        <v>N18_N19</v>
      </c>
      <c r="BU17" s="63">
        <f>TRONCONS_V2!N15</f>
        <v>166.56</v>
      </c>
      <c r="BV17" s="69">
        <f t="shared" si="22"/>
        <v>0.16656000000000001</v>
      </c>
      <c r="BW17" s="63">
        <v>1</v>
      </c>
      <c r="BX17" s="63">
        <f t="shared" si="23"/>
        <v>0.16656000000000001</v>
      </c>
      <c r="BY17" s="63">
        <f t="shared" si="5"/>
        <v>0.46062820576799746</v>
      </c>
      <c r="BZ17" s="63">
        <f t="shared" si="24"/>
        <v>460.62820576799743</v>
      </c>
      <c r="CA17" s="63" cm="1">
        <f t="array" ref="CA17">IFERROR(INDEX(REF_TABLE!$G$7:$G$32,MATCH(BZ17,REF_TABLE!$G$7:$G$32,1)+1),"Aucune valeur supérieure")</f>
        <v>466</v>
      </c>
      <c r="CB17" s="63">
        <v>150</v>
      </c>
      <c r="CC17" s="63">
        <f>TRONCONS_V2!L15</f>
        <v>56</v>
      </c>
      <c r="CF17" s="69" t="s">
        <v>1460</v>
      </c>
      <c r="CG17" s="69" t="s">
        <v>403</v>
      </c>
      <c r="CH17" s="69">
        <v>166.56</v>
      </c>
      <c r="CI17" s="69">
        <f t="shared" si="25"/>
        <v>0.16656000000000001</v>
      </c>
      <c r="CJ17" s="63">
        <v>1</v>
      </c>
      <c r="CK17" s="63">
        <f t="shared" si="26"/>
        <v>0.16656000000000001</v>
      </c>
      <c r="CL17" s="63">
        <f t="shared" si="6"/>
        <v>0.46062820576799746</v>
      </c>
      <c r="CM17" s="63">
        <f t="shared" si="27"/>
        <v>460.62820576799743</v>
      </c>
      <c r="CN17" s="63" cm="1">
        <f t="array" ref="CN17">IFERROR(INDEX(REF_TABLE!$G$7:$G$32,MATCH(CM17,REF_TABLE!$G$7:$G$32,1)+1),"Aucune valeur supérieure")</f>
        <v>466</v>
      </c>
      <c r="CO17" s="63">
        <v>150</v>
      </c>
      <c r="CP17" s="69">
        <v>75</v>
      </c>
    </row>
    <row r="18" spans="4:94" x14ac:dyDescent="0.25">
      <c r="D18" s="60" t="s">
        <v>1460</v>
      </c>
      <c r="E18" s="60" t="s">
        <v>194</v>
      </c>
      <c r="F18" s="63">
        <f>TRONCONS_V2!AW16</f>
        <v>201</v>
      </c>
      <c r="G18" s="69">
        <f t="shared" si="7"/>
        <v>0.20100000000000001</v>
      </c>
      <c r="H18" s="63">
        <v>1</v>
      </c>
      <c r="I18" s="63">
        <f t="shared" si="8"/>
        <v>0.20100000000000001</v>
      </c>
      <c r="J18" s="63">
        <f t="shared" si="0"/>
        <v>0.50601477786129201</v>
      </c>
      <c r="K18" s="63">
        <f t="shared" si="9"/>
        <v>506.01477786129203</v>
      </c>
      <c r="L18" s="63" cm="1">
        <f t="array" ref="L18">IFERROR(INDEX(REF_TABLE!$G$7:$G$32,MATCH(K18,REF_TABLE!$G$7:$G$32,1)+1),"Aucune valeur supérieure")</f>
        <v>565</v>
      </c>
      <c r="M18" s="63">
        <v>150</v>
      </c>
      <c r="N18" s="60">
        <v>201</v>
      </c>
      <c r="Q18" s="60" t="s">
        <v>1460</v>
      </c>
      <c r="R18" s="63" t="str">
        <f>TRONCONS_V2!BG16</f>
        <v>N128_N129</v>
      </c>
      <c r="S18" s="63">
        <f>TRONCONS_V2!BH16</f>
        <v>58.058</v>
      </c>
      <c r="T18" s="69">
        <f t="shared" si="10"/>
        <v>5.8057999999999998E-2</v>
      </c>
      <c r="U18" s="63">
        <v>1</v>
      </c>
      <c r="V18" s="63">
        <f t="shared" si="11"/>
        <v>5.8057999999999998E-2</v>
      </c>
      <c r="W18" s="63">
        <f t="shared" si="1"/>
        <v>0.27195447352229712</v>
      </c>
      <c r="X18" s="63">
        <f t="shared" si="12"/>
        <v>271.95447352229712</v>
      </c>
      <c r="Y18" s="63" cm="1">
        <f t="array" ref="Y18">IFERROR(INDEX(REF_TABLE!$G$7:$G$32,MATCH(X18,REF_TABLE!$G$7:$G$32,1)+1),"Aucune valeur supérieure")</f>
        <v>300</v>
      </c>
      <c r="Z18" s="63">
        <v>150</v>
      </c>
      <c r="AA18" s="63">
        <f>TRONCONS_V2!BF16</f>
        <v>290</v>
      </c>
      <c r="AD18" s="60" t="s">
        <v>1460</v>
      </c>
      <c r="AE18" s="63" t="str">
        <f>TRONCONS_V2!AE16</f>
        <v>N77_N78</v>
      </c>
      <c r="AF18" s="63">
        <f>TRONCONS_V2!AF16</f>
        <v>32.837000000000003</v>
      </c>
      <c r="AG18" s="69">
        <f t="shared" si="13"/>
        <v>3.2837000000000005E-2</v>
      </c>
      <c r="AH18" s="63">
        <v>1</v>
      </c>
      <c r="AI18" s="63">
        <f t="shared" si="14"/>
        <v>3.2837000000000005E-2</v>
      </c>
      <c r="AJ18" s="63">
        <f t="shared" si="2"/>
        <v>0.20452523865872313</v>
      </c>
      <c r="AK18" s="63">
        <f t="shared" si="15"/>
        <v>204.52523865872314</v>
      </c>
      <c r="AL18" s="63" cm="1">
        <f t="array" ref="AL18">IFERROR(INDEX(REF_TABLE!$G$7:$G$32,MATCH(AK18,REF_TABLE!$G$7:$G$32,1)+1),"Aucune valeur supérieure")</f>
        <v>250</v>
      </c>
      <c r="AM18" s="63">
        <v>150</v>
      </c>
      <c r="AN18" s="63">
        <f>TRONCONS_V2!AD16</f>
        <v>80</v>
      </c>
      <c r="AQ18" s="60" t="s">
        <v>1460</v>
      </c>
      <c r="AR18" s="63" t="str">
        <f>TRONCONS_V2!AN16</f>
        <v>N57_N58</v>
      </c>
      <c r="AS18" s="63">
        <f>TRONCONS_V2!AO16</f>
        <v>32.837000000000003</v>
      </c>
      <c r="AT18" s="69">
        <f t="shared" si="16"/>
        <v>3.2837000000000005E-2</v>
      </c>
      <c r="AU18" s="63">
        <v>1</v>
      </c>
      <c r="AV18" s="63">
        <f t="shared" si="17"/>
        <v>3.2837000000000005E-2</v>
      </c>
      <c r="AW18" s="63">
        <f t="shared" si="3"/>
        <v>0.20452523865872313</v>
      </c>
      <c r="AX18" s="63">
        <f t="shared" si="18"/>
        <v>204.52523865872314</v>
      </c>
      <c r="AY18" s="63" cm="1">
        <f t="array" ref="AY18">IFERROR(INDEX(REF_TABLE!$G$7:$G$32,MATCH(AX18,REF_TABLE!$G$7:$G$32,1)+1),"Aucune valeur supérieure")</f>
        <v>250</v>
      </c>
      <c r="AZ18" s="63">
        <v>150</v>
      </c>
      <c r="BA18" s="63">
        <f>TRONCONS_V2!AM16</f>
        <v>36</v>
      </c>
      <c r="BF18" s="60" t="s">
        <v>1345</v>
      </c>
      <c r="BG18" s="63" t="str">
        <f>TRONCONS_V2!V16</f>
        <v>N36_N37</v>
      </c>
      <c r="BH18" s="63">
        <f>TRONCONS_V2!W16</f>
        <v>83.28</v>
      </c>
      <c r="BI18" s="69">
        <f t="shared" si="19"/>
        <v>8.3280000000000007E-2</v>
      </c>
      <c r="BJ18" s="63">
        <v>1</v>
      </c>
      <c r="BK18" s="63">
        <f t="shared" si="20"/>
        <v>8.3280000000000007E-2</v>
      </c>
      <c r="BL18" s="63">
        <f t="shared" si="4"/>
        <v>0.32571332790434337</v>
      </c>
      <c r="BM18" s="63">
        <f t="shared" si="21"/>
        <v>325.71332790434337</v>
      </c>
      <c r="BN18" s="63" cm="1">
        <f t="array" ref="BN18">IFERROR(INDEX(REF_TABLE!$G$7:$G$32,MATCH(BM18,REF_TABLE!$G$7:$G$32,1)+1),"Aucune valeur supérieure")</f>
        <v>350</v>
      </c>
      <c r="BO18" s="63">
        <v>150</v>
      </c>
      <c r="BP18" s="63">
        <f>TRONCONS_V2!U16</f>
        <v>81</v>
      </c>
      <c r="BS18" s="60" t="s">
        <v>1460</v>
      </c>
      <c r="BT18" s="63" t="str">
        <f>TRONCONS_V2!M16</f>
        <v>N19_N20</v>
      </c>
      <c r="BU18" s="63">
        <f>TRONCONS_V2!N16</f>
        <v>166.56</v>
      </c>
      <c r="BV18" s="69">
        <f t="shared" si="22"/>
        <v>0.16656000000000001</v>
      </c>
      <c r="BW18" s="63">
        <v>1</v>
      </c>
      <c r="BX18" s="63">
        <f t="shared" si="23"/>
        <v>0.16656000000000001</v>
      </c>
      <c r="BY18" s="63">
        <f t="shared" si="5"/>
        <v>0.46062820576799746</v>
      </c>
      <c r="BZ18" s="63">
        <f t="shared" si="24"/>
        <v>460.62820576799743</v>
      </c>
      <c r="CA18" s="63" cm="1">
        <f t="array" ref="CA18">IFERROR(INDEX(REF_TABLE!$G$7:$G$32,MATCH(BZ18,REF_TABLE!$G$7:$G$32,1)+1),"Aucune valeur supérieure")</f>
        <v>466</v>
      </c>
      <c r="CB18" s="63">
        <v>150</v>
      </c>
      <c r="CC18" s="63">
        <f>TRONCONS_V2!L16</f>
        <v>60</v>
      </c>
      <c r="CF18" s="69" t="s">
        <v>1460</v>
      </c>
      <c r="CG18" s="69" t="s">
        <v>396</v>
      </c>
      <c r="CH18" s="69">
        <v>166.56</v>
      </c>
      <c r="CI18" s="69">
        <f t="shared" si="25"/>
        <v>0.16656000000000001</v>
      </c>
      <c r="CJ18" s="63">
        <v>1</v>
      </c>
      <c r="CK18" s="63">
        <f t="shared" si="26"/>
        <v>0.16656000000000001</v>
      </c>
      <c r="CL18" s="63">
        <f t="shared" si="6"/>
        <v>0.46062820576799746</v>
      </c>
      <c r="CM18" s="63">
        <f t="shared" si="27"/>
        <v>460.62820576799743</v>
      </c>
      <c r="CN18" s="63" cm="1">
        <f t="array" ref="CN18">IFERROR(INDEX(REF_TABLE!$G$7:$G$32,MATCH(CM18,REF_TABLE!$G$7:$G$32,1)+1),"Aucune valeur supérieure")</f>
        <v>466</v>
      </c>
      <c r="CO18" s="63">
        <v>150</v>
      </c>
      <c r="CP18" s="69">
        <v>94</v>
      </c>
    </row>
    <row r="19" spans="4:94" x14ac:dyDescent="0.25">
      <c r="D19" s="60" t="s">
        <v>1460</v>
      </c>
      <c r="E19" s="60" t="s">
        <v>425</v>
      </c>
      <c r="F19" s="63">
        <f>TRONCONS_V2!AW17</f>
        <v>129</v>
      </c>
      <c r="G19" s="69">
        <f t="shared" si="7"/>
        <v>0.129</v>
      </c>
      <c r="H19" s="63">
        <v>1</v>
      </c>
      <c r="I19" s="63">
        <f t="shared" si="8"/>
        <v>0.129</v>
      </c>
      <c r="J19" s="63">
        <f t="shared" si="0"/>
        <v>0.40537786100264872</v>
      </c>
      <c r="K19" s="63">
        <f t="shared" si="9"/>
        <v>405.37786100264873</v>
      </c>
      <c r="L19" s="63" cm="1">
        <f t="array" ref="L19">IFERROR(INDEX(REF_TABLE!$G$7:$G$32,MATCH(K19,REF_TABLE!$G$7:$G$32,1)+1),"Aucune valeur supérieure")</f>
        <v>421</v>
      </c>
      <c r="M19" s="63">
        <v>150</v>
      </c>
      <c r="N19" s="60">
        <v>129</v>
      </c>
      <c r="Q19" s="60" t="s">
        <v>1460</v>
      </c>
      <c r="R19" s="63" t="str">
        <f>TRONCONS_V2!BG17</f>
        <v>N129_N130</v>
      </c>
      <c r="S19" s="63">
        <f>TRONCONS_V2!BH17</f>
        <v>58.058</v>
      </c>
      <c r="T19" s="69">
        <f t="shared" si="10"/>
        <v>5.8057999999999998E-2</v>
      </c>
      <c r="U19" s="63">
        <v>1</v>
      </c>
      <c r="V19" s="63">
        <f t="shared" si="11"/>
        <v>5.8057999999999998E-2</v>
      </c>
      <c r="W19" s="63">
        <f t="shared" si="1"/>
        <v>0.27195447352229712</v>
      </c>
      <c r="X19" s="63">
        <f t="shared" si="12"/>
        <v>271.95447352229712</v>
      </c>
      <c r="Y19" s="63" cm="1">
        <f t="array" ref="Y19">IFERROR(INDEX(REF_TABLE!$G$7:$G$32,MATCH(X19,REF_TABLE!$G$7:$G$32,1)+1),"Aucune valeur supérieure")</f>
        <v>300</v>
      </c>
      <c r="Z19" s="63">
        <v>150</v>
      </c>
      <c r="AA19" s="63">
        <f>TRONCONS_V2!BF17</f>
        <v>82</v>
      </c>
      <c r="AD19" s="60" t="s">
        <v>1460</v>
      </c>
      <c r="AE19" s="63" t="str">
        <f>TRONCONS_V2!AE17</f>
        <v>N78_N79</v>
      </c>
      <c r="AF19" s="63">
        <f>TRONCONS_V2!AF17</f>
        <v>32.837000000000003</v>
      </c>
      <c r="AG19" s="69">
        <f t="shared" si="13"/>
        <v>3.2837000000000005E-2</v>
      </c>
      <c r="AH19" s="63">
        <v>1</v>
      </c>
      <c r="AI19" s="63">
        <f t="shared" si="14"/>
        <v>3.2837000000000005E-2</v>
      </c>
      <c r="AJ19" s="63">
        <f t="shared" si="2"/>
        <v>0.20452523865872313</v>
      </c>
      <c r="AK19" s="63">
        <f t="shared" si="15"/>
        <v>204.52523865872314</v>
      </c>
      <c r="AL19" s="63" cm="1">
        <f t="array" ref="AL19">IFERROR(INDEX(REF_TABLE!$G$7:$G$32,MATCH(AK19,REF_TABLE!$G$7:$G$32,1)+1),"Aucune valeur supérieure")</f>
        <v>250</v>
      </c>
      <c r="AM19" s="63">
        <v>150</v>
      </c>
      <c r="AN19" s="63">
        <f>TRONCONS_V2!AD17</f>
        <v>158</v>
      </c>
      <c r="AQ19" s="60" t="s">
        <v>1460</v>
      </c>
      <c r="AR19" s="63" t="str">
        <f>TRONCONS_V2!AN17</f>
        <v>N58_N59</v>
      </c>
      <c r="AS19" s="63">
        <f>TRONCONS_V2!AO17</f>
        <v>32.837000000000003</v>
      </c>
      <c r="AT19" s="69">
        <f t="shared" si="16"/>
        <v>3.2837000000000005E-2</v>
      </c>
      <c r="AU19" s="63">
        <v>1</v>
      </c>
      <c r="AV19" s="63">
        <f t="shared" si="17"/>
        <v>3.2837000000000005E-2</v>
      </c>
      <c r="AW19" s="63">
        <f t="shared" si="3"/>
        <v>0.20452523865872313</v>
      </c>
      <c r="AX19" s="63">
        <f t="shared" si="18"/>
        <v>204.52523865872314</v>
      </c>
      <c r="AY19" s="63" cm="1">
        <f t="array" ref="AY19">IFERROR(INDEX(REF_TABLE!$G$7:$G$32,MATCH(AX19,REF_TABLE!$G$7:$G$32,1)+1),"Aucune valeur supérieure")</f>
        <v>250</v>
      </c>
      <c r="AZ19" s="63">
        <v>150</v>
      </c>
      <c r="BA19" s="63">
        <f>TRONCONS_V2!AM17</f>
        <v>32</v>
      </c>
      <c r="BF19" s="60" t="s">
        <v>1345</v>
      </c>
      <c r="BG19" s="63" t="str">
        <f>TRONCONS_V2!V17</f>
        <v>N37_N38</v>
      </c>
      <c r="BH19" s="63">
        <f>TRONCONS_V2!W17</f>
        <v>83.28</v>
      </c>
      <c r="BI19" s="69">
        <f t="shared" si="19"/>
        <v>8.3280000000000007E-2</v>
      </c>
      <c r="BJ19" s="63">
        <v>1</v>
      </c>
      <c r="BK19" s="63">
        <f t="shared" si="20"/>
        <v>8.3280000000000007E-2</v>
      </c>
      <c r="BL19" s="63">
        <f t="shared" si="4"/>
        <v>0.32571332790434337</v>
      </c>
      <c r="BM19" s="63">
        <f t="shared" si="21"/>
        <v>325.71332790434337</v>
      </c>
      <c r="BN19" s="63" cm="1">
        <f t="array" ref="BN19">IFERROR(INDEX(REF_TABLE!$G$7:$G$32,MATCH(BM19,REF_TABLE!$G$7:$G$32,1)+1),"Aucune valeur supérieure")</f>
        <v>350</v>
      </c>
      <c r="BO19" s="63">
        <v>150</v>
      </c>
      <c r="BP19" s="63">
        <f>TRONCONS_V2!U17</f>
        <v>101</v>
      </c>
      <c r="BS19" s="60" t="s">
        <v>1460</v>
      </c>
      <c r="BT19" s="63" t="str">
        <f>TRONCONS_V2!M17</f>
        <v>N20_N21</v>
      </c>
      <c r="BU19" s="63">
        <f>TRONCONS_V2!N17</f>
        <v>166.56</v>
      </c>
      <c r="BV19" s="69">
        <f t="shared" si="22"/>
        <v>0.16656000000000001</v>
      </c>
      <c r="BW19" s="63">
        <v>1</v>
      </c>
      <c r="BX19" s="63">
        <f t="shared" si="23"/>
        <v>0.16656000000000001</v>
      </c>
      <c r="BY19" s="63">
        <f t="shared" si="5"/>
        <v>0.46062820576799746</v>
      </c>
      <c r="BZ19" s="63">
        <f t="shared" si="24"/>
        <v>460.62820576799743</v>
      </c>
      <c r="CA19" s="63" cm="1">
        <f t="array" ref="CA19">IFERROR(INDEX(REF_TABLE!$G$7:$G$32,MATCH(BZ19,REF_TABLE!$G$7:$G$32,1)+1),"Aucune valeur supérieure")</f>
        <v>466</v>
      </c>
      <c r="CB19" s="63">
        <v>150</v>
      </c>
      <c r="CC19" s="63">
        <f>TRONCONS_V2!L17</f>
        <v>67</v>
      </c>
      <c r="CF19" s="69" t="s">
        <v>1460</v>
      </c>
      <c r="CG19" s="69" t="s">
        <v>402</v>
      </c>
      <c r="CH19" s="69">
        <v>83.28</v>
      </c>
      <c r="CI19" s="69">
        <f t="shared" si="25"/>
        <v>8.3280000000000007E-2</v>
      </c>
      <c r="CJ19" s="63">
        <v>1</v>
      </c>
      <c r="CK19" s="63">
        <f t="shared" si="26"/>
        <v>8.3280000000000007E-2</v>
      </c>
      <c r="CL19" s="63">
        <f t="shared" si="6"/>
        <v>0.32571332790434337</v>
      </c>
      <c r="CM19" s="63">
        <f t="shared" si="27"/>
        <v>325.71332790434337</v>
      </c>
      <c r="CN19" s="63" cm="1">
        <f t="array" ref="CN19">IFERROR(INDEX(REF_TABLE!$G$7:$G$32,MATCH(CM19,REF_TABLE!$G$7:$G$32,1)+1),"Aucune valeur supérieure")</f>
        <v>350</v>
      </c>
      <c r="CO19" s="63">
        <v>150</v>
      </c>
      <c r="CP19" s="69">
        <v>133</v>
      </c>
    </row>
    <row r="20" spans="4:94" x14ac:dyDescent="0.25">
      <c r="D20" s="60" t="s">
        <v>1460</v>
      </c>
      <c r="E20" s="60" t="s">
        <v>183</v>
      </c>
      <c r="F20" s="63">
        <f>TRONCONS_V2!AW18</f>
        <v>111</v>
      </c>
      <c r="G20" s="69">
        <f t="shared" si="7"/>
        <v>0.111</v>
      </c>
      <c r="H20" s="63">
        <v>1</v>
      </c>
      <c r="I20" s="63">
        <f t="shared" si="8"/>
        <v>0.111</v>
      </c>
      <c r="J20" s="63">
        <f t="shared" si="0"/>
        <v>0.37603360738815661</v>
      </c>
      <c r="K20" s="63">
        <f t="shared" si="9"/>
        <v>376.03360738815661</v>
      </c>
      <c r="L20" s="63" cm="1">
        <f t="array" ref="L20">IFERROR(INDEX(REF_TABLE!$G$7:$G$32,MATCH(K20,REF_TABLE!$G$7:$G$32,1)+1),"Aucune valeur supérieure")</f>
        <v>400</v>
      </c>
      <c r="M20" s="63">
        <v>150</v>
      </c>
      <c r="N20" s="60">
        <v>111</v>
      </c>
      <c r="Q20" s="60" t="s">
        <v>1460</v>
      </c>
      <c r="R20" s="63" t="str">
        <f>TRONCONS_V2!BG18</f>
        <v>N130_N131</v>
      </c>
      <c r="S20" s="63">
        <f>TRONCONS_V2!BH18</f>
        <v>58.058</v>
      </c>
      <c r="T20" s="69">
        <f t="shared" si="10"/>
        <v>5.8057999999999998E-2</v>
      </c>
      <c r="U20" s="63">
        <v>1</v>
      </c>
      <c r="V20" s="63">
        <f t="shared" si="11"/>
        <v>5.8057999999999998E-2</v>
      </c>
      <c r="W20" s="63">
        <f t="shared" si="1"/>
        <v>0.27195447352229712</v>
      </c>
      <c r="X20" s="63">
        <f t="shared" si="12"/>
        <v>271.95447352229712</v>
      </c>
      <c r="Y20" s="63" cm="1">
        <f t="array" ref="Y20">IFERROR(INDEX(REF_TABLE!$G$7:$G$32,MATCH(X20,REF_TABLE!$G$7:$G$32,1)+1),"Aucune valeur supérieure")</f>
        <v>300</v>
      </c>
      <c r="Z20" s="63">
        <v>150</v>
      </c>
      <c r="AA20" s="63">
        <f>TRONCONS_V2!BF18</f>
        <v>75</v>
      </c>
      <c r="AD20" s="60" t="s">
        <v>1460</v>
      </c>
      <c r="AE20" s="63" t="str">
        <f>TRONCONS_V2!AE18</f>
        <v>N79_N80</v>
      </c>
      <c r="AF20" s="63">
        <f>TRONCONS_V2!AF18</f>
        <v>32.837000000000003</v>
      </c>
      <c r="AG20" s="69">
        <f t="shared" si="13"/>
        <v>3.2837000000000005E-2</v>
      </c>
      <c r="AH20" s="63">
        <v>1</v>
      </c>
      <c r="AI20" s="63">
        <f t="shared" si="14"/>
        <v>3.2837000000000005E-2</v>
      </c>
      <c r="AJ20" s="63">
        <f t="shared" si="2"/>
        <v>0.20452523865872313</v>
      </c>
      <c r="AK20" s="63">
        <f t="shared" si="15"/>
        <v>204.52523865872314</v>
      </c>
      <c r="AL20" s="63" cm="1">
        <f t="array" ref="AL20">IFERROR(INDEX(REF_TABLE!$G$7:$G$32,MATCH(AK20,REF_TABLE!$G$7:$G$32,1)+1),"Aucune valeur supérieure")</f>
        <v>250</v>
      </c>
      <c r="AM20" s="63">
        <v>150</v>
      </c>
      <c r="AN20" s="63">
        <f>TRONCONS_V2!AD18</f>
        <v>70</v>
      </c>
      <c r="AQ20" s="60" t="s">
        <v>1460</v>
      </c>
      <c r="AR20" s="63" t="str">
        <f>TRONCONS_V2!AN18</f>
        <v>N59_N60</v>
      </c>
      <c r="AS20" s="63">
        <f>TRONCONS_V2!AO18</f>
        <v>32.837000000000003</v>
      </c>
      <c r="AT20" s="69">
        <f t="shared" si="16"/>
        <v>3.2837000000000005E-2</v>
      </c>
      <c r="AU20" s="63">
        <v>1</v>
      </c>
      <c r="AV20" s="63">
        <f t="shared" si="17"/>
        <v>3.2837000000000005E-2</v>
      </c>
      <c r="AW20" s="63">
        <f t="shared" si="3"/>
        <v>0.20452523865872313</v>
      </c>
      <c r="AX20" s="63">
        <f t="shared" si="18"/>
        <v>204.52523865872314</v>
      </c>
      <c r="AY20" s="63" cm="1">
        <f t="array" ref="AY20">IFERROR(INDEX(REF_TABLE!$G$7:$G$32,MATCH(AX20,REF_TABLE!$G$7:$G$32,1)+1),"Aucune valeur supérieure")</f>
        <v>250</v>
      </c>
      <c r="AZ20" s="63">
        <v>150</v>
      </c>
      <c r="BA20" s="63">
        <f>TRONCONS_V2!AM18</f>
        <v>79</v>
      </c>
      <c r="BF20" s="60" t="s">
        <v>1345</v>
      </c>
      <c r="BG20" s="63" t="str">
        <f>TRONCONS_V2!V18</f>
        <v>N38_N39</v>
      </c>
      <c r="BH20" s="63">
        <f>TRONCONS_V2!W18</f>
        <v>83.28</v>
      </c>
      <c r="BI20" s="69">
        <f t="shared" si="19"/>
        <v>8.3280000000000007E-2</v>
      </c>
      <c r="BJ20" s="63">
        <v>1</v>
      </c>
      <c r="BK20" s="63">
        <f t="shared" si="20"/>
        <v>8.3280000000000007E-2</v>
      </c>
      <c r="BL20" s="63">
        <f t="shared" si="4"/>
        <v>0.32571332790434337</v>
      </c>
      <c r="BM20" s="63">
        <f t="shared" si="21"/>
        <v>325.71332790434337</v>
      </c>
      <c r="BN20" s="63" cm="1">
        <f t="array" ref="BN20">IFERROR(INDEX(REF_TABLE!$G$7:$G$32,MATCH(BM20,REF_TABLE!$G$7:$G$32,1)+1),"Aucune valeur supérieure")</f>
        <v>350</v>
      </c>
      <c r="BO20" s="63">
        <v>150</v>
      </c>
      <c r="BP20" s="63">
        <f>TRONCONS_V2!U18</f>
        <v>91</v>
      </c>
      <c r="BS20" s="60" t="s">
        <v>1460</v>
      </c>
      <c r="BT20" s="63" t="str">
        <f>TRONCONS_V2!M18</f>
        <v>N21_N22</v>
      </c>
      <c r="BU20" s="63">
        <f>TRONCONS_V2!N18</f>
        <v>166.56</v>
      </c>
      <c r="BV20" s="69">
        <f t="shared" si="22"/>
        <v>0.16656000000000001</v>
      </c>
      <c r="BW20" s="63">
        <v>1</v>
      </c>
      <c r="BX20" s="63">
        <f t="shared" si="23"/>
        <v>0.16656000000000001</v>
      </c>
      <c r="BY20" s="63">
        <f t="shared" si="5"/>
        <v>0.46062820576799746</v>
      </c>
      <c r="BZ20" s="63">
        <f t="shared" si="24"/>
        <v>460.62820576799743</v>
      </c>
      <c r="CA20" s="63" cm="1">
        <f t="array" ref="CA20">IFERROR(INDEX(REF_TABLE!$G$7:$G$32,MATCH(BZ20,REF_TABLE!$G$7:$G$32,1)+1),"Aucune valeur supérieure")</f>
        <v>466</v>
      </c>
      <c r="CB20" s="63">
        <v>150</v>
      </c>
      <c r="CC20" s="63">
        <f>TRONCONS_V2!L18</f>
        <v>194</v>
      </c>
      <c r="CF20" s="69" t="s">
        <v>1460</v>
      </c>
      <c r="CG20" s="69" t="s">
        <v>174</v>
      </c>
      <c r="CH20" s="69">
        <v>83.28</v>
      </c>
      <c r="CI20" s="69">
        <f t="shared" si="25"/>
        <v>8.3280000000000007E-2</v>
      </c>
      <c r="CJ20" s="63">
        <v>1</v>
      </c>
      <c r="CK20" s="63">
        <f t="shared" si="26"/>
        <v>8.3280000000000007E-2</v>
      </c>
      <c r="CL20" s="63">
        <f t="shared" si="6"/>
        <v>0.32571332790434337</v>
      </c>
      <c r="CM20" s="63">
        <f t="shared" si="27"/>
        <v>325.71332790434337</v>
      </c>
      <c r="CN20" s="63" cm="1">
        <f t="array" ref="CN20">IFERROR(INDEX(REF_TABLE!$G$7:$G$32,MATCH(CM20,REF_TABLE!$G$7:$G$32,1)+1),"Aucune valeur supérieure")</f>
        <v>350</v>
      </c>
      <c r="CO20" s="63">
        <v>150</v>
      </c>
      <c r="CP20" s="69">
        <v>178</v>
      </c>
    </row>
    <row r="21" spans="4:94" x14ac:dyDescent="0.25">
      <c r="D21" s="60" t="s">
        <v>1460</v>
      </c>
      <c r="E21" s="60" t="s">
        <v>192</v>
      </c>
      <c r="F21" s="63">
        <f>TRONCONS_V2!AW19</f>
        <v>88</v>
      </c>
      <c r="G21" s="69">
        <f t="shared" si="7"/>
        <v>8.7999999999999995E-2</v>
      </c>
      <c r="H21" s="63">
        <v>1</v>
      </c>
      <c r="I21" s="63">
        <f t="shared" si="8"/>
        <v>8.7999999999999995E-2</v>
      </c>
      <c r="J21" s="63">
        <f t="shared" si="0"/>
        <v>0.33481623441527664</v>
      </c>
      <c r="K21" s="63">
        <f t="shared" si="9"/>
        <v>334.81623441527665</v>
      </c>
      <c r="L21" s="63" cm="1">
        <f t="array" ref="L21">IFERROR(INDEX(REF_TABLE!$G$7:$G$32,MATCH(K21,REF_TABLE!$G$7:$G$32,1)+1),"Aucune valeur supérieure")</f>
        <v>350</v>
      </c>
      <c r="M21" s="63">
        <v>150</v>
      </c>
      <c r="N21" s="60">
        <v>88</v>
      </c>
      <c r="Q21" s="60" t="s">
        <v>1460</v>
      </c>
      <c r="R21" s="63" t="str">
        <f>TRONCONS_V2!BG19</f>
        <v>N131_N132</v>
      </c>
      <c r="S21" s="63">
        <f>TRONCONS_V2!BH19</f>
        <v>58.058</v>
      </c>
      <c r="T21" s="69">
        <f t="shared" si="10"/>
        <v>5.8057999999999998E-2</v>
      </c>
      <c r="U21" s="63">
        <v>1</v>
      </c>
      <c r="V21" s="63">
        <f t="shared" si="11"/>
        <v>5.8057999999999998E-2</v>
      </c>
      <c r="W21" s="63">
        <f t="shared" si="1"/>
        <v>0.27195447352229712</v>
      </c>
      <c r="X21" s="63">
        <f t="shared" si="12"/>
        <v>271.95447352229712</v>
      </c>
      <c r="Y21" s="63" cm="1">
        <f t="array" ref="Y21">IFERROR(INDEX(REF_TABLE!$G$7:$G$32,MATCH(X21,REF_TABLE!$G$7:$G$32,1)+1),"Aucune valeur supérieure")</f>
        <v>300</v>
      </c>
      <c r="Z21" s="63">
        <v>150</v>
      </c>
      <c r="AA21" s="63">
        <f>TRONCONS_V2!BF19</f>
        <v>108</v>
      </c>
      <c r="AD21" s="60" t="s">
        <v>1460</v>
      </c>
      <c r="AE21" s="63" t="str">
        <f>TRONCONS_V2!AE19</f>
        <v>N80_N81</v>
      </c>
      <c r="AF21" s="63">
        <f>TRONCONS_V2!AF19</f>
        <v>32.835999999999999</v>
      </c>
      <c r="AG21" s="69">
        <f t="shared" si="13"/>
        <v>3.2835999999999997E-2</v>
      </c>
      <c r="AH21" s="63">
        <v>1</v>
      </c>
      <c r="AI21" s="63">
        <f t="shared" si="14"/>
        <v>3.2835999999999997E-2</v>
      </c>
      <c r="AJ21" s="63">
        <f t="shared" si="2"/>
        <v>0.20452212438525402</v>
      </c>
      <c r="AK21" s="63">
        <f t="shared" si="15"/>
        <v>204.52212438525402</v>
      </c>
      <c r="AL21" s="63" cm="1">
        <f t="array" ref="AL21">IFERROR(INDEX(REF_TABLE!$G$7:$G$32,MATCH(AK21,REF_TABLE!$G$7:$G$32,1)+1),"Aucune valeur supérieure")</f>
        <v>250</v>
      </c>
      <c r="AM21" s="63">
        <v>150</v>
      </c>
      <c r="AN21" s="63">
        <f>TRONCONS_V2!AD19</f>
        <v>80</v>
      </c>
      <c r="AQ21" s="60" t="s">
        <v>1460</v>
      </c>
      <c r="AR21" s="63" t="str">
        <f>TRONCONS_V2!AN19</f>
        <v>N60_N61</v>
      </c>
      <c r="AS21" s="63">
        <f>TRONCONS_V2!AO19</f>
        <v>32.837000000000003</v>
      </c>
      <c r="AT21" s="69">
        <f t="shared" si="16"/>
        <v>3.2837000000000005E-2</v>
      </c>
      <c r="AU21" s="63">
        <v>1</v>
      </c>
      <c r="AV21" s="63">
        <f t="shared" si="17"/>
        <v>3.2837000000000005E-2</v>
      </c>
      <c r="AW21" s="63">
        <f t="shared" si="3"/>
        <v>0.20452523865872313</v>
      </c>
      <c r="AX21" s="63">
        <f t="shared" si="18"/>
        <v>204.52523865872314</v>
      </c>
      <c r="AY21" s="63" cm="1">
        <f t="array" ref="AY21">IFERROR(INDEX(REF_TABLE!$G$7:$G$32,MATCH(AX21,REF_TABLE!$G$7:$G$32,1)+1),"Aucune valeur supérieure")</f>
        <v>250</v>
      </c>
      <c r="AZ21" s="63">
        <v>150</v>
      </c>
      <c r="BA21" s="63">
        <f>TRONCONS_V2!AM19</f>
        <v>51</v>
      </c>
      <c r="BF21" s="60" t="s">
        <v>1345</v>
      </c>
      <c r="BG21" s="63" t="str">
        <f>TRONCONS_V2!V19</f>
        <v>N39_N40</v>
      </c>
      <c r="BH21" s="63">
        <f>TRONCONS_V2!W19</f>
        <v>83.28</v>
      </c>
      <c r="BI21" s="69">
        <f t="shared" si="19"/>
        <v>8.3280000000000007E-2</v>
      </c>
      <c r="BJ21" s="63">
        <v>1</v>
      </c>
      <c r="BK21" s="63">
        <f t="shared" si="20"/>
        <v>8.3280000000000007E-2</v>
      </c>
      <c r="BL21" s="63">
        <f t="shared" si="4"/>
        <v>0.32571332790434337</v>
      </c>
      <c r="BM21" s="63">
        <f t="shared" si="21"/>
        <v>325.71332790434337</v>
      </c>
      <c r="BN21" s="63" cm="1">
        <f t="array" ref="BN21">IFERROR(INDEX(REF_TABLE!$G$7:$G$32,MATCH(BM21,REF_TABLE!$G$7:$G$32,1)+1),"Aucune valeur supérieure")</f>
        <v>350</v>
      </c>
      <c r="BO21" s="63">
        <v>150</v>
      </c>
      <c r="BP21" s="63">
        <f>TRONCONS_V2!U19</f>
        <v>87</v>
      </c>
      <c r="BS21" s="60" t="s">
        <v>1460</v>
      </c>
      <c r="BT21" s="63" t="str">
        <f>TRONCONS_V2!M19</f>
        <v>N22_N23</v>
      </c>
      <c r="BU21" s="63">
        <f>TRONCONS_V2!N19</f>
        <v>166.56</v>
      </c>
      <c r="BV21" s="69">
        <f t="shared" si="22"/>
        <v>0.16656000000000001</v>
      </c>
      <c r="BW21" s="63">
        <v>1</v>
      </c>
      <c r="BX21" s="63">
        <f t="shared" si="23"/>
        <v>0.16656000000000001</v>
      </c>
      <c r="BY21" s="63">
        <f t="shared" si="5"/>
        <v>0.46062820576799746</v>
      </c>
      <c r="BZ21" s="63">
        <f t="shared" si="24"/>
        <v>460.62820576799743</v>
      </c>
      <c r="CA21" s="63" cm="1">
        <f t="array" ref="CA21">IFERROR(INDEX(REF_TABLE!$G$7:$G$32,MATCH(BZ21,REF_TABLE!$G$7:$G$32,1)+1),"Aucune valeur supérieure")</f>
        <v>466</v>
      </c>
      <c r="CB21" s="63">
        <v>150</v>
      </c>
      <c r="CC21" s="63">
        <f>TRONCONS_V2!L19</f>
        <v>74</v>
      </c>
      <c r="CF21" s="69" t="s">
        <v>1460</v>
      </c>
      <c r="CG21" s="69" t="s">
        <v>175</v>
      </c>
      <c r="CH21" s="69">
        <v>83.28</v>
      </c>
      <c r="CI21" s="69">
        <f t="shared" si="25"/>
        <v>8.3280000000000007E-2</v>
      </c>
      <c r="CJ21" s="63">
        <v>1</v>
      </c>
      <c r="CK21" s="63">
        <f t="shared" si="26"/>
        <v>8.3280000000000007E-2</v>
      </c>
      <c r="CL21" s="63">
        <f t="shared" si="6"/>
        <v>0.32571332790434337</v>
      </c>
      <c r="CM21" s="63">
        <f t="shared" si="27"/>
        <v>325.71332790434337</v>
      </c>
      <c r="CN21" s="63" cm="1">
        <f t="array" ref="CN21">IFERROR(INDEX(REF_TABLE!$G$7:$G$32,MATCH(CM21,REF_TABLE!$G$7:$G$32,1)+1),"Aucune valeur supérieure")</f>
        <v>350</v>
      </c>
      <c r="CO21" s="63">
        <v>150</v>
      </c>
      <c r="CP21" s="69">
        <v>198</v>
      </c>
    </row>
    <row r="22" spans="4:94" x14ac:dyDescent="0.25">
      <c r="D22" s="60" t="s">
        <v>1460</v>
      </c>
      <c r="E22" s="60" t="s">
        <v>230</v>
      </c>
      <c r="F22" s="63">
        <f>TRONCONS_V2!AW20</f>
        <v>74</v>
      </c>
      <c r="G22" s="69">
        <f t="shared" si="7"/>
        <v>7.3999999999999996E-2</v>
      </c>
      <c r="H22" s="63">
        <v>1</v>
      </c>
      <c r="I22" s="63">
        <f t="shared" si="8"/>
        <v>7.3999999999999996E-2</v>
      </c>
      <c r="J22" s="63">
        <f t="shared" si="0"/>
        <v>0.30703015474634876</v>
      </c>
      <c r="K22" s="63">
        <f t="shared" si="9"/>
        <v>307.03015474634879</v>
      </c>
      <c r="L22" s="63" cm="1">
        <f t="array" ref="L22">IFERROR(INDEX(REF_TABLE!$G$7:$G$32,MATCH(K22,REF_TABLE!$G$7:$G$32,1)+1),"Aucune valeur supérieure")</f>
        <v>350</v>
      </c>
      <c r="M22" s="63">
        <v>150</v>
      </c>
      <c r="N22" s="60">
        <v>74</v>
      </c>
      <c r="Q22" s="60" t="s">
        <v>1460</v>
      </c>
      <c r="R22" s="63" t="str">
        <f>TRONCONS_V2!BG20</f>
        <v>N132_N133</v>
      </c>
      <c r="S22" s="63">
        <f>TRONCONS_V2!BH20</f>
        <v>58.058</v>
      </c>
      <c r="T22" s="69">
        <f t="shared" si="10"/>
        <v>5.8057999999999998E-2</v>
      </c>
      <c r="U22" s="63">
        <v>1</v>
      </c>
      <c r="V22" s="63">
        <f t="shared" si="11"/>
        <v>5.8057999999999998E-2</v>
      </c>
      <c r="W22" s="63">
        <f t="shared" si="1"/>
        <v>0.27195447352229712</v>
      </c>
      <c r="X22" s="63">
        <f t="shared" si="12"/>
        <v>271.95447352229712</v>
      </c>
      <c r="Y22" s="63" cm="1">
        <f t="array" ref="Y22">IFERROR(INDEX(REF_TABLE!$G$7:$G$32,MATCH(X22,REF_TABLE!$G$7:$G$32,1)+1),"Aucune valeur supérieure")</f>
        <v>300</v>
      </c>
      <c r="Z22" s="63">
        <v>150</v>
      </c>
      <c r="AA22" s="63">
        <f>TRONCONS_V2!BF20</f>
        <v>150</v>
      </c>
      <c r="AD22" s="60" t="s">
        <v>1345</v>
      </c>
      <c r="AE22" s="63" t="str">
        <f>TRONCONS_V2!AE20</f>
        <v>N81_N135</v>
      </c>
      <c r="AF22" s="63">
        <f>TRONCONS_V2!AF20</f>
        <v>58.058</v>
      </c>
      <c r="AG22" s="69">
        <f t="shared" si="13"/>
        <v>5.8057999999999998E-2</v>
      </c>
      <c r="AH22" s="63">
        <v>1</v>
      </c>
      <c r="AI22" s="63">
        <f t="shared" si="14"/>
        <v>5.8057999999999998E-2</v>
      </c>
      <c r="AJ22" s="63">
        <f t="shared" si="2"/>
        <v>0.27195447352229712</v>
      </c>
      <c r="AK22" s="63">
        <f t="shared" si="15"/>
        <v>271.95447352229712</v>
      </c>
      <c r="AL22" s="63" cm="1">
        <f t="array" ref="AL22">IFERROR(INDEX(REF_TABLE!$G$7:$G$32,MATCH(AK22,REF_TABLE!$G$7:$G$32,1)+1),"Aucune valeur supérieure")</f>
        <v>300</v>
      </c>
      <c r="AM22" s="63">
        <v>150</v>
      </c>
      <c r="AN22" s="63">
        <f>TRONCONS_V2!AD20</f>
        <v>88</v>
      </c>
      <c r="AQ22" s="60" t="s">
        <v>1460</v>
      </c>
      <c r="AR22" s="63" t="str">
        <f>TRONCONS_V2!AN20</f>
        <v>N61_N62</v>
      </c>
      <c r="AS22" s="63">
        <f>TRONCONS_V2!AO20</f>
        <v>32.837000000000003</v>
      </c>
      <c r="AT22" s="69">
        <f t="shared" si="16"/>
        <v>3.2837000000000005E-2</v>
      </c>
      <c r="AU22" s="63">
        <v>1</v>
      </c>
      <c r="AV22" s="63">
        <f t="shared" si="17"/>
        <v>3.2837000000000005E-2</v>
      </c>
      <c r="AW22" s="63">
        <f t="shared" si="3"/>
        <v>0.20452523865872313</v>
      </c>
      <c r="AX22" s="63">
        <f t="shared" si="18"/>
        <v>204.52523865872314</v>
      </c>
      <c r="AY22" s="63" cm="1">
        <f t="array" ref="AY22">IFERROR(INDEX(REF_TABLE!$G$7:$G$32,MATCH(AX22,REF_TABLE!$G$7:$G$32,1)+1),"Aucune valeur supérieure")</f>
        <v>250</v>
      </c>
      <c r="AZ22" s="63">
        <v>150</v>
      </c>
      <c r="BA22" s="63">
        <f>TRONCONS_V2!AM20</f>
        <v>73</v>
      </c>
      <c r="BF22" s="60" t="s">
        <v>1345</v>
      </c>
      <c r="BG22" s="63" t="str">
        <f>TRONCONS_V2!V20</f>
        <v>N40_N41</v>
      </c>
      <c r="BH22" s="63">
        <f>TRONCONS_V2!W20</f>
        <v>83.28</v>
      </c>
      <c r="BI22" s="69">
        <f t="shared" si="19"/>
        <v>8.3280000000000007E-2</v>
      </c>
      <c r="BJ22" s="63">
        <v>1</v>
      </c>
      <c r="BK22" s="63">
        <f t="shared" si="20"/>
        <v>8.3280000000000007E-2</v>
      </c>
      <c r="BL22" s="63">
        <f t="shared" si="4"/>
        <v>0.32571332790434337</v>
      </c>
      <c r="BM22" s="63">
        <f t="shared" si="21"/>
        <v>325.71332790434337</v>
      </c>
      <c r="BN22" s="63" cm="1">
        <f t="array" ref="BN22">IFERROR(INDEX(REF_TABLE!$G$7:$G$32,MATCH(BM22,REF_TABLE!$G$7:$G$32,1)+1),"Aucune valeur supérieure")</f>
        <v>350</v>
      </c>
      <c r="BO22" s="63">
        <v>150</v>
      </c>
      <c r="BP22" s="63">
        <f>TRONCONS_V2!U20</f>
        <v>94</v>
      </c>
      <c r="BS22" s="60" t="s">
        <v>1460</v>
      </c>
      <c r="BT22" s="63" t="str">
        <f>TRONCONS_V2!M20</f>
        <v>N23_N24</v>
      </c>
      <c r="BU22" s="63">
        <f>TRONCONS_V2!N20</f>
        <v>166.56</v>
      </c>
      <c r="BV22" s="69">
        <f t="shared" si="22"/>
        <v>0.16656000000000001</v>
      </c>
      <c r="BW22" s="63">
        <v>1</v>
      </c>
      <c r="BX22" s="63">
        <f t="shared" si="23"/>
        <v>0.16656000000000001</v>
      </c>
      <c r="BY22" s="63">
        <f t="shared" si="5"/>
        <v>0.46062820576799746</v>
      </c>
      <c r="BZ22" s="63">
        <f t="shared" si="24"/>
        <v>460.62820576799743</v>
      </c>
      <c r="CA22" s="63" cm="1">
        <f t="array" ref="CA22">IFERROR(INDEX(REF_TABLE!$G$7:$G$32,MATCH(BZ22,REF_TABLE!$G$7:$G$32,1)+1),"Aucune valeur supérieure")</f>
        <v>466</v>
      </c>
      <c r="CB22" s="63">
        <v>150</v>
      </c>
      <c r="CC22" s="63">
        <f>TRONCONS_V2!L20</f>
        <v>92</v>
      </c>
      <c r="CF22" s="69" t="s">
        <v>1460</v>
      </c>
      <c r="CG22" s="69" t="s">
        <v>176</v>
      </c>
      <c r="CH22" s="69">
        <v>83.28</v>
      </c>
      <c r="CI22" s="69">
        <f t="shared" si="25"/>
        <v>8.3280000000000007E-2</v>
      </c>
      <c r="CJ22" s="63">
        <v>1</v>
      </c>
      <c r="CK22" s="63">
        <f t="shared" si="26"/>
        <v>8.3280000000000007E-2</v>
      </c>
      <c r="CL22" s="63">
        <f t="shared" si="6"/>
        <v>0.32571332790434337</v>
      </c>
      <c r="CM22" s="63">
        <f t="shared" si="27"/>
        <v>325.71332790434337</v>
      </c>
      <c r="CN22" s="63" cm="1">
        <f t="array" ref="CN22">IFERROR(INDEX(REF_TABLE!$G$7:$G$32,MATCH(CM22,REF_TABLE!$G$7:$G$32,1)+1),"Aucune valeur supérieure")</f>
        <v>350</v>
      </c>
      <c r="CO22" s="63">
        <v>150</v>
      </c>
      <c r="CP22" s="69">
        <v>174</v>
      </c>
    </row>
    <row r="23" spans="4:94" x14ac:dyDescent="0.25">
      <c r="D23" s="60" t="s">
        <v>1460</v>
      </c>
      <c r="E23" s="60" t="s">
        <v>215</v>
      </c>
      <c r="F23" s="63">
        <f>TRONCONS_V2!AW21</f>
        <v>248</v>
      </c>
      <c r="G23" s="69">
        <f t="shared" si="7"/>
        <v>0.248</v>
      </c>
      <c r="H23" s="63">
        <v>1</v>
      </c>
      <c r="I23" s="63">
        <f t="shared" si="8"/>
        <v>0.248</v>
      </c>
      <c r="J23" s="63">
        <f t="shared" si="0"/>
        <v>0.56207078458053739</v>
      </c>
      <c r="K23" s="63">
        <f t="shared" si="9"/>
        <v>562.07078458053741</v>
      </c>
      <c r="L23" s="63" cm="1">
        <f t="array" ref="L23">IFERROR(INDEX(REF_TABLE!$G$7:$G$32,MATCH(K23,REF_TABLE!$G$7:$G$32,1)+1),"Aucune valeur supérieure")</f>
        <v>565</v>
      </c>
      <c r="M23" s="63">
        <v>150</v>
      </c>
      <c r="N23" s="60">
        <v>248</v>
      </c>
      <c r="Q23" s="60" t="s">
        <v>1460</v>
      </c>
      <c r="R23" s="63" t="str">
        <f>TRONCONS_V2!BG21</f>
        <v>N133_N134</v>
      </c>
      <c r="S23" s="63">
        <f>TRONCONS_V2!BH21</f>
        <v>58.058</v>
      </c>
      <c r="T23" s="69">
        <f t="shared" si="10"/>
        <v>5.8057999999999998E-2</v>
      </c>
      <c r="U23" s="63">
        <v>1</v>
      </c>
      <c r="V23" s="63">
        <f t="shared" si="11"/>
        <v>5.8057999999999998E-2</v>
      </c>
      <c r="W23" s="63">
        <f t="shared" si="1"/>
        <v>0.27195447352229712</v>
      </c>
      <c r="X23" s="63">
        <f t="shared" si="12"/>
        <v>271.95447352229712</v>
      </c>
      <c r="Y23" s="63" cm="1">
        <f t="array" ref="Y23">IFERROR(INDEX(REF_TABLE!$G$7:$G$32,MATCH(X23,REF_TABLE!$G$7:$G$32,1)+1),"Aucune valeur supérieure")</f>
        <v>300</v>
      </c>
      <c r="Z23" s="63">
        <v>150</v>
      </c>
      <c r="AA23" s="63">
        <f>TRONCONS_V2!BF21</f>
        <v>54</v>
      </c>
      <c r="AD23" s="60" t="s">
        <v>1345</v>
      </c>
      <c r="AE23" s="63" t="str">
        <f>TRONCONS_V2!AE21</f>
        <v>N111_N112</v>
      </c>
      <c r="AF23" s="63">
        <f>TRONCONS_V2!AF21</f>
        <v>32.837000000000003</v>
      </c>
      <c r="AG23" s="69">
        <f t="shared" si="13"/>
        <v>3.2837000000000005E-2</v>
      </c>
      <c r="AH23" s="63">
        <v>1</v>
      </c>
      <c r="AI23" s="63">
        <f t="shared" si="14"/>
        <v>3.2837000000000005E-2</v>
      </c>
      <c r="AJ23" s="63">
        <f t="shared" si="2"/>
        <v>0.20452523865872313</v>
      </c>
      <c r="AK23" s="63">
        <f t="shared" si="15"/>
        <v>204.52523865872314</v>
      </c>
      <c r="AL23" s="63" cm="1">
        <f t="array" ref="AL23">IFERROR(INDEX(REF_TABLE!$G$7:$G$32,MATCH(AK23,REF_TABLE!$G$7:$G$32,1)+1),"Aucune valeur supérieure")</f>
        <v>250</v>
      </c>
      <c r="AM23" s="63">
        <v>150</v>
      </c>
      <c r="AN23" s="63">
        <f>TRONCONS_V2!AD21</f>
        <v>234</v>
      </c>
      <c r="AQ23" s="60" t="s">
        <v>1460</v>
      </c>
      <c r="AR23" s="63" t="str">
        <f>TRONCONS_V2!AN21</f>
        <v>N62_N63</v>
      </c>
      <c r="AS23" s="63">
        <f>TRONCONS_V2!AO21</f>
        <v>32.837000000000003</v>
      </c>
      <c r="AT23" s="69">
        <f t="shared" si="16"/>
        <v>3.2837000000000005E-2</v>
      </c>
      <c r="AU23" s="63">
        <v>1</v>
      </c>
      <c r="AV23" s="63">
        <f t="shared" si="17"/>
        <v>3.2837000000000005E-2</v>
      </c>
      <c r="AW23" s="63">
        <f t="shared" si="3"/>
        <v>0.20452523865872313</v>
      </c>
      <c r="AX23" s="63">
        <f t="shared" si="18"/>
        <v>204.52523865872314</v>
      </c>
      <c r="AY23" s="63" cm="1">
        <f t="array" ref="AY23">IFERROR(INDEX(REF_TABLE!$G$7:$G$32,MATCH(AX23,REF_TABLE!$G$7:$G$32,1)+1),"Aucune valeur supérieure")</f>
        <v>250</v>
      </c>
      <c r="AZ23" s="63">
        <v>150</v>
      </c>
      <c r="BA23" s="63">
        <f>TRONCONS_V2!AM21</f>
        <v>58</v>
      </c>
      <c r="BF23" s="60" t="s">
        <v>1345</v>
      </c>
      <c r="BG23" s="63" t="str">
        <f>TRONCONS_V2!V21</f>
        <v>N41_N42</v>
      </c>
      <c r="BH23" s="63">
        <f>TRONCONS_V2!W21</f>
        <v>98.51</v>
      </c>
      <c r="BI23" s="69">
        <f t="shared" si="19"/>
        <v>9.851E-2</v>
      </c>
      <c r="BJ23" s="63">
        <v>1</v>
      </c>
      <c r="BK23" s="63">
        <f t="shared" si="20"/>
        <v>9.851E-2</v>
      </c>
      <c r="BL23" s="63">
        <f t="shared" si="4"/>
        <v>0.35424630676955915</v>
      </c>
      <c r="BM23" s="63">
        <f t="shared" si="21"/>
        <v>354.24630676955917</v>
      </c>
      <c r="BN23" s="63" cm="1">
        <f t="array" ref="BN23">IFERROR(INDEX(REF_TABLE!$G$7:$G$32,MATCH(BM23,REF_TABLE!$G$7:$G$32,1)+1),"Aucune valeur supérieure")</f>
        <v>400</v>
      </c>
      <c r="BO23" s="63">
        <v>150</v>
      </c>
      <c r="BP23" s="63">
        <f>TRONCONS_V2!U21</f>
        <v>70</v>
      </c>
      <c r="BS23" s="60" t="s">
        <v>1460</v>
      </c>
      <c r="BT23" s="63" t="str">
        <f>TRONCONS_V2!M21</f>
        <v>N24_N25</v>
      </c>
      <c r="BU23" s="63">
        <f>TRONCONS_V2!N21</f>
        <v>166.56</v>
      </c>
      <c r="BV23" s="69">
        <f t="shared" si="22"/>
        <v>0.16656000000000001</v>
      </c>
      <c r="BW23" s="63">
        <v>1</v>
      </c>
      <c r="BX23" s="63">
        <f t="shared" si="23"/>
        <v>0.16656000000000001</v>
      </c>
      <c r="BY23" s="63">
        <f t="shared" si="5"/>
        <v>0.46062820576799746</v>
      </c>
      <c r="BZ23" s="63">
        <f t="shared" si="24"/>
        <v>460.62820576799743</v>
      </c>
      <c r="CA23" s="63" cm="1">
        <f t="array" ref="CA23">IFERROR(INDEX(REF_TABLE!$G$7:$G$32,MATCH(BZ23,REF_TABLE!$G$7:$G$32,1)+1),"Aucune valeur supérieure")</f>
        <v>466</v>
      </c>
      <c r="CB23" s="63">
        <v>150</v>
      </c>
      <c r="CC23" s="63">
        <f>TRONCONS_V2!L21</f>
        <v>75</v>
      </c>
      <c r="CF23" s="69" t="s">
        <v>1460</v>
      </c>
      <c r="CG23" s="69" t="s">
        <v>177</v>
      </c>
      <c r="CH23" s="69">
        <v>83.28</v>
      </c>
      <c r="CI23" s="69">
        <f t="shared" si="25"/>
        <v>8.3280000000000007E-2</v>
      </c>
      <c r="CJ23" s="63">
        <v>1</v>
      </c>
      <c r="CK23" s="63">
        <f t="shared" si="26"/>
        <v>8.3280000000000007E-2</v>
      </c>
      <c r="CL23" s="63">
        <f t="shared" si="6"/>
        <v>0.32571332790434337</v>
      </c>
      <c r="CM23" s="63">
        <f t="shared" si="27"/>
        <v>325.71332790434337</v>
      </c>
      <c r="CN23" s="63" cm="1">
        <f t="array" ref="CN23">IFERROR(INDEX(REF_TABLE!$G$7:$G$32,MATCH(CM23,REF_TABLE!$G$7:$G$32,1)+1),"Aucune valeur supérieure")</f>
        <v>350</v>
      </c>
      <c r="CO23" s="63">
        <v>150</v>
      </c>
      <c r="CP23" s="69">
        <v>227</v>
      </c>
    </row>
    <row r="24" spans="4:94" x14ac:dyDescent="0.25">
      <c r="D24" s="60" t="s">
        <v>1460</v>
      </c>
      <c r="E24" s="60" t="s">
        <v>214</v>
      </c>
      <c r="F24" s="63">
        <f>TRONCONS_V2!AW22</f>
        <v>116</v>
      </c>
      <c r="G24" s="69">
        <f t="shared" si="7"/>
        <v>0.11600000000000001</v>
      </c>
      <c r="H24" s="63">
        <v>1</v>
      </c>
      <c r="I24" s="63">
        <f t="shared" si="8"/>
        <v>0.11600000000000001</v>
      </c>
      <c r="J24" s="63">
        <f t="shared" si="0"/>
        <v>0.38440954805642208</v>
      </c>
      <c r="K24" s="63">
        <f t="shared" si="9"/>
        <v>384.40954805642207</v>
      </c>
      <c r="L24" s="63" cm="1">
        <f t="array" ref="L24">IFERROR(INDEX(REF_TABLE!$G$7:$G$32,MATCH(K24,REF_TABLE!$G$7:$G$32,1)+1),"Aucune valeur supérieure")</f>
        <v>400</v>
      </c>
      <c r="M24" s="63">
        <v>150</v>
      </c>
      <c r="N24" s="60">
        <v>116</v>
      </c>
      <c r="Q24" s="60" t="s">
        <v>1460</v>
      </c>
      <c r="R24" s="63" t="str">
        <f>TRONCONS_V2!BG22</f>
        <v>N134_N135</v>
      </c>
      <c r="S24" s="63">
        <f>TRONCONS_V2!BH22</f>
        <v>58.058</v>
      </c>
      <c r="T24" s="69">
        <f t="shared" si="10"/>
        <v>5.8057999999999998E-2</v>
      </c>
      <c r="U24" s="63">
        <v>1</v>
      </c>
      <c r="V24" s="63">
        <f t="shared" si="11"/>
        <v>5.8057999999999998E-2</v>
      </c>
      <c r="W24" s="63">
        <f t="shared" si="1"/>
        <v>0.27195447352229712</v>
      </c>
      <c r="X24" s="63">
        <f t="shared" si="12"/>
        <v>271.95447352229712</v>
      </c>
      <c r="Y24" s="63" cm="1">
        <f t="array" ref="Y24">IFERROR(INDEX(REF_TABLE!$G$7:$G$32,MATCH(X24,REF_TABLE!$G$7:$G$32,1)+1),"Aucune valeur supérieure")</f>
        <v>300</v>
      </c>
      <c r="Z24" s="63">
        <v>150</v>
      </c>
      <c r="AA24" s="63">
        <f>TRONCONS_V2!BF22</f>
        <v>93</v>
      </c>
      <c r="AD24" s="60" t="s">
        <v>1345</v>
      </c>
      <c r="AE24" s="63" t="str">
        <f>TRONCONS_V2!AE22</f>
        <v>N112_N113</v>
      </c>
      <c r="AF24" s="63">
        <f>TRONCONS_V2!AF22</f>
        <v>32.837000000000003</v>
      </c>
      <c r="AG24" s="69">
        <f t="shared" si="13"/>
        <v>3.2837000000000005E-2</v>
      </c>
      <c r="AH24" s="63">
        <v>1</v>
      </c>
      <c r="AI24" s="63">
        <f t="shared" si="14"/>
        <v>3.2837000000000005E-2</v>
      </c>
      <c r="AJ24" s="63">
        <f t="shared" si="2"/>
        <v>0.20452523865872313</v>
      </c>
      <c r="AK24" s="63">
        <f t="shared" si="15"/>
        <v>204.52523865872314</v>
      </c>
      <c r="AL24" s="63" cm="1">
        <f t="array" ref="AL24">IFERROR(INDEX(REF_TABLE!$G$7:$G$32,MATCH(AK24,REF_TABLE!$G$7:$G$32,1)+1),"Aucune valeur supérieure")</f>
        <v>250</v>
      </c>
      <c r="AM24" s="63">
        <v>150</v>
      </c>
      <c r="AN24" s="63">
        <f>TRONCONS_V2!AD22</f>
        <v>74</v>
      </c>
      <c r="AQ24" s="60" t="s">
        <v>1460</v>
      </c>
      <c r="AR24" s="63" t="str">
        <f>TRONCONS_V2!AN22</f>
        <v>N63_N64</v>
      </c>
      <c r="AS24" s="63">
        <f>TRONCONS_V2!AO22</f>
        <v>32.837000000000003</v>
      </c>
      <c r="AT24" s="69">
        <f t="shared" si="16"/>
        <v>3.2837000000000005E-2</v>
      </c>
      <c r="AU24" s="63">
        <v>1</v>
      </c>
      <c r="AV24" s="63">
        <f t="shared" si="17"/>
        <v>3.2837000000000005E-2</v>
      </c>
      <c r="AW24" s="63">
        <f t="shared" si="3"/>
        <v>0.20452523865872313</v>
      </c>
      <c r="AX24" s="63">
        <f t="shared" si="18"/>
        <v>204.52523865872314</v>
      </c>
      <c r="AY24" s="63" cm="1">
        <f t="array" ref="AY24">IFERROR(INDEX(REF_TABLE!$G$7:$G$32,MATCH(AX24,REF_TABLE!$G$7:$G$32,1)+1),"Aucune valeur supérieure")</f>
        <v>250</v>
      </c>
      <c r="AZ24" s="63">
        <v>150</v>
      </c>
      <c r="BA24" s="63">
        <f>TRONCONS_V2!AM22</f>
        <v>216</v>
      </c>
      <c r="BF24" s="60" t="s">
        <v>1345</v>
      </c>
      <c r="BG24" s="63" t="str">
        <f>TRONCONS_V2!V22</f>
        <v>N42_N52</v>
      </c>
      <c r="BH24" s="63">
        <f>TRONCONS_V2!W22</f>
        <v>32.835999999999999</v>
      </c>
      <c r="BI24" s="69">
        <f t="shared" si="19"/>
        <v>3.2835999999999997E-2</v>
      </c>
      <c r="BJ24" s="63">
        <v>1</v>
      </c>
      <c r="BK24" s="63">
        <f t="shared" si="20"/>
        <v>3.2835999999999997E-2</v>
      </c>
      <c r="BL24" s="63">
        <f t="shared" si="4"/>
        <v>0.20452212438525402</v>
      </c>
      <c r="BM24" s="63">
        <f t="shared" si="21"/>
        <v>204.52212438525402</v>
      </c>
      <c r="BN24" s="63" cm="1">
        <f t="array" ref="BN24">IFERROR(INDEX(REF_TABLE!$G$7:$G$32,MATCH(BM24,REF_TABLE!$G$7:$G$32,1)+1),"Aucune valeur supérieure")</f>
        <v>250</v>
      </c>
      <c r="BO24" s="63">
        <v>150</v>
      </c>
      <c r="BP24" s="63">
        <f>TRONCONS_V2!U22</f>
        <v>223</v>
      </c>
      <c r="BS24" s="60" t="s">
        <v>1460</v>
      </c>
      <c r="BT24" s="63" t="str">
        <f>TRONCONS_V2!M22</f>
        <v>N25_N26</v>
      </c>
      <c r="BU24" s="63">
        <f>TRONCONS_V2!N22</f>
        <v>166.56</v>
      </c>
      <c r="BV24" s="69">
        <f t="shared" si="22"/>
        <v>0.16656000000000001</v>
      </c>
      <c r="BW24" s="63">
        <v>1</v>
      </c>
      <c r="BX24" s="63">
        <f t="shared" si="23"/>
        <v>0.16656000000000001</v>
      </c>
      <c r="BY24" s="63">
        <f t="shared" si="5"/>
        <v>0.46062820576799746</v>
      </c>
      <c r="BZ24" s="63">
        <f t="shared" si="24"/>
        <v>460.62820576799743</v>
      </c>
      <c r="CA24" s="63" cm="1">
        <f t="array" ref="CA24">IFERROR(INDEX(REF_TABLE!$G$7:$G$32,MATCH(BZ24,REF_TABLE!$G$7:$G$32,1)+1),"Aucune valeur supérieure")</f>
        <v>466</v>
      </c>
      <c r="CB24" s="63">
        <v>150</v>
      </c>
      <c r="CC24" s="63">
        <f>TRONCONS_V2!L22</f>
        <v>76</v>
      </c>
      <c r="CF24" s="69" t="s">
        <v>1460</v>
      </c>
      <c r="CG24" s="69" t="s">
        <v>157</v>
      </c>
      <c r="CH24" s="69">
        <v>83.28</v>
      </c>
      <c r="CI24" s="69">
        <f t="shared" si="25"/>
        <v>8.3280000000000007E-2</v>
      </c>
      <c r="CJ24" s="63">
        <v>1</v>
      </c>
      <c r="CK24" s="63">
        <f t="shared" si="26"/>
        <v>8.3280000000000007E-2</v>
      </c>
      <c r="CL24" s="63">
        <f t="shared" si="6"/>
        <v>0.32571332790434337</v>
      </c>
      <c r="CM24" s="63">
        <f t="shared" si="27"/>
        <v>325.71332790434337</v>
      </c>
      <c r="CN24" s="63" cm="1">
        <f t="array" ref="CN24">IFERROR(INDEX(REF_TABLE!$G$7:$G$32,MATCH(CM24,REF_TABLE!$G$7:$G$32,1)+1),"Aucune valeur supérieure")</f>
        <v>350</v>
      </c>
      <c r="CO24" s="63">
        <v>150</v>
      </c>
      <c r="CP24" s="69">
        <v>533</v>
      </c>
    </row>
    <row r="25" spans="4:94" x14ac:dyDescent="0.25">
      <c r="D25" s="60" t="s">
        <v>1460</v>
      </c>
      <c r="E25" s="60" t="s">
        <v>213</v>
      </c>
      <c r="F25" s="63">
        <f>TRONCONS_V2!AW23</f>
        <v>128</v>
      </c>
      <c r="G25" s="69">
        <f t="shared" si="7"/>
        <v>0.128</v>
      </c>
      <c r="H25" s="63">
        <v>1</v>
      </c>
      <c r="I25" s="63">
        <f t="shared" si="8"/>
        <v>0.128</v>
      </c>
      <c r="J25" s="63">
        <f t="shared" si="0"/>
        <v>0.40380357210005502</v>
      </c>
      <c r="K25" s="63">
        <f t="shared" si="9"/>
        <v>403.80357210005502</v>
      </c>
      <c r="L25" s="63" cm="1">
        <f t="array" ref="L25">IFERROR(INDEX(REF_TABLE!$G$7:$G$32,MATCH(K25,REF_TABLE!$G$7:$G$32,1)+1),"Aucune valeur supérieure")</f>
        <v>421</v>
      </c>
      <c r="M25" s="63">
        <v>150</v>
      </c>
      <c r="N25" s="60">
        <v>128</v>
      </c>
      <c r="Q25" s="60" t="s">
        <v>1345</v>
      </c>
      <c r="R25" s="63" t="str">
        <f>TRONCONS_V2!BG23</f>
        <v>N136_N137</v>
      </c>
      <c r="S25" s="63">
        <f>TRONCONS_V2!BH23</f>
        <v>58.058</v>
      </c>
      <c r="T25" s="69">
        <f t="shared" si="10"/>
        <v>5.8057999999999998E-2</v>
      </c>
      <c r="U25" s="63">
        <v>1</v>
      </c>
      <c r="V25" s="63">
        <f t="shared" si="11"/>
        <v>5.8057999999999998E-2</v>
      </c>
      <c r="W25" s="63">
        <f t="shared" si="1"/>
        <v>0.27195447352229712</v>
      </c>
      <c r="X25" s="63">
        <f t="shared" si="12"/>
        <v>271.95447352229712</v>
      </c>
      <c r="Y25" s="63" cm="1">
        <f t="array" ref="Y25">IFERROR(INDEX(REF_TABLE!$G$7:$G$32,MATCH(X25,REF_TABLE!$G$7:$G$32,1)+1),"Aucune valeur supérieure")</f>
        <v>300</v>
      </c>
      <c r="Z25" s="63">
        <v>150</v>
      </c>
      <c r="AA25" s="63">
        <f>TRONCONS_V2!BF23</f>
        <v>360</v>
      </c>
      <c r="AD25" s="60" t="s">
        <v>1345</v>
      </c>
      <c r="AE25" s="63" t="str">
        <f>TRONCONS_V2!AE23</f>
        <v>N113_N114</v>
      </c>
      <c r="AF25" s="63">
        <f>TRONCONS_V2!AF23</f>
        <v>32.837000000000003</v>
      </c>
      <c r="AG25" s="69">
        <f t="shared" si="13"/>
        <v>3.2837000000000005E-2</v>
      </c>
      <c r="AH25" s="63">
        <v>1</v>
      </c>
      <c r="AI25" s="63">
        <f t="shared" si="14"/>
        <v>3.2837000000000005E-2</v>
      </c>
      <c r="AJ25" s="63">
        <f t="shared" si="2"/>
        <v>0.20452523865872313</v>
      </c>
      <c r="AK25" s="63">
        <f t="shared" si="15"/>
        <v>204.52523865872314</v>
      </c>
      <c r="AL25" s="63" cm="1">
        <f t="array" ref="AL25">IFERROR(INDEX(REF_TABLE!$G$7:$G$32,MATCH(AK25,REF_TABLE!$G$7:$G$32,1)+1),"Aucune valeur supérieure")</f>
        <v>250</v>
      </c>
      <c r="AM25" s="63">
        <v>150</v>
      </c>
      <c r="AN25" s="63">
        <f>TRONCONS_V2!AD23</f>
        <v>79</v>
      </c>
      <c r="AQ25" s="60" t="s">
        <v>1460</v>
      </c>
      <c r="AR25" s="63" t="str">
        <f>TRONCONS_V2!AN23</f>
        <v>N64_N65</v>
      </c>
      <c r="AS25" s="63">
        <f>TRONCONS_V2!AO23</f>
        <v>32.837000000000003</v>
      </c>
      <c r="AT25" s="69">
        <f t="shared" si="16"/>
        <v>3.2837000000000005E-2</v>
      </c>
      <c r="AU25" s="63">
        <v>1</v>
      </c>
      <c r="AV25" s="63">
        <f t="shared" si="17"/>
        <v>3.2837000000000005E-2</v>
      </c>
      <c r="AW25" s="63">
        <f t="shared" si="3"/>
        <v>0.20452523865872313</v>
      </c>
      <c r="AX25" s="63">
        <f t="shared" si="18"/>
        <v>204.52523865872314</v>
      </c>
      <c r="AY25" s="63" cm="1">
        <f t="array" ref="AY25">IFERROR(INDEX(REF_TABLE!$G$7:$G$32,MATCH(AX25,REF_TABLE!$G$7:$G$32,1)+1),"Aucune valeur supérieure")</f>
        <v>250</v>
      </c>
      <c r="AZ25" s="63">
        <v>150</v>
      </c>
      <c r="BA25" s="63">
        <f>TRONCONS_V2!AM23</f>
        <v>73</v>
      </c>
      <c r="BF25" s="60" t="s">
        <v>1345</v>
      </c>
      <c r="BG25" s="63" t="str">
        <f>TRONCONS_V2!V23</f>
        <v>N43_N44</v>
      </c>
      <c r="BH25" s="63">
        <f>TRONCONS_V2!W23</f>
        <v>166.56</v>
      </c>
      <c r="BI25" s="69">
        <f t="shared" si="19"/>
        <v>0.16656000000000001</v>
      </c>
      <c r="BJ25" s="63">
        <v>1</v>
      </c>
      <c r="BK25" s="63">
        <f t="shared" si="20"/>
        <v>0.16656000000000001</v>
      </c>
      <c r="BL25" s="63">
        <f t="shared" si="4"/>
        <v>0.46062820576799746</v>
      </c>
      <c r="BM25" s="63">
        <f t="shared" si="21"/>
        <v>460.62820576799743</v>
      </c>
      <c r="BN25" s="63" cm="1">
        <f t="array" ref="BN25">IFERROR(INDEX(REF_TABLE!$G$7:$G$32,MATCH(BM25,REF_TABLE!$G$7:$G$32,1)+1),"Aucune valeur supérieure")</f>
        <v>466</v>
      </c>
      <c r="BO25" s="63">
        <v>150</v>
      </c>
      <c r="BP25" s="63">
        <f>TRONCONS_V2!U23</f>
        <v>340</v>
      </c>
      <c r="BS25" s="60" t="s">
        <v>1460</v>
      </c>
      <c r="BT25" s="63" t="str">
        <f>TRONCONS_V2!M23</f>
        <v>N26_N27</v>
      </c>
      <c r="BU25" s="63">
        <f>TRONCONS_V2!N23</f>
        <v>166.56</v>
      </c>
      <c r="BV25" s="69">
        <f t="shared" si="22"/>
        <v>0.16656000000000001</v>
      </c>
      <c r="BW25" s="63">
        <v>1</v>
      </c>
      <c r="BX25" s="63">
        <f t="shared" si="23"/>
        <v>0.16656000000000001</v>
      </c>
      <c r="BY25" s="63">
        <f t="shared" si="5"/>
        <v>0.46062820576799746</v>
      </c>
      <c r="BZ25" s="63">
        <f t="shared" si="24"/>
        <v>460.62820576799743</v>
      </c>
      <c r="CA25" s="63" cm="1">
        <f t="array" ref="CA25">IFERROR(INDEX(REF_TABLE!$G$7:$G$32,MATCH(BZ25,REF_TABLE!$G$7:$G$32,1)+1),"Aucune valeur supérieure")</f>
        <v>466</v>
      </c>
      <c r="CB25" s="63">
        <v>150</v>
      </c>
      <c r="CC25" s="63">
        <f>TRONCONS_V2!L23</f>
        <v>76</v>
      </c>
      <c r="CF25" s="69" t="s">
        <v>1460</v>
      </c>
      <c r="CG25" s="69" t="s">
        <v>156</v>
      </c>
      <c r="CH25" s="69">
        <v>83.28</v>
      </c>
      <c r="CI25" s="69">
        <f t="shared" si="25"/>
        <v>8.3280000000000007E-2</v>
      </c>
      <c r="CJ25" s="63">
        <v>1</v>
      </c>
      <c r="CK25" s="63">
        <f t="shared" si="26"/>
        <v>8.3280000000000007E-2</v>
      </c>
      <c r="CL25" s="63">
        <f t="shared" si="6"/>
        <v>0.32571332790434337</v>
      </c>
      <c r="CM25" s="63">
        <f t="shared" si="27"/>
        <v>325.71332790434337</v>
      </c>
      <c r="CN25" s="63" cm="1">
        <f t="array" ref="CN25">IFERROR(INDEX(REF_TABLE!$G$7:$G$32,MATCH(CM25,REF_TABLE!$G$7:$G$32,1)+1),"Aucune valeur supérieure")</f>
        <v>350</v>
      </c>
      <c r="CO25" s="63">
        <v>150</v>
      </c>
      <c r="CP25" s="69">
        <v>345</v>
      </c>
    </row>
    <row r="26" spans="4:94" x14ac:dyDescent="0.25">
      <c r="D26" s="60" t="s">
        <v>1460</v>
      </c>
      <c r="E26" s="60" t="s">
        <v>212</v>
      </c>
      <c r="F26" s="63">
        <f>TRONCONS_V2!AW24</f>
        <v>138</v>
      </c>
      <c r="G26" s="69">
        <f t="shared" si="7"/>
        <v>0.13800000000000001</v>
      </c>
      <c r="H26" s="63">
        <v>1</v>
      </c>
      <c r="I26" s="63">
        <f t="shared" si="8"/>
        <v>0.13800000000000001</v>
      </c>
      <c r="J26" s="63">
        <f t="shared" si="0"/>
        <v>0.41928054849223456</v>
      </c>
      <c r="K26" s="63">
        <f t="shared" si="9"/>
        <v>419.28054849223457</v>
      </c>
      <c r="L26" s="63" cm="1">
        <f t="array" ref="L26">IFERROR(INDEX(REF_TABLE!$G$7:$G$32,MATCH(K26,REF_TABLE!$G$7:$G$32,1)+1),"Aucune valeur supérieure")</f>
        <v>421</v>
      </c>
      <c r="M26" s="63">
        <v>150</v>
      </c>
      <c r="N26" s="60">
        <v>138</v>
      </c>
      <c r="Q26" s="60" t="s">
        <v>1345</v>
      </c>
      <c r="R26" s="63" t="str">
        <f>TRONCONS_V2!BG24</f>
        <v>N137_N138</v>
      </c>
      <c r="S26" s="63">
        <f>TRONCONS_V2!BH24</f>
        <v>58.058</v>
      </c>
      <c r="T26" s="69">
        <f t="shared" si="10"/>
        <v>5.8057999999999998E-2</v>
      </c>
      <c r="U26" s="63">
        <v>1</v>
      </c>
      <c r="V26" s="63">
        <f t="shared" si="11"/>
        <v>5.8057999999999998E-2</v>
      </c>
      <c r="W26" s="63">
        <f t="shared" si="1"/>
        <v>0.27195447352229712</v>
      </c>
      <c r="X26" s="63">
        <f t="shared" si="12"/>
        <v>271.95447352229712</v>
      </c>
      <c r="Y26" s="63" cm="1">
        <f t="array" ref="Y26">IFERROR(INDEX(REF_TABLE!$G$7:$G$32,MATCH(X26,REF_TABLE!$G$7:$G$32,1)+1),"Aucune valeur supérieure")</f>
        <v>300</v>
      </c>
      <c r="Z26" s="63">
        <v>150</v>
      </c>
      <c r="AA26" s="63">
        <f>TRONCONS_V2!BF24</f>
        <v>315</v>
      </c>
      <c r="AD26" s="60" t="s">
        <v>1345</v>
      </c>
      <c r="AE26" s="63" t="str">
        <f>TRONCONS_V2!AE24</f>
        <v>N114_N115</v>
      </c>
      <c r="AF26" s="63">
        <f>TRONCONS_V2!AF24</f>
        <v>32.837000000000003</v>
      </c>
      <c r="AG26" s="69">
        <f t="shared" si="13"/>
        <v>3.2837000000000005E-2</v>
      </c>
      <c r="AH26" s="63">
        <v>1</v>
      </c>
      <c r="AI26" s="63">
        <f t="shared" si="14"/>
        <v>3.2837000000000005E-2</v>
      </c>
      <c r="AJ26" s="63">
        <f t="shared" si="2"/>
        <v>0.20452523865872313</v>
      </c>
      <c r="AK26" s="63">
        <f t="shared" si="15"/>
        <v>204.52523865872314</v>
      </c>
      <c r="AL26" s="63" cm="1">
        <f t="array" ref="AL26">IFERROR(INDEX(REF_TABLE!$G$7:$G$32,MATCH(AK26,REF_TABLE!$G$7:$G$32,1)+1),"Aucune valeur supérieure")</f>
        <v>250</v>
      </c>
      <c r="AM26" s="63">
        <v>150</v>
      </c>
      <c r="AN26" s="63">
        <f>TRONCONS_V2!AD24</f>
        <v>241</v>
      </c>
      <c r="AQ26" s="60" t="s">
        <v>1460</v>
      </c>
      <c r="AR26" s="63" t="str">
        <f>TRONCONS_V2!AN24</f>
        <v>N65_N66</v>
      </c>
      <c r="AS26" s="63">
        <f>TRONCONS_V2!AO24</f>
        <v>32.837000000000003</v>
      </c>
      <c r="AT26" s="69">
        <f t="shared" si="16"/>
        <v>3.2837000000000005E-2</v>
      </c>
      <c r="AU26" s="63">
        <v>1</v>
      </c>
      <c r="AV26" s="63">
        <f t="shared" si="17"/>
        <v>3.2837000000000005E-2</v>
      </c>
      <c r="AW26" s="63">
        <f t="shared" si="3"/>
        <v>0.20452523865872313</v>
      </c>
      <c r="AX26" s="63">
        <f t="shared" si="18"/>
        <v>204.52523865872314</v>
      </c>
      <c r="AY26" s="63" cm="1">
        <f t="array" ref="AY26">IFERROR(INDEX(REF_TABLE!$G$7:$G$32,MATCH(AX26,REF_TABLE!$G$7:$G$32,1)+1),"Aucune valeur supérieure")</f>
        <v>250</v>
      </c>
      <c r="AZ26" s="63">
        <v>150</v>
      </c>
      <c r="BA26" s="63">
        <f>TRONCONS_V2!AM24</f>
        <v>65</v>
      </c>
      <c r="BF26" s="60" t="s">
        <v>1460</v>
      </c>
      <c r="BG26" s="63" t="str">
        <f>TRONCONS_V2!V24</f>
        <v>N44_N45</v>
      </c>
      <c r="BH26" s="63">
        <f>TRONCONS_V2!W24</f>
        <v>166.56</v>
      </c>
      <c r="BI26" s="69">
        <f t="shared" si="19"/>
        <v>0.16656000000000001</v>
      </c>
      <c r="BJ26" s="63">
        <v>1</v>
      </c>
      <c r="BK26" s="63">
        <f t="shared" si="20"/>
        <v>0.16656000000000001</v>
      </c>
      <c r="BL26" s="63">
        <f t="shared" si="4"/>
        <v>0.46062820576799746</v>
      </c>
      <c r="BM26" s="63">
        <f t="shared" si="21"/>
        <v>460.62820576799743</v>
      </c>
      <c r="BN26" s="63" cm="1">
        <f t="array" ref="BN26">IFERROR(INDEX(REF_TABLE!$G$7:$G$32,MATCH(BM26,REF_TABLE!$G$7:$G$32,1)+1),"Aucune valeur supérieure")</f>
        <v>466</v>
      </c>
      <c r="BO26" s="63">
        <v>150</v>
      </c>
      <c r="BP26" s="63">
        <f>TRONCONS_V2!U24</f>
        <v>205</v>
      </c>
      <c r="BS26" s="60" t="s">
        <v>1460</v>
      </c>
      <c r="BT26" s="63" t="str">
        <f>TRONCONS_V2!M24</f>
        <v>N27_N28</v>
      </c>
      <c r="BU26" s="63">
        <f>TRONCONS_V2!N24</f>
        <v>166.56</v>
      </c>
      <c r="BV26" s="69">
        <f t="shared" si="22"/>
        <v>0.16656000000000001</v>
      </c>
      <c r="BW26" s="63">
        <v>1</v>
      </c>
      <c r="BX26" s="63">
        <f t="shared" si="23"/>
        <v>0.16656000000000001</v>
      </c>
      <c r="BY26" s="63">
        <f t="shared" si="5"/>
        <v>0.46062820576799746</v>
      </c>
      <c r="BZ26" s="63">
        <f t="shared" si="24"/>
        <v>460.62820576799743</v>
      </c>
      <c r="CA26" s="63" cm="1">
        <f t="array" ref="CA26">IFERROR(INDEX(REF_TABLE!$G$7:$G$32,MATCH(BZ26,REF_TABLE!$G$7:$G$32,1)+1),"Aucune valeur supérieure")</f>
        <v>466</v>
      </c>
      <c r="CB26" s="63">
        <v>150</v>
      </c>
      <c r="CC26" s="63">
        <f>TRONCONS_V2!L24</f>
        <v>80</v>
      </c>
      <c r="CF26" s="69" t="s">
        <v>1460</v>
      </c>
      <c r="CG26" s="69" t="s">
        <v>155</v>
      </c>
      <c r="CH26" s="69">
        <v>83.28</v>
      </c>
      <c r="CI26" s="69">
        <f t="shared" si="25"/>
        <v>8.3280000000000007E-2</v>
      </c>
      <c r="CJ26" s="63">
        <v>1</v>
      </c>
      <c r="CK26" s="63">
        <f t="shared" si="26"/>
        <v>8.3280000000000007E-2</v>
      </c>
      <c r="CL26" s="63">
        <f t="shared" si="6"/>
        <v>0.32571332790434337</v>
      </c>
      <c r="CM26" s="63">
        <f t="shared" si="27"/>
        <v>325.71332790434337</v>
      </c>
      <c r="CN26" s="63" cm="1">
        <f t="array" ref="CN26">IFERROR(INDEX(REF_TABLE!$G$7:$G$32,MATCH(CM26,REF_TABLE!$G$7:$G$32,1)+1),"Aucune valeur supérieure")</f>
        <v>350</v>
      </c>
      <c r="CO26" s="63">
        <v>150</v>
      </c>
      <c r="CP26" s="69">
        <v>795</v>
      </c>
    </row>
    <row r="27" spans="4:94" x14ac:dyDescent="0.25">
      <c r="D27" s="60" t="s">
        <v>1345</v>
      </c>
      <c r="E27" s="60" t="s">
        <v>426</v>
      </c>
      <c r="F27" s="63">
        <f>TRONCONS_V2!AW25</f>
        <v>184</v>
      </c>
      <c r="G27" s="69">
        <f t="shared" si="7"/>
        <v>0.184</v>
      </c>
      <c r="H27" s="63">
        <v>1</v>
      </c>
      <c r="I27" s="63">
        <f t="shared" si="8"/>
        <v>0.184</v>
      </c>
      <c r="J27" s="63">
        <f t="shared" si="0"/>
        <v>0.48414347507593108</v>
      </c>
      <c r="K27" s="63">
        <f t="shared" si="9"/>
        <v>484.14347507593106</v>
      </c>
      <c r="L27" s="63" cm="1">
        <f t="array" ref="L27">IFERROR(INDEX(REF_TABLE!$G$7:$G$32,MATCH(K27,REF_TABLE!$G$7:$G$32,1)+1),"Aucune valeur supérieure")</f>
        <v>565</v>
      </c>
      <c r="M27" s="63">
        <v>150</v>
      </c>
      <c r="N27" s="60">
        <v>184</v>
      </c>
      <c r="Q27" s="60" t="s">
        <v>1345</v>
      </c>
      <c r="R27" s="63" t="str">
        <f>TRONCONS_V2!BG25</f>
        <v>N138_N139</v>
      </c>
      <c r="S27" s="63">
        <f>TRONCONS_V2!BH25</f>
        <v>58.058</v>
      </c>
      <c r="T27" s="69">
        <f t="shared" si="10"/>
        <v>5.8057999999999998E-2</v>
      </c>
      <c r="U27" s="63">
        <v>1</v>
      </c>
      <c r="V27" s="63">
        <f t="shared" si="11"/>
        <v>5.8057999999999998E-2</v>
      </c>
      <c r="W27" s="63">
        <f t="shared" si="1"/>
        <v>0.27195447352229712</v>
      </c>
      <c r="X27" s="63">
        <f t="shared" si="12"/>
        <v>271.95447352229712</v>
      </c>
      <c r="Y27" s="63" cm="1">
        <f t="array" ref="Y27">IFERROR(INDEX(REF_TABLE!$G$7:$G$32,MATCH(X27,REF_TABLE!$G$7:$G$32,1)+1),"Aucune valeur supérieure")</f>
        <v>300</v>
      </c>
      <c r="Z27" s="63">
        <v>150</v>
      </c>
      <c r="AA27" s="63">
        <f>TRONCONS_V2!BF25</f>
        <v>270</v>
      </c>
      <c r="AD27" s="60" t="s">
        <v>1345</v>
      </c>
      <c r="AE27" s="63" t="str">
        <f>TRONCONS_V2!AE25</f>
        <v>N115_N116</v>
      </c>
      <c r="AF27" s="63">
        <f>TRONCONS_V2!AF25</f>
        <v>32.837000000000003</v>
      </c>
      <c r="AG27" s="69">
        <f t="shared" si="13"/>
        <v>3.2837000000000005E-2</v>
      </c>
      <c r="AH27" s="63">
        <v>1</v>
      </c>
      <c r="AI27" s="63">
        <f t="shared" si="14"/>
        <v>3.2837000000000005E-2</v>
      </c>
      <c r="AJ27" s="63">
        <f t="shared" si="2"/>
        <v>0.20452523865872313</v>
      </c>
      <c r="AK27" s="63">
        <f t="shared" si="15"/>
        <v>204.52523865872314</v>
      </c>
      <c r="AL27" s="63" cm="1">
        <f t="array" ref="AL27">IFERROR(INDEX(REF_TABLE!$G$7:$G$32,MATCH(AK27,REF_TABLE!$G$7:$G$32,1)+1),"Aucune valeur supérieure")</f>
        <v>250</v>
      </c>
      <c r="AM27" s="63">
        <v>150</v>
      </c>
      <c r="AN27" s="63">
        <f>TRONCONS_V2!AD25</f>
        <v>61</v>
      </c>
      <c r="AQ27" s="60" t="s">
        <v>1460</v>
      </c>
      <c r="AR27" s="63" t="str">
        <f>TRONCONS_V2!AN25</f>
        <v>N66_N67</v>
      </c>
      <c r="AS27" s="63">
        <f>TRONCONS_V2!AO25</f>
        <v>32.837000000000003</v>
      </c>
      <c r="AT27" s="69">
        <f t="shared" si="16"/>
        <v>3.2837000000000005E-2</v>
      </c>
      <c r="AU27" s="63">
        <v>1</v>
      </c>
      <c r="AV27" s="63">
        <f t="shared" si="17"/>
        <v>3.2837000000000005E-2</v>
      </c>
      <c r="AW27" s="63">
        <f t="shared" si="3"/>
        <v>0.20452523865872313</v>
      </c>
      <c r="AX27" s="63">
        <f t="shared" si="18"/>
        <v>204.52523865872314</v>
      </c>
      <c r="AY27" s="63" cm="1">
        <f t="array" ref="AY27">IFERROR(INDEX(REF_TABLE!$G$7:$G$32,MATCH(AX27,REF_TABLE!$G$7:$G$32,1)+1),"Aucune valeur supérieure")</f>
        <v>250</v>
      </c>
      <c r="AZ27" s="63">
        <v>150</v>
      </c>
      <c r="BA27" s="63">
        <f>TRONCONS_V2!AM25</f>
        <v>45</v>
      </c>
      <c r="BF27" s="60" t="s">
        <v>1460</v>
      </c>
      <c r="BG27" s="63" t="str">
        <f>TRONCONS_V2!V25</f>
        <v>N45_N46</v>
      </c>
      <c r="BH27" s="63">
        <f>TRONCONS_V2!W25</f>
        <v>166.56</v>
      </c>
      <c r="BI27" s="69">
        <f t="shared" si="19"/>
        <v>0.16656000000000001</v>
      </c>
      <c r="BJ27" s="63">
        <v>1</v>
      </c>
      <c r="BK27" s="63">
        <f t="shared" si="20"/>
        <v>0.16656000000000001</v>
      </c>
      <c r="BL27" s="63">
        <f t="shared" si="4"/>
        <v>0.46062820576799746</v>
      </c>
      <c r="BM27" s="63">
        <f t="shared" si="21"/>
        <v>460.62820576799743</v>
      </c>
      <c r="BN27" s="63" cm="1">
        <f t="array" ref="BN27">IFERROR(INDEX(REF_TABLE!$G$7:$G$32,MATCH(BM27,REF_TABLE!$G$7:$G$32,1)+1),"Aucune valeur supérieure")</f>
        <v>466</v>
      </c>
      <c r="BO27" s="63">
        <v>150</v>
      </c>
      <c r="BP27" s="63">
        <f>TRONCONS_V2!U25</f>
        <v>196</v>
      </c>
      <c r="BS27" s="60" t="s">
        <v>1460</v>
      </c>
      <c r="BT27" s="63" t="str">
        <f>TRONCONS_V2!M25</f>
        <v>N28_N196</v>
      </c>
      <c r="BU27" s="63">
        <f>TRONCONS_V2!N25</f>
        <v>166.56</v>
      </c>
      <c r="BV27" s="69">
        <f t="shared" si="22"/>
        <v>0.16656000000000001</v>
      </c>
      <c r="BW27" s="63">
        <v>1</v>
      </c>
      <c r="BX27" s="63">
        <f t="shared" si="23"/>
        <v>0.16656000000000001</v>
      </c>
      <c r="BY27" s="63">
        <f t="shared" si="5"/>
        <v>0.46062820576799746</v>
      </c>
      <c r="BZ27" s="63">
        <f t="shared" si="24"/>
        <v>460.62820576799743</v>
      </c>
      <c r="CA27" s="63" cm="1">
        <f t="array" ref="CA27">IFERROR(INDEX(REF_TABLE!$G$7:$G$32,MATCH(BZ27,REF_TABLE!$G$7:$G$32,1)+1),"Aucune valeur supérieure")</f>
        <v>466</v>
      </c>
      <c r="CB27" s="63">
        <v>150</v>
      </c>
      <c r="CC27" s="63">
        <f>TRONCONS_V2!L25</f>
        <v>75</v>
      </c>
      <c r="CF27" s="69" t="s">
        <v>1460</v>
      </c>
      <c r="CG27" s="69" t="s">
        <v>154</v>
      </c>
      <c r="CH27" s="69">
        <v>83.28</v>
      </c>
      <c r="CI27" s="69">
        <f t="shared" si="25"/>
        <v>8.3280000000000007E-2</v>
      </c>
      <c r="CJ27" s="63">
        <v>1</v>
      </c>
      <c r="CK27" s="63">
        <f t="shared" si="26"/>
        <v>8.3280000000000007E-2</v>
      </c>
      <c r="CL27" s="63">
        <f t="shared" si="6"/>
        <v>0.32571332790434337</v>
      </c>
      <c r="CM27" s="63">
        <f t="shared" si="27"/>
        <v>325.71332790434337</v>
      </c>
      <c r="CN27" s="63" cm="1">
        <f t="array" ref="CN27">IFERROR(INDEX(REF_TABLE!$G$7:$G$32,MATCH(CM27,REF_TABLE!$G$7:$G$32,1)+1),"Aucune valeur supérieure")</f>
        <v>350</v>
      </c>
      <c r="CO27" s="63">
        <v>150</v>
      </c>
      <c r="CP27" s="69">
        <v>496</v>
      </c>
    </row>
    <row r="28" spans="4:94" x14ac:dyDescent="0.25">
      <c r="D28" s="60" t="s">
        <v>1460</v>
      </c>
      <c r="E28" s="60" t="s">
        <v>211</v>
      </c>
      <c r="F28" s="63">
        <f>TRONCONS_V2!AW26</f>
        <v>289</v>
      </c>
      <c r="G28" s="69">
        <f t="shared" si="7"/>
        <v>0.28899999999999998</v>
      </c>
      <c r="H28" s="63">
        <v>1</v>
      </c>
      <c r="I28" s="63">
        <f t="shared" si="8"/>
        <v>0.28899999999999998</v>
      </c>
      <c r="J28" s="63">
        <f t="shared" si="0"/>
        <v>0.60675601871101226</v>
      </c>
      <c r="K28" s="63">
        <f t="shared" si="9"/>
        <v>606.7560187110123</v>
      </c>
      <c r="L28" s="63" cm="1">
        <f t="array" ref="L28">IFERROR(INDEX(REF_TABLE!$G$7:$G$32,MATCH(K28,REF_TABLE!$G$7:$G$32,1)+1),"Aucune valeur supérieure")</f>
        <v>700</v>
      </c>
      <c r="M28" s="63">
        <v>150</v>
      </c>
      <c r="N28" s="60">
        <v>289</v>
      </c>
      <c r="Q28" s="60" t="s">
        <v>1345</v>
      </c>
      <c r="R28" s="63" t="str">
        <f>TRONCONS_V2!BG26</f>
        <v>N139_N140</v>
      </c>
      <c r="S28" s="63">
        <f>TRONCONS_V2!BH26</f>
        <v>58.058</v>
      </c>
      <c r="T28" s="69">
        <f t="shared" si="10"/>
        <v>5.8057999999999998E-2</v>
      </c>
      <c r="U28" s="63">
        <v>1</v>
      </c>
      <c r="V28" s="63">
        <f t="shared" si="11"/>
        <v>5.8057999999999998E-2</v>
      </c>
      <c r="W28" s="63">
        <f t="shared" si="1"/>
        <v>0.27195447352229712</v>
      </c>
      <c r="X28" s="63">
        <f t="shared" si="12"/>
        <v>271.95447352229712</v>
      </c>
      <c r="Y28" s="63" cm="1">
        <f t="array" ref="Y28">IFERROR(INDEX(REF_TABLE!$G$7:$G$32,MATCH(X28,REF_TABLE!$G$7:$G$32,1)+1),"Aucune valeur supérieure")</f>
        <v>300</v>
      </c>
      <c r="Z28" s="63">
        <v>150</v>
      </c>
      <c r="AA28" s="63">
        <f>TRONCONS_V2!BF26</f>
        <v>180</v>
      </c>
      <c r="AD28" s="60" t="s">
        <v>1345</v>
      </c>
      <c r="AE28" s="63" t="str">
        <f>TRONCONS_V2!AE26</f>
        <v>N116_N195</v>
      </c>
      <c r="AF28" s="63">
        <f>TRONCONS_V2!AF26</f>
        <v>32.837000000000003</v>
      </c>
      <c r="AG28" s="69">
        <f t="shared" si="13"/>
        <v>3.2837000000000005E-2</v>
      </c>
      <c r="AH28" s="63">
        <v>1</v>
      </c>
      <c r="AI28" s="63">
        <f t="shared" si="14"/>
        <v>3.2837000000000005E-2</v>
      </c>
      <c r="AJ28" s="63">
        <f t="shared" si="2"/>
        <v>0.20452523865872313</v>
      </c>
      <c r="AK28" s="63">
        <f t="shared" si="15"/>
        <v>204.52523865872314</v>
      </c>
      <c r="AL28" s="63" cm="1">
        <f t="array" ref="AL28">IFERROR(INDEX(REF_TABLE!$G$7:$G$32,MATCH(AK28,REF_TABLE!$G$7:$G$32,1)+1),"Aucune valeur supérieure")</f>
        <v>250</v>
      </c>
      <c r="AM28" s="63">
        <v>150</v>
      </c>
      <c r="AN28" s="63">
        <f>TRONCONS_V2!AD26</f>
        <v>76</v>
      </c>
      <c r="AQ28" s="60" t="s">
        <v>1460</v>
      </c>
      <c r="AR28" s="63" t="str">
        <f>TRONCONS_V2!AN26</f>
        <v>N67_N68</v>
      </c>
      <c r="AS28" s="63">
        <f>TRONCONS_V2!AO26</f>
        <v>32.837000000000003</v>
      </c>
      <c r="AT28" s="69">
        <f t="shared" si="16"/>
        <v>3.2837000000000005E-2</v>
      </c>
      <c r="AU28" s="63">
        <v>1</v>
      </c>
      <c r="AV28" s="63">
        <f t="shared" si="17"/>
        <v>3.2837000000000005E-2</v>
      </c>
      <c r="AW28" s="63">
        <f t="shared" si="3"/>
        <v>0.20452523865872313</v>
      </c>
      <c r="AX28" s="63">
        <f t="shared" si="18"/>
        <v>204.52523865872314</v>
      </c>
      <c r="AY28" s="63" cm="1">
        <f t="array" ref="AY28">IFERROR(INDEX(REF_TABLE!$G$7:$G$32,MATCH(AX28,REF_TABLE!$G$7:$G$32,1)+1),"Aucune valeur supérieure")</f>
        <v>250</v>
      </c>
      <c r="AZ28" s="63">
        <v>150</v>
      </c>
      <c r="BA28" s="63">
        <f>TRONCONS_V2!AM26</f>
        <v>100</v>
      </c>
      <c r="BF28" s="60" t="s">
        <v>1460</v>
      </c>
      <c r="BG28" s="63" t="str">
        <f>TRONCONS_V2!V26</f>
        <v>N46_N47</v>
      </c>
      <c r="BH28" s="63">
        <f>TRONCONS_V2!W26</f>
        <v>166.56</v>
      </c>
      <c r="BI28" s="69">
        <f t="shared" si="19"/>
        <v>0.16656000000000001</v>
      </c>
      <c r="BJ28" s="63">
        <v>1</v>
      </c>
      <c r="BK28" s="63">
        <f t="shared" si="20"/>
        <v>0.16656000000000001</v>
      </c>
      <c r="BL28" s="63">
        <f t="shared" si="4"/>
        <v>0.46062820576799746</v>
      </c>
      <c r="BM28" s="63">
        <f t="shared" si="21"/>
        <v>460.62820576799743</v>
      </c>
      <c r="BN28" s="63" cm="1">
        <f t="array" ref="BN28">IFERROR(INDEX(REF_TABLE!$G$7:$G$32,MATCH(BM28,REF_TABLE!$G$7:$G$32,1)+1),"Aucune valeur supérieure")</f>
        <v>466</v>
      </c>
      <c r="BO28" s="63">
        <v>150</v>
      </c>
      <c r="BP28" s="63">
        <f>TRONCONS_V2!U26</f>
        <v>275</v>
      </c>
      <c r="BS28" s="60" t="s">
        <v>1460</v>
      </c>
      <c r="BT28" s="63" t="str">
        <f>TRONCONS_V2!M26</f>
        <v>N29_N30</v>
      </c>
      <c r="BU28" s="63">
        <f>TRONCONS_V2!N26</f>
        <v>166.56</v>
      </c>
      <c r="BV28" s="69">
        <f t="shared" si="22"/>
        <v>0.16656000000000001</v>
      </c>
      <c r="BW28" s="63">
        <v>1</v>
      </c>
      <c r="BX28" s="63">
        <f t="shared" si="23"/>
        <v>0.16656000000000001</v>
      </c>
      <c r="BY28" s="63">
        <f t="shared" si="5"/>
        <v>0.46062820576799746</v>
      </c>
      <c r="BZ28" s="63">
        <f t="shared" si="24"/>
        <v>460.62820576799743</v>
      </c>
      <c r="CA28" s="63" cm="1">
        <f t="array" ref="CA28">IFERROR(INDEX(REF_TABLE!$G$7:$G$32,MATCH(BZ28,REF_TABLE!$G$7:$G$32,1)+1),"Aucune valeur supérieure")</f>
        <v>466</v>
      </c>
      <c r="CB28" s="63">
        <v>150</v>
      </c>
      <c r="CC28" s="63">
        <f>TRONCONS_V2!L26</f>
        <v>76</v>
      </c>
      <c r="CF28" s="69" t="s">
        <v>1460</v>
      </c>
      <c r="CG28" s="69" t="s">
        <v>153</v>
      </c>
      <c r="CH28" s="69">
        <v>83.28</v>
      </c>
      <c r="CI28" s="69">
        <f t="shared" si="25"/>
        <v>8.3280000000000007E-2</v>
      </c>
      <c r="CJ28" s="63">
        <v>1</v>
      </c>
      <c r="CK28" s="63">
        <f t="shared" si="26"/>
        <v>8.3280000000000007E-2</v>
      </c>
      <c r="CL28" s="63">
        <f t="shared" si="6"/>
        <v>0.32571332790434337</v>
      </c>
      <c r="CM28" s="63">
        <f t="shared" si="27"/>
        <v>325.71332790434337</v>
      </c>
      <c r="CN28" s="63" cm="1">
        <f t="array" ref="CN28">IFERROR(INDEX(REF_TABLE!$G$7:$G$32,MATCH(CM28,REF_TABLE!$G$7:$G$32,1)+1),"Aucune valeur supérieure")</f>
        <v>350</v>
      </c>
      <c r="CO28" s="63">
        <v>150</v>
      </c>
      <c r="CP28" s="69">
        <v>414</v>
      </c>
    </row>
    <row r="29" spans="4:94" x14ac:dyDescent="0.25">
      <c r="D29" s="60" t="s">
        <v>1460</v>
      </c>
      <c r="E29" s="60" t="s">
        <v>209</v>
      </c>
      <c r="F29" s="63">
        <f>TRONCONS_V2!AW27</f>
        <v>153</v>
      </c>
      <c r="G29" s="69">
        <f t="shared" si="7"/>
        <v>0.153</v>
      </c>
      <c r="H29" s="63">
        <v>1</v>
      </c>
      <c r="I29" s="63">
        <f t="shared" si="8"/>
        <v>0.153</v>
      </c>
      <c r="J29" s="63">
        <f t="shared" si="0"/>
        <v>0.44147985072789686</v>
      </c>
      <c r="K29" s="63">
        <f t="shared" si="9"/>
        <v>441.47985072789686</v>
      </c>
      <c r="L29" s="63" cm="1">
        <f t="array" ref="L29">IFERROR(INDEX(REF_TABLE!$G$7:$G$32,MATCH(K29,REF_TABLE!$G$7:$G$32,1)+1),"Aucune valeur supérieure")</f>
        <v>466</v>
      </c>
      <c r="M29" s="63">
        <v>150</v>
      </c>
      <c r="N29" s="60">
        <v>153</v>
      </c>
      <c r="Q29" s="60" t="s">
        <v>1345</v>
      </c>
      <c r="R29" s="63" t="str">
        <f>TRONCONS_V2!BG27</f>
        <v>N140_N141</v>
      </c>
      <c r="S29" s="63">
        <f>TRONCONS_V2!BH27</f>
        <v>58.058</v>
      </c>
      <c r="T29" s="69">
        <f t="shared" si="10"/>
        <v>5.8057999999999998E-2</v>
      </c>
      <c r="U29" s="63">
        <v>1</v>
      </c>
      <c r="V29" s="63">
        <f t="shared" si="11"/>
        <v>5.8057999999999998E-2</v>
      </c>
      <c r="W29" s="63">
        <f t="shared" si="1"/>
        <v>0.27195447352229712</v>
      </c>
      <c r="X29" s="63">
        <f t="shared" si="12"/>
        <v>271.95447352229712</v>
      </c>
      <c r="Y29" s="63" cm="1">
        <f t="array" ref="Y29">IFERROR(INDEX(REF_TABLE!$G$7:$G$32,MATCH(X29,REF_TABLE!$G$7:$G$32,1)+1),"Aucune valeur supérieure")</f>
        <v>300</v>
      </c>
      <c r="Z29" s="63">
        <v>150</v>
      </c>
      <c r="AA29" s="63">
        <f>TRONCONS_V2!BF27</f>
        <v>210</v>
      </c>
      <c r="AD29" s="60" t="s">
        <v>1345</v>
      </c>
      <c r="AE29" s="63" t="str">
        <f>TRONCONS_V2!AE27</f>
        <v>N117_N118</v>
      </c>
      <c r="AF29" s="63">
        <f>TRONCONS_V2!AF27</f>
        <v>32.837000000000003</v>
      </c>
      <c r="AG29" s="69">
        <f t="shared" si="13"/>
        <v>3.2837000000000005E-2</v>
      </c>
      <c r="AH29" s="63">
        <v>1</v>
      </c>
      <c r="AI29" s="63">
        <f t="shared" si="14"/>
        <v>3.2837000000000005E-2</v>
      </c>
      <c r="AJ29" s="63">
        <f t="shared" si="2"/>
        <v>0.20452523865872313</v>
      </c>
      <c r="AK29" s="63">
        <f t="shared" si="15"/>
        <v>204.52523865872314</v>
      </c>
      <c r="AL29" s="63" cm="1">
        <f t="array" ref="AL29">IFERROR(INDEX(REF_TABLE!$G$7:$G$32,MATCH(AK29,REF_TABLE!$G$7:$G$32,1)+1),"Aucune valeur supérieure")</f>
        <v>250</v>
      </c>
      <c r="AM29" s="63">
        <v>150</v>
      </c>
      <c r="AN29" s="63">
        <f>TRONCONS_V2!AD27</f>
        <v>132</v>
      </c>
      <c r="AQ29" s="60" t="s">
        <v>1460</v>
      </c>
      <c r="AR29" s="63" t="str">
        <f>TRONCONS_V2!AN27</f>
        <v>N68_N69</v>
      </c>
      <c r="AS29" s="63">
        <f>TRONCONS_V2!AO27</f>
        <v>32.835999999999999</v>
      </c>
      <c r="AT29" s="69">
        <f t="shared" si="16"/>
        <v>3.2835999999999997E-2</v>
      </c>
      <c r="AU29" s="63">
        <v>1</v>
      </c>
      <c r="AV29" s="63">
        <f t="shared" si="17"/>
        <v>3.2835999999999997E-2</v>
      </c>
      <c r="AW29" s="63">
        <f t="shared" si="3"/>
        <v>0.20452212438525402</v>
      </c>
      <c r="AX29" s="63">
        <f t="shared" si="18"/>
        <v>204.52212438525402</v>
      </c>
      <c r="AY29" s="63" cm="1">
        <f t="array" ref="AY29">IFERROR(INDEX(REF_TABLE!$G$7:$G$32,MATCH(AX29,REF_TABLE!$G$7:$G$32,1)+1),"Aucune valeur supérieure")</f>
        <v>250</v>
      </c>
      <c r="AZ29" s="63">
        <v>150</v>
      </c>
      <c r="BA29" s="63">
        <f>TRONCONS_V2!AM27</f>
        <v>202</v>
      </c>
      <c r="BF29" s="60" t="s">
        <v>1460</v>
      </c>
      <c r="BG29" s="63" t="str">
        <f>TRONCONS_V2!V27</f>
        <v>N47_N48</v>
      </c>
      <c r="BH29" s="63">
        <f>TRONCONS_V2!W27</f>
        <v>166.56</v>
      </c>
      <c r="BI29" s="69">
        <f t="shared" si="19"/>
        <v>0.16656000000000001</v>
      </c>
      <c r="BJ29" s="63">
        <v>1</v>
      </c>
      <c r="BK29" s="63">
        <f t="shared" si="20"/>
        <v>0.16656000000000001</v>
      </c>
      <c r="BL29" s="63">
        <f t="shared" si="4"/>
        <v>0.46062820576799746</v>
      </c>
      <c r="BM29" s="63">
        <f t="shared" si="21"/>
        <v>460.62820576799743</v>
      </c>
      <c r="BN29" s="63" cm="1">
        <f t="array" ref="BN29">IFERROR(INDEX(REF_TABLE!$G$7:$G$32,MATCH(BM29,REF_TABLE!$G$7:$G$32,1)+1),"Aucune valeur supérieure")</f>
        <v>466</v>
      </c>
      <c r="BO29" s="63">
        <v>150</v>
      </c>
      <c r="BP29" s="63">
        <f>TRONCONS_V2!U27</f>
        <v>407</v>
      </c>
      <c r="BS29" s="60" t="s">
        <v>1460</v>
      </c>
      <c r="BT29" t="s">
        <v>909</v>
      </c>
      <c r="BU29" s="63">
        <f>TRONCONS_V2!N27</f>
        <v>166.56</v>
      </c>
      <c r="BV29" s="69">
        <f t="shared" si="22"/>
        <v>0.16656000000000001</v>
      </c>
      <c r="BW29" s="63">
        <v>1</v>
      </c>
      <c r="BX29" s="63">
        <f t="shared" si="23"/>
        <v>0.16656000000000001</v>
      </c>
      <c r="BY29" s="63">
        <f t="shared" si="5"/>
        <v>0.46062820576799746</v>
      </c>
      <c r="BZ29" s="63">
        <f t="shared" si="24"/>
        <v>460.62820576799743</v>
      </c>
      <c r="CA29" s="63" cm="1">
        <f t="array" ref="CA29">IFERROR(INDEX(REF_TABLE!$G$7:$G$32,MATCH(BZ29,REF_TABLE!$G$7:$G$32,1)+1),"Aucune valeur supérieure")</f>
        <v>466</v>
      </c>
      <c r="CB29" s="63">
        <v>150</v>
      </c>
      <c r="CC29" s="63">
        <f>TRONCONS_V2!L27</f>
        <v>69</v>
      </c>
      <c r="CF29" s="69" t="s">
        <v>1345</v>
      </c>
      <c r="CG29" s="69" t="s">
        <v>404</v>
      </c>
      <c r="CH29" s="69">
        <v>166.56</v>
      </c>
      <c r="CI29" s="69">
        <f t="shared" si="25"/>
        <v>0.16656000000000001</v>
      </c>
      <c r="CJ29" s="63">
        <v>1</v>
      </c>
      <c r="CK29" s="63">
        <f t="shared" si="26"/>
        <v>0.16656000000000001</v>
      </c>
      <c r="CL29" s="63">
        <f t="shared" si="6"/>
        <v>0.46062820576799746</v>
      </c>
      <c r="CM29" s="63">
        <f t="shared" si="27"/>
        <v>460.62820576799743</v>
      </c>
      <c r="CN29" s="63" cm="1">
        <f t="array" ref="CN29">IFERROR(INDEX(REF_TABLE!$G$7:$G$32,MATCH(CM29,REF_TABLE!$G$7:$G$32,1)+1),"Aucune valeur supérieure")</f>
        <v>466</v>
      </c>
      <c r="CO29" s="63">
        <v>150</v>
      </c>
      <c r="CP29" s="69">
        <v>211</v>
      </c>
    </row>
    <row r="30" spans="4:94" x14ac:dyDescent="0.25">
      <c r="D30" s="60" t="s">
        <v>1460</v>
      </c>
      <c r="E30" s="60" t="s">
        <v>210</v>
      </c>
      <c r="F30" s="63">
        <f>TRONCONS_V2!AW28</f>
        <v>73</v>
      </c>
      <c r="G30" s="69">
        <f t="shared" si="7"/>
        <v>7.2999999999999995E-2</v>
      </c>
      <c r="H30" s="63">
        <v>1</v>
      </c>
      <c r="I30" s="63">
        <f t="shared" si="8"/>
        <v>7.2999999999999995E-2</v>
      </c>
      <c r="J30" s="63">
        <f t="shared" si="0"/>
        <v>0.30494857037416717</v>
      </c>
      <c r="K30" s="63">
        <f t="shared" si="9"/>
        <v>304.94857037416716</v>
      </c>
      <c r="L30" s="63" cm="1">
        <f t="array" ref="L30">IFERROR(INDEX(REF_TABLE!$G$7:$G$32,MATCH(K30,REF_TABLE!$G$7:$G$32,1)+1),"Aucune valeur supérieure")</f>
        <v>350</v>
      </c>
      <c r="M30" s="63">
        <v>150</v>
      </c>
      <c r="N30" s="60">
        <v>73</v>
      </c>
      <c r="Q30" s="60" t="s">
        <v>1345</v>
      </c>
      <c r="R30" s="63" t="str">
        <f>TRONCONS_V2!BG28</f>
        <v>N141_N142</v>
      </c>
      <c r="S30" s="63">
        <f>TRONCONS_V2!BH28</f>
        <v>58.058</v>
      </c>
      <c r="T30" s="69">
        <f t="shared" si="10"/>
        <v>5.8057999999999998E-2</v>
      </c>
      <c r="U30" s="63">
        <v>1</v>
      </c>
      <c r="V30" s="63">
        <f t="shared" si="11"/>
        <v>5.8057999999999998E-2</v>
      </c>
      <c r="W30" s="63">
        <f t="shared" si="1"/>
        <v>0.27195447352229712</v>
      </c>
      <c r="X30" s="63">
        <f t="shared" si="12"/>
        <v>271.95447352229712</v>
      </c>
      <c r="Y30" s="63" cm="1">
        <f t="array" ref="Y30">IFERROR(INDEX(REF_TABLE!$G$7:$G$32,MATCH(X30,REF_TABLE!$G$7:$G$32,1)+1),"Aucune valeur supérieure")</f>
        <v>300</v>
      </c>
      <c r="Z30" s="63">
        <v>150</v>
      </c>
      <c r="AA30" s="63">
        <f>TRONCONS_V2!BF28</f>
        <v>100</v>
      </c>
      <c r="AD30" s="60" t="s">
        <v>1345</v>
      </c>
      <c r="AE30" s="63" t="str">
        <f>TRONCONS_V2!AE28</f>
        <v>N117_N195</v>
      </c>
      <c r="AF30" s="63">
        <f>TRONCONS_V2!AF28</f>
        <v>32.837000000000003</v>
      </c>
      <c r="AG30" s="69">
        <f t="shared" si="13"/>
        <v>3.2837000000000005E-2</v>
      </c>
      <c r="AH30" s="63">
        <v>1</v>
      </c>
      <c r="AI30" s="63">
        <f t="shared" si="14"/>
        <v>3.2837000000000005E-2</v>
      </c>
      <c r="AJ30" s="63">
        <f t="shared" si="2"/>
        <v>0.20452523865872313</v>
      </c>
      <c r="AK30" s="63">
        <f t="shared" si="15"/>
        <v>204.52523865872314</v>
      </c>
      <c r="AL30" s="63" cm="1">
        <f t="array" ref="AL30">IFERROR(INDEX(REF_TABLE!$G$7:$G$32,MATCH(AK30,REF_TABLE!$G$7:$G$32,1)+1),"Aucune valeur supérieure")</f>
        <v>250</v>
      </c>
      <c r="AM30" s="63">
        <v>150</v>
      </c>
      <c r="AN30" s="63">
        <f>TRONCONS_V2!AD28</f>
        <v>154</v>
      </c>
      <c r="AQ30" s="60" t="s">
        <v>1460</v>
      </c>
      <c r="AR30" s="63" t="str">
        <f>TRONCONS_V2!AN28</f>
        <v>N69_N70</v>
      </c>
      <c r="AS30" s="63">
        <f>TRONCONS_V2!AO28</f>
        <v>199.39599999999999</v>
      </c>
      <c r="AT30" s="69">
        <f t="shared" si="16"/>
        <v>0.19939599999999999</v>
      </c>
      <c r="AU30" s="63">
        <v>1</v>
      </c>
      <c r="AV30" s="63">
        <f t="shared" si="17"/>
        <v>0.19939599999999999</v>
      </c>
      <c r="AW30" s="63">
        <f t="shared" si="3"/>
        <v>0.50399170956683592</v>
      </c>
      <c r="AX30" s="63">
        <f t="shared" si="18"/>
        <v>503.99170956683594</v>
      </c>
      <c r="AY30" s="63" cm="1">
        <f t="array" ref="AY30">IFERROR(INDEX(REF_TABLE!$G$7:$G$32,MATCH(AX30,REF_TABLE!$G$7:$G$32,1)+1),"Aucune valeur supérieure")</f>
        <v>565</v>
      </c>
      <c r="AZ30" s="63">
        <v>150</v>
      </c>
      <c r="BA30" s="63">
        <f>TRONCONS_V2!AM28</f>
        <v>166</v>
      </c>
      <c r="BF30" s="60" t="s">
        <v>1460</v>
      </c>
      <c r="BG30" s="63" t="str">
        <f>TRONCONS_V2!V28</f>
        <v>N48_N49</v>
      </c>
      <c r="BH30" s="63">
        <f>TRONCONS_V2!W28</f>
        <v>166.56</v>
      </c>
      <c r="BI30" s="69">
        <f t="shared" si="19"/>
        <v>0.16656000000000001</v>
      </c>
      <c r="BJ30" s="63">
        <v>1</v>
      </c>
      <c r="BK30" s="63">
        <f t="shared" si="20"/>
        <v>0.16656000000000001</v>
      </c>
      <c r="BL30" s="63">
        <f t="shared" si="4"/>
        <v>0.46062820576799746</v>
      </c>
      <c r="BM30" s="63">
        <f t="shared" si="21"/>
        <v>460.62820576799743</v>
      </c>
      <c r="BN30" s="63" cm="1">
        <f t="array" ref="BN30">IFERROR(INDEX(REF_TABLE!$G$7:$G$32,MATCH(BM30,REF_TABLE!$G$7:$G$32,1)+1),"Aucune valeur supérieure")</f>
        <v>466</v>
      </c>
      <c r="BO30" s="63">
        <v>150</v>
      </c>
      <c r="BP30" s="63">
        <f>TRONCONS_V2!U28</f>
        <v>395</v>
      </c>
      <c r="BS30" s="60" t="s">
        <v>1460</v>
      </c>
      <c r="BT30" s="63" t="str">
        <f>TRONCONS_V2!M28</f>
        <v>N30_N31</v>
      </c>
      <c r="BU30" s="63">
        <f>TRONCONS_V2!N28</f>
        <v>166.56</v>
      </c>
      <c r="BV30" s="69">
        <f t="shared" si="22"/>
        <v>0.16656000000000001</v>
      </c>
      <c r="BW30" s="63">
        <v>1</v>
      </c>
      <c r="BX30" s="63">
        <f t="shared" si="23"/>
        <v>0.16656000000000001</v>
      </c>
      <c r="BY30" s="63">
        <f t="shared" si="5"/>
        <v>0.46062820576799746</v>
      </c>
      <c r="BZ30" s="63">
        <f t="shared" si="24"/>
        <v>460.62820576799743</v>
      </c>
      <c r="CA30" s="63" cm="1">
        <f t="array" ref="CA30">IFERROR(INDEX(REF_TABLE!$G$7:$G$32,MATCH(BZ30,REF_TABLE!$G$7:$G$32,1)+1),"Aucune valeur supérieure")</f>
        <v>466</v>
      </c>
      <c r="CB30" s="63">
        <v>150</v>
      </c>
      <c r="CC30" s="63">
        <f>TRONCONS_V2!L28</f>
        <v>251</v>
      </c>
      <c r="CF30" s="69" t="s">
        <v>1345</v>
      </c>
      <c r="CG30" s="69" t="s">
        <v>151</v>
      </c>
      <c r="CH30" s="69">
        <v>166.56</v>
      </c>
      <c r="CI30" s="69">
        <f t="shared" si="25"/>
        <v>0.16656000000000001</v>
      </c>
      <c r="CJ30" s="63">
        <v>1</v>
      </c>
      <c r="CK30" s="63">
        <f t="shared" si="26"/>
        <v>0.16656000000000001</v>
      </c>
      <c r="CL30" s="63">
        <f t="shared" si="6"/>
        <v>0.46062820576799746</v>
      </c>
      <c r="CM30" s="63">
        <f t="shared" si="27"/>
        <v>460.62820576799743</v>
      </c>
      <c r="CN30" s="63" cm="1">
        <f t="array" ref="CN30">IFERROR(INDEX(REF_TABLE!$G$7:$G$32,MATCH(CM30,REF_TABLE!$G$7:$G$32,1)+1),"Aucune valeur supérieure")</f>
        <v>466</v>
      </c>
      <c r="CO30" s="63">
        <v>150</v>
      </c>
      <c r="CP30" s="69">
        <v>56</v>
      </c>
    </row>
    <row r="31" spans="4:94" x14ac:dyDescent="0.25">
      <c r="D31" s="60" t="s">
        <v>1460</v>
      </c>
      <c r="E31" s="60" t="s">
        <v>208</v>
      </c>
      <c r="F31" s="63">
        <f>TRONCONS_V2!AW29</f>
        <v>56</v>
      </c>
      <c r="G31" s="69">
        <f t="shared" si="7"/>
        <v>5.6000000000000001E-2</v>
      </c>
      <c r="H31" s="63">
        <v>1</v>
      </c>
      <c r="I31" s="63">
        <f t="shared" si="8"/>
        <v>5.6000000000000001E-2</v>
      </c>
      <c r="J31" s="63">
        <f t="shared" si="0"/>
        <v>0.26709095757407136</v>
      </c>
      <c r="K31" s="63">
        <f t="shared" si="9"/>
        <v>267.09095757407135</v>
      </c>
      <c r="L31" s="63" cm="1">
        <f t="array" ref="L31">IFERROR(INDEX(REF_TABLE!$G$7:$G$32,MATCH(K31,REF_TABLE!$G$7:$G$32,1)+1),"Aucune valeur supérieure")</f>
        <v>300</v>
      </c>
      <c r="M31" s="63">
        <v>150</v>
      </c>
      <c r="N31" s="60">
        <v>56</v>
      </c>
      <c r="Q31" s="60" t="s">
        <v>1345</v>
      </c>
      <c r="R31" s="63" t="str">
        <f>TRONCONS_V2!BG29</f>
        <v>N142_N143</v>
      </c>
      <c r="S31" s="63">
        <f>TRONCONS_V2!BH29</f>
        <v>58.058</v>
      </c>
      <c r="T31" s="69">
        <f t="shared" si="10"/>
        <v>5.8057999999999998E-2</v>
      </c>
      <c r="U31" s="63">
        <v>1</v>
      </c>
      <c r="V31" s="63">
        <f t="shared" si="11"/>
        <v>5.8057999999999998E-2</v>
      </c>
      <c r="W31" s="63">
        <f t="shared" si="1"/>
        <v>0.27195447352229712</v>
      </c>
      <c r="X31" s="63">
        <f t="shared" si="12"/>
        <v>271.95447352229712</v>
      </c>
      <c r="Y31" s="63" cm="1">
        <f t="array" ref="Y31">IFERROR(INDEX(REF_TABLE!$G$7:$G$32,MATCH(X31,REF_TABLE!$G$7:$G$32,1)+1),"Aucune valeur supérieure")</f>
        <v>300</v>
      </c>
      <c r="Z31" s="63">
        <v>150</v>
      </c>
      <c r="AA31" s="63">
        <f>TRONCONS_V2!BF29</f>
        <v>427</v>
      </c>
      <c r="AD31" s="60" t="s">
        <v>1345</v>
      </c>
      <c r="AE31" s="63" t="str">
        <f>TRONCONS_V2!AE29</f>
        <v>N118_N119</v>
      </c>
      <c r="AF31" s="63">
        <f>TRONCONS_V2!AF29</f>
        <v>32.837000000000003</v>
      </c>
      <c r="AG31" s="69">
        <f t="shared" si="13"/>
        <v>3.2837000000000005E-2</v>
      </c>
      <c r="AH31" s="63">
        <v>1</v>
      </c>
      <c r="AI31" s="63">
        <f t="shared" si="14"/>
        <v>3.2837000000000005E-2</v>
      </c>
      <c r="AJ31" s="63">
        <f t="shared" si="2"/>
        <v>0.20452523865872313</v>
      </c>
      <c r="AK31" s="63">
        <f t="shared" si="15"/>
        <v>204.52523865872314</v>
      </c>
      <c r="AL31" s="63" cm="1">
        <f t="array" ref="AL31">IFERROR(INDEX(REF_TABLE!$G$7:$G$32,MATCH(AK31,REF_TABLE!$G$7:$G$32,1)+1),"Aucune valeur supérieure")</f>
        <v>250</v>
      </c>
      <c r="AM31" s="63">
        <v>150</v>
      </c>
      <c r="AN31" s="63">
        <f>TRONCONS_V2!AD29</f>
        <v>212</v>
      </c>
      <c r="AQ31" s="60" t="s">
        <v>1460</v>
      </c>
      <c r="AR31" s="63" t="str">
        <f>TRONCONS_V2!AN29</f>
        <v>N70_N71</v>
      </c>
      <c r="AS31" s="63">
        <f>TRONCONS_V2!AO29</f>
        <v>199.39599999999999</v>
      </c>
      <c r="AT31" s="69">
        <f t="shared" si="16"/>
        <v>0.19939599999999999</v>
      </c>
      <c r="AU31" s="63">
        <v>1</v>
      </c>
      <c r="AV31" s="63">
        <f t="shared" si="17"/>
        <v>0.19939599999999999</v>
      </c>
      <c r="AW31" s="63">
        <f t="shared" si="3"/>
        <v>0.50399170956683592</v>
      </c>
      <c r="AX31" s="63">
        <f t="shared" si="18"/>
        <v>503.99170956683594</v>
      </c>
      <c r="AY31" s="63" cm="1">
        <f t="array" ref="AY31">IFERROR(INDEX(REF_TABLE!$G$7:$G$32,MATCH(AX31,REF_TABLE!$G$7:$G$32,1)+1),"Aucune valeur supérieure")</f>
        <v>565</v>
      </c>
      <c r="AZ31" s="63">
        <v>150</v>
      </c>
      <c r="BA31" s="63">
        <f>TRONCONS_V2!AM29</f>
        <v>584</v>
      </c>
      <c r="BF31" s="60" t="s">
        <v>1460</v>
      </c>
      <c r="BG31" s="63" t="str">
        <f>TRONCONS_V2!V29</f>
        <v>N49_N50</v>
      </c>
      <c r="BH31" s="63">
        <f>TRONCONS_V2!W29</f>
        <v>166.56</v>
      </c>
      <c r="BI31" s="69">
        <f t="shared" si="19"/>
        <v>0.16656000000000001</v>
      </c>
      <c r="BJ31" s="63">
        <v>1</v>
      </c>
      <c r="BK31" s="63">
        <f t="shared" si="20"/>
        <v>0.16656000000000001</v>
      </c>
      <c r="BL31" s="63">
        <f t="shared" si="4"/>
        <v>0.46062820576799746</v>
      </c>
      <c r="BM31" s="63">
        <f t="shared" si="21"/>
        <v>460.62820576799743</v>
      </c>
      <c r="BN31" s="63" cm="1">
        <f t="array" ref="BN31">IFERROR(INDEX(REF_TABLE!$G$7:$G$32,MATCH(BM31,REF_TABLE!$G$7:$G$32,1)+1),"Aucune valeur supérieure")</f>
        <v>466</v>
      </c>
      <c r="BO31" s="63">
        <v>150</v>
      </c>
      <c r="BP31" s="63">
        <f>TRONCONS_V2!U29</f>
        <v>151</v>
      </c>
      <c r="BS31" s="60" t="s">
        <v>1460</v>
      </c>
      <c r="BT31" s="63" t="str">
        <f>TRONCONS_V2!M29</f>
        <v>N31_N32</v>
      </c>
      <c r="BU31" s="63">
        <f>TRONCONS_V2!N29</f>
        <v>83.28</v>
      </c>
      <c r="BV31" s="69">
        <f t="shared" si="22"/>
        <v>8.3280000000000007E-2</v>
      </c>
      <c r="BW31" s="63">
        <v>1</v>
      </c>
      <c r="BX31" s="63">
        <f t="shared" si="23"/>
        <v>8.3280000000000007E-2</v>
      </c>
      <c r="BY31" s="63">
        <f t="shared" si="5"/>
        <v>0.32571332790434337</v>
      </c>
      <c r="BZ31" s="63">
        <f t="shared" si="24"/>
        <v>325.71332790434337</v>
      </c>
      <c r="CA31" s="63" cm="1">
        <f t="array" ref="CA31">IFERROR(INDEX(REF_TABLE!$G$7:$G$32,MATCH(BZ31,REF_TABLE!$G$7:$G$32,1)+1),"Aucune valeur supérieure")</f>
        <v>350</v>
      </c>
      <c r="CB31" s="63">
        <v>150</v>
      </c>
      <c r="CC31" s="63">
        <f>TRONCONS_V2!L29</f>
        <v>129</v>
      </c>
      <c r="CF31" s="69" t="s">
        <v>1345</v>
      </c>
      <c r="CG31" s="69" t="s">
        <v>150</v>
      </c>
      <c r="CH31" s="69">
        <v>166.56</v>
      </c>
      <c r="CI31" s="69">
        <f t="shared" si="25"/>
        <v>0.16656000000000001</v>
      </c>
      <c r="CJ31" s="63">
        <v>1</v>
      </c>
      <c r="CK31" s="63">
        <f t="shared" si="26"/>
        <v>0.16656000000000001</v>
      </c>
      <c r="CL31" s="63">
        <f t="shared" si="6"/>
        <v>0.46062820576799746</v>
      </c>
      <c r="CM31" s="63">
        <f t="shared" si="27"/>
        <v>460.62820576799743</v>
      </c>
      <c r="CN31" s="63" cm="1">
        <f t="array" ref="CN31">IFERROR(INDEX(REF_TABLE!$G$7:$G$32,MATCH(CM31,REF_TABLE!$G$7:$G$32,1)+1),"Aucune valeur supérieure")</f>
        <v>466</v>
      </c>
      <c r="CO31" s="63">
        <v>150</v>
      </c>
      <c r="CP31" s="69">
        <v>60</v>
      </c>
    </row>
    <row r="32" spans="4:94" x14ac:dyDescent="0.25">
      <c r="D32" s="60" t="s">
        <v>1460</v>
      </c>
      <c r="E32" s="60" t="s">
        <v>229</v>
      </c>
      <c r="F32" s="63">
        <f>TRONCONS_V2!AW30</f>
        <v>22</v>
      </c>
      <c r="G32" s="69">
        <f t="shared" si="7"/>
        <v>2.1999999999999999E-2</v>
      </c>
      <c r="H32" s="63">
        <v>1</v>
      </c>
      <c r="I32" s="63">
        <f t="shared" si="8"/>
        <v>2.1999999999999999E-2</v>
      </c>
      <c r="J32" s="63">
        <f t="shared" si="0"/>
        <v>0.16740811720763832</v>
      </c>
      <c r="K32" s="63">
        <f t="shared" si="9"/>
        <v>167.40811720763833</v>
      </c>
      <c r="L32" s="63" cm="1">
        <f t="array" ref="L32">IFERROR(INDEX(REF_TABLE!$G$7:$G$32,MATCH(K32,REF_TABLE!$G$7:$G$32,1)+1),"Aucune valeur supérieure")</f>
        <v>200</v>
      </c>
      <c r="M32" s="63">
        <v>150</v>
      </c>
      <c r="N32" s="60">
        <v>22</v>
      </c>
      <c r="Q32" s="60" t="s">
        <v>1345</v>
      </c>
      <c r="R32" s="63" t="str">
        <f>TRONCONS_V2!BG30</f>
        <v>N143_N144</v>
      </c>
      <c r="S32" s="63">
        <f>TRONCONS_V2!BH30</f>
        <v>58.058</v>
      </c>
      <c r="T32" s="69">
        <f t="shared" si="10"/>
        <v>5.8057999999999998E-2</v>
      </c>
      <c r="U32" s="63">
        <v>1</v>
      </c>
      <c r="V32" s="63">
        <f t="shared" si="11"/>
        <v>5.8057999999999998E-2</v>
      </c>
      <c r="W32" s="63">
        <f t="shared" si="1"/>
        <v>0.27195447352229712</v>
      </c>
      <c r="X32" s="63">
        <f t="shared" si="12"/>
        <v>271.95447352229712</v>
      </c>
      <c r="Y32" s="63" cm="1">
        <f t="array" ref="Y32">IFERROR(INDEX(REF_TABLE!$G$7:$G$32,MATCH(X32,REF_TABLE!$G$7:$G$32,1)+1),"Aucune valeur supérieure")</f>
        <v>300</v>
      </c>
      <c r="Z32" s="63">
        <v>150</v>
      </c>
      <c r="AA32" s="63">
        <f>TRONCONS_V2!BF30</f>
        <v>87</v>
      </c>
      <c r="AD32" s="60" t="s">
        <v>1345</v>
      </c>
      <c r="AE32" s="63" t="str">
        <f>TRONCONS_V2!AE30</f>
        <v>N119_N120</v>
      </c>
      <c r="AF32" s="63">
        <f>TRONCONS_V2!AF30</f>
        <v>32.837000000000003</v>
      </c>
      <c r="AG32" s="69">
        <f t="shared" si="13"/>
        <v>3.2837000000000005E-2</v>
      </c>
      <c r="AH32" s="63">
        <v>1</v>
      </c>
      <c r="AI32" s="63">
        <f t="shared" si="14"/>
        <v>3.2837000000000005E-2</v>
      </c>
      <c r="AJ32" s="63">
        <f t="shared" si="2"/>
        <v>0.20452523865872313</v>
      </c>
      <c r="AK32" s="63">
        <f t="shared" si="15"/>
        <v>204.52523865872314</v>
      </c>
      <c r="AL32" s="63" cm="1">
        <f t="array" ref="AL32">IFERROR(INDEX(REF_TABLE!$G$7:$G$32,MATCH(AK32,REF_TABLE!$G$7:$G$32,1)+1),"Aucune valeur supérieure")</f>
        <v>250</v>
      </c>
      <c r="AM32" s="63">
        <v>150</v>
      </c>
      <c r="AN32" s="63">
        <f>TRONCONS_V2!AD30</f>
        <v>173</v>
      </c>
      <c r="AQ32" s="60" t="s">
        <v>1460</v>
      </c>
      <c r="AR32" s="63" t="str">
        <f>TRONCONS_V2!AN30</f>
        <v>N71_N192</v>
      </c>
      <c r="AS32" s="63">
        <f>TRONCONS_V2!AO30</f>
        <v>199.39599999999999</v>
      </c>
      <c r="AT32" s="69">
        <f t="shared" si="16"/>
        <v>0.19939599999999999</v>
      </c>
      <c r="AU32" s="63">
        <v>1</v>
      </c>
      <c r="AV32" s="63">
        <f t="shared" si="17"/>
        <v>0.19939599999999999</v>
      </c>
      <c r="AW32" s="63">
        <f t="shared" si="3"/>
        <v>0.50399170956683592</v>
      </c>
      <c r="AX32" s="63">
        <f t="shared" si="18"/>
        <v>503.99170956683594</v>
      </c>
      <c r="AY32" s="63" cm="1">
        <f t="array" ref="AY32">IFERROR(INDEX(REF_TABLE!$G$7:$G$32,MATCH(AX32,REF_TABLE!$G$7:$G$32,1)+1),"Aucune valeur supérieure")</f>
        <v>565</v>
      </c>
      <c r="AZ32" s="63">
        <v>150</v>
      </c>
      <c r="BA32" s="63">
        <f>TRONCONS_V2!AM30</f>
        <v>211</v>
      </c>
      <c r="BF32" s="60" t="s">
        <v>1460</v>
      </c>
      <c r="BG32" s="63" t="str">
        <f>TRONCONS_V2!V30</f>
        <v>N50_N51</v>
      </c>
      <c r="BH32" s="63">
        <f>TRONCONS_V2!W30</f>
        <v>166.56</v>
      </c>
      <c r="BI32" s="69">
        <f t="shared" si="19"/>
        <v>0.16656000000000001</v>
      </c>
      <c r="BJ32" s="63">
        <v>1</v>
      </c>
      <c r="BK32" s="63">
        <f t="shared" si="20"/>
        <v>0.16656000000000001</v>
      </c>
      <c r="BL32" s="63">
        <f t="shared" si="4"/>
        <v>0.46062820576799746</v>
      </c>
      <c r="BM32" s="63">
        <f t="shared" si="21"/>
        <v>460.62820576799743</v>
      </c>
      <c r="BN32" s="63" cm="1">
        <f t="array" ref="BN32">IFERROR(INDEX(REF_TABLE!$G$7:$G$32,MATCH(BM32,REF_TABLE!$G$7:$G$32,1)+1),"Aucune valeur supérieure")</f>
        <v>466</v>
      </c>
      <c r="BO32" s="63">
        <v>150</v>
      </c>
      <c r="BP32" s="63">
        <f>TRONCONS_V2!U30</f>
        <v>186</v>
      </c>
      <c r="BS32" s="60" t="s">
        <v>1460</v>
      </c>
      <c r="BT32" s="63" t="str">
        <f>TRONCONS_V2!M30</f>
        <v>N32_N33</v>
      </c>
      <c r="BU32" s="63">
        <f>TRONCONS_V2!N30</f>
        <v>83.28</v>
      </c>
      <c r="BV32" s="69">
        <f t="shared" si="22"/>
        <v>8.3280000000000007E-2</v>
      </c>
      <c r="BW32" s="63">
        <v>1</v>
      </c>
      <c r="BX32" s="63">
        <f t="shared" si="23"/>
        <v>8.3280000000000007E-2</v>
      </c>
      <c r="BY32" s="63">
        <f t="shared" si="5"/>
        <v>0.32571332790434337</v>
      </c>
      <c r="BZ32" s="63">
        <f t="shared" si="24"/>
        <v>325.71332790434337</v>
      </c>
      <c r="CA32" s="63" cm="1">
        <f t="array" ref="CA32">IFERROR(INDEX(REF_TABLE!$G$7:$G$32,MATCH(BZ32,REF_TABLE!$G$7:$G$32,1)+1),"Aucune valeur supérieure")</f>
        <v>350</v>
      </c>
      <c r="CB32" s="63">
        <v>150</v>
      </c>
      <c r="CC32" s="63">
        <f>TRONCONS_V2!L30</f>
        <v>157</v>
      </c>
      <c r="CF32" s="69" t="s">
        <v>1345</v>
      </c>
      <c r="CG32" s="69" t="s">
        <v>149</v>
      </c>
      <c r="CH32" s="69">
        <v>166.56</v>
      </c>
      <c r="CI32" s="69">
        <f t="shared" si="25"/>
        <v>0.16656000000000001</v>
      </c>
      <c r="CJ32" s="63">
        <v>1</v>
      </c>
      <c r="CK32" s="63">
        <f t="shared" si="26"/>
        <v>0.16656000000000001</v>
      </c>
      <c r="CL32" s="63">
        <f t="shared" si="6"/>
        <v>0.46062820576799746</v>
      </c>
      <c r="CM32" s="63">
        <f t="shared" si="27"/>
        <v>460.62820576799743</v>
      </c>
      <c r="CN32" s="63" cm="1">
        <f t="array" ref="CN32">IFERROR(INDEX(REF_TABLE!$G$7:$G$32,MATCH(CM32,REF_TABLE!$G$7:$G$32,1)+1),"Aucune valeur supérieure")</f>
        <v>466</v>
      </c>
      <c r="CO32" s="63">
        <v>150</v>
      </c>
      <c r="CP32" s="69">
        <v>67</v>
      </c>
    </row>
    <row r="33" spans="4:94" x14ac:dyDescent="0.25">
      <c r="D33" s="60" t="s">
        <v>1460</v>
      </c>
      <c r="E33" s="60" t="s">
        <v>265</v>
      </c>
      <c r="F33" s="63">
        <f>TRONCONS_V2!AW31</f>
        <v>54</v>
      </c>
      <c r="G33" s="69">
        <f t="shared" si="7"/>
        <v>5.3999999999999999E-2</v>
      </c>
      <c r="H33" s="63">
        <v>1</v>
      </c>
      <c r="I33" s="63">
        <f t="shared" si="8"/>
        <v>5.3999999999999999E-2</v>
      </c>
      <c r="J33" s="63">
        <f t="shared" si="0"/>
        <v>0.26227811368316162</v>
      </c>
      <c r="K33" s="63">
        <f t="shared" si="9"/>
        <v>262.27811368316162</v>
      </c>
      <c r="L33" s="63" cm="1">
        <f t="array" ref="L33">IFERROR(INDEX(REF_TABLE!$G$7:$G$32,MATCH(K33,REF_TABLE!$G$7:$G$32,1)+1),"Aucune valeur supérieure")</f>
        <v>300</v>
      </c>
      <c r="M33" s="63">
        <v>150</v>
      </c>
      <c r="N33" s="60">
        <v>54</v>
      </c>
      <c r="Q33" s="60" t="s">
        <v>1345</v>
      </c>
      <c r="R33" s="63" t="str">
        <f>TRONCONS_V2!BG31</f>
        <v>N144_N145</v>
      </c>
      <c r="S33" s="63">
        <f>TRONCONS_V2!BH31</f>
        <v>58.058</v>
      </c>
      <c r="T33" s="69">
        <f t="shared" si="10"/>
        <v>5.8057999999999998E-2</v>
      </c>
      <c r="U33" s="63">
        <v>1</v>
      </c>
      <c r="V33" s="63">
        <f t="shared" si="11"/>
        <v>5.8057999999999998E-2</v>
      </c>
      <c r="W33" s="63">
        <f t="shared" si="1"/>
        <v>0.27195447352229712</v>
      </c>
      <c r="X33" s="63">
        <f t="shared" si="12"/>
        <v>271.95447352229712</v>
      </c>
      <c r="Y33" s="63" cm="1">
        <f t="array" ref="Y33">IFERROR(INDEX(REF_TABLE!$G$7:$G$32,MATCH(X33,REF_TABLE!$G$7:$G$32,1)+1),"Aucune valeur supérieure")</f>
        <v>300</v>
      </c>
      <c r="Z33" s="63">
        <v>150</v>
      </c>
      <c r="AA33" s="63">
        <f>TRONCONS_V2!BF31</f>
        <v>115</v>
      </c>
      <c r="AD33" s="60" t="s">
        <v>1345</v>
      </c>
      <c r="AE33" s="63" t="str">
        <f>TRONCONS_V2!AE31</f>
        <v>N120_N121</v>
      </c>
      <c r="AF33" s="63">
        <f>TRONCONS_V2!AF31</f>
        <v>32.835999999999999</v>
      </c>
      <c r="AG33" s="69">
        <f t="shared" si="13"/>
        <v>3.2835999999999997E-2</v>
      </c>
      <c r="AH33" s="63">
        <v>1</v>
      </c>
      <c r="AI33" s="63">
        <f t="shared" si="14"/>
        <v>3.2835999999999997E-2</v>
      </c>
      <c r="AJ33" s="63">
        <f t="shared" si="2"/>
        <v>0.20452212438525402</v>
      </c>
      <c r="AK33" s="63">
        <f t="shared" si="15"/>
        <v>204.52212438525402</v>
      </c>
      <c r="AL33" s="63" cm="1">
        <f t="array" ref="AL33">IFERROR(INDEX(REF_TABLE!$G$7:$G$32,MATCH(AK33,REF_TABLE!$G$7:$G$32,1)+1),"Aucune valeur supérieure")</f>
        <v>250</v>
      </c>
      <c r="AM33" s="63">
        <v>150</v>
      </c>
      <c r="AN33" s="63">
        <f>TRONCONS_V2!AD31</f>
        <v>133</v>
      </c>
      <c r="AQ33" s="60" t="s">
        <v>1345</v>
      </c>
      <c r="AR33" s="63" t="str">
        <f>TRONCONS_V2!AN31</f>
        <v>N72_N73</v>
      </c>
      <c r="AS33" s="63">
        <f>TRONCONS_V2!AO31</f>
        <v>32.837000000000003</v>
      </c>
      <c r="AT33" s="69">
        <f t="shared" si="16"/>
        <v>3.2837000000000005E-2</v>
      </c>
      <c r="AU33" s="63">
        <v>1</v>
      </c>
      <c r="AV33" s="63">
        <f t="shared" si="17"/>
        <v>3.2837000000000005E-2</v>
      </c>
      <c r="AW33" s="63">
        <f t="shared" si="3"/>
        <v>0.20452523865872313</v>
      </c>
      <c r="AX33" s="63">
        <f t="shared" si="18"/>
        <v>204.52523865872314</v>
      </c>
      <c r="AY33" s="63" cm="1">
        <f t="array" ref="AY33">IFERROR(INDEX(REF_TABLE!$G$7:$G$32,MATCH(AX33,REF_TABLE!$G$7:$G$32,1)+1),"Aucune valeur supérieure")</f>
        <v>250</v>
      </c>
      <c r="AZ33" s="63">
        <v>150</v>
      </c>
      <c r="BA33" s="63">
        <f>TRONCONS_V2!AM31</f>
        <v>80</v>
      </c>
      <c r="BF33" s="60" t="s">
        <v>1460</v>
      </c>
      <c r="BG33" s="63" t="str">
        <f>TRONCONS_V2!V31</f>
        <v>N51_N69</v>
      </c>
      <c r="BH33" s="63">
        <f>TRONCONS_V2!W31</f>
        <v>166.56</v>
      </c>
      <c r="BI33" s="69">
        <f t="shared" si="19"/>
        <v>0.16656000000000001</v>
      </c>
      <c r="BJ33" s="63">
        <v>1</v>
      </c>
      <c r="BK33" s="63">
        <f t="shared" si="20"/>
        <v>0.16656000000000001</v>
      </c>
      <c r="BL33" s="63">
        <f t="shared" si="4"/>
        <v>0.46062820576799746</v>
      </c>
      <c r="BM33" s="63">
        <f t="shared" si="21"/>
        <v>460.62820576799743</v>
      </c>
      <c r="BN33" s="63" cm="1">
        <f t="array" ref="BN33">IFERROR(INDEX(REF_TABLE!$G$7:$G$32,MATCH(BM33,REF_TABLE!$G$7:$G$32,1)+1),"Aucune valeur supérieure")</f>
        <v>466</v>
      </c>
      <c r="BO33" s="63">
        <v>150</v>
      </c>
      <c r="BP33" s="63">
        <f>TRONCONS_V2!U31</f>
        <v>191</v>
      </c>
      <c r="BS33" s="60" t="s">
        <v>1460</v>
      </c>
      <c r="BT33" s="63" t="str">
        <f>TRONCONS_V2!M31</f>
        <v>N33_N34</v>
      </c>
      <c r="BU33" s="63">
        <f>TRONCONS_V2!N31</f>
        <v>83.28</v>
      </c>
      <c r="BV33" s="69">
        <f t="shared" si="22"/>
        <v>8.3280000000000007E-2</v>
      </c>
      <c r="BW33" s="63">
        <v>1</v>
      </c>
      <c r="BX33" s="63">
        <f t="shared" si="23"/>
        <v>8.3280000000000007E-2</v>
      </c>
      <c r="BY33" s="63">
        <f t="shared" si="5"/>
        <v>0.32571332790434337</v>
      </c>
      <c r="BZ33" s="63">
        <f t="shared" si="24"/>
        <v>325.71332790434337</v>
      </c>
      <c r="CA33" s="63" cm="1">
        <f t="array" ref="CA33">IFERROR(INDEX(REF_TABLE!$G$7:$G$32,MATCH(BZ33,REF_TABLE!$G$7:$G$32,1)+1),"Aucune valeur supérieure")</f>
        <v>350</v>
      </c>
      <c r="CB33" s="63">
        <v>150</v>
      </c>
      <c r="CC33" s="63">
        <f>TRONCONS_V2!L31</f>
        <v>82</v>
      </c>
      <c r="CF33" s="69" t="s">
        <v>1345</v>
      </c>
      <c r="CG33" s="69" t="s">
        <v>148</v>
      </c>
      <c r="CH33" s="69">
        <v>166.56</v>
      </c>
      <c r="CI33" s="69">
        <f t="shared" si="25"/>
        <v>0.16656000000000001</v>
      </c>
      <c r="CJ33" s="63">
        <v>1</v>
      </c>
      <c r="CK33" s="63">
        <f t="shared" si="26"/>
        <v>0.16656000000000001</v>
      </c>
      <c r="CL33" s="63">
        <f t="shared" si="6"/>
        <v>0.46062820576799746</v>
      </c>
      <c r="CM33" s="63">
        <f t="shared" si="27"/>
        <v>460.62820576799743</v>
      </c>
      <c r="CN33" s="63" cm="1">
        <f t="array" ref="CN33">IFERROR(INDEX(REF_TABLE!$G$7:$G$32,MATCH(CM33,REF_TABLE!$G$7:$G$32,1)+1),"Aucune valeur supérieure")</f>
        <v>466</v>
      </c>
      <c r="CO33" s="63">
        <v>150</v>
      </c>
      <c r="CP33" s="69">
        <v>194</v>
      </c>
    </row>
    <row r="34" spans="4:94" x14ac:dyDescent="0.25">
      <c r="D34" s="60" t="s">
        <v>1460</v>
      </c>
      <c r="E34" s="60" t="s">
        <v>434</v>
      </c>
      <c r="F34" s="63">
        <f>TRONCONS_V2!AW32</f>
        <v>30</v>
      </c>
      <c r="G34" s="69">
        <f t="shared" si="7"/>
        <v>0.03</v>
      </c>
      <c r="H34" s="63">
        <v>1</v>
      </c>
      <c r="I34" s="63">
        <f t="shared" si="8"/>
        <v>0.03</v>
      </c>
      <c r="J34" s="63">
        <f t="shared" si="0"/>
        <v>0.19549056373532236</v>
      </c>
      <c r="K34" s="63">
        <f t="shared" si="9"/>
        <v>195.49056373532235</v>
      </c>
      <c r="L34" s="63" cm="1">
        <f t="array" ref="L34">IFERROR(INDEX(REF_TABLE!$G$7:$G$32,MATCH(K34,REF_TABLE!$G$7:$G$32,1)+1),"Aucune valeur supérieure")</f>
        <v>200</v>
      </c>
      <c r="M34" s="63">
        <v>150</v>
      </c>
      <c r="N34" s="60">
        <v>30</v>
      </c>
      <c r="Q34" s="60" t="s">
        <v>1345</v>
      </c>
      <c r="R34" s="63" t="str">
        <f>TRONCONS_V2!BG32</f>
        <v>N145_N146</v>
      </c>
      <c r="S34" s="63">
        <f>TRONCONS_V2!BH32</f>
        <v>58.058</v>
      </c>
      <c r="T34" s="69">
        <f t="shared" si="10"/>
        <v>5.8057999999999998E-2</v>
      </c>
      <c r="U34" s="63">
        <v>1</v>
      </c>
      <c r="V34" s="63">
        <f t="shared" si="11"/>
        <v>5.8057999999999998E-2</v>
      </c>
      <c r="W34" s="63">
        <f t="shared" si="1"/>
        <v>0.27195447352229712</v>
      </c>
      <c r="X34" s="63">
        <f t="shared" si="12"/>
        <v>271.95447352229712</v>
      </c>
      <c r="Y34" s="63" cm="1">
        <f t="array" ref="Y34">IFERROR(INDEX(REF_TABLE!$G$7:$G$32,MATCH(X34,REF_TABLE!$G$7:$G$32,1)+1),"Aucune valeur supérieure")</f>
        <v>300</v>
      </c>
      <c r="Z34" s="63">
        <v>150</v>
      </c>
      <c r="AA34" s="63">
        <f>TRONCONS_V2!BF32</f>
        <v>168</v>
      </c>
      <c r="AD34" s="60" t="s">
        <v>1345</v>
      </c>
      <c r="AE34" s="63" t="str">
        <f>TRONCONS_V2!AE32</f>
        <v>N121_N122</v>
      </c>
      <c r="AF34" s="63">
        <f>TRONCONS_V2!AF32</f>
        <v>116.116</v>
      </c>
      <c r="AG34" s="69">
        <f t="shared" si="13"/>
        <v>0.116116</v>
      </c>
      <c r="AH34" s="63">
        <v>1</v>
      </c>
      <c r="AI34" s="63">
        <f t="shared" si="14"/>
        <v>0.116116</v>
      </c>
      <c r="AJ34" s="63">
        <f t="shared" si="2"/>
        <v>0.38460170480326733</v>
      </c>
      <c r="AK34" s="63">
        <f t="shared" si="15"/>
        <v>384.60170480326735</v>
      </c>
      <c r="AL34" s="63" cm="1">
        <f t="array" ref="AL34">IFERROR(INDEX(REF_TABLE!$G$7:$G$32,MATCH(AK34,REF_TABLE!$G$7:$G$32,1)+1),"Aucune valeur supérieure")</f>
        <v>400</v>
      </c>
      <c r="AM34" s="63">
        <v>150</v>
      </c>
      <c r="AN34" s="63">
        <f>TRONCONS_V2!AD32</f>
        <v>72</v>
      </c>
      <c r="AQ34" s="60" t="s">
        <v>1345</v>
      </c>
      <c r="AR34" s="63" t="str">
        <f>TRONCONS_V2!AN32</f>
        <v>N73_N74</v>
      </c>
      <c r="AS34" s="63">
        <f>TRONCONS_V2!AO32</f>
        <v>32.837000000000003</v>
      </c>
      <c r="AT34" s="69">
        <f t="shared" si="16"/>
        <v>3.2837000000000005E-2</v>
      </c>
      <c r="AU34" s="63">
        <v>1</v>
      </c>
      <c r="AV34" s="63">
        <f t="shared" si="17"/>
        <v>3.2837000000000005E-2</v>
      </c>
      <c r="AW34" s="63">
        <f t="shared" si="3"/>
        <v>0.20452523865872313</v>
      </c>
      <c r="AX34" s="63">
        <f t="shared" si="18"/>
        <v>204.52523865872314</v>
      </c>
      <c r="AY34" s="63" cm="1">
        <f t="array" ref="AY34">IFERROR(INDEX(REF_TABLE!$G$7:$G$32,MATCH(AX34,REF_TABLE!$G$7:$G$32,1)+1),"Aucune valeur supérieure")</f>
        <v>250</v>
      </c>
      <c r="AZ34" s="63">
        <v>150</v>
      </c>
      <c r="BA34" s="63">
        <f>TRONCONS_V2!AM32</f>
        <v>87</v>
      </c>
      <c r="BF34" s="60" t="s">
        <v>1460</v>
      </c>
      <c r="BG34" s="63" t="str">
        <f>TRONCONS_V2!V32</f>
        <v>N52_N53</v>
      </c>
      <c r="BH34" s="63">
        <f>TRONCONS_V2!W32</f>
        <v>32.837000000000003</v>
      </c>
      <c r="BI34" s="69">
        <f t="shared" si="19"/>
        <v>3.2837000000000005E-2</v>
      </c>
      <c r="BJ34" s="63">
        <v>1</v>
      </c>
      <c r="BK34" s="63">
        <f t="shared" si="20"/>
        <v>3.2837000000000005E-2</v>
      </c>
      <c r="BL34" s="63">
        <f t="shared" si="4"/>
        <v>0.20452523865872313</v>
      </c>
      <c r="BM34" s="63">
        <f t="shared" si="21"/>
        <v>204.52523865872314</v>
      </c>
      <c r="BN34" s="63" cm="1">
        <f t="array" ref="BN34">IFERROR(INDEX(REF_TABLE!$G$7:$G$32,MATCH(BM34,REF_TABLE!$G$7:$G$32,1)+1),"Aucune valeur supérieure")</f>
        <v>250</v>
      </c>
      <c r="BO34" s="63">
        <v>150</v>
      </c>
      <c r="BP34" s="63">
        <f>TRONCONS_V2!U32</f>
        <v>94</v>
      </c>
      <c r="BS34" s="60" t="s">
        <v>1460</v>
      </c>
      <c r="BT34" s="63" t="str">
        <f>TRONCONS_V2!M32</f>
        <v>N34_N35</v>
      </c>
      <c r="BU34" s="63">
        <f>TRONCONS_V2!N32</f>
        <v>83.28</v>
      </c>
      <c r="BV34" s="69">
        <f t="shared" si="22"/>
        <v>8.3280000000000007E-2</v>
      </c>
      <c r="BW34" s="63">
        <v>1</v>
      </c>
      <c r="BX34" s="63">
        <f t="shared" si="23"/>
        <v>8.3280000000000007E-2</v>
      </c>
      <c r="BY34" s="63">
        <f t="shared" si="5"/>
        <v>0.32571332790434337</v>
      </c>
      <c r="BZ34" s="63">
        <f t="shared" si="24"/>
        <v>325.71332790434337</v>
      </c>
      <c r="CA34" s="63" cm="1">
        <f t="array" ref="CA34">IFERROR(INDEX(REF_TABLE!$G$7:$G$32,MATCH(BZ34,REF_TABLE!$G$7:$G$32,1)+1),"Aucune valeur supérieure")</f>
        <v>350</v>
      </c>
      <c r="CB34" s="63">
        <v>150</v>
      </c>
      <c r="CC34" s="63">
        <f>TRONCONS_V2!L32</f>
        <v>69</v>
      </c>
      <c r="CF34" s="69" t="s">
        <v>1345</v>
      </c>
      <c r="CG34" s="69" t="s">
        <v>147</v>
      </c>
      <c r="CH34" s="69">
        <v>166.56</v>
      </c>
      <c r="CI34" s="69">
        <f t="shared" si="25"/>
        <v>0.16656000000000001</v>
      </c>
      <c r="CJ34" s="63">
        <v>1</v>
      </c>
      <c r="CK34" s="63">
        <f t="shared" si="26"/>
        <v>0.16656000000000001</v>
      </c>
      <c r="CL34" s="63">
        <f t="shared" si="6"/>
        <v>0.46062820576799746</v>
      </c>
      <c r="CM34" s="63">
        <f t="shared" si="27"/>
        <v>460.62820576799743</v>
      </c>
      <c r="CN34" s="63" cm="1">
        <f t="array" ref="CN34">IFERROR(INDEX(REF_TABLE!$G$7:$G$32,MATCH(CM34,REF_TABLE!$G$7:$G$32,1)+1),"Aucune valeur supérieure")</f>
        <v>466</v>
      </c>
      <c r="CO34" s="63">
        <v>150</v>
      </c>
      <c r="CP34" s="69">
        <v>74</v>
      </c>
    </row>
    <row r="35" spans="4:94" x14ac:dyDescent="0.25">
      <c r="D35" s="60" t="s">
        <v>1460</v>
      </c>
      <c r="E35" s="60" t="s">
        <v>220</v>
      </c>
      <c r="F35" s="63">
        <f>TRONCONS_V2!AW33</f>
        <v>91</v>
      </c>
      <c r="G35" s="69">
        <f t="shared" si="7"/>
        <v>9.0999999999999998E-2</v>
      </c>
      <c r="H35" s="63">
        <v>1</v>
      </c>
      <c r="I35" s="63">
        <f t="shared" si="8"/>
        <v>9.0999999999999998E-2</v>
      </c>
      <c r="J35" s="63">
        <f t="shared" si="0"/>
        <v>0.3404755011435931</v>
      </c>
      <c r="K35" s="63">
        <f t="shared" si="9"/>
        <v>340.47550114359308</v>
      </c>
      <c r="L35" s="63" cm="1">
        <f t="array" ref="L35">IFERROR(INDEX(REF_TABLE!$G$7:$G$32,MATCH(K35,REF_TABLE!$G$7:$G$32,1)+1),"Aucune valeur supérieure")</f>
        <v>350</v>
      </c>
      <c r="M35" s="63">
        <v>150</v>
      </c>
      <c r="N35" s="60">
        <v>91</v>
      </c>
      <c r="Q35" s="60" t="s">
        <v>1345</v>
      </c>
      <c r="R35" s="63" t="str">
        <f>TRONCONS_V2!BG33</f>
        <v>N146_N147</v>
      </c>
      <c r="S35" s="63">
        <f>TRONCONS_V2!BH33</f>
        <v>58.058</v>
      </c>
      <c r="T35" s="69">
        <f t="shared" si="10"/>
        <v>5.8057999999999998E-2</v>
      </c>
      <c r="U35" s="63">
        <v>1</v>
      </c>
      <c r="V35" s="63">
        <f t="shared" si="11"/>
        <v>5.8057999999999998E-2</v>
      </c>
      <c r="W35" s="63">
        <f t="shared" si="1"/>
        <v>0.27195447352229712</v>
      </c>
      <c r="X35" s="63">
        <f t="shared" si="12"/>
        <v>271.95447352229712</v>
      </c>
      <c r="Y35" s="63" cm="1">
        <f t="array" ref="Y35">IFERROR(INDEX(REF_TABLE!$G$7:$G$32,MATCH(X35,REF_TABLE!$G$7:$G$32,1)+1),"Aucune valeur supérieure")</f>
        <v>300</v>
      </c>
      <c r="Z35" s="63">
        <v>150</v>
      </c>
      <c r="AA35" s="63">
        <f>TRONCONS_V2!BF33</f>
        <v>214</v>
      </c>
      <c r="AD35" s="60" t="s">
        <v>1345</v>
      </c>
      <c r="AE35" s="63" t="str">
        <f>TRONCONS_V2!AE33</f>
        <v>N122_N123</v>
      </c>
      <c r="AF35" s="63">
        <f>TRONCONS_V2!AF33</f>
        <v>116.116</v>
      </c>
      <c r="AG35" s="69">
        <f t="shared" si="13"/>
        <v>0.116116</v>
      </c>
      <c r="AH35" s="63">
        <v>1</v>
      </c>
      <c r="AI35" s="63">
        <f t="shared" si="14"/>
        <v>0.116116</v>
      </c>
      <c r="AJ35" s="63">
        <f t="shared" si="2"/>
        <v>0.38460170480326733</v>
      </c>
      <c r="AK35" s="63">
        <f t="shared" si="15"/>
        <v>384.60170480326735</v>
      </c>
      <c r="AL35" s="63" cm="1">
        <f t="array" ref="AL35">IFERROR(INDEX(REF_TABLE!$G$7:$G$32,MATCH(AK35,REF_TABLE!$G$7:$G$32,1)+1),"Aucune valeur supérieure")</f>
        <v>400</v>
      </c>
      <c r="AM35" s="63">
        <v>150</v>
      </c>
      <c r="AN35" s="63">
        <f>TRONCONS_V2!AD33</f>
        <v>193</v>
      </c>
      <c r="AQ35" s="60" t="s">
        <v>1345</v>
      </c>
      <c r="AR35" s="63" t="str">
        <f>TRONCONS_V2!AN33</f>
        <v>N74_N75</v>
      </c>
      <c r="AS35" s="63">
        <f>TRONCONS_V2!AO33</f>
        <v>32.837000000000003</v>
      </c>
      <c r="AT35" s="69">
        <f t="shared" si="16"/>
        <v>3.2837000000000005E-2</v>
      </c>
      <c r="AU35" s="63">
        <v>1</v>
      </c>
      <c r="AV35" s="63">
        <f t="shared" si="17"/>
        <v>3.2837000000000005E-2</v>
      </c>
      <c r="AW35" s="63">
        <f t="shared" si="3"/>
        <v>0.20452523865872313</v>
      </c>
      <c r="AX35" s="63">
        <f t="shared" si="18"/>
        <v>204.52523865872314</v>
      </c>
      <c r="AY35" s="63" cm="1">
        <f t="array" ref="AY35">IFERROR(INDEX(REF_TABLE!$G$7:$G$32,MATCH(AX35,REF_TABLE!$G$7:$G$32,1)+1),"Aucune valeur supérieure")</f>
        <v>250</v>
      </c>
      <c r="AZ35" s="63">
        <v>150</v>
      </c>
      <c r="BA35" s="63">
        <f>TRONCONS_V2!AM33</f>
        <v>89</v>
      </c>
      <c r="BF35" s="60" t="s">
        <v>1345</v>
      </c>
      <c r="BG35" s="63" t="str">
        <f>TRONCONS_V2!V33</f>
        <v>N53_N54</v>
      </c>
      <c r="BH35" s="63">
        <f>TRONCONS_V2!W33</f>
        <v>32.837000000000003</v>
      </c>
      <c r="BI35" s="69">
        <f t="shared" si="19"/>
        <v>3.2837000000000005E-2</v>
      </c>
      <c r="BJ35" s="63">
        <v>1</v>
      </c>
      <c r="BK35" s="63">
        <f t="shared" si="20"/>
        <v>3.2837000000000005E-2</v>
      </c>
      <c r="BL35" s="63">
        <f t="shared" si="4"/>
        <v>0.20452523865872313</v>
      </c>
      <c r="BM35" s="63">
        <f t="shared" si="21"/>
        <v>204.52523865872314</v>
      </c>
      <c r="BN35" s="63" cm="1">
        <f t="array" ref="BN35">IFERROR(INDEX(REF_TABLE!$G$7:$G$32,MATCH(BM35,REF_TABLE!$G$7:$G$32,1)+1),"Aucune valeur supérieure")</f>
        <v>250</v>
      </c>
      <c r="BO35" s="63">
        <v>150</v>
      </c>
      <c r="BP35" s="63">
        <f>TRONCONS_V2!U33</f>
        <v>191</v>
      </c>
      <c r="BS35" s="60" t="s">
        <v>1460</v>
      </c>
      <c r="BT35" s="63" t="str">
        <f>TRONCONS_V2!M33</f>
        <v>N35_N36</v>
      </c>
      <c r="BU35" s="63">
        <f>TRONCONS_V2!N33</f>
        <v>83.28</v>
      </c>
      <c r="BV35" s="69">
        <f t="shared" si="22"/>
        <v>8.3280000000000007E-2</v>
      </c>
      <c r="BW35" s="63">
        <v>1</v>
      </c>
      <c r="BX35" s="63">
        <f t="shared" si="23"/>
        <v>8.3280000000000007E-2</v>
      </c>
      <c r="BY35" s="63">
        <f t="shared" si="5"/>
        <v>0.32571332790434337</v>
      </c>
      <c r="BZ35" s="63">
        <f t="shared" si="24"/>
        <v>325.71332790434337</v>
      </c>
      <c r="CA35" s="63" cm="1">
        <f t="array" ref="CA35">IFERROR(INDEX(REF_TABLE!$G$7:$G$32,MATCH(BZ35,REF_TABLE!$G$7:$G$32,1)+1),"Aucune valeur supérieure")</f>
        <v>350</v>
      </c>
      <c r="CB35" s="63">
        <v>150</v>
      </c>
      <c r="CC35" s="63">
        <f>TRONCONS_V2!L33</f>
        <v>73</v>
      </c>
      <c r="CF35" s="69" t="s">
        <v>1345</v>
      </c>
      <c r="CG35" s="69" t="s">
        <v>146</v>
      </c>
      <c r="CH35" s="69">
        <v>166.56</v>
      </c>
      <c r="CI35" s="69">
        <f t="shared" si="25"/>
        <v>0.16656000000000001</v>
      </c>
      <c r="CJ35" s="63">
        <v>1</v>
      </c>
      <c r="CK35" s="63">
        <f t="shared" si="26"/>
        <v>0.16656000000000001</v>
      </c>
      <c r="CL35" s="63">
        <f t="shared" si="6"/>
        <v>0.46062820576799746</v>
      </c>
      <c r="CM35" s="63">
        <f t="shared" si="27"/>
        <v>460.62820576799743</v>
      </c>
      <c r="CN35" s="63" cm="1">
        <f t="array" ref="CN35">IFERROR(INDEX(REF_TABLE!$G$7:$G$32,MATCH(CM35,REF_TABLE!$G$7:$G$32,1)+1),"Aucune valeur supérieure")</f>
        <v>466</v>
      </c>
      <c r="CO35" s="63">
        <v>150</v>
      </c>
      <c r="CP35" s="69">
        <v>92</v>
      </c>
    </row>
    <row r="36" spans="4:94" x14ac:dyDescent="0.25">
      <c r="D36" s="60" t="s">
        <v>1345</v>
      </c>
      <c r="E36" s="60" t="s">
        <v>431</v>
      </c>
      <c r="F36" s="63">
        <f>TRONCONS_V2!AW34</f>
        <v>101</v>
      </c>
      <c r="G36" s="69">
        <f t="shared" si="7"/>
        <v>0.10100000000000001</v>
      </c>
      <c r="H36" s="63">
        <v>1</v>
      </c>
      <c r="I36" s="63">
        <f t="shared" si="8"/>
        <v>0.10100000000000001</v>
      </c>
      <c r="J36" s="63">
        <f t="shared" si="0"/>
        <v>0.35869544237718659</v>
      </c>
      <c r="K36" s="63">
        <f t="shared" si="9"/>
        <v>358.69544237718657</v>
      </c>
      <c r="L36" s="63" cm="1">
        <f t="array" ref="L36">IFERROR(INDEX(REF_TABLE!$G$7:$G$32,MATCH(K36,REF_TABLE!$G$7:$G$32,1)+1),"Aucune valeur supérieure")</f>
        <v>400</v>
      </c>
      <c r="M36" s="63">
        <v>150</v>
      </c>
      <c r="N36" s="60">
        <v>101</v>
      </c>
      <c r="Q36" s="60" t="s">
        <v>1345</v>
      </c>
      <c r="R36" s="63" t="str">
        <f>TRONCONS_V2!BG34</f>
        <v>N147_N148</v>
      </c>
      <c r="S36" s="63">
        <f>TRONCONS_V2!BH34</f>
        <v>58.058</v>
      </c>
      <c r="T36" s="69">
        <f t="shared" si="10"/>
        <v>5.8057999999999998E-2</v>
      </c>
      <c r="U36" s="63">
        <v>1</v>
      </c>
      <c r="V36" s="63">
        <f t="shared" si="11"/>
        <v>5.8057999999999998E-2</v>
      </c>
      <c r="W36" s="63">
        <f t="shared" si="1"/>
        <v>0.27195447352229712</v>
      </c>
      <c r="X36" s="63">
        <f t="shared" si="12"/>
        <v>271.95447352229712</v>
      </c>
      <c r="Y36" s="63" cm="1">
        <f t="array" ref="Y36">IFERROR(INDEX(REF_TABLE!$G$7:$G$32,MATCH(X36,REF_TABLE!$G$7:$G$32,1)+1),"Aucune valeur supérieure")</f>
        <v>300</v>
      </c>
      <c r="Z36" s="63">
        <v>150</v>
      </c>
      <c r="AA36" s="63">
        <f>TRONCONS_V2!BF34</f>
        <v>70</v>
      </c>
      <c r="AD36" s="60" t="s">
        <v>1345</v>
      </c>
      <c r="AE36" s="63" t="str">
        <f>TRONCONS_V2!AE34</f>
        <v>N123_N124</v>
      </c>
      <c r="AF36" s="63">
        <f>TRONCONS_V2!AF34</f>
        <v>116.116</v>
      </c>
      <c r="AG36" s="69">
        <f t="shared" si="13"/>
        <v>0.116116</v>
      </c>
      <c r="AH36" s="63">
        <v>1</v>
      </c>
      <c r="AI36" s="63">
        <f t="shared" si="14"/>
        <v>0.116116</v>
      </c>
      <c r="AJ36" s="63">
        <f t="shared" si="2"/>
        <v>0.38460170480326733</v>
      </c>
      <c r="AK36" s="63">
        <f t="shared" si="15"/>
        <v>384.60170480326735</v>
      </c>
      <c r="AL36" s="63" cm="1">
        <f t="array" ref="AL36">IFERROR(INDEX(REF_TABLE!$G$7:$G$32,MATCH(AK36,REF_TABLE!$G$7:$G$32,1)+1),"Aucune valeur supérieure")</f>
        <v>400</v>
      </c>
      <c r="AM36" s="63">
        <v>150</v>
      </c>
      <c r="AN36" s="63">
        <f>TRONCONS_V2!AD34</f>
        <v>215</v>
      </c>
      <c r="AQ36" s="60" t="s">
        <v>1345</v>
      </c>
      <c r="AR36" s="63" t="str">
        <f>TRONCONS_V2!AN34</f>
        <v>N75_N76</v>
      </c>
      <c r="AS36" s="63">
        <f>TRONCONS_V2!AO34</f>
        <v>32.837000000000003</v>
      </c>
      <c r="AT36" s="69">
        <f t="shared" si="16"/>
        <v>3.2837000000000005E-2</v>
      </c>
      <c r="AU36" s="63">
        <v>1</v>
      </c>
      <c r="AV36" s="63">
        <f t="shared" si="17"/>
        <v>3.2837000000000005E-2</v>
      </c>
      <c r="AW36" s="63">
        <f t="shared" si="3"/>
        <v>0.20452523865872313</v>
      </c>
      <c r="AX36" s="63">
        <f t="shared" si="18"/>
        <v>204.52523865872314</v>
      </c>
      <c r="AY36" s="63" cm="1">
        <f t="array" ref="AY36">IFERROR(INDEX(REF_TABLE!$G$7:$G$32,MATCH(AX36,REF_TABLE!$G$7:$G$32,1)+1),"Aucune valeur supérieure")</f>
        <v>250</v>
      </c>
      <c r="AZ36" s="63">
        <v>150</v>
      </c>
      <c r="BA36" s="63">
        <f>TRONCONS_V2!AM34</f>
        <v>88</v>
      </c>
      <c r="BF36" s="60" t="s">
        <v>1345</v>
      </c>
      <c r="BG36" s="63" t="str">
        <f>TRONCONS_V2!V34</f>
        <v>N54_N55</v>
      </c>
      <c r="BH36" s="63">
        <f>TRONCONS_V2!W34</f>
        <v>32.837000000000003</v>
      </c>
      <c r="BI36" s="69">
        <f t="shared" si="19"/>
        <v>3.2837000000000005E-2</v>
      </c>
      <c r="BJ36" s="63">
        <v>1</v>
      </c>
      <c r="BK36" s="63">
        <f t="shared" si="20"/>
        <v>3.2837000000000005E-2</v>
      </c>
      <c r="BL36" s="63">
        <f t="shared" si="4"/>
        <v>0.20452523865872313</v>
      </c>
      <c r="BM36" s="63">
        <f t="shared" si="21"/>
        <v>204.52523865872314</v>
      </c>
      <c r="BN36" s="63" cm="1">
        <f t="array" ref="BN36">IFERROR(INDEX(REF_TABLE!$G$7:$G$32,MATCH(BM36,REF_TABLE!$G$7:$G$32,1)+1),"Aucune valeur supérieure")</f>
        <v>250</v>
      </c>
      <c r="BO36" s="63">
        <v>150</v>
      </c>
      <c r="BP36" s="63">
        <f>TRONCONS_V2!U34</f>
        <v>77</v>
      </c>
      <c r="BS36" s="60" t="s">
        <v>1460</v>
      </c>
      <c r="BT36" s="63" t="str">
        <f>TRONCONS_V2!M34</f>
        <v>N36_N37</v>
      </c>
      <c r="BU36" s="63">
        <f>TRONCONS_V2!N34</f>
        <v>83.28</v>
      </c>
      <c r="BV36" s="69">
        <f t="shared" si="22"/>
        <v>8.3280000000000007E-2</v>
      </c>
      <c r="BW36" s="63">
        <v>1</v>
      </c>
      <c r="BX36" s="63">
        <f t="shared" si="23"/>
        <v>8.3280000000000007E-2</v>
      </c>
      <c r="BY36" s="63">
        <f t="shared" si="5"/>
        <v>0.32571332790434337</v>
      </c>
      <c r="BZ36" s="63">
        <f t="shared" si="24"/>
        <v>325.71332790434337</v>
      </c>
      <c r="CA36" s="63" cm="1">
        <f t="array" ref="CA36">IFERROR(INDEX(REF_TABLE!$G$7:$G$32,MATCH(BZ36,REF_TABLE!$G$7:$G$32,1)+1),"Aucune valeur supérieure")</f>
        <v>350</v>
      </c>
      <c r="CB36" s="63">
        <v>150</v>
      </c>
      <c r="CC36" s="63">
        <f>TRONCONS_V2!L34</f>
        <v>81</v>
      </c>
      <c r="CF36" s="69" t="s">
        <v>1345</v>
      </c>
      <c r="CG36" s="69" t="s">
        <v>145</v>
      </c>
      <c r="CH36" s="69">
        <v>166.56</v>
      </c>
      <c r="CI36" s="69">
        <f t="shared" si="25"/>
        <v>0.16656000000000001</v>
      </c>
      <c r="CJ36" s="63">
        <v>1</v>
      </c>
      <c r="CK36" s="63">
        <f t="shared" si="26"/>
        <v>0.16656000000000001</v>
      </c>
      <c r="CL36" s="63">
        <f t="shared" si="6"/>
        <v>0.46062820576799746</v>
      </c>
      <c r="CM36" s="63">
        <f t="shared" si="27"/>
        <v>460.62820576799743</v>
      </c>
      <c r="CN36" s="63" cm="1">
        <f t="array" ref="CN36">IFERROR(INDEX(REF_TABLE!$G$7:$G$32,MATCH(CM36,REF_TABLE!$G$7:$G$32,1)+1),"Aucune valeur supérieure")</f>
        <v>466</v>
      </c>
      <c r="CO36" s="63">
        <v>150</v>
      </c>
      <c r="CP36" s="69">
        <v>75</v>
      </c>
    </row>
    <row r="37" spans="4:94" x14ac:dyDescent="0.25">
      <c r="D37" s="60" t="s">
        <v>1460</v>
      </c>
      <c r="E37" s="60" t="s">
        <v>219</v>
      </c>
      <c r="F37" s="63">
        <f>TRONCONS_V2!AW35</f>
        <v>30</v>
      </c>
      <c r="G37" s="69">
        <f t="shared" si="7"/>
        <v>0.03</v>
      </c>
      <c r="H37" s="63">
        <v>1</v>
      </c>
      <c r="I37" s="63">
        <f t="shared" si="8"/>
        <v>0.03</v>
      </c>
      <c r="J37" s="63">
        <f t="shared" si="0"/>
        <v>0.19549056373532236</v>
      </c>
      <c r="K37" s="63">
        <f t="shared" si="9"/>
        <v>195.49056373532235</v>
      </c>
      <c r="L37" s="63" cm="1">
        <f t="array" ref="L37">IFERROR(INDEX(REF_TABLE!$G$7:$G$32,MATCH(K37,REF_TABLE!$G$7:$G$32,1)+1),"Aucune valeur supérieure")</f>
        <v>200</v>
      </c>
      <c r="M37" s="63">
        <v>150</v>
      </c>
      <c r="N37" s="60">
        <v>30</v>
      </c>
      <c r="Q37" s="60" t="s">
        <v>1345</v>
      </c>
      <c r="R37" s="63" t="str">
        <f>TRONCONS_V2!BG35</f>
        <v>N148_N149</v>
      </c>
      <c r="S37" s="63">
        <f>TRONCONS_V2!BH35</f>
        <v>29.029</v>
      </c>
      <c r="T37" s="69">
        <f t="shared" si="10"/>
        <v>2.9028999999999999E-2</v>
      </c>
      <c r="U37" s="63">
        <v>1</v>
      </c>
      <c r="V37" s="63">
        <f t="shared" si="11"/>
        <v>2.9028999999999999E-2</v>
      </c>
      <c r="W37" s="63">
        <f t="shared" si="1"/>
        <v>0.19230085240163367</v>
      </c>
      <c r="X37" s="63">
        <f t="shared" si="12"/>
        <v>192.30085240163368</v>
      </c>
      <c r="Y37" s="63" cm="1">
        <f t="array" ref="Y37">IFERROR(INDEX(REF_TABLE!$G$7:$G$32,MATCH(X37,REF_TABLE!$G$7:$G$32,1)+1),"Aucune valeur supérieure")</f>
        <v>200</v>
      </c>
      <c r="Z37" s="63">
        <v>150</v>
      </c>
      <c r="AA37" s="63">
        <f>TRONCONS_V2!BF35</f>
        <v>91</v>
      </c>
      <c r="AD37" s="60" t="s">
        <v>1345</v>
      </c>
      <c r="AE37" s="63" t="str">
        <f>TRONCONS_V2!AE35</f>
        <v>N124_N125</v>
      </c>
      <c r="AF37" s="63">
        <f>TRONCONS_V2!AF35</f>
        <v>116.116</v>
      </c>
      <c r="AG37" s="69">
        <f t="shared" si="13"/>
        <v>0.116116</v>
      </c>
      <c r="AH37" s="63">
        <v>1</v>
      </c>
      <c r="AI37" s="63">
        <f t="shared" si="14"/>
        <v>0.116116</v>
      </c>
      <c r="AJ37" s="63">
        <f t="shared" si="2"/>
        <v>0.38460170480326733</v>
      </c>
      <c r="AK37" s="63">
        <f t="shared" si="15"/>
        <v>384.60170480326735</v>
      </c>
      <c r="AL37" s="63" cm="1">
        <f t="array" ref="AL37">IFERROR(INDEX(REF_TABLE!$G$7:$G$32,MATCH(AK37,REF_TABLE!$G$7:$G$32,1)+1),"Aucune valeur supérieure")</f>
        <v>400</v>
      </c>
      <c r="AM37" s="63">
        <v>150</v>
      </c>
      <c r="AN37" s="63">
        <f>TRONCONS_V2!AD35</f>
        <v>199</v>
      </c>
      <c r="AQ37" s="60" t="s">
        <v>1345</v>
      </c>
      <c r="AR37" s="63" t="str">
        <f>TRONCONS_V2!AN35</f>
        <v>N76_N77</v>
      </c>
      <c r="AS37" s="63">
        <f>TRONCONS_V2!AO35</f>
        <v>32.837000000000003</v>
      </c>
      <c r="AT37" s="69">
        <f t="shared" si="16"/>
        <v>3.2837000000000005E-2</v>
      </c>
      <c r="AU37" s="63">
        <v>1</v>
      </c>
      <c r="AV37" s="63">
        <f t="shared" si="17"/>
        <v>3.2837000000000005E-2</v>
      </c>
      <c r="AW37" s="63">
        <f t="shared" si="3"/>
        <v>0.20452523865872313</v>
      </c>
      <c r="AX37" s="63">
        <f t="shared" si="18"/>
        <v>204.52523865872314</v>
      </c>
      <c r="AY37" s="63" cm="1">
        <f t="array" ref="AY37">IFERROR(INDEX(REF_TABLE!$G$7:$G$32,MATCH(AX37,REF_TABLE!$G$7:$G$32,1)+1),"Aucune valeur supérieure")</f>
        <v>250</v>
      </c>
      <c r="AZ37" s="63">
        <v>150</v>
      </c>
      <c r="BA37" s="63">
        <f>TRONCONS_V2!AM35</f>
        <v>76</v>
      </c>
      <c r="BF37" s="60" t="s">
        <v>1345</v>
      </c>
      <c r="BG37" s="63" t="str">
        <f>TRONCONS_V2!V35</f>
        <v>N55_N56</v>
      </c>
      <c r="BH37" s="63">
        <f>TRONCONS_V2!W35</f>
        <v>32.837000000000003</v>
      </c>
      <c r="BI37" s="69">
        <f t="shared" si="19"/>
        <v>3.2837000000000005E-2</v>
      </c>
      <c r="BJ37" s="63">
        <v>1</v>
      </c>
      <c r="BK37" s="63">
        <f t="shared" si="20"/>
        <v>3.2837000000000005E-2</v>
      </c>
      <c r="BL37" s="63">
        <f t="shared" si="4"/>
        <v>0.20452523865872313</v>
      </c>
      <c r="BM37" s="63">
        <f t="shared" si="21"/>
        <v>204.52523865872314</v>
      </c>
      <c r="BN37" s="63" cm="1">
        <f t="array" ref="BN37">IFERROR(INDEX(REF_TABLE!$G$7:$G$32,MATCH(BM37,REF_TABLE!$G$7:$G$32,1)+1),"Aucune valeur supérieure")</f>
        <v>250</v>
      </c>
      <c r="BO37" s="63">
        <v>150</v>
      </c>
      <c r="BP37" s="63">
        <f>TRONCONS_V2!U35</f>
        <v>77</v>
      </c>
      <c r="BS37" s="60" t="s">
        <v>1460</v>
      </c>
      <c r="BT37" s="63" t="str">
        <f>TRONCONS_V2!M35</f>
        <v>N37_N38</v>
      </c>
      <c r="BU37" s="63">
        <f>TRONCONS_V2!N35</f>
        <v>83.28</v>
      </c>
      <c r="BV37" s="69">
        <f t="shared" si="22"/>
        <v>8.3280000000000007E-2</v>
      </c>
      <c r="BW37" s="63">
        <v>1</v>
      </c>
      <c r="BX37" s="63">
        <f t="shared" si="23"/>
        <v>8.3280000000000007E-2</v>
      </c>
      <c r="BY37" s="63">
        <f t="shared" si="5"/>
        <v>0.32571332790434337</v>
      </c>
      <c r="BZ37" s="63">
        <f t="shared" si="24"/>
        <v>325.71332790434337</v>
      </c>
      <c r="CA37" s="63" cm="1">
        <f t="array" ref="CA37">IFERROR(INDEX(REF_TABLE!$G$7:$G$32,MATCH(BZ37,REF_TABLE!$G$7:$G$32,1)+1),"Aucune valeur supérieure")</f>
        <v>350</v>
      </c>
      <c r="CB37" s="63">
        <v>150</v>
      </c>
      <c r="CC37" s="63">
        <f>TRONCONS_V2!L35</f>
        <v>101</v>
      </c>
      <c r="CF37" s="69" t="s">
        <v>1345</v>
      </c>
      <c r="CG37" s="69" t="s">
        <v>144</v>
      </c>
      <c r="CH37" s="69">
        <v>166.56</v>
      </c>
      <c r="CI37" s="69">
        <f t="shared" si="25"/>
        <v>0.16656000000000001</v>
      </c>
      <c r="CJ37" s="63">
        <v>1</v>
      </c>
      <c r="CK37" s="63">
        <f t="shared" si="26"/>
        <v>0.16656000000000001</v>
      </c>
      <c r="CL37" s="63">
        <f t="shared" si="6"/>
        <v>0.46062820576799746</v>
      </c>
      <c r="CM37" s="63">
        <f t="shared" si="27"/>
        <v>460.62820576799743</v>
      </c>
      <c r="CN37" s="63" cm="1">
        <f t="array" ref="CN37">IFERROR(INDEX(REF_TABLE!$G$7:$G$32,MATCH(CM37,REF_TABLE!$G$7:$G$32,1)+1),"Aucune valeur supérieure")</f>
        <v>466</v>
      </c>
      <c r="CO37" s="63">
        <v>150</v>
      </c>
      <c r="CP37" s="69">
        <v>76</v>
      </c>
    </row>
    <row r="38" spans="4:94" x14ac:dyDescent="0.25">
      <c r="D38" s="60" t="s">
        <v>1460</v>
      </c>
      <c r="E38" s="60" t="s">
        <v>221</v>
      </c>
      <c r="F38" s="63">
        <f>TRONCONS_V2!AW36</f>
        <v>35</v>
      </c>
      <c r="G38" s="69">
        <f t="shared" si="7"/>
        <v>3.5000000000000003E-2</v>
      </c>
      <c r="H38" s="63">
        <v>1</v>
      </c>
      <c r="I38" s="63">
        <f t="shared" si="8"/>
        <v>3.5000000000000003E-2</v>
      </c>
      <c r="J38" s="63">
        <f t="shared" si="0"/>
        <v>0.2111539420923666</v>
      </c>
      <c r="K38" s="63">
        <f t="shared" si="9"/>
        <v>211.15394209236661</v>
      </c>
      <c r="L38" s="63" cm="1">
        <f t="array" ref="L38">IFERROR(INDEX(REF_TABLE!$G$7:$G$32,MATCH(K38,REF_TABLE!$G$7:$G$32,1)+1),"Aucune valeur supérieure")</f>
        <v>250</v>
      </c>
      <c r="M38" s="63">
        <v>150</v>
      </c>
      <c r="N38" s="60">
        <v>35</v>
      </c>
      <c r="Q38" s="60" t="s">
        <v>1345</v>
      </c>
      <c r="R38" s="63" t="str">
        <f>TRONCONS_V2!BG36</f>
        <v>N149_N150</v>
      </c>
      <c r="S38" s="63">
        <f>TRONCONS_V2!BH36</f>
        <v>29.029</v>
      </c>
      <c r="T38" s="69">
        <f t="shared" si="10"/>
        <v>2.9028999999999999E-2</v>
      </c>
      <c r="U38" s="63">
        <v>1</v>
      </c>
      <c r="V38" s="63">
        <f t="shared" si="11"/>
        <v>2.9028999999999999E-2</v>
      </c>
      <c r="W38" s="63">
        <f t="shared" si="1"/>
        <v>0.19230085240163367</v>
      </c>
      <c r="X38" s="63">
        <f t="shared" si="12"/>
        <v>192.30085240163368</v>
      </c>
      <c r="Y38" s="63" cm="1">
        <f t="array" ref="Y38">IFERROR(INDEX(REF_TABLE!$G$7:$G$32,MATCH(X38,REF_TABLE!$G$7:$G$32,1)+1),"Aucune valeur supérieure")</f>
        <v>200</v>
      </c>
      <c r="Z38" s="63">
        <v>150</v>
      </c>
      <c r="AA38" s="63">
        <f>TRONCONS_V2!BF36</f>
        <v>30</v>
      </c>
      <c r="AD38" s="60" t="s">
        <v>1345</v>
      </c>
      <c r="AE38" s="63" t="str">
        <f>TRONCONS_V2!AE36</f>
        <v>N125_N126</v>
      </c>
      <c r="AF38" s="63">
        <f>TRONCONS_V2!AF36</f>
        <v>116.116</v>
      </c>
      <c r="AG38" s="69">
        <f t="shared" si="13"/>
        <v>0.116116</v>
      </c>
      <c r="AH38" s="63">
        <v>1</v>
      </c>
      <c r="AI38" s="63">
        <f t="shared" si="14"/>
        <v>0.116116</v>
      </c>
      <c r="AJ38" s="63">
        <f t="shared" si="2"/>
        <v>0.38460170480326733</v>
      </c>
      <c r="AK38" s="63">
        <f t="shared" si="15"/>
        <v>384.60170480326735</v>
      </c>
      <c r="AL38" s="63" cm="1">
        <f t="array" ref="AL38">IFERROR(INDEX(REF_TABLE!$G$7:$G$32,MATCH(AK38,REF_TABLE!$G$7:$G$32,1)+1),"Aucune valeur supérieure")</f>
        <v>400</v>
      </c>
      <c r="AM38" s="63">
        <v>150</v>
      </c>
      <c r="AN38" s="63">
        <f>TRONCONS_V2!AD36</f>
        <v>362</v>
      </c>
      <c r="AQ38" s="60" t="s">
        <v>1345</v>
      </c>
      <c r="AR38" s="63" t="str">
        <f>TRONCONS_V2!AN36</f>
        <v>N77_N78</v>
      </c>
      <c r="AS38" s="63">
        <f>TRONCONS_V2!AO36</f>
        <v>32.837000000000003</v>
      </c>
      <c r="AT38" s="69">
        <f t="shared" si="16"/>
        <v>3.2837000000000005E-2</v>
      </c>
      <c r="AU38" s="63">
        <v>1</v>
      </c>
      <c r="AV38" s="63">
        <f t="shared" si="17"/>
        <v>3.2837000000000005E-2</v>
      </c>
      <c r="AW38" s="63">
        <f t="shared" si="3"/>
        <v>0.20452523865872313</v>
      </c>
      <c r="AX38" s="63">
        <f t="shared" si="18"/>
        <v>204.52523865872314</v>
      </c>
      <c r="AY38" s="63" cm="1">
        <f t="array" ref="AY38">IFERROR(INDEX(REF_TABLE!$G$7:$G$32,MATCH(AX38,REF_TABLE!$G$7:$G$32,1)+1),"Aucune valeur supérieure")</f>
        <v>250</v>
      </c>
      <c r="AZ38" s="63">
        <v>150</v>
      </c>
      <c r="BA38" s="63">
        <f>TRONCONS_V2!AM36</f>
        <v>80</v>
      </c>
      <c r="BF38" s="60" t="s">
        <v>1345</v>
      </c>
      <c r="BG38" s="63" t="str">
        <f>TRONCONS_V2!V36</f>
        <v>N56_N57</v>
      </c>
      <c r="BH38" s="63">
        <f>TRONCONS_V2!W36</f>
        <v>32.837000000000003</v>
      </c>
      <c r="BI38" s="69">
        <f t="shared" si="19"/>
        <v>3.2837000000000005E-2</v>
      </c>
      <c r="BJ38" s="63">
        <v>1</v>
      </c>
      <c r="BK38" s="63">
        <f t="shared" si="20"/>
        <v>3.2837000000000005E-2</v>
      </c>
      <c r="BL38" s="63">
        <f t="shared" si="4"/>
        <v>0.20452523865872313</v>
      </c>
      <c r="BM38" s="63">
        <f t="shared" si="21"/>
        <v>204.52523865872314</v>
      </c>
      <c r="BN38" s="63" cm="1">
        <f t="array" ref="BN38">IFERROR(INDEX(REF_TABLE!$G$7:$G$32,MATCH(BM38,REF_TABLE!$G$7:$G$32,1)+1),"Aucune valeur supérieure")</f>
        <v>250</v>
      </c>
      <c r="BO38" s="63">
        <v>150</v>
      </c>
      <c r="BP38" s="63">
        <f>TRONCONS_V2!U36</f>
        <v>76</v>
      </c>
      <c r="BS38" s="60" t="s">
        <v>1460</v>
      </c>
      <c r="BT38" s="63" t="str">
        <f>TRONCONS_V2!M36</f>
        <v>N38_N39</v>
      </c>
      <c r="BU38" s="63">
        <f>TRONCONS_V2!N36</f>
        <v>83.28</v>
      </c>
      <c r="BV38" s="69">
        <f t="shared" si="22"/>
        <v>8.3280000000000007E-2</v>
      </c>
      <c r="BW38" s="63">
        <v>1</v>
      </c>
      <c r="BX38" s="63">
        <f t="shared" si="23"/>
        <v>8.3280000000000007E-2</v>
      </c>
      <c r="BY38" s="63">
        <f t="shared" si="5"/>
        <v>0.32571332790434337</v>
      </c>
      <c r="BZ38" s="63">
        <f t="shared" si="24"/>
        <v>325.71332790434337</v>
      </c>
      <c r="CA38" s="63" cm="1">
        <f t="array" ref="CA38">IFERROR(INDEX(REF_TABLE!$G$7:$G$32,MATCH(BZ38,REF_TABLE!$G$7:$G$32,1)+1),"Aucune valeur supérieure")</f>
        <v>350</v>
      </c>
      <c r="CB38" s="63">
        <v>150</v>
      </c>
      <c r="CC38" s="63">
        <f>TRONCONS_V2!L36</f>
        <v>91</v>
      </c>
      <c r="CF38" s="69" t="s">
        <v>1345</v>
      </c>
      <c r="CG38" s="69" t="s">
        <v>142</v>
      </c>
      <c r="CH38" s="69">
        <v>166.56</v>
      </c>
      <c r="CI38" s="69">
        <f t="shared" si="25"/>
        <v>0.16656000000000001</v>
      </c>
      <c r="CJ38" s="63">
        <v>1</v>
      </c>
      <c r="CK38" s="63">
        <f t="shared" si="26"/>
        <v>0.16656000000000001</v>
      </c>
      <c r="CL38" s="63">
        <f t="shared" si="6"/>
        <v>0.46062820576799746</v>
      </c>
      <c r="CM38" s="63">
        <f t="shared" si="27"/>
        <v>460.62820576799743</v>
      </c>
      <c r="CN38" s="63" cm="1">
        <f t="array" ref="CN38">IFERROR(INDEX(REF_TABLE!$G$7:$G$32,MATCH(CM38,REF_TABLE!$G$7:$G$32,1)+1),"Aucune valeur supérieure")</f>
        <v>466</v>
      </c>
      <c r="CO38" s="63">
        <v>150</v>
      </c>
      <c r="CP38" s="69">
        <v>76</v>
      </c>
    </row>
    <row r="39" spans="4:94" x14ac:dyDescent="0.25">
      <c r="D39" s="60" t="s">
        <v>1460</v>
      </c>
      <c r="E39" s="60" t="s">
        <v>222</v>
      </c>
      <c r="F39" s="63">
        <f>TRONCONS_V2!AW37</f>
        <v>49</v>
      </c>
      <c r="G39" s="69">
        <f t="shared" si="7"/>
        <v>4.9000000000000002E-2</v>
      </c>
      <c r="H39" s="63">
        <v>1</v>
      </c>
      <c r="I39" s="63">
        <f t="shared" si="8"/>
        <v>4.9000000000000002E-2</v>
      </c>
      <c r="J39" s="63">
        <f t="shared" si="0"/>
        <v>0.24984071358688739</v>
      </c>
      <c r="K39" s="63">
        <f t="shared" si="9"/>
        <v>249.8407135868874</v>
      </c>
      <c r="L39" s="63" cm="1">
        <f t="array" ref="L39">IFERROR(INDEX(REF_TABLE!$G$7:$G$32,MATCH(K39,REF_TABLE!$G$7:$G$32,1)+1),"Aucune valeur supérieure")</f>
        <v>250</v>
      </c>
      <c r="M39" s="63">
        <v>150</v>
      </c>
      <c r="N39" s="60">
        <v>49</v>
      </c>
      <c r="Q39" s="60" t="s">
        <v>1345</v>
      </c>
      <c r="R39" s="63" t="str">
        <f>TRONCONS_V2!BG37</f>
        <v>N150_N151</v>
      </c>
      <c r="S39" s="63">
        <f>TRONCONS_V2!BH37</f>
        <v>29.029</v>
      </c>
      <c r="T39" s="69">
        <f t="shared" si="10"/>
        <v>2.9028999999999999E-2</v>
      </c>
      <c r="U39" s="63">
        <v>1</v>
      </c>
      <c r="V39" s="63">
        <f t="shared" si="11"/>
        <v>2.9028999999999999E-2</v>
      </c>
      <c r="W39" s="63">
        <f t="shared" si="1"/>
        <v>0.19230085240163367</v>
      </c>
      <c r="X39" s="63">
        <f t="shared" si="12"/>
        <v>192.30085240163368</v>
      </c>
      <c r="Y39" s="63" cm="1">
        <f t="array" ref="Y39">IFERROR(INDEX(REF_TABLE!$G$7:$G$32,MATCH(X39,REF_TABLE!$G$7:$G$32,1)+1),"Aucune valeur supérieure")</f>
        <v>200</v>
      </c>
      <c r="Z39" s="63">
        <v>150</v>
      </c>
      <c r="AA39" s="63">
        <f>TRONCONS_V2!BF37</f>
        <v>35</v>
      </c>
      <c r="AD39" s="60" t="s">
        <v>1345</v>
      </c>
      <c r="AE39" s="63" t="str">
        <f>TRONCONS_V2!AE37</f>
        <v>N126_N127</v>
      </c>
      <c r="AF39" s="63">
        <f>TRONCONS_V2!AF37</f>
        <v>116.116</v>
      </c>
      <c r="AG39" s="69">
        <f t="shared" si="13"/>
        <v>0.116116</v>
      </c>
      <c r="AH39" s="63">
        <v>1</v>
      </c>
      <c r="AI39" s="63">
        <f t="shared" si="14"/>
        <v>0.116116</v>
      </c>
      <c r="AJ39" s="63">
        <f t="shared" si="2"/>
        <v>0.38460170480326733</v>
      </c>
      <c r="AK39" s="63">
        <f t="shared" si="15"/>
        <v>384.60170480326735</v>
      </c>
      <c r="AL39" s="63" cm="1">
        <f t="array" ref="AL39">IFERROR(INDEX(REF_TABLE!$G$7:$G$32,MATCH(AK39,REF_TABLE!$G$7:$G$32,1)+1),"Aucune valeur supérieure")</f>
        <v>400</v>
      </c>
      <c r="AM39" s="63">
        <v>150</v>
      </c>
      <c r="AN39" s="63">
        <f>TRONCONS_V2!AD37</f>
        <v>241</v>
      </c>
      <c r="AQ39" s="60" t="s">
        <v>1345</v>
      </c>
      <c r="AR39" s="63" t="str">
        <f>TRONCONS_V2!AN37</f>
        <v>N78_N79</v>
      </c>
      <c r="AS39" s="63">
        <f>TRONCONS_V2!AO37</f>
        <v>32.837000000000003</v>
      </c>
      <c r="AT39" s="69">
        <f t="shared" si="16"/>
        <v>3.2837000000000005E-2</v>
      </c>
      <c r="AU39" s="63">
        <v>1</v>
      </c>
      <c r="AV39" s="63">
        <f t="shared" si="17"/>
        <v>3.2837000000000005E-2</v>
      </c>
      <c r="AW39" s="63">
        <f t="shared" si="3"/>
        <v>0.20452523865872313</v>
      </c>
      <c r="AX39" s="63">
        <f t="shared" si="18"/>
        <v>204.52523865872314</v>
      </c>
      <c r="AY39" s="63" cm="1">
        <f t="array" ref="AY39">IFERROR(INDEX(REF_TABLE!$G$7:$G$32,MATCH(AX39,REF_TABLE!$G$7:$G$32,1)+1),"Aucune valeur supérieure")</f>
        <v>250</v>
      </c>
      <c r="AZ39" s="63">
        <v>150</v>
      </c>
      <c r="BA39" s="63">
        <f>TRONCONS_V2!AM37</f>
        <v>158</v>
      </c>
      <c r="BF39" s="60" t="s">
        <v>1345</v>
      </c>
      <c r="BG39" s="63" t="str">
        <f>TRONCONS_V2!V37</f>
        <v>N57_N58</v>
      </c>
      <c r="BH39" s="63">
        <f>TRONCONS_V2!W37</f>
        <v>32.837000000000003</v>
      </c>
      <c r="BI39" s="69">
        <f t="shared" si="19"/>
        <v>3.2837000000000005E-2</v>
      </c>
      <c r="BJ39" s="63">
        <v>1</v>
      </c>
      <c r="BK39" s="63">
        <f t="shared" si="20"/>
        <v>3.2837000000000005E-2</v>
      </c>
      <c r="BL39" s="63">
        <f t="shared" si="4"/>
        <v>0.20452523865872313</v>
      </c>
      <c r="BM39" s="63">
        <f t="shared" si="21"/>
        <v>204.52523865872314</v>
      </c>
      <c r="BN39" s="63" cm="1">
        <f t="array" ref="BN39">IFERROR(INDEX(REF_TABLE!$G$7:$G$32,MATCH(BM39,REF_TABLE!$G$7:$G$32,1)+1),"Aucune valeur supérieure")</f>
        <v>250</v>
      </c>
      <c r="BO39" s="63">
        <v>150</v>
      </c>
      <c r="BP39" s="63">
        <f>TRONCONS_V2!U37</f>
        <v>36</v>
      </c>
      <c r="BS39" s="60" t="s">
        <v>1460</v>
      </c>
      <c r="BT39" s="63" t="str">
        <f>TRONCONS_V2!M37</f>
        <v>N39_N40</v>
      </c>
      <c r="BU39" s="63">
        <f>TRONCONS_V2!N37</f>
        <v>83.28</v>
      </c>
      <c r="BV39" s="69">
        <f t="shared" si="22"/>
        <v>8.3280000000000007E-2</v>
      </c>
      <c r="BW39" s="63">
        <v>1</v>
      </c>
      <c r="BX39" s="63">
        <f t="shared" si="23"/>
        <v>8.3280000000000007E-2</v>
      </c>
      <c r="BY39" s="63">
        <f t="shared" si="5"/>
        <v>0.32571332790434337</v>
      </c>
      <c r="BZ39" s="63">
        <f t="shared" si="24"/>
        <v>325.71332790434337</v>
      </c>
      <c r="CA39" s="63" cm="1">
        <f t="array" ref="CA39">IFERROR(INDEX(REF_TABLE!$G$7:$G$32,MATCH(BZ39,REF_TABLE!$G$7:$G$32,1)+1),"Aucune valeur supérieure")</f>
        <v>350</v>
      </c>
      <c r="CB39" s="63">
        <v>150</v>
      </c>
      <c r="CC39" s="63">
        <f>TRONCONS_V2!L37</f>
        <v>87</v>
      </c>
      <c r="CF39" s="69" t="s">
        <v>1345</v>
      </c>
      <c r="CG39" s="69" t="s">
        <v>143</v>
      </c>
      <c r="CH39" s="69">
        <v>166.56</v>
      </c>
      <c r="CI39" s="69">
        <f t="shared" si="25"/>
        <v>0.16656000000000001</v>
      </c>
      <c r="CJ39" s="63">
        <v>1</v>
      </c>
      <c r="CK39" s="63">
        <f t="shared" si="26"/>
        <v>0.16656000000000001</v>
      </c>
      <c r="CL39" s="63">
        <f t="shared" si="6"/>
        <v>0.46062820576799746</v>
      </c>
      <c r="CM39" s="63">
        <f t="shared" si="27"/>
        <v>460.62820576799743</v>
      </c>
      <c r="CN39" s="63" cm="1">
        <f t="array" ref="CN39">IFERROR(INDEX(REF_TABLE!$G$7:$G$32,MATCH(CM39,REF_TABLE!$G$7:$G$32,1)+1),"Aucune valeur supérieure")</f>
        <v>466</v>
      </c>
      <c r="CO39" s="63">
        <v>150</v>
      </c>
      <c r="CP39" s="69">
        <v>80</v>
      </c>
    </row>
    <row r="40" spans="4:94" x14ac:dyDescent="0.25">
      <c r="D40" s="60" t="s">
        <v>1460</v>
      </c>
      <c r="E40" s="60" t="s">
        <v>223</v>
      </c>
      <c r="F40" s="63">
        <f>TRONCONS_V2!AW38</f>
        <v>89</v>
      </c>
      <c r="G40" s="69">
        <f t="shared" si="7"/>
        <v>8.8999999999999996E-2</v>
      </c>
      <c r="H40" s="63">
        <v>1</v>
      </c>
      <c r="I40" s="63">
        <f t="shared" si="8"/>
        <v>8.8999999999999996E-2</v>
      </c>
      <c r="J40" s="63">
        <f t="shared" si="0"/>
        <v>0.33671322542832194</v>
      </c>
      <c r="K40" s="63">
        <f t="shared" si="9"/>
        <v>336.71322542832195</v>
      </c>
      <c r="L40" s="63" cm="1">
        <f t="array" ref="L40">IFERROR(INDEX(REF_TABLE!$G$7:$G$32,MATCH(K40,REF_TABLE!$G$7:$G$32,1)+1),"Aucune valeur supérieure")</f>
        <v>350</v>
      </c>
      <c r="M40" s="63">
        <v>150</v>
      </c>
      <c r="N40" s="60">
        <v>89</v>
      </c>
      <c r="Q40" s="60" t="s">
        <v>1345</v>
      </c>
      <c r="R40" s="63" t="str">
        <f>TRONCONS_V2!BG38</f>
        <v>N151_N152</v>
      </c>
      <c r="S40" s="63">
        <f>TRONCONS_V2!BH38</f>
        <v>29.029</v>
      </c>
      <c r="T40" s="69">
        <f t="shared" si="10"/>
        <v>2.9028999999999999E-2</v>
      </c>
      <c r="U40" s="63">
        <v>1</v>
      </c>
      <c r="V40" s="63">
        <f t="shared" si="11"/>
        <v>2.9028999999999999E-2</v>
      </c>
      <c r="W40" s="63">
        <f t="shared" si="1"/>
        <v>0.19230085240163367</v>
      </c>
      <c r="X40" s="63">
        <f t="shared" si="12"/>
        <v>192.30085240163368</v>
      </c>
      <c r="Y40" s="63" cm="1">
        <f t="array" ref="Y40">IFERROR(INDEX(REF_TABLE!$G$7:$G$32,MATCH(X40,REF_TABLE!$G$7:$G$32,1)+1),"Aucune valeur supérieure")</f>
        <v>200</v>
      </c>
      <c r="Z40" s="63">
        <v>150</v>
      </c>
      <c r="AA40" s="63">
        <f>TRONCONS_V2!BF38</f>
        <v>49</v>
      </c>
      <c r="AD40" s="60" t="s">
        <v>1345</v>
      </c>
      <c r="AE40" s="63" t="str">
        <f>TRONCONS_V2!AE38</f>
        <v>N127_N128</v>
      </c>
      <c r="AF40" s="63">
        <f>TRONCONS_V2!AF38</f>
        <v>58.058</v>
      </c>
      <c r="AG40" s="69">
        <f t="shared" si="13"/>
        <v>5.8057999999999998E-2</v>
      </c>
      <c r="AH40" s="63">
        <v>1</v>
      </c>
      <c r="AI40" s="63">
        <f t="shared" si="14"/>
        <v>5.8057999999999998E-2</v>
      </c>
      <c r="AJ40" s="63">
        <f t="shared" si="2"/>
        <v>0.27195447352229712</v>
      </c>
      <c r="AK40" s="63">
        <f t="shared" si="15"/>
        <v>271.95447352229712</v>
      </c>
      <c r="AL40" s="63" cm="1">
        <f t="array" ref="AL40">IFERROR(INDEX(REF_TABLE!$G$7:$G$32,MATCH(AK40,REF_TABLE!$G$7:$G$32,1)+1),"Aucune valeur supérieure")</f>
        <v>300</v>
      </c>
      <c r="AM40" s="63">
        <v>150</v>
      </c>
      <c r="AN40" s="63">
        <f>TRONCONS_V2!AD38</f>
        <v>190</v>
      </c>
      <c r="AQ40" s="60" t="s">
        <v>1345</v>
      </c>
      <c r="AR40" s="63" t="str">
        <f>TRONCONS_V2!AN38</f>
        <v>N79_N80</v>
      </c>
      <c r="AS40" s="63">
        <f>TRONCONS_V2!AO38</f>
        <v>32.837000000000003</v>
      </c>
      <c r="AT40" s="69">
        <f t="shared" si="16"/>
        <v>3.2837000000000005E-2</v>
      </c>
      <c r="AU40" s="63">
        <v>1</v>
      </c>
      <c r="AV40" s="63">
        <f t="shared" si="17"/>
        <v>3.2837000000000005E-2</v>
      </c>
      <c r="AW40" s="63">
        <f t="shared" si="3"/>
        <v>0.20452523865872313</v>
      </c>
      <c r="AX40" s="63">
        <f t="shared" si="18"/>
        <v>204.52523865872314</v>
      </c>
      <c r="AY40" s="63" cm="1">
        <f t="array" ref="AY40">IFERROR(INDEX(REF_TABLE!$G$7:$G$32,MATCH(AX40,REF_TABLE!$G$7:$G$32,1)+1),"Aucune valeur supérieure")</f>
        <v>250</v>
      </c>
      <c r="AZ40" s="63">
        <v>150</v>
      </c>
      <c r="BA40" s="63">
        <f>TRONCONS_V2!AM38</f>
        <v>70</v>
      </c>
      <c r="BF40" s="60" t="s">
        <v>1345</v>
      </c>
      <c r="BG40" s="63" t="str">
        <f>TRONCONS_V2!V38</f>
        <v>N58_N59</v>
      </c>
      <c r="BH40" s="63">
        <f>TRONCONS_V2!W38</f>
        <v>32.837000000000003</v>
      </c>
      <c r="BI40" s="69">
        <f t="shared" si="19"/>
        <v>3.2837000000000005E-2</v>
      </c>
      <c r="BJ40" s="63">
        <v>1</v>
      </c>
      <c r="BK40" s="63">
        <f t="shared" si="20"/>
        <v>3.2837000000000005E-2</v>
      </c>
      <c r="BL40" s="63">
        <f t="shared" si="4"/>
        <v>0.20452523865872313</v>
      </c>
      <c r="BM40" s="63">
        <f t="shared" si="21"/>
        <v>204.52523865872314</v>
      </c>
      <c r="BN40" s="63" cm="1">
        <f t="array" ref="BN40">IFERROR(INDEX(REF_TABLE!$G$7:$G$32,MATCH(BM40,REF_TABLE!$G$7:$G$32,1)+1),"Aucune valeur supérieure")</f>
        <v>250</v>
      </c>
      <c r="BO40" s="63">
        <v>150</v>
      </c>
      <c r="BP40" s="63">
        <f>TRONCONS_V2!U38</f>
        <v>32</v>
      </c>
      <c r="BS40" s="60" t="s">
        <v>1460</v>
      </c>
      <c r="BT40" s="63" t="str">
        <f>TRONCONS_V2!M38</f>
        <v>N40_N41</v>
      </c>
      <c r="BU40" s="63">
        <f>TRONCONS_V2!N38</f>
        <v>83.28</v>
      </c>
      <c r="BV40" s="69">
        <f t="shared" si="22"/>
        <v>8.3280000000000007E-2</v>
      </c>
      <c r="BW40" s="63">
        <v>1</v>
      </c>
      <c r="BX40" s="63">
        <f t="shared" si="23"/>
        <v>8.3280000000000007E-2</v>
      </c>
      <c r="BY40" s="63">
        <f t="shared" si="5"/>
        <v>0.32571332790434337</v>
      </c>
      <c r="BZ40" s="63">
        <f t="shared" si="24"/>
        <v>325.71332790434337</v>
      </c>
      <c r="CA40" s="63" cm="1">
        <f t="array" ref="CA40">IFERROR(INDEX(REF_TABLE!$G$7:$G$32,MATCH(BZ40,REF_TABLE!$G$7:$G$32,1)+1),"Aucune valeur supérieure")</f>
        <v>350</v>
      </c>
      <c r="CB40" s="63">
        <v>150</v>
      </c>
      <c r="CC40" s="63">
        <f>TRONCONS_V2!L38</f>
        <v>94</v>
      </c>
      <c r="CF40" s="69" t="s">
        <v>1345</v>
      </c>
      <c r="CG40" s="69" t="s">
        <v>398</v>
      </c>
      <c r="CH40" s="69">
        <v>166.56</v>
      </c>
      <c r="CI40" s="69">
        <f t="shared" si="25"/>
        <v>0.16656000000000001</v>
      </c>
      <c r="CJ40" s="63">
        <v>1</v>
      </c>
      <c r="CK40" s="63">
        <f t="shared" si="26"/>
        <v>0.16656000000000001</v>
      </c>
      <c r="CL40" s="63">
        <f t="shared" si="6"/>
        <v>0.46062820576799746</v>
      </c>
      <c r="CM40" s="63">
        <f t="shared" si="27"/>
        <v>460.62820576799743</v>
      </c>
      <c r="CN40" s="63" cm="1">
        <f t="array" ref="CN40">IFERROR(INDEX(REF_TABLE!$G$7:$G$32,MATCH(CM40,REF_TABLE!$G$7:$G$32,1)+1),"Aucune valeur supérieure")</f>
        <v>466</v>
      </c>
      <c r="CO40" s="63">
        <v>150</v>
      </c>
      <c r="CP40" s="69">
        <v>75</v>
      </c>
    </row>
    <row r="41" spans="4:94" x14ac:dyDescent="0.25">
      <c r="D41" s="60" t="s">
        <v>1460</v>
      </c>
      <c r="E41" s="60" t="s">
        <v>224</v>
      </c>
      <c r="F41" s="63">
        <f>TRONCONS_V2!AW39</f>
        <v>77</v>
      </c>
      <c r="G41" s="69">
        <f t="shared" si="7"/>
        <v>7.6999999999999999E-2</v>
      </c>
      <c r="H41" s="63">
        <v>1</v>
      </c>
      <c r="I41" s="63">
        <f t="shared" si="8"/>
        <v>7.6999999999999999E-2</v>
      </c>
      <c r="J41" s="63">
        <f t="shared" si="0"/>
        <v>0.31319190917793882</v>
      </c>
      <c r="K41" s="63">
        <f t="shared" si="9"/>
        <v>313.19190917793884</v>
      </c>
      <c r="L41" s="63" cm="1">
        <f t="array" ref="L41">IFERROR(INDEX(REF_TABLE!$G$7:$G$32,MATCH(K41,REF_TABLE!$G$7:$G$32,1)+1),"Aucune valeur supérieure")</f>
        <v>350</v>
      </c>
      <c r="M41" s="63">
        <v>150</v>
      </c>
      <c r="N41" s="60">
        <v>77</v>
      </c>
      <c r="Q41" s="60" t="s">
        <v>1345</v>
      </c>
      <c r="R41" s="63" t="str">
        <f>TRONCONS_V2!BG39</f>
        <v>N152_N153</v>
      </c>
      <c r="S41" s="63">
        <f>TRONCONS_V2!BH39</f>
        <v>29.029</v>
      </c>
      <c r="T41" s="69">
        <f t="shared" si="10"/>
        <v>2.9028999999999999E-2</v>
      </c>
      <c r="U41" s="63">
        <v>1</v>
      </c>
      <c r="V41" s="63">
        <f t="shared" si="11"/>
        <v>2.9028999999999999E-2</v>
      </c>
      <c r="W41" s="63">
        <f t="shared" si="1"/>
        <v>0.19230085240163367</v>
      </c>
      <c r="X41" s="63">
        <f t="shared" si="12"/>
        <v>192.30085240163368</v>
      </c>
      <c r="Y41" s="63" cm="1">
        <f t="array" ref="Y41">IFERROR(INDEX(REF_TABLE!$G$7:$G$32,MATCH(X41,REF_TABLE!$G$7:$G$32,1)+1),"Aucune valeur supérieure")</f>
        <v>200</v>
      </c>
      <c r="Z41" s="63">
        <v>150</v>
      </c>
      <c r="AA41" s="63">
        <f>TRONCONS_V2!BF39</f>
        <v>89</v>
      </c>
      <c r="AD41" s="60" t="s">
        <v>1345</v>
      </c>
      <c r="AE41" s="63" t="str">
        <f>TRONCONS_V2!AE39</f>
        <v>N128_N129</v>
      </c>
      <c r="AF41" s="63">
        <f>TRONCONS_V2!AF39</f>
        <v>58.058</v>
      </c>
      <c r="AG41" s="69">
        <f t="shared" si="13"/>
        <v>5.8057999999999998E-2</v>
      </c>
      <c r="AH41" s="63">
        <v>1</v>
      </c>
      <c r="AI41" s="63">
        <f t="shared" si="14"/>
        <v>5.8057999999999998E-2</v>
      </c>
      <c r="AJ41" s="63">
        <f t="shared" si="2"/>
        <v>0.27195447352229712</v>
      </c>
      <c r="AK41" s="63">
        <f t="shared" si="15"/>
        <v>271.95447352229712</v>
      </c>
      <c r="AL41" s="63" cm="1">
        <f t="array" ref="AL41">IFERROR(INDEX(REF_TABLE!$G$7:$G$32,MATCH(AK41,REF_TABLE!$G$7:$G$32,1)+1),"Aucune valeur supérieure")</f>
        <v>300</v>
      </c>
      <c r="AM41" s="63">
        <v>150</v>
      </c>
      <c r="AN41" s="63">
        <f>TRONCONS_V2!AD39</f>
        <v>290</v>
      </c>
      <c r="AQ41" s="60" t="s">
        <v>1345</v>
      </c>
      <c r="AR41" s="63" t="str">
        <f>TRONCONS_V2!AN39</f>
        <v>N80_N81</v>
      </c>
      <c r="AS41" s="63">
        <f>TRONCONS_V2!AO39</f>
        <v>32.835999999999999</v>
      </c>
      <c r="AT41" s="69">
        <f t="shared" si="16"/>
        <v>3.2835999999999997E-2</v>
      </c>
      <c r="AU41" s="63">
        <v>1</v>
      </c>
      <c r="AV41" s="63">
        <f t="shared" si="17"/>
        <v>3.2835999999999997E-2</v>
      </c>
      <c r="AW41" s="63">
        <f t="shared" si="3"/>
        <v>0.20452212438525402</v>
      </c>
      <c r="AX41" s="63">
        <f t="shared" si="18"/>
        <v>204.52212438525402</v>
      </c>
      <c r="AY41" s="63" cm="1">
        <f t="array" ref="AY41">IFERROR(INDEX(REF_TABLE!$G$7:$G$32,MATCH(AX41,REF_TABLE!$G$7:$G$32,1)+1),"Aucune valeur supérieure")</f>
        <v>250</v>
      </c>
      <c r="AZ41" s="63">
        <v>150</v>
      </c>
      <c r="BA41" s="63">
        <f>TRONCONS_V2!AM39</f>
        <v>80</v>
      </c>
      <c r="BF41" s="60" t="s">
        <v>1345</v>
      </c>
      <c r="BG41" s="63" t="str">
        <f>TRONCONS_V2!V39</f>
        <v>N59_N60</v>
      </c>
      <c r="BH41" s="63">
        <f>TRONCONS_V2!W39</f>
        <v>32.837000000000003</v>
      </c>
      <c r="BI41" s="69">
        <f t="shared" si="19"/>
        <v>3.2837000000000005E-2</v>
      </c>
      <c r="BJ41" s="63">
        <v>1</v>
      </c>
      <c r="BK41" s="63">
        <f t="shared" si="20"/>
        <v>3.2837000000000005E-2</v>
      </c>
      <c r="BL41" s="63">
        <f t="shared" si="4"/>
        <v>0.20452523865872313</v>
      </c>
      <c r="BM41" s="63">
        <f t="shared" si="21"/>
        <v>204.52523865872314</v>
      </c>
      <c r="BN41" s="63" cm="1">
        <f t="array" ref="BN41">IFERROR(INDEX(REF_TABLE!$G$7:$G$32,MATCH(BM41,REF_TABLE!$G$7:$G$32,1)+1),"Aucune valeur supérieure")</f>
        <v>250</v>
      </c>
      <c r="BO41" s="63">
        <v>150</v>
      </c>
      <c r="BP41" s="63">
        <f>TRONCONS_V2!U39</f>
        <v>79</v>
      </c>
      <c r="BS41" s="60" t="s">
        <v>1460</v>
      </c>
      <c r="BT41" s="63" t="str">
        <f>TRONCONS_V2!M39</f>
        <v>N41_N42</v>
      </c>
      <c r="BU41" s="63">
        <f>TRONCONS_V2!N39</f>
        <v>98.51</v>
      </c>
      <c r="BV41" s="69">
        <f t="shared" si="22"/>
        <v>9.851E-2</v>
      </c>
      <c r="BW41" s="63">
        <v>1</v>
      </c>
      <c r="BX41" s="63">
        <f t="shared" si="23"/>
        <v>9.851E-2</v>
      </c>
      <c r="BY41" s="63">
        <f t="shared" si="5"/>
        <v>0.35424630676955915</v>
      </c>
      <c r="BZ41" s="63">
        <f t="shared" si="24"/>
        <v>354.24630676955917</v>
      </c>
      <c r="CA41" s="63" cm="1">
        <f t="array" ref="CA41">IFERROR(INDEX(REF_TABLE!$G$7:$G$32,MATCH(BZ41,REF_TABLE!$G$7:$G$32,1)+1),"Aucune valeur supérieure")</f>
        <v>400</v>
      </c>
      <c r="CB41" s="63">
        <v>150</v>
      </c>
      <c r="CC41" s="63">
        <f>TRONCONS_V2!L39</f>
        <v>70</v>
      </c>
      <c r="CF41" s="69" t="s">
        <v>1345</v>
      </c>
      <c r="CG41" s="69" t="s">
        <v>140</v>
      </c>
      <c r="CH41" s="69">
        <v>166.56</v>
      </c>
      <c r="CI41" s="69">
        <f t="shared" si="25"/>
        <v>0.16656000000000001</v>
      </c>
      <c r="CJ41" s="63">
        <v>1</v>
      </c>
      <c r="CK41" s="63">
        <f t="shared" si="26"/>
        <v>0.16656000000000001</v>
      </c>
      <c r="CL41" s="63">
        <f t="shared" si="6"/>
        <v>0.46062820576799746</v>
      </c>
      <c r="CM41" s="63">
        <f t="shared" si="27"/>
        <v>460.62820576799743</v>
      </c>
      <c r="CN41" s="63" cm="1">
        <f t="array" ref="CN41">IFERROR(INDEX(REF_TABLE!$G$7:$G$32,MATCH(CM41,REF_TABLE!$G$7:$G$32,1)+1),"Aucune valeur supérieure")</f>
        <v>466</v>
      </c>
      <c r="CO41" s="63">
        <v>150</v>
      </c>
      <c r="CP41" s="69">
        <v>76</v>
      </c>
    </row>
    <row r="42" spans="4:94" x14ac:dyDescent="0.25">
      <c r="D42" s="60" t="s">
        <v>1460</v>
      </c>
      <c r="E42" s="60" t="s">
        <v>225</v>
      </c>
      <c r="F42" s="63">
        <f>TRONCONS_V2!AW40</f>
        <v>37</v>
      </c>
      <c r="G42" s="69">
        <f t="shared" si="7"/>
        <v>3.6999999999999998E-2</v>
      </c>
      <c r="H42" s="63">
        <v>1</v>
      </c>
      <c r="I42" s="63">
        <f t="shared" si="8"/>
        <v>3.6999999999999998E-2</v>
      </c>
      <c r="J42" s="63">
        <f t="shared" si="0"/>
        <v>0.21710310444989828</v>
      </c>
      <c r="K42" s="63">
        <f t="shared" si="9"/>
        <v>217.10310444989827</v>
      </c>
      <c r="L42" s="63" cm="1">
        <f t="array" ref="L42">IFERROR(INDEX(REF_TABLE!$G$7:$G$32,MATCH(K42,REF_TABLE!$G$7:$G$32,1)+1),"Aucune valeur supérieure")</f>
        <v>250</v>
      </c>
      <c r="M42" s="63">
        <v>150</v>
      </c>
      <c r="N42" s="60">
        <v>37</v>
      </c>
      <c r="Q42" s="60" t="s">
        <v>1345</v>
      </c>
      <c r="R42" s="63" t="str">
        <f>TRONCONS_V2!BG40</f>
        <v>N153_N154</v>
      </c>
      <c r="S42" s="63">
        <f>TRONCONS_V2!BH40</f>
        <v>29.029</v>
      </c>
      <c r="T42" s="69">
        <f t="shared" si="10"/>
        <v>2.9028999999999999E-2</v>
      </c>
      <c r="U42" s="63">
        <v>1</v>
      </c>
      <c r="V42" s="63">
        <f t="shared" si="11"/>
        <v>2.9028999999999999E-2</v>
      </c>
      <c r="W42" s="63">
        <f t="shared" si="1"/>
        <v>0.19230085240163367</v>
      </c>
      <c r="X42" s="63">
        <f t="shared" si="12"/>
        <v>192.30085240163368</v>
      </c>
      <c r="Y42" s="63" cm="1">
        <f t="array" ref="Y42">IFERROR(INDEX(REF_TABLE!$G$7:$G$32,MATCH(X42,REF_TABLE!$G$7:$G$32,1)+1),"Aucune valeur supérieure")</f>
        <v>200</v>
      </c>
      <c r="Z42" s="63">
        <v>150</v>
      </c>
      <c r="AA42" s="63">
        <f>TRONCONS_V2!BF40</f>
        <v>77</v>
      </c>
      <c r="AD42" s="60" t="s">
        <v>1345</v>
      </c>
      <c r="AE42" s="63" t="str">
        <f>TRONCONS_V2!AE40</f>
        <v>N129_N130</v>
      </c>
      <c r="AF42" s="63">
        <f>TRONCONS_V2!AF40</f>
        <v>58.058</v>
      </c>
      <c r="AG42" s="69">
        <f t="shared" si="13"/>
        <v>5.8057999999999998E-2</v>
      </c>
      <c r="AH42" s="63">
        <v>1</v>
      </c>
      <c r="AI42" s="63">
        <f t="shared" si="14"/>
        <v>5.8057999999999998E-2</v>
      </c>
      <c r="AJ42" s="63">
        <f t="shared" si="2"/>
        <v>0.27195447352229712</v>
      </c>
      <c r="AK42" s="63">
        <f t="shared" si="15"/>
        <v>271.95447352229712</v>
      </c>
      <c r="AL42" s="63" cm="1">
        <f t="array" ref="AL42">IFERROR(INDEX(REF_TABLE!$G$7:$G$32,MATCH(AK42,REF_TABLE!$G$7:$G$32,1)+1),"Aucune valeur supérieure")</f>
        <v>300</v>
      </c>
      <c r="AM42" s="63">
        <v>150</v>
      </c>
      <c r="AN42" s="63">
        <f>TRONCONS_V2!AD40</f>
        <v>82</v>
      </c>
      <c r="AQ42" s="60" t="s">
        <v>1345</v>
      </c>
      <c r="AR42" s="63" t="str">
        <f>TRONCONS_V2!AN40</f>
        <v>N81_N82</v>
      </c>
      <c r="AS42" s="63">
        <f>TRONCONS_V2!AO40</f>
        <v>90.894000000000005</v>
      </c>
      <c r="AT42" s="69">
        <f t="shared" si="16"/>
        <v>9.0894000000000003E-2</v>
      </c>
      <c r="AU42" s="63">
        <v>1</v>
      </c>
      <c r="AV42" s="63">
        <f t="shared" si="17"/>
        <v>9.0894000000000003E-2</v>
      </c>
      <c r="AW42" s="63">
        <f t="shared" si="3"/>
        <v>0.34027714444529938</v>
      </c>
      <c r="AX42" s="63">
        <f t="shared" si="18"/>
        <v>340.27714444529937</v>
      </c>
      <c r="AY42" s="63" cm="1">
        <f t="array" ref="AY42">IFERROR(INDEX(REF_TABLE!$G$7:$G$32,MATCH(AX42,REF_TABLE!$G$7:$G$32,1)+1),"Aucune valeur supérieure")</f>
        <v>350</v>
      </c>
      <c r="AZ42" s="63">
        <v>150</v>
      </c>
      <c r="BA42" s="63">
        <f>TRONCONS_V2!AM40</f>
        <v>68</v>
      </c>
      <c r="BF42" s="60" t="s">
        <v>1345</v>
      </c>
      <c r="BG42" s="63" t="str">
        <f>TRONCONS_V2!V40</f>
        <v>N60_N61</v>
      </c>
      <c r="BH42" s="63">
        <f>TRONCONS_V2!W40</f>
        <v>32.837000000000003</v>
      </c>
      <c r="BI42" s="69">
        <f t="shared" si="19"/>
        <v>3.2837000000000005E-2</v>
      </c>
      <c r="BJ42" s="63">
        <v>1</v>
      </c>
      <c r="BK42" s="63">
        <f t="shared" si="20"/>
        <v>3.2837000000000005E-2</v>
      </c>
      <c r="BL42" s="63">
        <f t="shared" si="4"/>
        <v>0.20452523865872313</v>
      </c>
      <c r="BM42" s="63">
        <f t="shared" si="21"/>
        <v>204.52523865872314</v>
      </c>
      <c r="BN42" s="63" cm="1">
        <f t="array" ref="BN42">IFERROR(INDEX(REF_TABLE!$G$7:$G$32,MATCH(BM42,REF_TABLE!$G$7:$G$32,1)+1),"Aucune valeur supérieure")</f>
        <v>250</v>
      </c>
      <c r="BO42" s="63">
        <v>150</v>
      </c>
      <c r="BP42" s="63">
        <f>TRONCONS_V2!U40</f>
        <v>51</v>
      </c>
      <c r="BS42" s="60" t="s">
        <v>1460</v>
      </c>
      <c r="BT42" s="63" t="str">
        <f>TRONCONS_V2!M40</f>
        <v>N42_N111</v>
      </c>
      <c r="BU42" s="63">
        <f>TRONCONS_V2!N40</f>
        <v>32.835999999999999</v>
      </c>
      <c r="BV42" s="69">
        <f t="shared" si="22"/>
        <v>3.2835999999999997E-2</v>
      </c>
      <c r="BW42" s="63">
        <v>1</v>
      </c>
      <c r="BX42" s="63">
        <f t="shared" si="23"/>
        <v>3.2835999999999997E-2</v>
      </c>
      <c r="BY42" s="63">
        <f t="shared" si="5"/>
        <v>0.20452212438525402</v>
      </c>
      <c r="BZ42" s="63">
        <f t="shared" si="24"/>
        <v>204.52212438525402</v>
      </c>
      <c r="CA42" s="63" cm="1">
        <f t="array" ref="CA42">IFERROR(INDEX(REF_TABLE!$G$7:$G$32,MATCH(BZ42,REF_TABLE!$G$7:$G$32,1)+1),"Aucune valeur supérieure")</f>
        <v>250</v>
      </c>
      <c r="CB42" s="63">
        <v>150</v>
      </c>
      <c r="CC42" s="63">
        <f>TRONCONS_V2!L40</f>
        <v>59</v>
      </c>
      <c r="CF42" s="69" t="s">
        <v>1345</v>
      </c>
      <c r="CG42" t="s">
        <v>909</v>
      </c>
      <c r="CH42" s="69">
        <v>166.56</v>
      </c>
      <c r="CI42" s="69">
        <f t="shared" si="25"/>
        <v>0.16656000000000001</v>
      </c>
      <c r="CJ42" s="63">
        <v>1</v>
      </c>
      <c r="CK42" s="63">
        <f t="shared" si="26"/>
        <v>0.16656000000000001</v>
      </c>
      <c r="CL42" s="63">
        <f t="shared" si="6"/>
        <v>0.46062820576799746</v>
      </c>
      <c r="CM42" s="63">
        <f t="shared" si="27"/>
        <v>460.62820576799743</v>
      </c>
      <c r="CN42" s="63" cm="1">
        <f t="array" ref="CN42">IFERROR(INDEX(REF_TABLE!$G$7:$G$32,MATCH(CM42,REF_TABLE!$G$7:$G$32,1)+1),"Aucune valeur supérieure")</f>
        <v>466</v>
      </c>
      <c r="CO42" s="63">
        <v>150</v>
      </c>
      <c r="CP42" s="69">
        <v>69</v>
      </c>
    </row>
    <row r="43" spans="4:94" x14ac:dyDescent="0.25">
      <c r="D43" s="60" t="s">
        <v>1460</v>
      </c>
      <c r="E43" s="60" t="s">
        <v>226</v>
      </c>
      <c r="F43" s="63">
        <f>TRONCONS_V2!AW41</f>
        <v>129</v>
      </c>
      <c r="G43" s="69">
        <f t="shared" si="7"/>
        <v>0.129</v>
      </c>
      <c r="H43" s="63">
        <v>1</v>
      </c>
      <c r="I43" s="63">
        <f t="shared" si="8"/>
        <v>0.129</v>
      </c>
      <c r="J43" s="63">
        <f t="shared" si="0"/>
        <v>0.40537786100264872</v>
      </c>
      <c r="K43" s="63">
        <f t="shared" si="9"/>
        <v>405.37786100264873</v>
      </c>
      <c r="L43" s="63" cm="1">
        <f t="array" ref="L43">IFERROR(INDEX(REF_TABLE!$G$7:$G$32,MATCH(K43,REF_TABLE!$G$7:$G$32,1)+1),"Aucune valeur supérieure")</f>
        <v>421</v>
      </c>
      <c r="M43" s="63">
        <v>150</v>
      </c>
      <c r="N43" s="60">
        <v>129</v>
      </c>
      <c r="Q43" s="60" t="s">
        <v>1345</v>
      </c>
      <c r="R43" s="63" t="str">
        <f>TRONCONS_V2!BG41</f>
        <v>N154_N155</v>
      </c>
      <c r="S43" s="63">
        <f>TRONCONS_V2!BH41</f>
        <v>29.029</v>
      </c>
      <c r="T43" s="69">
        <f t="shared" si="10"/>
        <v>2.9028999999999999E-2</v>
      </c>
      <c r="U43" s="63">
        <v>1</v>
      </c>
      <c r="V43" s="63">
        <f t="shared" si="11"/>
        <v>2.9028999999999999E-2</v>
      </c>
      <c r="W43" s="63">
        <f t="shared" si="1"/>
        <v>0.19230085240163367</v>
      </c>
      <c r="X43" s="63">
        <f t="shared" si="12"/>
        <v>192.30085240163368</v>
      </c>
      <c r="Y43" s="63" cm="1">
        <f t="array" ref="Y43">IFERROR(INDEX(REF_TABLE!$G$7:$G$32,MATCH(X43,REF_TABLE!$G$7:$G$32,1)+1),"Aucune valeur supérieure")</f>
        <v>200</v>
      </c>
      <c r="Z43" s="63">
        <v>150</v>
      </c>
      <c r="AA43" s="63">
        <f>TRONCONS_V2!BF41</f>
        <v>37</v>
      </c>
      <c r="AD43" s="60" t="s">
        <v>1345</v>
      </c>
      <c r="AE43" s="63" t="str">
        <f>TRONCONS_V2!AE41</f>
        <v>N130_N131</v>
      </c>
      <c r="AF43" s="63">
        <f>TRONCONS_V2!AF41</f>
        <v>58.058</v>
      </c>
      <c r="AG43" s="69">
        <f t="shared" si="13"/>
        <v>5.8057999999999998E-2</v>
      </c>
      <c r="AH43" s="63">
        <v>1</v>
      </c>
      <c r="AI43" s="63">
        <f t="shared" si="14"/>
        <v>5.8057999999999998E-2</v>
      </c>
      <c r="AJ43" s="63">
        <f t="shared" si="2"/>
        <v>0.27195447352229712</v>
      </c>
      <c r="AK43" s="63">
        <f t="shared" si="15"/>
        <v>271.95447352229712</v>
      </c>
      <c r="AL43" s="63" cm="1">
        <f t="array" ref="AL43">IFERROR(INDEX(REF_TABLE!$G$7:$G$32,MATCH(AK43,REF_TABLE!$G$7:$G$32,1)+1),"Aucune valeur supérieure")</f>
        <v>300</v>
      </c>
      <c r="AM43" s="63">
        <v>150</v>
      </c>
      <c r="AN43" s="63">
        <f>TRONCONS_V2!AD41</f>
        <v>75</v>
      </c>
      <c r="AQ43" s="60" t="s">
        <v>1345</v>
      </c>
      <c r="AR43" s="63" t="str">
        <f>TRONCONS_V2!AN41</f>
        <v>N82_N83</v>
      </c>
      <c r="AS43" s="63">
        <f>TRONCONS_V2!AO41</f>
        <v>90.894000000000005</v>
      </c>
      <c r="AT43" s="69">
        <f t="shared" si="16"/>
        <v>9.0894000000000003E-2</v>
      </c>
      <c r="AU43" s="63">
        <v>1</v>
      </c>
      <c r="AV43" s="63">
        <f t="shared" si="17"/>
        <v>9.0894000000000003E-2</v>
      </c>
      <c r="AW43" s="63">
        <f t="shared" si="3"/>
        <v>0.34027714444529938</v>
      </c>
      <c r="AX43" s="63">
        <f t="shared" si="18"/>
        <v>340.27714444529937</v>
      </c>
      <c r="AY43" s="63" cm="1">
        <f t="array" ref="AY43">IFERROR(INDEX(REF_TABLE!$G$7:$G$32,MATCH(AX43,REF_TABLE!$G$7:$G$32,1)+1),"Aucune valeur supérieure")</f>
        <v>350</v>
      </c>
      <c r="AZ43" s="63">
        <v>150</v>
      </c>
      <c r="BA43" s="63">
        <f>TRONCONS_V2!AM41</f>
        <v>152</v>
      </c>
      <c r="BF43" s="60" t="s">
        <v>1345</v>
      </c>
      <c r="BG43" s="63" t="str">
        <f>TRONCONS_V2!V41</f>
        <v>N61_N62</v>
      </c>
      <c r="BH43" s="63">
        <f>TRONCONS_V2!W41</f>
        <v>32.837000000000003</v>
      </c>
      <c r="BI43" s="69">
        <f t="shared" si="19"/>
        <v>3.2837000000000005E-2</v>
      </c>
      <c r="BJ43" s="63">
        <v>1</v>
      </c>
      <c r="BK43" s="63">
        <f t="shared" si="20"/>
        <v>3.2837000000000005E-2</v>
      </c>
      <c r="BL43" s="63">
        <f t="shared" si="4"/>
        <v>0.20452523865872313</v>
      </c>
      <c r="BM43" s="63">
        <f t="shared" si="21"/>
        <v>204.52523865872314</v>
      </c>
      <c r="BN43" s="63" cm="1">
        <f t="array" ref="BN43">IFERROR(INDEX(REF_TABLE!$G$7:$G$32,MATCH(BM43,REF_TABLE!$G$7:$G$32,1)+1),"Aucune valeur supérieure")</f>
        <v>250</v>
      </c>
      <c r="BO43" s="63">
        <v>150</v>
      </c>
      <c r="BP43" s="63">
        <f>TRONCONS_V2!U41</f>
        <v>73</v>
      </c>
      <c r="BS43" s="60" t="s">
        <v>1345</v>
      </c>
      <c r="BT43" s="63" t="str">
        <f>TRONCONS_V2!M41</f>
        <v>N106_N107</v>
      </c>
      <c r="BU43" s="63">
        <f>TRONCONS_V2!N41</f>
        <v>83.28</v>
      </c>
      <c r="BV43" s="69">
        <f t="shared" si="22"/>
        <v>8.3280000000000007E-2</v>
      </c>
      <c r="BW43" s="63">
        <v>1</v>
      </c>
      <c r="BX43" s="63">
        <f t="shared" si="23"/>
        <v>8.3280000000000007E-2</v>
      </c>
      <c r="BY43" s="63">
        <f t="shared" si="5"/>
        <v>0.32571332790434337</v>
      </c>
      <c r="BZ43" s="63">
        <f t="shared" si="24"/>
        <v>325.71332790434337</v>
      </c>
      <c r="CA43" s="63" cm="1">
        <f t="array" ref="CA43">IFERROR(INDEX(REF_TABLE!$G$7:$G$32,MATCH(BZ43,REF_TABLE!$G$7:$G$32,1)+1),"Aucune valeur supérieure")</f>
        <v>350</v>
      </c>
      <c r="CB43" s="63">
        <v>150</v>
      </c>
      <c r="CC43" s="63">
        <f>TRONCONS_V2!L41</f>
        <v>218</v>
      </c>
      <c r="CF43" s="69" t="s">
        <v>1345</v>
      </c>
      <c r="CG43" s="69" t="s">
        <v>139</v>
      </c>
      <c r="CH43" s="69">
        <v>166.56</v>
      </c>
      <c r="CI43" s="69">
        <f t="shared" si="25"/>
        <v>0.16656000000000001</v>
      </c>
      <c r="CJ43" s="63">
        <v>1</v>
      </c>
      <c r="CK43" s="63">
        <f t="shared" si="26"/>
        <v>0.16656000000000001</v>
      </c>
      <c r="CL43" s="63">
        <f t="shared" si="6"/>
        <v>0.46062820576799746</v>
      </c>
      <c r="CM43" s="63">
        <f t="shared" si="27"/>
        <v>460.62820576799743</v>
      </c>
      <c r="CN43" s="63" cm="1">
        <f t="array" ref="CN43">IFERROR(INDEX(REF_TABLE!$G$7:$G$32,MATCH(CM43,REF_TABLE!$G$7:$G$32,1)+1),"Aucune valeur supérieure")</f>
        <v>466</v>
      </c>
      <c r="CO43" s="63">
        <v>150</v>
      </c>
      <c r="CP43" s="69">
        <v>251</v>
      </c>
    </row>
    <row r="44" spans="4:94" x14ac:dyDescent="0.25">
      <c r="D44" s="60" t="s">
        <v>1460</v>
      </c>
      <c r="E44" s="60" t="s">
        <v>228</v>
      </c>
      <c r="F44" s="63">
        <f>TRONCONS_V2!AW42</f>
        <v>85</v>
      </c>
      <c r="G44" s="69">
        <f t="shared" si="7"/>
        <v>8.5000000000000006E-2</v>
      </c>
      <c r="H44" s="63">
        <v>1</v>
      </c>
      <c r="I44" s="63">
        <f t="shared" si="8"/>
        <v>8.5000000000000006E-2</v>
      </c>
      <c r="J44" s="63">
        <f t="shared" si="0"/>
        <v>0.32905965230801248</v>
      </c>
      <c r="K44" s="63">
        <f t="shared" si="9"/>
        <v>329.05965230801246</v>
      </c>
      <c r="L44" s="63" cm="1">
        <f t="array" ref="L44">IFERROR(INDEX(REF_TABLE!$G$7:$G$32,MATCH(K44,REF_TABLE!$G$7:$G$32,1)+1),"Aucune valeur supérieure")</f>
        <v>350</v>
      </c>
      <c r="M44" s="63">
        <v>150</v>
      </c>
      <c r="N44" s="60">
        <v>85</v>
      </c>
      <c r="Q44" s="60" t="s">
        <v>1345</v>
      </c>
      <c r="R44" s="63" t="str">
        <f>TRONCONS_V2!BG42</f>
        <v>N155_N156</v>
      </c>
      <c r="S44" s="63">
        <f>TRONCONS_V2!BH42</f>
        <v>29.029</v>
      </c>
      <c r="T44" s="69">
        <f t="shared" si="10"/>
        <v>2.9028999999999999E-2</v>
      </c>
      <c r="U44" s="63">
        <v>1</v>
      </c>
      <c r="V44" s="63">
        <f t="shared" si="11"/>
        <v>2.9028999999999999E-2</v>
      </c>
      <c r="W44" s="63">
        <f t="shared" si="1"/>
        <v>0.19230085240163367</v>
      </c>
      <c r="X44" s="63">
        <f t="shared" si="12"/>
        <v>192.30085240163368</v>
      </c>
      <c r="Y44" s="63" cm="1">
        <f t="array" ref="Y44">IFERROR(INDEX(REF_TABLE!$G$7:$G$32,MATCH(X44,REF_TABLE!$G$7:$G$32,1)+1),"Aucune valeur supérieure")</f>
        <v>200</v>
      </c>
      <c r="Z44" s="63">
        <v>150</v>
      </c>
      <c r="AA44" s="63">
        <f>TRONCONS_V2!BF42</f>
        <v>129</v>
      </c>
      <c r="AD44" s="60" t="s">
        <v>1345</v>
      </c>
      <c r="AE44" s="63" t="str">
        <f>TRONCONS_V2!AE42</f>
        <v>N131_N132</v>
      </c>
      <c r="AF44" s="63">
        <f>TRONCONS_V2!AF42</f>
        <v>58.058</v>
      </c>
      <c r="AG44" s="69">
        <f t="shared" si="13"/>
        <v>5.8057999999999998E-2</v>
      </c>
      <c r="AH44" s="63">
        <v>1</v>
      </c>
      <c r="AI44" s="63">
        <f t="shared" si="14"/>
        <v>5.8057999999999998E-2</v>
      </c>
      <c r="AJ44" s="63">
        <f t="shared" si="2"/>
        <v>0.27195447352229712</v>
      </c>
      <c r="AK44" s="63">
        <f t="shared" si="15"/>
        <v>271.95447352229712</v>
      </c>
      <c r="AL44" s="63" cm="1">
        <f t="array" ref="AL44">IFERROR(INDEX(REF_TABLE!$G$7:$G$32,MATCH(AK44,REF_TABLE!$G$7:$G$32,1)+1),"Aucune valeur supérieure")</f>
        <v>300</v>
      </c>
      <c r="AM44" s="63">
        <v>150</v>
      </c>
      <c r="AN44" s="63">
        <f>TRONCONS_V2!AD42</f>
        <v>108</v>
      </c>
      <c r="AQ44" s="60" t="s">
        <v>1345</v>
      </c>
      <c r="AR44" s="63" t="str">
        <f>TRONCONS_V2!AN42</f>
        <v>N83_N84</v>
      </c>
      <c r="AS44" s="63">
        <f>TRONCONS_V2!AO42</f>
        <v>90.894000000000005</v>
      </c>
      <c r="AT44" s="69">
        <f t="shared" si="16"/>
        <v>9.0894000000000003E-2</v>
      </c>
      <c r="AU44" s="63">
        <v>1</v>
      </c>
      <c r="AV44" s="63">
        <f t="shared" si="17"/>
        <v>9.0894000000000003E-2</v>
      </c>
      <c r="AW44" s="63">
        <f t="shared" si="3"/>
        <v>0.34027714444529938</v>
      </c>
      <c r="AX44" s="63">
        <f t="shared" si="18"/>
        <v>340.27714444529937</v>
      </c>
      <c r="AY44" s="63" cm="1">
        <f t="array" ref="AY44">IFERROR(INDEX(REF_TABLE!$G$7:$G$32,MATCH(AX44,REF_TABLE!$G$7:$G$32,1)+1),"Aucune valeur supérieure")</f>
        <v>350</v>
      </c>
      <c r="AZ44" s="63">
        <v>150</v>
      </c>
      <c r="BA44" s="63">
        <f>TRONCONS_V2!AM42</f>
        <v>75</v>
      </c>
      <c r="BF44" s="60" t="s">
        <v>1345</v>
      </c>
      <c r="BG44" s="63" t="str">
        <f>TRONCONS_V2!V42</f>
        <v>N62_N63</v>
      </c>
      <c r="BH44" s="63">
        <f>TRONCONS_V2!W42</f>
        <v>32.837000000000003</v>
      </c>
      <c r="BI44" s="69">
        <f t="shared" si="19"/>
        <v>3.2837000000000005E-2</v>
      </c>
      <c r="BJ44" s="63">
        <v>1</v>
      </c>
      <c r="BK44" s="63">
        <f t="shared" si="20"/>
        <v>3.2837000000000005E-2</v>
      </c>
      <c r="BL44" s="63">
        <f t="shared" si="4"/>
        <v>0.20452523865872313</v>
      </c>
      <c r="BM44" s="63">
        <f t="shared" si="21"/>
        <v>204.52523865872314</v>
      </c>
      <c r="BN44" s="63" cm="1">
        <f t="array" ref="BN44">IFERROR(INDEX(REF_TABLE!$G$7:$G$32,MATCH(BM44,REF_TABLE!$G$7:$G$32,1)+1),"Aucune valeur supérieure")</f>
        <v>250</v>
      </c>
      <c r="BO44" s="63">
        <v>150</v>
      </c>
      <c r="BP44" s="63">
        <f>TRONCONS_V2!U42</f>
        <v>58</v>
      </c>
      <c r="BS44" s="60" t="s">
        <v>1345</v>
      </c>
      <c r="BT44" s="63" t="str">
        <f>TRONCONS_V2!M42</f>
        <v>N107_N108</v>
      </c>
      <c r="BU44" s="63">
        <f>TRONCONS_V2!N42</f>
        <v>83.28</v>
      </c>
      <c r="BV44" s="69">
        <f t="shared" si="22"/>
        <v>8.3280000000000007E-2</v>
      </c>
      <c r="BW44" s="63">
        <v>1</v>
      </c>
      <c r="BX44" s="63">
        <f t="shared" si="23"/>
        <v>8.3280000000000007E-2</v>
      </c>
      <c r="BY44" s="63">
        <f t="shared" si="5"/>
        <v>0.32571332790434337</v>
      </c>
      <c r="BZ44" s="63">
        <f t="shared" si="24"/>
        <v>325.71332790434337</v>
      </c>
      <c r="CA44" s="63" cm="1">
        <f t="array" ref="CA44">IFERROR(INDEX(REF_TABLE!$G$7:$G$32,MATCH(BZ44,REF_TABLE!$G$7:$G$32,1)+1),"Aucune valeur supérieure")</f>
        <v>350</v>
      </c>
      <c r="CB44" s="63">
        <v>150</v>
      </c>
      <c r="CC44" s="63">
        <f>TRONCONS_V2!L42</f>
        <v>101</v>
      </c>
    </row>
    <row r="45" spans="4:94" x14ac:dyDescent="0.25">
      <c r="D45" s="60" t="s">
        <v>1460</v>
      </c>
      <c r="E45" s="60" t="s">
        <v>227</v>
      </c>
      <c r="F45" s="63">
        <f>TRONCONS_V2!AW43</f>
        <v>75</v>
      </c>
      <c r="G45" s="69">
        <f t="shared" si="7"/>
        <v>7.4999999999999997E-2</v>
      </c>
      <c r="H45" s="63">
        <v>1</v>
      </c>
      <c r="I45" s="63">
        <f t="shared" si="8"/>
        <v>7.4999999999999997E-2</v>
      </c>
      <c r="J45" s="63">
        <f t="shared" si="0"/>
        <v>0.30909772123696633</v>
      </c>
      <c r="K45" s="63">
        <f t="shared" si="9"/>
        <v>309.09772123696632</v>
      </c>
      <c r="L45" s="63" cm="1">
        <f t="array" ref="L45">IFERROR(INDEX(REF_TABLE!$G$7:$G$32,MATCH(K45,REF_TABLE!$G$7:$G$32,1)+1),"Aucune valeur supérieure")</f>
        <v>350</v>
      </c>
      <c r="M45" s="63">
        <v>150</v>
      </c>
      <c r="N45" s="60">
        <v>75</v>
      </c>
      <c r="Q45" s="60" t="s">
        <v>1345</v>
      </c>
      <c r="R45" s="63" t="str">
        <f>TRONCONS_V2!BG43</f>
        <v>N156_N157</v>
      </c>
      <c r="S45" s="63">
        <f>TRONCONS_V2!BH43</f>
        <v>29.029</v>
      </c>
      <c r="T45" s="69">
        <f t="shared" si="10"/>
        <v>2.9028999999999999E-2</v>
      </c>
      <c r="U45" s="63">
        <v>1</v>
      </c>
      <c r="V45" s="63">
        <f t="shared" si="11"/>
        <v>2.9028999999999999E-2</v>
      </c>
      <c r="W45" s="63">
        <f t="shared" si="1"/>
        <v>0.19230085240163367</v>
      </c>
      <c r="X45" s="63">
        <f t="shared" si="12"/>
        <v>192.30085240163368</v>
      </c>
      <c r="Y45" s="63" cm="1">
        <f t="array" ref="Y45">IFERROR(INDEX(REF_TABLE!$G$7:$G$32,MATCH(X45,REF_TABLE!$G$7:$G$32,1)+1),"Aucune valeur supérieure")</f>
        <v>200</v>
      </c>
      <c r="Z45" s="63">
        <v>150</v>
      </c>
      <c r="AA45" s="63">
        <f>TRONCONS_V2!BF43</f>
        <v>85</v>
      </c>
      <c r="AD45" s="60" t="s">
        <v>1345</v>
      </c>
      <c r="AE45" s="63" t="str">
        <f>TRONCONS_V2!AE43</f>
        <v>N132_N133</v>
      </c>
      <c r="AF45" s="63">
        <f>TRONCONS_V2!AF43</f>
        <v>58.058</v>
      </c>
      <c r="AG45" s="69">
        <f t="shared" si="13"/>
        <v>5.8057999999999998E-2</v>
      </c>
      <c r="AH45" s="63">
        <v>1</v>
      </c>
      <c r="AI45" s="63">
        <f t="shared" si="14"/>
        <v>5.8057999999999998E-2</v>
      </c>
      <c r="AJ45" s="63">
        <f t="shared" si="2"/>
        <v>0.27195447352229712</v>
      </c>
      <c r="AK45" s="63">
        <f t="shared" si="15"/>
        <v>271.95447352229712</v>
      </c>
      <c r="AL45" s="63" cm="1">
        <f t="array" ref="AL45">IFERROR(INDEX(REF_TABLE!$G$7:$G$32,MATCH(AK45,REF_TABLE!$G$7:$G$32,1)+1),"Aucune valeur supérieure")</f>
        <v>300</v>
      </c>
      <c r="AM45" s="63">
        <v>150</v>
      </c>
      <c r="AN45" s="63">
        <f>TRONCONS_V2!AD43</f>
        <v>150</v>
      </c>
      <c r="AQ45" s="60" t="s">
        <v>1345</v>
      </c>
      <c r="AR45" s="63" t="str">
        <f>TRONCONS_V2!AN43</f>
        <v>N84_N85</v>
      </c>
      <c r="AS45" s="63">
        <f>TRONCONS_V2!AO43</f>
        <v>119.923</v>
      </c>
      <c r="AT45" s="69">
        <f t="shared" si="16"/>
        <v>0.119923</v>
      </c>
      <c r="AU45" s="63">
        <v>1</v>
      </c>
      <c r="AV45" s="63">
        <f t="shared" si="17"/>
        <v>0.119923</v>
      </c>
      <c r="AW45" s="63">
        <f t="shared" si="3"/>
        <v>0.3908556675631582</v>
      </c>
      <c r="AX45" s="63">
        <f t="shared" si="18"/>
        <v>390.85566756315819</v>
      </c>
      <c r="AY45" s="63" cm="1">
        <f t="array" ref="AY45">IFERROR(INDEX(REF_TABLE!$G$7:$G$32,MATCH(AX45,REF_TABLE!$G$7:$G$32,1)+1),"Aucune valeur supérieure")</f>
        <v>400</v>
      </c>
      <c r="AZ45" s="63">
        <v>150</v>
      </c>
      <c r="BA45" s="63">
        <f>TRONCONS_V2!AM43</f>
        <v>95</v>
      </c>
      <c r="BF45" s="60" t="s">
        <v>1345</v>
      </c>
      <c r="BG45" s="63" t="str">
        <f>TRONCONS_V2!V43</f>
        <v>N63_N64</v>
      </c>
      <c r="BH45" s="63">
        <f>TRONCONS_V2!W43</f>
        <v>32.837000000000003</v>
      </c>
      <c r="BI45" s="69">
        <f t="shared" si="19"/>
        <v>3.2837000000000005E-2</v>
      </c>
      <c r="BJ45" s="63">
        <v>1</v>
      </c>
      <c r="BK45" s="63">
        <f t="shared" si="20"/>
        <v>3.2837000000000005E-2</v>
      </c>
      <c r="BL45" s="63">
        <f t="shared" si="4"/>
        <v>0.20452523865872313</v>
      </c>
      <c r="BM45" s="63">
        <f t="shared" si="21"/>
        <v>204.52523865872314</v>
      </c>
      <c r="BN45" s="63" cm="1">
        <f t="array" ref="BN45">IFERROR(INDEX(REF_TABLE!$G$7:$G$32,MATCH(BM45,REF_TABLE!$G$7:$G$32,1)+1),"Aucune valeur supérieure")</f>
        <v>250</v>
      </c>
      <c r="BO45" s="63">
        <v>150</v>
      </c>
      <c r="BP45" s="63">
        <f>TRONCONS_V2!U43</f>
        <v>216</v>
      </c>
      <c r="BS45" s="60" t="s">
        <v>1345</v>
      </c>
      <c r="BT45" s="63" t="str">
        <f>TRONCONS_V2!M43</f>
        <v>N108_N109</v>
      </c>
      <c r="BU45" s="63">
        <f>TRONCONS_V2!N43</f>
        <v>83.28</v>
      </c>
      <c r="BV45" s="69">
        <f t="shared" si="22"/>
        <v>8.3280000000000007E-2</v>
      </c>
      <c r="BW45" s="63">
        <v>1</v>
      </c>
      <c r="BX45" s="63">
        <f t="shared" si="23"/>
        <v>8.3280000000000007E-2</v>
      </c>
      <c r="BY45" s="63">
        <f t="shared" si="5"/>
        <v>0.32571332790434337</v>
      </c>
      <c r="BZ45" s="63">
        <f t="shared" si="24"/>
        <v>325.71332790434337</v>
      </c>
      <c r="CA45" s="63" cm="1">
        <f t="array" ref="CA45">IFERROR(INDEX(REF_TABLE!$G$7:$G$32,MATCH(BZ45,REF_TABLE!$G$7:$G$32,1)+1),"Aucune valeur supérieure")</f>
        <v>350</v>
      </c>
      <c r="CB45" s="63">
        <v>150</v>
      </c>
      <c r="CC45" s="63">
        <f>TRONCONS_V2!L43</f>
        <v>149</v>
      </c>
    </row>
    <row r="46" spans="4:94" x14ac:dyDescent="0.25">
      <c r="D46" s="60" t="s">
        <v>1460</v>
      </c>
      <c r="E46" s="60" t="s">
        <v>429</v>
      </c>
      <c r="F46" s="63">
        <f>TRONCONS_V2!AW44</f>
        <v>83</v>
      </c>
      <c r="G46" s="69">
        <f t="shared" si="7"/>
        <v>8.3000000000000004E-2</v>
      </c>
      <c r="H46" s="63">
        <v>1</v>
      </c>
      <c r="I46" s="63">
        <f t="shared" si="8"/>
        <v>8.3000000000000004E-2</v>
      </c>
      <c r="J46" s="63">
        <f t="shared" si="0"/>
        <v>0.32516531807133603</v>
      </c>
      <c r="K46" s="63">
        <f t="shared" si="9"/>
        <v>325.165318071336</v>
      </c>
      <c r="L46" s="63" cm="1">
        <f t="array" ref="L46">IFERROR(INDEX(REF_TABLE!$G$7:$G$32,MATCH(K46,REF_TABLE!$G$7:$G$32,1)+1),"Aucune valeur supérieure")</f>
        <v>350</v>
      </c>
      <c r="M46" s="63">
        <v>150</v>
      </c>
      <c r="N46" s="60">
        <v>83</v>
      </c>
      <c r="Q46" s="60" t="s">
        <v>1345</v>
      </c>
      <c r="R46" s="63" t="str">
        <f>TRONCONS_V2!BG44</f>
        <v>N157_N158</v>
      </c>
      <c r="S46" s="63">
        <f>TRONCONS_V2!BH44</f>
        <v>29.029</v>
      </c>
      <c r="T46" s="69">
        <f t="shared" si="10"/>
        <v>2.9028999999999999E-2</v>
      </c>
      <c r="U46" s="63">
        <v>1</v>
      </c>
      <c r="V46" s="63">
        <f t="shared" si="11"/>
        <v>2.9028999999999999E-2</v>
      </c>
      <c r="W46" s="63">
        <f t="shared" si="1"/>
        <v>0.19230085240163367</v>
      </c>
      <c r="X46" s="63">
        <f t="shared" si="12"/>
        <v>192.30085240163368</v>
      </c>
      <c r="Y46" s="63" cm="1">
        <f t="array" ref="Y46">IFERROR(INDEX(REF_TABLE!$G$7:$G$32,MATCH(X46,REF_TABLE!$G$7:$G$32,1)+1),"Aucune valeur supérieure")</f>
        <v>200</v>
      </c>
      <c r="Z46" s="63">
        <v>150</v>
      </c>
      <c r="AA46" s="63">
        <f>TRONCONS_V2!BF44</f>
        <v>75</v>
      </c>
      <c r="AD46" s="60" t="s">
        <v>1345</v>
      </c>
      <c r="AE46" s="63" t="str">
        <f>TRONCONS_V2!AE44</f>
        <v>N133_N134</v>
      </c>
      <c r="AF46" s="63">
        <f>TRONCONS_V2!AF44</f>
        <v>58.058</v>
      </c>
      <c r="AG46" s="69">
        <f t="shared" si="13"/>
        <v>5.8057999999999998E-2</v>
      </c>
      <c r="AH46" s="63">
        <v>1</v>
      </c>
      <c r="AI46" s="63">
        <f t="shared" si="14"/>
        <v>5.8057999999999998E-2</v>
      </c>
      <c r="AJ46" s="63">
        <f t="shared" si="2"/>
        <v>0.27195447352229712</v>
      </c>
      <c r="AK46" s="63">
        <f t="shared" si="15"/>
        <v>271.95447352229712</v>
      </c>
      <c r="AL46" s="63" cm="1">
        <f t="array" ref="AL46">IFERROR(INDEX(REF_TABLE!$G$7:$G$32,MATCH(AK46,REF_TABLE!$G$7:$G$32,1)+1),"Aucune valeur supérieure")</f>
        <v>300</v>
      </c>
      <c r="AM46" s="63">
        <v>150</v>
      </c>
      <c r="AN46" s="63">
        <f>TRONCONS_V2!AD44</f>
        <v>54</v>
      </c>
      <c r="AQ46" s="60" t="s">
        <v>1345</v>
      </c>
      <c r="AR46" s="63" t="str">
        <f>TRONCONS_V2!AN44</f>
        <v>N85_N86</v>
      </c>
      <c r="AS46" s="63">
        <f>TRONCONS_V2!AO44</f>
        <v>119.923</v>
      </c>
      <c r="AT46" s="69">
        <f t="shared" si="16"/>
        <v>0.119923</v>
      </c>
      <c r="AU46" s="63">
        <v>1</v>
      </c>
      <c r="AV46" s="63">
        <f t="shared" si="17"/>
        <v>0.119923</v>
      </c>
      <c r="AW46" s="63">
        <f t="shared" si="3"/>
        <v>0.3908556675631582</v>
      </c>
      <c r="AX46" s="63">
        <f t="shared" si="18"/>
        <v>390.85566756315819</v>
      </c>
      <c r="AY46" s="63" cm="1">
        <f t="array" ref="AY46">IFERROR(INDEX(REF_TABLE!$G$7:$G$32,MATCH(AX46,REF_TABLE!$G$7:$G$32,1)+1),"Aucune valeur supérieure")</f>
        <v>400</v>
      </c>
      <c r="AZ46" s="63">
        <v>150</v>
      </c>
      <c r="BA46" s="63">
        <f>TRONCONS_V2!AM44</f>
        <v>73</v>
      </c>
      <c r="BF46" s="60" t="s">
        <v>1345</v>
      </c>
      <c r="BG46" s="63" t="str">
        <f>TRONCONS_V2!V44</f>
        <v>N64_N65</v>
      </c>
      <c r="BH46" s="63">
        <f>TRONCONS_V2!W44</f>
        <v>32.837000000000003</v>
      </c>
      <c r="BI46" s="69">
        <f t="shared" si="19"/>
        <v>3.2837000000000005E-2</v>
      </c>
      <c r="BJ46" s="63">
        <v>1</v>
      </c>
      <c r="BK46" s="63">
        <f t="shared" si="20"/>
        <v>3.2837000000000005E-2</v>
      </c>
      <c r="BL46" s="63">
        <f t="shared" si="4"/>
        <v>0.20452523865872313</v>
      </c>
      <c r="BM46" s="63">
        <f t="shared" si="21"/>
        <v>204.52523865872314</v>
      </c>
      <c r="BN46" s="63" cm="1">
        <f t="array" ref="BN46">IFERROR(INDEX(REF_TABLE!$G$7:$G$32,MATCH(BM46,REF_TABLE!$G$7:$G$32,1)+1),"Aucune valeur supérieure")</f>
        <v>250</v>
      </c>
      <c r="BO46" s="63">
        <v>150</v>
      </c>
      <c r="BP46" s="63">
        <f>TRONCONS_V2!U44</f>
        <v>73</v>
      </c>
      <c r="BS46" s="60" t="s">
        <v>1345</v>
      </c>
      <c r="BT46" s="63" t="str">
        <f>TRONCONS_V2!M44</f>
        <v>N109_N110</v>
      </c>
      <c r="BU46" s="63">
        <f>TRONCONS_V2!N44</f>
        <v>83.28</v>
      </c>
      <c r="BV46" s="69">
        <f t="shared" si="22"/>
        <v>8.3280000000000007E-2</v>
      </c>
      <c r="BW46" s="63">
        <v>1</v>
      </c>
      <c r="BX46" s="63">
        <f t="shared" si="23"/>
        <v>8.3280000000000007E-2</v>
      </c>
      <c r="BY46" s="63">
        <f t="shared" si="5"/>
        <v>0.32571332790434337</v>
      </c>
      <c r="BZ46" s="63">
        <f t="shared" si="24"/>
        <v>325.71332790434337</v>
      </c>
      <c r="CA46" s="63" cm="1">
        <f t="array" ref="CA46">IFERROR(INDEX(REF_TABLE!$G$7:$G$32,MATCH(BZ46,REF_TABLE!$G$7:$G$32,1)+1),"Aucune valeur supérieure")</f>
        <v>350</v>
      </c>
      <c r="CB46" s="63">
        <v>150</v>
      </c>
      <c r="CC46" s="63">
        <f>TRONCONS_V2!L44</f>
        <v>260</v>
      </c>
    </row>
    <row r="47" spans="4:94" x14ac:dyDescent="0.25">
      <c r="D47" s="60" t="s">
        <v>1460</v>
      </c>
      <c r="E47" s="60" t="s">
        <v>285</v>
      </c>
      <c r="F47" s="63">
        <f>TRONCONS_V2!AW45</f>
        <v>84</v>
      </c>
      <c r="G47" s="69">
        <f t="shared" si="7"/>
        <v>8.4000000000000005E-2</v>
      </c>
      <c r="H47" s="63">
        <v>1</v>
      </c>
      <c r="I47" s="63">
        <f t="shared" si="8"/>
        <v>8.4000000000000005E-2</v>
      </c>
      <c r="J47" s="63">
        <f t="shared" si="0"/>
        <v>0.32711828048391239</v>
      </c>
      <c r="K47" s="63">
        <f t="shared" si="9"/>
        <v>327.11828048391237</v>
      </c>
      <c r="L47" s="63" cm="1">
        <f t="array" ref="L47">IFERROR(INDEX(REF_TABLE!$G$7:$G$32,MATCH(K47,REF_TABLE!$G$7:$G$32,1)+1),"Aucune valeur supérieure")</f>
        <v>350</v>
      </c>
      <c r="M47" s="63">
        <v>150</v>
      </c>
      <c r="N47" s="60">
        <v>84</v>
      </c>
      <c r="Q47" s="60" t="s">
        <v>1345</v>
      </c>
      <c r="R47" s="63" t="str">
        <f>TRONCONS_V2!BG45</f>
        <v>N158_N159</v>
      </c>
      <c r="S47" s="63">
        <f>TRONCONS_V2!BH45</f>
        <v>29.029</v>
      </c>
      <c r="T47" s="69">
        <f t="shared" si="10"/>
        <v>2.9028999999999999E-2</v>
      </c>
      <c r="U47" s="63">
        <v>1</v>
      </c>
      <c r="V47" s="63">
        <f t="shared" si="11"/>
        <v>2.9028999999999999E-2</v>
      </c>
      <c r="W47" s="63">
        <f t="shared" si="1"/>
        <v>0.19230085240163367</v>
      </c>
      <c r="X47" s="63">
        <f t="shared" si="12"/>
        <v>192.30085240163368</v>
      </c>
      <c r="Y47" s="63" cm="1">
        <f t="array" ref="Y47">IFERROR(INDEX(REF_TABLE!$G$7:$G$32,MATCH(X47,REF_TABLE!$G$7:$G$32,1)+1),"Aucune valeur supérieure")</f>
        <v>200</v>
      </c>
      <c r="Z47" s="63">
        <v>150</v>
      </c>
      <c r="AA47" s="63">
        <f>TRONCONS_V2!BF45</f>
        <v>83</v>
      </c>
      <c r="AD47" s="60" t="s">
        <v>1345</v>
      </c>
      <c r="AE47" s="63" t="str">
        <f>TRONCONS_V2!AE45</f>
        <v>N134_N135</v>
      </c>
      <c r="AF47" s="63">
        <f>TRONCONS_V2!AF45</f>
        <v>58.058</v>
      </c>
      <c r="AG47" s="69">
        <f t="shared" si="13"/>
        <v>5.8057999999999998E-2</v>
      </c>
      <c r="AH47" s="63">
        <v>1</v>
      </c>
      <c r="AI47" s="63">
        <f t="shared" si="14"/>
        <v>5.8057999999999998E-2</v>
      </c>
      <c r="AJ47" s="63">
        <f t="shared" si="2"/>
        <v>0.27195447352229712</v>
      </c>
      <c r="AK47" s="63">
        <f t="shared" si="15"/>
        <v>271.95447352229712</v>
      </c>
      <c r="AL47" s="63" cm="1">
        <f t="array" ref="AL47">IFERROR(INDEX(REF_TABLE!$G$7:$G$32,MATCH(AK47,REF_TABLE!$G$7:$G$32,1)+1),"Aucune valeur supérieure")</f>
        <v>300</v>
      </c>
      <c r="AM47" s="63">
        <v>150</v>
      </c>
      <c r="AN47" s="63">
        <f>TRONCONS_V2!AD45</f>
        <v>93</v>
      </c>
      <c r="AQ47" s="60" t="s">
        <v>1345</v>
      </c>
      <c r="AR47" s="63" t="str">
        <f>TRONCONS_V2!AN45</f>
        <v>N86_N87</v>
      </c>
      <c r="AS47" s="63">
        <f>TRONCONS_V2!AO45</f>
        <v>119.923</v>
      </c>
      <c r="AT47" s="69">
        <f t="shared" si="16"/>
        <v>0.119923</v>
      </c>
      <c r="AU47" s="63">
        <v>1</v>
      </c>
      <c r="AV47" s="63">
        <f t="shared" si="17"/>
        <v>0.119923</v>
      </c>
      <c r="AW47" s="63">
        <f t="shared" si="3"/>
        <v>0.3908556675631582</v>
      </c>
      <c r="AX47" s="63">
        <f t="shared" si="18"/>
        <v>390.85566756315819</v>
      </c>
      <c r="AY47" s="63" cm="1">
        <f t="array" ref="AY47">IFERROR(INDEX(REF_TABLE!$G$7:$G$32,MATCH(AX47,REF_TABLE!$G$7:$G$32,1)+1),"Aucune valeur supérieure")</f>
        <v>400</v>
      </c>
      <c r="AZ47" s="63">
        <v>150</v>
      </c>
      <c r="BA47" s="63">
        <f>TRONCONS_V2!AM45</f>
        <v>77</v>
      </c>
      <c r="BF47" s="60" t="s">
        <v>1345</v>
      </c>
      <c r="BG47" s="63" t="str">
        <f>TRONCONS_V2!V45</f>
        <v>N65_N66</v>
      </c>
      <c r="BH47" s="63">
        <f>TRONCONS_V2!W45</f>
        <v>32.837000000000003</v>
      </c>
      <c r="BI47" s="69">
        <f t="shared" si="19"/>
        <v>3.2837000000000005E-2</v>
      </c>
      <c r="BJ47" s="63">
        <v>1</v>
      </c>
      <c r="BK47" s="63">
        <f t="shared" si="20"/>
        <v>3.2837000000000005E-2</v>
      </c>
      <c r="BL47" s="63">
        <f t="shared" si="4"/>
        <v>0.20452523865872313</v>
      </c>
      <c r="BM47" s="63">
        <f t="shared" si="21"/>
        <v>204.52523865872314</v>
      </c>
      <c r="BN47" s="63" cm="1">
        <f t="array" ref="BN47">IFERROR(INDEX(REF_TABLE!$G$7:$G$32,MATCH(BM47,REF_TABLE!$G$7:$G$32,1)+1),"Aucune valeur supérieure")</f>
        <v>250</v>
      </c>
      <c r="BO47" s="63">
        <v>150</v>
      </c>
      <c r="BP47" s="63">
        <f>TRONCONS_V2!U45</f>
        <v>65</v>
      </c>
      <c r="BS47" s="60" t="s">
        <v>1345</v>
      </c>
      <c r="BT47" s="63" t="str">
        <f>TRONCONS_V2!M45</f>
        <v>N110_N121</v>
      </c>
      <c r="BU47" s="63">
        <f>TRONCONS_V2!N45</f>
        <v>83.28</v>
      </c>
      <c r="BV47" s="69">
        <f t="shared" si="22"/>
        <v>8.3280000000000007E-2</v>
      </c>
      <c r="BW47" s="63">
        <v>1</v>
      </c>
      <c r="BX47" s="63">
        <f t="shared" si="23"/>
        <v>8.3280000000000007E-2</v>
      </c>
      <c r="BY47" s="63">
        <f t="shared" si="5"/>
        <v>0.32571332790434337</v>
      </c>
      <c r="BZ47" s="63">
        <f t="shared" si="24"/>
        <v>325.71332790434337</v>
      </c>
      <c r="CA47" s="63" cm="1">
        <f t="array" ref="CA47">IFERROR(INDEX(REF_TABLE!$G$7:$G$32,MATCH(BZ47,REF_TABLE!$G$7:$G$32,1)+1),"Aucune valeur supérieure")</f>
        <v>350</v>
      </c>
      <c r="CB47" s="63">
        <v>150</v>
      </c>
      <c r="CC47" s="63">
        <f>TRONCONS_V2!L45</f>
        <v>81</v>
      </c>
    </row>
    <row r="48" spans="4:94" x14ac:dyDescent="0.25">
      <c r="D48" s="60" t="s">
        <v>1460</v>
      </c>
      <c r="E48" s="60" t="s">
        <v>284</v>
      </c>
      <c r="F48" s="63">
        <f>TRONCONS_V2!AW46</f>
        <v>78</v>
      </c>
      <c r="G48" s="69">
        <f t="shared" si="7"/>
        <v>7.8E-2</v>
      </c>
      <c r="H48" s="63">
        <v>1</v>
      </c>
      <c r="I48" s="63">
        <f t="shared" si="8"/>
        <v>7.8E-2</v>
      </c>
      <c r="J48" s="63">
        <f t="shared" si="0"/>
        <v>0.31521906243887082</v>
      </c>
      <c r="K48" s="63">
        <f t="shared" si="9"/>
        <v>315.21906243887082</v>
      </c>
      <c r="L48" s="63" cm="1">
        <f t="array" ref="L48">IFERROR(INDEX(REF_TABLE!$G$7:$G$32,MATCH(K48,REF_TABLE!$G$7:$G$32,1)+1),"Aucune valeur supérieure")</f>
        <v>350</v>
      </c>
      <c r="M48" s="63">
        <v>150</v>
      </c>
      <c r="N48" s="60">
        <v>78</v>
      </c>
      <c r="Q48" s="60" t="s">
        <v>1345</v>
      </c>
      <c r="R48" s="63" t="str">
        <f>TRONCONS_V2!BG46</f>
        <v>N159_N160</v>
      </c>
      <c r="S48" s="63">
        <f>TRONCONS_V2!BH46</f>
        <v>29.029</v>
      </c>
      <c r="T48" s="69">
        <f t="shared" si="10"/>
        <v>2.9028999999999999E-2</v>
      </c>
      <c r="U48" s="63">
        <v>1</v>
      </c>
      <c r="V48" s="63">
        <f t="shared" si="11"/>
        <v>2.9028999999999999E-2</v>
      </c>
      <c r="W48" s="63">
        <f t="shared" si="1"/>
        <v>0.19230085240163367</v>
      </c>
      <c r="X48" s="63">
        <f t="shared" si="12"/>
        <v>192.30085240163368</v>
      </c>
      <c r="Y48" s="63" cm="1">
        <f t="array" ref="Y48">IFERROR(INDEX(REF_TABLE!$G$7:$G$32,MATCH(X48,REF_TABLE!$G$7:$G$32,1)+1),"Aucune valeur supérieure")</f>
        <v>200</v>
      </c>
      <c r="Z48" s="63">
        <v>150</v>
      </c>
      <c r="AA48" s="63">
        <f>TRONCONS_V2!BF46</f>
        <v>84</v>
      </c>
      <c r="AQ48" s="60" t="s">
        <v>1345</v>
      </c>
      <c r="AR48" s="63" t="str">
        <f>TRONCONS_V2!AN46</f>
        <v>N87_N88</v>
      </c>
      <c r="AS48" s="63">
        <f>TRONCONS_V2!AO46</f>
        <v>119.923</v>
      </c>
      <c r="AT48" s="69">
        <f t="shared" si="16"/>
        <v>0.119923</v>
      </c>
      <c r="AU48" s="63">
        <v>1</v>
      </c>
      <c r="AV48" s="63">
        <f t="shared" si="17"/>
        <v>0.119923</v>
      </c>
      <c r="AW48" s="63">
        <f t="shared" si="3"/>
        <v>0.3908556675631582</v>
      </c>
      <c r="AX48" s="63">
        <f t="shared" si="18"/>
        <v>390.85566756315819</v>
      </c>
      <c r="AY48" s="63" cm="1">
        <f t="array" ref="AY48">IFERROR(INDEX(REF_TABLE!$G$7:$G$32,MATCH(AX48,REF_TABLE!$G$7:$G$32,1)+1),"Aucune valeur supérieure")</f>
        <v>400</v>
      </c>
      <c r="AZ48" s="63">
        <v>150</v>
      </c>
      <c r="BA48" s="63">
        <f>TRONCONS_V2!AM46</f>
        <v>250</v>
      </c>
      <c r="BF48" s="60" t="s">
        <v>1345</v>
      </c>
      <c r="BG48" s="63" t="str">
        <f>TRONCONS_V2!V46</f>
        <v>N66_N67</v>
      </c>
      <c r="BH48" s="63">
        <f>TRONCONS_V2!W46</f>
        <v>32.837000000000003</v>
      </c>
      <c r="BI48" s="69">
        <f t="shared" si="19"/>
        <v>3.2837000000000005E-2</v>
      </c>
      <c r="BJ48" s="63">
        <v>1</v>
      </c>
      <c r="BK48" s="63">
        <f t="shared" si="20"/>
        <v>3.2837000000000005E-2</v>
      </c>
      <c r="BL48" s="63">
        <f t="shared" si="4"/>
        <v>0.20452523865872313</v>
      </c>
      <c r="BM48" s="63">
        <f t="shared" si="21"/>
        <v>204.52523865872314</v>
      </c>
      <c r="BN48" s="63" cm="1">
        <f t="array" ref="BN48">IFERROR(INDEX(REF_TABLE!$G$7:$G$32,MATCH(BM48,REF_TABLE!$G$7:$G$32,1)+1),"Aucune valeur supérieure")</f>
        <v>250</v>
      </c>
      <c r="BO48" s="63">
        <v>150</v>
      </c>
      <c r="BP48" s="63">
        <f>TRONCONS_V2!U46</f>
        <v>45</v>
      </c>
      <c r="BS48" s="60" t="s">
        <v>1460</v>
      </c>
      <c r="BT48" s="63" t="str">
        <f>TRONCONS_V2!M46</f>
        <v>N111_N112</v>
      </c>
      <c r="BU48" s="63">
        <f>TRONCONS_V2!N46</f>
        <v>32.837000000000003</v>
      </c>
      <c r="BV48" s="69">
        <f t="shared" si="22"/>
        <v>3.2837000000000005E-2</v>
      </c>
      <c r="BW48" s="63">
        <v>1</v>
      </c>
      <c r="BX48" s="63">
        <f t="shared" si="23"/>
        <v>3.2837000000000005E-2</v>
      </c>
      <c r="BY48" s="63">
        <f t="shared" si="5"/>
        <v>0.20452523865872313</v>
      </c>
      <c r="BZ48" s="63">
        <f t="shared" si="24"/>
        <v>204.52523865872314</v>
      </c>
      <c r="CA48" s="63" cm="1">
        <f t="array" ref="CA48">IFERROR(INDEX(REF_TABLE!$G$7:$G$32,MATCH(BZ48,REF_TABLE!$G$7:$G$32,1)+1),"Aucune valeur supérieure")</f>
        <v>250</v>
      </c>
      <c r="CB48" s="63">
        <v>150</v>
      </c>
      <c r="CC48" s="63">
        <f>TRONCONS_V2!L46</f>
        <v>234</v>
      </c>
    </row>
    <row r="49" spans="4:81" x14ac:dyDescent="0.25">
      <c r="D49" s="60" t="s">
        <v>1460</v>
      </c>
      <c r="E49" s="60" t="s">
        <v>283</v>
      </c>
      <c r="F49" s="63">
        <f>TRONCONS_V2!AW47</f>
        <v>151</v>
      </c>
      <c r="G49" s="69">
        <f t="shared" si="7"/>
        <v>0.151</v>
      </c>
      <c r="H49" s="63">
        <v>1</v>
      </c>
      <c r="I49" s="63">
        <f t="shared" si="8"/>
        <v>0.151</v>
      </c>
      <c r="J49" s="63">
        <f t="shared" si="0"/>
        <v>0.43858486966388749</v>
      </c>
      <c r="K49" s="63">
        <f t="shared" si="9"/>
        <v>438.5848696638875</v>
      </c>
      <c r="L49" s="63" cm="1">
        <f t="array" ref="L49">IFERROR(INDEX(REF_TABLE!$G$7:$G$32,MATCH(K49,REF_TABLE!$G$7:$G$32,1)+1),"Aucune valeur supérieure")</f>
        <v>466</v>
      </c>
      <c r="M49" s="63">
        <v>150</v>
      </c>
      <c r="N49" s="60">
        <v>151</v>
      </c>
      <c r="Q49" s="60" t="s">
        <v>1345</v>
      </c>
      <c r="R49" s="63" t="str">
        <f>TRONCONS_V2!BG47</f>
        <v>N160_N161</v>
      </c>
      <c r="S49" s="63">
        <f>TRONCONS_V2!BH47</f>
        <v>29.029</v>
      </c>
      <c r="T49" s="69">
        <f t="shared" si="10"/>
        <v>2.9028999999999999E-2</v>
      </c>
      <c r="U49" s="63">
        <v>1</v>
      </c>
      <c r="V49" s="63">
        <f t="shared" si="11"/>
        <v>2.9028999999999999E-2</v>
      </c>
      <c r="W49" s="63">
        <f t="shared" si="1"/>
        <v>0.19230085240163367</v>
      </c>
      <c r="X49" s="63">
        <f t="shared" si="12"/>
        <v>192.30085240163368</v>
      </c>
      <c r="Y49" s="63" cm="1">
        <f t="array" ref="Y49">IFERROR(INDEX(REF_TABLE!$G$7:$G$32,MATCH(X49,REF_TABLE!$G$7:$G$32,1)+1),"Aucune valeur supérieure")</f>
        <v>200</v>
      </c>
      <c r="Z49" s="63">
        <v>150</v>
      </c>
      <c r="AA49" s="63">
        <f>TRONCONS_V2!BF47</f>
        <v>78</v>
      </c>
      <c r="AQ49" s="60" t="s">
        <v>1345</v>
      </c>
      <c r="AR49" s="63" t="str">
        <f>TRONCONS_V2!AN47</f>
        <v>N88_N89</v>
      </c>
      <c r="AS49" s="63">
        <f>TRONCONS_V2!AO47</f>
        <v>119.923</v>
      </c>
      <c r="AT49" s="69">
        <f t="shared" si="16"/>
        <v>0.119923</v>
      </c>
      <c r="AU49" s="63">
        <v>1</v>
      </c>
      <c r="AV49" s="63">
        <f t="shared" si="17"/>
        <v>0.119923</v>
      </c>
      <c r="AW49" s="63">
        <f t="shared" si="3"/>
        <v>0.3908556675631582</v>
      </c>
      <c r="AX49" s="63">
        <f t="shared" si="18"/>
        <v>390.85566756315819</v>
      </c>
      <c r="AY49" s="63" cm="1">
        <f t="array" ref="AY49">IFERROR(INDEX(REF_TABLE!$G$7:$G$32,MATCH(AX49,REF_TABLE!$G$7:$G$32,1)+1),"Aucune valeur supérieure")</f>
        <v>400</v>
      </c>
      <c r="AZ49" s="63">
        <v>150</v>
      </c>
      <c r="BA49" s="63">
        <f>TRONCONS_V2!AM47</f>
        <v>63</v>
      </c>
      <c r="BF49" s="60" t="s">
        <v>1345</v>
      </c>
      <c r="BG49" s="63" t="str">
        <f>TRONCONS_V2!V47</f>
        <v>N67_N68</v>
      </c>
      <c r="BH49" s="63">
        <f>TRONCONS_V2!W47</f>
        <v>32.837000000000003</v>
      </c>
      <c r="BI49" s="69">
        <f t="shared" si="19"/>
        <v>3.2837000000000005E-2</v>
      </c>
      <c r="BJ49" s="63">
        <v>1</v>
      </c>
      <c r="BK49" s="63">
        <f t="shared" si="20"/>
        <v>3.2837000000000005E-2</v>
      </c>
      <c r="BL49" s="63">
        <f t="shared" si="4"/>
        <v>0.20452523865872313</v>
      </c>
      <c r="BM49" s="63">
        <f t="shared" si="21"/>
        <v>204.52523865872314</v>
      </c>
      <c r="BN49" s="63" cm="1">
        <f t="array" ref="BN49">IFERROR(INDEX(REF_TABLE!$G$7:$G$32,MATCH(BM49,REF_TABLE!$G$7:$G$32,1)+1),"Aucune valeur supérieure")</f>
        <v>250</v>
      </c>
      <c r="BO49" s="63">
        <v>150</v>
      </c>
      <c r="BP49" s="63">
        <f>TRONCONS_V2!U47</f>
        <v>100</v>
      </c>
      <c r="BS49" s="60" t="s">
        <v>1460</v>
      </c>
      <c r="BT49" s="63" t="str">
        <f>TRONCONS_V2!M47</f>
        <v>N112_N113</v>
      </c>
      <c r="BU49" s="63">
        <f>TRONCONS_V2!N47</f>
        <v>32.837000000000003</v>
      </c>
      <c r="BV49" s="69">
        <f t="shared" si="22"/>
        <v>3.2837000000000005E-2</v>
      </c>
      <c r="BW49" s="63">
        <v>1</v>
      </c>
      <c r="BX49" s="63">
        <f t="shared" si="23"/>
        <v>3.2837000000000005E-2</v>
      </c>
      <c r="BY49" s="63">
        <f t="shared" si="5"/>
        <v>0.20452523865872313</v>
      </c>
      <c r="BZ49" s="63">
        <f t="shared" si="24"/>
        <v>204.52523865872314</v>
      </c>
      <c r="CA49" s="63" cm="1">
        <f t="array" ref="CA49">IFERROR(INDEX(REF_TABLE!$G$7:$G$32,MATCH(BZ49,REF_TABLE!$G$7:$G$32,1)+1),"Aucune valeur supérieure")</f>
        <v>250</v>
      </c>
      <c r="CB49" s="63">
        <v>150</v>
      </c>
      <c r="CC49" s="63">
        <f>TRONCONS_V2!L47</f>
        <v>74</v>
      </c>
    </row>
    <row r="50" spans="4:81" x14ac:dyDescent="0.25">
      <c r="D50" s="60" t="s">
        <v>1460</v>
      </c>
      <c r="E50" s="60" t="s">
        <v>280</v>
      </c>
      <c r="F50" s="63">
        <f>TRONCONS_V2!AW48</f>
        <v>54</v>
      </c>
      <c r="G50" s="69">
        <f t="shared" si="7"/>
        <v>5.3999999999999999E-2</v>
      </c>
      <c r="H50" s="63">
        <v>1</v>
      </c>
      <c r="I50" s="63">
        <f t="shared" si="8"/>
        <v>5.3999999999999999E-2</v>
      </c>
      <c r="J50" s="63">
        <f t="shared" si="0"/>
        <v>0.26227811368316162</v>
      </c>
      <c r="K50" s="63">
        <f t="shared" si="9"/>
        <v>262.27811368316162</v>
      </c>
      <c r="L50" s="63" cm="1">
        <f t="array" ref="L50">IFERROR(INDEX(REF_TABLE!$G$7:$G$32,MATCH(K50,REF_TABLE!$G$7:$G$32,1)+1),"Aucune valeur supérieure")</f>
        <v>300</v>
      </c>
      <c r="M50" s="63">
        <v>150</v>
      </c>
      <c r="N50" s="60">
        <v>54</v>
      </c>
      <c r="Q50" s="60" t="s">
        <v>1345</v>
      </c>
      <c r="R50" s="63" t="str">
        <f>TRONCONS_V2!BG48</f>
        <v>N161_N162</v>
      </c>
      <c r="S50" s="63">
        <f>TRONCONS_V2!BH48</f>
        <v>29.029</v>
      </c>
      <c r="T50" s="69">
        <f t="shared" si="10"/>
        <v>2.9028999999999999E-2</v>
      </c>
      <c r="U50" s="63">
        <v>1</v>
      </c>
      <c r="V50" s="63">
        <f t="shared" si="11"/>
        <v>2.9028999999999999E-2</v>
      </c>
      <c r="W50" s="63">
        <f t="shared" si="1"/>
        <v>0.19230085240163367</v>
      </c>
      <c r="X50" s="63">
        <f t="shared" si="12"/>
        <v>192.30085240163368</v>
      </c>
      <c r="Y50" s="63" cm="1">
        <f t="array" ref="Y50">IFERROR(INDEX(REF_TABLE!$G$7:$G$32,MATCH(X50,REF_TABLE!$G$7:$G$32,1)+1),"Aucune valeur supérieure")</f>
        <v>200</v>
      </c>
      <c r="Z50" s="63">
        <v>150</v>
      </c>
      <c r="AA50" s="63">
        <f>TRONCONS_V2!BF48</f>
        <v>151</v>
      </c>
      <c r="AQ50" s="60" t="s">
        <v>1345</v>
      </c>
      <c r="AR50" s="63" t="str">
        <f>TRONCONS_V2!AN48</f>
        <v>N89_N90</v>
      </c>
      <c r="AS50" s="63">
        <f>TRONCONS_V2!AO48</f>
        <v>119.923</v>
      </c>
      <c r="AT50" s="69">
        <f t="shared" si="16"/>
        <v>0.119923</v>
      </c>
      <c r="AU50" s="63">
        <v>1</v>
      </c>
      <c r="AV50" s="63">
        <f t="shared" si="17"/>
        <v>0.119923</v>
      </c>
      <c r="AW50" s="63">
        <f t="shared" si="3"/>
        <v>0.3908556675631582</v>
      </c>
      <c r="AX50" s="63">
        <f t="shared" si="18"/>
        <v>390.85566756315819</v>
      </c>
      <c r="AY50" s="63" cm="1">
        <f t="array" ref="AY50">IFERROR(INDEX(REF_TABLE!$G$7:$G$32,MATCH(AX50,REF_TABLE!$G$7:$G$32,1)+1),"Aucune valeur supérieure")</f>
        <v>400</v>
      </c>
      <c r="AZ50" s="63">
        <v>150</v>
      </c>
      <c r="BA50" s="63">
        <f>TRONCONS_V2!AM48</f>
        <v>41</v>
      </c>
      <c r="BF50" s="60" t="s">
        <v>1345</v>
      </c>
      <c r="BG50" s="63" t="str">
        <f>TRONCONS_V2!V48</f>
        <v>N68_N69</v>
      </c>
      <c r="BH50" s="63">
        <f>TRONCONS_V2!W48</f>
        <v>32.835999999999999</v>
      </c>
      <c r="BI50" s="69">
        <f t="shared" si="19"/>
        <v>3.2835999999999997E-2</v>
      </c>
      <c r="BJ50" s="63">
        <v>1</v>
      </c>
      <c r="BK50" s="63">
        <f t="shared" si="20"/>
        <v>3.2835999999999997E-2</v>
      </c>
      <c r="BL50" s="63">
        <f t="shared" si="4"/>
        <v>0.20452212438525402</v>
      </c>
      <c r="BM50" s="63">
        <f t="shared" si="21"/>
        <v>204.52212438525402</v>
      </c>
      <c r="BN50" s="63" cm="1">
        <f t="array" ref="BN50">IFERROR(INDEX(REF_TABLE!$G$7:$G$32,MATCH(BM50,REF_TABLE!$G$7:$G$32,1)+1),"Aucune valeur supérieure")</f>
        <v>250</v>
      </c>
      <c r="BO50" s="63">
        <v>150</v>
      </c>
      <c r="BP50" s="63">
        <f>TRONCONS_V2!U48</f>
        <v>202</v>
      </c>
      <c r="BS50" s="60" t="s">
        <v>1460</v>
      </c>
      <c r="BT50" s="63" t="str">
        <f>TRONCONS_V2!M48</f>
        <v>N113_N114</v>
      </c>
      <c r="BU50" s="63">
        <f>TRONCONS_V2!N48</f>
        <v>32.837000000000003</v>
      </c>
      <c r="BV50" s="69">
        <f t="shared" si="22"/>
        <v>3.2837000000000005E-2</v>
      </c>
      <c r="BW50" s="63">
        <v>1</v>
      </c>
      <c r="BX50" s="63">
        <f t="shared" si="23"/>
        <v>3.2837000000000005E-2</v>
      </c>
      <c r="BY50" s="63">
        <f t="shared" si="5"/>
        <v>0.20452523865872313</v>
      </c>
      <c r="BZ50" s="63">
        <f t="shared" si="24"/>
        <v>204.52523865872314</v>
      </c>
      <c r="CA50" s="63" cm="1">
        <f t="array" ref="CA50">IFERROR(INDEX(REF_TABLE!$G$7:$G$32,MATCH(BZ50,REF_TABLE!$G$7:$G$32,1)+1),"Aucune valeur supérieure")</f>
        <v>250</v>
      </c>
      <c r="CB50" s="63">
        <v>150</v>
      </c>
      <c r="CC50" s="63">
        <f>TRONCONS_V2!L48</f>
        <v>79</v>
      </c>
    </row>
    <row r="51" spans="4:81" x14ac:dyDescent="0.25">
      <c r="D51" s="60" t="s">
        <v>1460</v>
      </c>
      <c r="E51" s="60" t="s">
        <v>282</v>
      </c>
      <c r="F51" s="63">
        <f>TRONCONS_V2!AW49</f>
        <v>35</v>
      </c>
      <c r="G51" s="69">
        <f t="shared" si="7"/>
        <v>3.5000000000000003E-2</v>
      </c>
      <c r="H51" s="63">
        <v>1</v>
      </c>
      <c r="I51" s="63">
        <f t="shared" si="8"/>
        <v>3.5000000000000003E-2</v>
      </c>
      <c r="J51" s="63">
        <f t="shared" si="0"/>
        <v>0.2111539420923666</v>
      </c>
      <c r="K51" s="63">
        <f t="shared" si="9"/>
        <v>211.15394209236661</v>
      </c>
      <c r="L51" s="63" cm="1">
        <f t="array" ref="L51">IFERROR(INDEX(REF_TABLE!$G$7:$G$32,MATCH(K51,REF_TABLE!$G$7:$G$32,1)+1),"Aucune valeur supérieure")</f>
        <v>250</v>
      </c>
      <c r="M51" s="63">
        <v>150</v>
      </c>
      <c r="N51" s="60">
        <v>35</v>
      </c>
      <c r="Q51" s="60" t="s">
        <v>1345</v>
      </c>
      <c r="R51" s="63" t="str">
        <f>TRONCONS_V2!BG49</f>
        <v>N162_N163</v>
      </c>
      <c r="S51" s="63">
        <f>TRONCONS_V2!BH49</f>
        <v>29.029</v>
      </c>
      <c r="T51" s="69">
        <f t="shared" si="10"/>
        <v>2.9028999999999999E-2</v>
      </c>
      <c r="U51" s="63">
        <v>1</v>
      </c>
      <c r="V51" s="63">
        <f t="shared" si="11"/>
        <v>2.9028999999999999E-2</v>
      </c>
      <c r="W51" s="63">
        <f t="shared" si="1"/>
        <v>0.19230085240163367</v>
      </c>
      <c r="X51" s="63">
        <f t="shared" si="12"/>
        <v>192.30085240163368</v>
      </c>
      <c r="Y51" s="63" cm="1">
        <f t="array" ref="Y51">IFERROR(INDEX(REF_TABLE!$G$7:$G$32,MATCH(X51,REF_TABLE!$G$7:$G$32,1)+1),"Aucune valeur supérieure")</f>
        <v>200</v>
      </c>
      <c r="Z51" s="63">
        <v>150</v>
      </c>
      <c r="AA51" s="63">
        <f>TRONCONS_V2!BF49</f>
        <v>54</v>
      </c>
      <c r="AQ51" s="60" t="s">
        <v>1345</v>
      </c>
      <c r="AR51" s="63" t="str">
        <f>TRONCONS_V2!AN49</f>
        <v>N90_N91</v>
      </c>
      <c r="AS51" s="63">
        <f>TRONCONS_V2!AO49</f>
        <v>119.923</v>
      </c>
      <c r="AT51" s="69">
        <f t="shared" si="16"/>
        <v>0.119923</v>
      </c>
      <c r="AU51" s="63">
        <v>1</v>
      </c>
      <c r="AV51" s="63">
        <f t="shared" si="17"/>
        <v>0.119923</v>
      </c>
      <c r="AW51" s="63">
        <f t="shared" si="3"/>
        <v>0.3908556675631582</v>
      </c>
      <c r="AX51" s="63">
        <f t="shared" si="18"/>
        <v>390.85566756315819</v>
      </c>
      <c r="AY51" s="63" cm="1">
        <f t="array" ref="AY51">IFERROR(INDEX(REF_TABLE!$G$7:$G$32,MATCH(AX51,REF_TABLE!$G$7:$G$32,1)+1),"Aucune valeur supérieure")</f>
        <v>400</v>
      </c>
      <c r="AZ51" s="63">
        <v>150</v>
      </c>
      <c r="BA51" s="63">
        <f>TRONCONS_V2!AM49</f>
        <v>201</v>
      </c>
      <c r="BF51" s="60" t="s">
        <v>1460</v>
      </c>
      <c r="BG51" s="63" t="str">
        <f>TRONCONS_V2!V49</f>
        <v>R2_N41</v>
      </c>
      <c r="BH51" s="63">
        <f>TRONCONS_V2!W49</f>
        <v>98.51</v>
      </c>
      <c r="BI51" s="69">
        <f t="shared" si="19"/>
        <v>9.851E-2</v>
      </c>
      <c r="BJ51" s="63">
        <v>1</v>
      </c>
      <c r="BK51" s="63">
        <f t="shared" si="20"/>
        <v>9.851E-2</v>
      </c>
      <c r="BL51" s="63">
        <f t="shared" si="4"/>
        <v>0.35424630676955915</v>
      </c>
      <c r="BM51" s="63">
        <f t="shared" si="21"/>
        <v>354.24630676955917</v>
      </c>
      <c r="BN51" s="63" cm="1">
        <f t="array" ref="BN51">IFERROR(INDEX(REF_TABLE!$G$7:$G$32,MATCH(BM51,REF_TABLE!$G$7:$G$32,1)+1),"Aucune valeur supérieure")</f>
        <v>400</v>
      </c>
      <c r="BO51" s="63">
        <v>150</v>
      </c>
      <c r="BP51" s="63">
        <f>TRONCONS_V2!U49</f>
        <v>9</v>
      </c>
      <c r="BS51" s="60" t="s">
        <v>1460</v>
      </c>
      <c r="BT51" s="63" t="str">
        <f>TRONCONS_V2!M49</f>
        <v>N114_N115</v>
      </c>
      <c r="BU51" s="63">
        <f>TRONCONS_V2!N49</f>
        <v>32.837000000000003</v>
      </c>
      <c r="BV51" s="69">
        <f t="shared" si="22"/>
        <v>3.2837000000000005E-2</v>
      </c>
      <c r="BW51" s="63">
        <v>1</v>
      </c>
      <c r="BX51" s="63">
        <f t="shared" si="23"/>
        <v>3.2837000000000005E-2</v>
      </c>
      <c r="BY51" s="63">
        <f t="shared" si="5"/>
        <v>0.20452523865872313</v>
      </c>
      <c r="BZ51" s="63">
        <f t="shared" si="24"/>
        <v>204.52523865872314</v>
      </c>
      <c r="CA51" s="63" cm="1">
        <f t="array" ref="CA51">IFERROR(INDEX(REF_TABLE!$G$7:$G$32,MATCH(BZ51,REF_TABLE!$G$7:$G$32,1)+1),"Aucune valeur supérieure")</f>
        <v>250</v>
      </c>
      <c r="CB51" s="63">
        <v>150</v>
      </c>
      <c r="CC51" s="63">
        <f>TRONCONS_V2!L49</f>
        <v>241</v>
      </c>
    </row>
    <row r="52" spans="4:81" x14ac:dyDescent="0.25">
      <c r="D52" s="60" t="s">
        <v>1460</v>
      </c>
      <c r="E52" s="60" t="s">
        <v>430</v>
      </c>
      <c r="F52" s="63">
        <f>TRONCONS_V2!AW50</f>
        <v>88</v>
      </c>
      <c r="G52" s="69">
        <f t="shared" si="7"/>
        <v>8.7999999999999995E-2</v>
      </c>
      <c r="H52" s="63">
        <v>1</v>
      </c>
      <c r="I52" s="63">
        <f t="shared" si="8"/>
        <v>8.7999999999999995E-2</v>
      </c>
      <c r="J52" s="63">
        <f t="shared" si="0"/>
        <v>0.33481623441527664</v>
      </c>
      <c r="K52" s="63">
        <f t="shared" si="9"/>
        <v>334.81623441527665</v>
      </c>
      <c r="L52" s="63" cm="1">
        <f t="array" ref="L52">IFERROR(INDEX(REF_TABLE!$G$7:$G$32,MATCH(K52,REF_TABLE!$G$7:$G$32,1)+1),"Aucune valeur supérieure")</f>
        <v>350</v>
      </c>
      <c r="M52" s="63">
        <v>150</v>
      </c>
      <c r="N52" s="60">
        <v>88</v>
      </c>
      <c r="Q52" s="60" t="s">
        <v>1345</v>
      </c>
      <c r="R52" s="63" t="str">
        <f>TRONCONS_V2!BG50</f>
        <v>N163_N164</v>
      </c>
      <c r="S52" s="63">
        <f>TRONCONS_V2!BH50</f>
        <v>29.029</v>
      </c>
      <c r="T52" s="69">
        <f t="shared" si="10"/>
        <v>2.9028999999999999E-2</v>
      </c>
      <c r="U52" s="63">
        <v>1</v>
      </c>
      <c r="V52" s="63">
        <f t="shared" si="11"/>
        <v>2.9028999999999999E-2</v>
      </c>
      <c r="W52" s="63">
        <f t="shared" si="1"/>
        <v>0.19230085240163367</v>
      </c>
      <c r="X52" s="63">
        <f t="shared" si="12"/>
        <v>192.30085240163368</v>
      </c>
      <c r="Y52" s="63" cm="1">
        <f t="array" ref="Y52">IFERROR(INDEX(REF_TABLE!$G$7:$G$32,MATCH(X52,REF_TABLE!$G$7:$G$32,1)+1),"Aucune valeur supérieure")</f>
        <v>200</v>
      </c>
      <c r="Z52" s="63">
        <v>150</v>
      </c>
      <c r="AA52" s="63">
        <f>TRONCONS_V2!BF50</f>
        <v>35</v>
      </c>
      <c r="AQ52" s="60" t="s">
        <v>1345</v>
      </c>
      <c r="AR52" s="63" t="str">
        <f>TRONCONS_V2!AN50</f>
        <v>N91_N92</v>
      </c>
      <c r="AS52" s="63">
        <f>TRONCONS_V2!AO50</f>
        <v>119.923</v>
      </c>
      <c r="AT52" s="69">
        <f t="shared" si="16"/>
        <v>0.119923</v>
      </c>
      <c r="AU52" s="63">
        <v>1</v>
      </c>
      <c r="AV52" s="63">
        <f t="shared" si="17"/>
        <v>0.119923</v>
      </c>
      <c r="AW52" s="63">
        <f t="shared" si="3"/>
        <v>0.3908556675631582</v>
      </c>
      <c r="AX52" s="63">
        <f t="shared" si="18"/>
        <v>390.85566756315819</v>
      </c>
      <c r="AY52" s="63" cm="1">
        <f t="array" ref="AY52">IFERROR(INDEX(REF_TABLE!$G$7:$G$32,MATCH(AX52,REF_TABLE!$G$7:$G$32,1)+1),"Aucune valeur supérieure")</f>
        <v>400</v>
      </c>
      <c r="AZ52" s="63">
        <v>150</v>
      </c>
      <c r="BA52" s="63">
        <f>TRONCONS_V2!AM50</f>
        <v>129</v>
      </c>
      <c r="BS52" s="60" t="s">
        <v>1460</v>
      </c>
      <c r="BT52" s="63" t="str">
        <f>TRONCONS_V2!M50</f>
        <v>N115_N116</v>
      </c>
      <c r="BU52" s="63">
        <f>TRONCONS_V2!N50</f>
        <v>32.837000000000003</v>
      </c>
      <c r="BV52" s="69">
        <f t="shared" si="22"/>
        <v>3.2837000000000005E-2</v>
      </c>
      <c r="BW52" s="63">
        <v>1</v>
      </c>
      <c r="BX52" s="63">
        <f t="shared" si="23"/>
        <v>3.2837000000000005E-2</v>
      </c>
      <c r="BY52" s="63">
        <f t="shared" si="5"/>
        <v>0.20452523865872313</v>
      </c>
      <c r="BZ52" s="63">
        <f t="shared" si="24"/>
        <v>204.52523865872314</v>
      </c>
      <c r="CA52" s="63" cm="1">
        <f t="array" ref="CA52">IFERROR(INDEX(REF_TABLE!$G$7:$G$32,MATCH(BZ52,REF_TABLE!$G$7:$G$32,1)+1),"Aucune valeur supérieure")</f>
        <v>250</v>
      </c>
      <c r="CB52" s="63">
        <v>150</v>
      </c>
      <c r="CC52" s="63">
        <f>TRONCONS_V2!L50</f>
        <v>61</v>
      </c>
    </row>
    <row r="53" spans="4:81" x14ac:dyDescent="0.25">
      <c r="D53" s="60" t="s">
        <v>1345</v>
      </c>
      <c r="E53" s="60" t="s">
        <v>252</v>
      </c>
      <c r="F53" s="63">
        <f>TRONCONS_V2!AW51</f>
        <v>230</v>
      </c>
      <c r="G53" s="69">
        <f t="shared" si="7"/>
        <v>0.23</v>
      </c>
      <c r="H53" s="63">
        <v>1</v>
      </c>
      <c r="I53" s="63">
        <f t="shared" si="8"/>
        <v>0.23</v>
      </c>
      <c r="J53" s="63">
        <f t="shared" si="0"/>
        <v>0.54128886056637859</v>
      </c>
      <c r="K53" s="63">
        <f t="shared" si="9"/>
        <v>541.28886056637862</v>
      </c>
      <c r="L53" s="63" cm="1">
        <f t="array" ref="L53">IFERROR(INDEX(REF_TABLE!$G$7:$G$32,MATCH(K53,REF_TABLE!$G$7:$G$32,1)+1),"Aucune valeur supérieure")</f>
        <v>565</v>
      </c>
      <c r="M53" s="63">
        <v>150</v>
      </c>
      <c r="N53" s="60">
        <v>230</v>
      </c>
      <c r="Q53" s="60" t="s">
        <v>1345</v>
      </c>
      <c r="R53" s="63" t="str">
        <f>TRONCONS_V2!BG51</f>
        <v>N164_N165</v>
      </c>
      <c r="S53" s="63">
        <f>TRONCONS_V2!BH51</f>
        <v>29.029</v>
      </c>
      <c r="T53" s="69">
        <f t="shared" si="10"/>
        <v>2.9028999999999999E-2</v>
      </c>
      <c r="U53" s="63">
        <v>1</v>
      </c>
      <c r="V53" s="63">
        <f t="shared" si="11"/>
        <v>2.9028999999999999E-2</v>
      </c>
      <c r="W53" s="63">
        <f t="shared" si="1"/>
        <v>0.19230085240163367</v>
      </c>
      <c r="X53" s="63">
        <f t="shared" si="12"/>
        <v>192.30085240163368</v>
      </c>
      <c r="Y53" s="63" cm="1">
        <f t="array" ref="Y53">IFERROR(INDEX(REF_TABLE!$G$7:$G$32,MATCH(X53,REF_TABLE!$G$7:$G$32,1)+1),"Aucune valeur supérieure")</f>
        <v>200</v>
      </c>
      <c r="Z53" s="63">
        <v>150</v>
      </c>
      <c r="AA53" s="63">
        <f>TRONCONS_V2!BF51</f>
        <v>88</v>
      </c>
      <c r="AQ53" s="60" t="s">
        <v>1345</v>
      </c>
      <c r="AR53" s="63" t="str">
        <f>TRONCONS_V2!AN51</f>
        <v>N92_N93</v>
      </c>
      <c r="AS53" s="63">
        <f>TRONCONS_V2!AO51</f>
        <v>119.923</v>
      </c>
      <c r="AT53" s="69">
        <f t="shared" si="16"/>
        <v>0.119923</v>
      </c>
      <c r="AU53" s="63">
        <v>1</v>
      </c>
      <c r="AV53" s="63">
        <f t="shared" si="17"/>
        <v>0.119923</v>
      </c>
      <c r="AW53" s="63">
        <f t="shared" si="3"/>
        <v>0.3908556675631582</v>
      </c>
      <c r="AX53" s="63">
        <f t="shared" si="18"/>
        <v>390.85566756315819</v>
      </c>
      <c r="AY53" s="63" cm="1">
        <f t="array" ref="AY53">IFERROR(INDEX(REF_TABLE!$G$7:$G$32,MATCH(AX53,REF_TABLE!$G$7:$G$32,1)+1),"Aucune valeur supérieure")</f>
        <v>400</v>
      </c>
      <c r="AZ53" s="63">
        <v>150</v>
      </c>
      <c r="BA53" s="63">
        <f>TRONCONS_V2!AM51</f>
        <v>111</v>
      </c>
      <c r="BS53" s="60" t="s">
        <v>1460</v>
      </c>
      <c r="BT53" s="63" t="str">
        <f>TRONCONS_V2!M51</f>
        <v>N116_N195</v>
      </c>
      <c r="BU53" s="63">
        <f>TRONCONS_V2!N51</f>
        <v>32.837000000000003</v>
      </c>
      <c r="BV53" s="69">
        <f t="shared" si="22"/>
        <v>3.2837000000000005E-2</v>
      </c>
      <c r="BW53" s="63">
        <v>1</v>
      </c>
      <c r="BX53" s="63">
        <f t="shared" si="23"/>
        <v>3.2837000000000005E-2</v>
      </c>
      <c r="BY53" s="63">
        <f t="shared" si="5"/>
        <v>0.20452523865872313</v>
      </c>
      <c r="BZ53" s="63">
        <f t="shared" si="24"/>
        <v>204.52523865872314</v>
      </c>
      <c r="CA53" s="63" cm="1">
        <f t="array" ref="CA53">IFERROR(INDEX(REF_TABLE!$G$7:$G$32,MATCH(BZ53,REF_TABLE!$G$7:$G$32,1)+1),"Aucune valeur supérieure")</f>
        <v>250</v>
      </c>
      <c r="CB53" s="63">
        <v>150</v>
      </c>
      <c r="CC53" s="63">
        <f>TRONCONS_V2!L51</f>
        <v>76</v>
      </c>
    </row>
    <row r="54" spans="4:81" x14ac:dyDescent="0.25">
      <c r="D54" s="60" t="s">
        <v>1345</v>
      </c>
      <c r="E54" s="60" t="s">
        <v>253</v>
      </c>
      <c r="F54" s="63">
        <f>TRONCONS_V2!BH52</f>
        <v>29.029</v>
      </c>
      <c r="G54" s="69">
        <f t="shared" si="7"/>
        <v>2.9028999999999999E-2</v>
      </c>
      <c r="H54" s="63">
        <v>1</v>
      </c>
      <c r="I54" s="63">
        <f t="shared" si="8"/>
        <v>2.9028999999999999E-2</v>
      </c>
      <c r="J54" s="63">
        <f t="shared" si="0"/>
        <v>0.19230085240163367</v>
      </c>
      <c r="K54" s="63">
        <f t="shared" si="9"/>
        <v>192.30085240163368</v>
      </c>
      <c r="L54" s="63" cm="1">
        <f t="array" ref="L54">IFERROR(INDEX(REF_TABLE!$G$7:$G$32,MATCH(K54,REF_TABLE!$G$7:$G$32,1)+1),"Aucune valeur supérieure")</f>
        <v>200</v>
      </c>
      <c r="M54" s="63">
        <v>150</v>
      </c>
      <c r="N54" s="60">
        <v>145</v>
      </c>
      <c r="Q54" s="60" t="s">
        <v>1345</v>
      </c>
      <c r="R54" s="60" t="s">
        <v>253</v>
      </c>
      <c r="S54" s="60">
        <v>29.029</v>
      </c>
      <c r="T54" s="69">
        <f t="shared" si="10"/>
        <v>2.9028999999999999E-2</v>
      </c>
      <c r="U54" s="63">
        <v>1</v>
      </c>
      <c r="V54" s="63">
        <f t="shared" si="11"/>
        <v>2.9028999999999999E-2</v>
      </c>
      <c r="W54" s="63">
        <f t="shared" si="1"/>
        <v>0.19230085240163367</v>
      </c>
      <c r="X54" s="63">
        <f t="shared" si="12"/>
        <v>192.30085240163368</v>
      </c>
      <c r="Y54" s="63" cm="1">
        <f t="array" ref="Y54">IFERROR(INDEX(REF_TABLE!$G$7:$G$32,MATCH(X54,REF_TABLE!$G$7:$G$32,1)+1),"Aucune valeur supérieure")</f>
        <v>200</v>
      </c>
      <c r="Z54" s="63">
        <v>150</v>
      </c>
      <c r="AA54" s="60">
        <v>145</v>
      </c>
      <c r="AQ54" s="60" t="s">
        <v>1345</v>
      </c>
      <c r="AR54" s="60" t="s">
        <v>192</v>
      </c>
      <c r="AS54" s="63">
        <f>TRONCONS_V2!AW52</f>
        <v>145</v>
      </c>
      <c r="AT54" s="69">
        <f t="shared" si="16"/>
        <v>0.14499999999999999</v>
      </c>
      <c r="AU54" s="63">
        <v>1</v>
      </c>
      <c r="AV54" s="63">
        <f t="shared" si="17"/>
        <v>0.14499999999999999</v>
      </c>
      <c r="AW54" s="63">
        <f t="shared" si="3"/>
        <v>0.42978294032706593</v>
      </c>
      <c r="AX54" s="63">
        <f t="shared" si="18"/>
        <v>429.78294032706594</v>
      </c>
      <c r="AY54" s="63" cm="1">
        <f t="array" ref="AY54">IFERROR(INDEX(REF_TABLE!$G$7:$G$32,MATCH(AX54,REF_TABLE!$G$7:$G$32,1)+1),"Aucune valeur supérieure")</f>
        <v>466</v>
      </c>
      <c r="AZ54" s="63">
        <v>150</v>
      </c>
      <c r="BA54" s="60">
        <v>88</v>
      </c>
      <c r="BS54" s="60" t="s">
        <v>1460</v>
      </c>
      <c r="BT54" s="63" t="str">
        <f>TRONCONS_V2!M52</f>
        <v>N117_N118</v>
      </c>
      <c r="BU54" s="63">
        <f>TRONCONS_V2!N52</f>
        <v>32.837000000000003</v>
      </c>
      <c r="BV54" s="69">
        <f t="shared" si="22"/>
        <v>3.2837000000000005E-2</v>
      </c>
      <c r="BW54" s="63">
        <v>1</v>
      </c>
      <c r="BX54" s="63">
        <f t="shared" si="23"/>
        <v>3.2837000000000005E-2</v>
      </c>
      <c r="BY54" s="63">
        <f t="shared" si="5"/>
        <v>0.20452523865872313</v>
      </c>
      <c r="BZ54" s="63">
        <f t="shared" si="24"/>
        <v>204.52523865872314</v>
      </c>
      <c r="CA54" s="63" cm="1">
        <f t="array" ref="CA54">IFERROR(INDEX(REF_TABLE!$G$7:$G$32,MATCH(BZ54,REF_TABLE!$G$7:$G$32,1)+1),"Aucune valeur supérieure")</f>
        <v>250</v>
      </c>
      <c r="CB54" s="63">
        <v>150</v>
      </c>
      <c r="CC54" s="63">
        <f>TRONCONS_V2!L52</f>
        <v>132</v>
      </c>
    </row>
    <row r="55" spans="4:81" x14ac:dyDescent="0.25">
      <c r="D55" s="60" t="s">
        <v>1345</v>
      </c>
      <c r="E55" s="60" t="s">
        <v>235</v>
      </c>
      <c r="F55" s="63">
        <f>TRONCONS_V2!BH53</f>
        <v>29.029</v>
      </c>
      <c r="G55" s="69">
        <f t="shared" si="7"/>
        <v>2.9028999999999999E-2</v>
      </c>
      <c r="H55" s="63">
        <v>1</v>
      </c>
      <c r="I55" s="63">
        <f t="shared" si="8"/>
        <v>2.9028999999999999E-2</v>
      </c>
      <c r="J55" s="63">
        <f t="shared" si="0"/>
        <v>0.19230085240163367</v>
      </c>
      <c r="K55" s="63">
        <f t="shared" si="9"/>
        <v>192.30085240163368</v>
      </c>
      <c r="L55" s="63" cm="1">
        <f t="array" ref="L55">IFERROR(INDEX(REF_TABLE!$G$7:$G$32,MATCH(K55,REF_TABLE!$G$7:$G$32,1)+1),"Aucune valeur supérieure")</f>
        <v>200</v>
      </c>
      <c r="M55" s="63">
        <v>150</v>
      </c>
      <c r="N55" s="60">
        <v>129</v>
      </c>
      <c r="Q55" s="60" t="s">
        <v>1345</v>
      </c>
      <c r="R55" s="60" t="s">
        <v>235</v>
      </c>
      <c r="S55" s="60">
        <v>29.029</v>
      </c>
      <c r="T55" s="69">
        <f t="shared" si="10"/>
        <v>2.9028999999999999E-2</v>
      </c>
      <c r="U55" s="63">
        <v>1</v>
      </c>
      <c r="V55" s="63">
        <f t="shared" si="11"/>
        <v>2.9028999999999999E-2</v>
      </c>
      <c r="W55" s="63">
        <f t="shared" si="1"/>
        <v>0.19230085240163367</v>
      </c>
      <c r="X55" s="63">
        <f t="shared" si="12"/>
        <v>192.30085240163368</v>
      </c>
      <c r="Y55" s="63" cm="1">
        <f t="array" ref="Y55">IFERROR(INDEX(REF_TABLE!$G$7:$G$32,MATCH(X55,REF_TABLE!$G$7:$G$32,1)+1),"Aucune valeur supérieure")</f>
        <v>200</v>
      </c>
      <c r="Z55" s="63">
        <v>150</v>
      </c>
      <c r="AA55" s="60">
        <v>129</v>
      </c>
      <c r="AQ55" s="60" t="s">
        <v>1345</v>
      </c>
      <c r="AR55" s="60" t="s">
        <v>230</v>
      </c>
      <c r="AS55" s="63">
        <f>TRONCONS_V2!AW53</f>
        <v>129</v>
      </c>
      <c r="AT55" s="69">
        <f t="shared" si="16"/>
        <v>0.129</v>
      </c>
      <c r="AU55" s="63">
        <v>1</v>
      </c>
      <c r="AV55" s="63">
        <f t="shared" si="17"/>
        <v>0.129</v>
      </c>
      <c r="AW55" s="63">
        <f t="shared" si="3"/>
        <v>0.40537786100264872</v>
      </c>
      <c r="AX55" s="63">
        <f t="shared" si="18"/>
        <v>405.37786100264873</v>
      </c>
      <c r="AY55" s="63" cm="1">
        <f t="array" ref="AY55">IFERROR(INDEX(REF_TABLE!$G$7:$G$32,MATCH(AX55,REF_TABLE!$G$7:$G$32,1)+1),"Aucune valeur supérieure")</f>
        <v>421</v>
      </c>
      <c r="AZ55" s="63">
        <v>150</v>
      </c>
      <c r="BA55" s="60">
        <v>74</v>
      </c>
      <c r="BS55" s="60" t="s">
        <v>1460</v>
      </c>
      <c r="BT55" s="63" t="str">
        <f>TRONCONS_V2!M53</f>
        <v>N117_N195</v>
      </c>
      <c r="BU55" s="63">
        <f>TRONCONS_V2!N53</f>
        <v>32.837000000000003</v>
      </c>
      <c r="BV55" s="69">
        <f t="shared" si="22"/>
        <v>3.2837000000000005E-2</v>
      </c>
      <c r="BW55" s="63">
        <v>1</v>
      </c>
      <c r="BX55" s="63">
        <f t="shared" si="23"/>
        <v>3.2837000000000005E-2</v>
      </c>
      <c r="BY55" s="63">
        <f t="shared" si="5"/>
        <v>0.20452523865872313</v>
      </c>
      <c r="BZ55" s="63">
        <f t="shared" si="24"/>
        <v>204.52523865872314</v>
      </c>
      <c r="CA55" s="63" cm="1">
        <f t="array" ref="CA55">IFERROR(INDEX(REF_TABLE!$G$7:$G$32,MATCH(BZ55,REF_TABLE!$G$7:$G$32,1)+1),"Aucune valeur supérieure")</f>
        <v>250</v>
      </c>
      <c r="CB55" s="63">
        <v>150</v>
      </c>
      <c r="CC55" s="63">
        <f>TRONCONS_V2!L53</f>
        <v>154</v>
      </c>
    </row>
    <row r="56" spans="4:81" x14ac:dyDescent="0.25">
      <c r="D56" s="60" t="s">
        <v>1345</v>
      </c>
      <c r="E56" s="60" t="s">
        <v>236</v>
      </c>
      <c r="F56" s="63">
        <f>TRONCONS_V2!BH54</f>
        <v>29.029</v>
      </c>
      <c r="G56" s="69">
        <f t="shared" si="7"/>
        <v>2.9028999999999999E-2</v>
      </c>
      <c r="H56" s="63">
        <v>1</v>
      </c>
      <c r="I56" s="63">
        <f t="shared" si="8"/>
        <v>2.9028999999999999E-2</v>
      </c>
      <c r="J56" s="63">
        <f t="shared" si="0"/>
        <v>0.19230085240163367</v>
      </c>
      <c r="K56" s="63">
        <f t="shared" si="9"/>
        <v>192.30085240163368</v>
      </c>
      <c r="L56" s="63" cm="1">
        <f t="array" ref="L56">IFERROR(INDEX(REF_TABLE!$G$7:$G$32,MATCH(K56,REF_TABLE!$G$7:$G$32,1)+1),"Aucune valeur supérieure")</f>
        <v>200</v>
      </c>
      <c r="M56" s="63">
        <v>150</v>
      </c>
      <c r="N56" s="60">
        <v>104</v>
      </c>
      <c r="Q56" s="60" t="s">
        <v>1345</v>
      </c>
      <c r="R56" s="60" t="s">
        <v>236</v>
      </c>
      <c r="S56" s="60">
        <v>29.029</v>
      </c>
      <c r="T56" s="69">
        <f t="shared" si="10"/>
        <v>2.9028999999999999E-2</v>
      </c>
      <c r="U56" s="63">
        <v>1</v>
      </c>
      <c r="V56" s="63">
        <f t="shared" si="11"/>
        <v>2.9028999999999999E-2</v>
      </c>
      <c r="W56" s="63">
        <f t="shared" si="1"/>
        <v>0.19230085240163367</v>
      </c>
      <c r="X56" s="63">
        <f t="shared" si="12"/>
        <v>192.30085240163368</v>
      </c>
      <c r="Y56" s="63" cm="1">
        <f t="array" ref="Y56">IFERROR(INDEX(REF_TABLE!$G$7:$G$32,MATCH(X56,REF_TABLE!$G$7:$G$32,1)+1),"Aucune valeur supérieure")</f>
        <v>200</v>
      </c>
      <c r="Z56" s="63">
        <v>150</v>
      </c>
      <c r="AA56" s="60">
        <v>104</v>
      </c>
      <c r="AQ56" s="60" t="s">
        <v>1345</v>
      </c>
      <c r="AR56" s="60" t="s">
        <v>215</v>
      </c>
      <c r="AS56" s="63">
        <f>TRONCONS_V2!AW54</f>
        <v>104</v>
      </c>
      <c r="AT56" s="69">
        <f t="shared" si="16"/>
        <v>0.104</v>
      </c>
      <c r="AU56" s="63">
        <v>1</v>
      </c>
      <c r="AV56" s="63">
        <f t="shared" si="17"/>
        <v>0.104</v>
      </c>
      <c r="AW56" s="63">
        <f t="shared" si="3"/>
        <v>0.36398362110556709</v>
      </c>
      <c r="AX56" s="63">
        <f t="shared" si="18"/>
        <v>363.98362110556707</v>
      </c>
      <c r="AY56" s="63" cm="1">
        <f t="array" ref="AY56">IFERROR(INDEX(REF_TABLE!$G$7:$G$32,MATCH(AX56,REF_TABLE!$G$7:$G$32,1)+1),"Aucune valeur supérieure")</f>
        <v>400</v>
      </c>
      <c r="AZ56" s="63">
        <v>150</v>
      </c>
      <c r="BA56" s="60">
        <v>248</v>
      </c>
      <c r="BS56" s="60" t="s">
        <v>1460</v>
      </c>
      <c r="BT56" s="63" t="str">
        <f>TRONCONS_V2!M54</f>
        <v>N118_N119</v>
      </c>
      <c r="BU56" s="63">
        <f>TRONCONS_V2!N54</f>
        <v>32.837000000000003</v>
      </c>
      <c r="BV56" s="69">
        <f t="shared" si="22"/>
        <v>3.2837000000000005E-2</v>
      </c>
      <c r="BW56" s="63">
        <v>1</v>
      </c>
      <c r="BX56" s="63">
        <f t="shared" si="23"/>
        <v>3.2837000000000005E-2</v>
      </c>
      <c r="BY56" s="63">
        <f t="shared" si="5"/>
        <v>0.20452523865872313</v>
      </c>
      <c r="BZ56" s="63">
        <f t="shared" si="24"/>
        <v>204.52523865872314</v>
      </c>
      <c r="CA56" s="63" cm="1">
        <f t="array" ref="CA56">IFERROR(INDEX(REF_TABLE!$G$7:$G$32,MATCH(BZ56,REF_TABLE!$G$7:$G$32,1)+1),"Aucune valeur supérieure")</f>
        <v>250</v>
      </c>
      <c r="CB56" s="63">
        <v>150</v>
      </c>
      <c r="CC56" s="63">
        <f>TRONCONS_V2!L54</f>
        <v>212</v>
      </c>
    </row>
    <row r="57" spans="4:81" x14ac:dyDescent="0.25">
      <c r="D57" s="60" t="s">
        <v>1345</v>
      </c>
      <c r="E57" s="60" t="s">
        <v>237</v>
      </c>
      <c r="F57" s="63">
        <f>TRONCONS_V2!BH55</f>
        <v>29.029</v>
      </c>
      <c r="G57" s="69">
        <f t="shared" si="7"/>
        <v>2.9028999999999999E-2</v>
      </c>
      <c r="H57" s="63">
        <v>1</v>
      </c>
      <c r="I57" s="63">
        <f t="shared" si="8"/>
        <v>2.9028999999999999E-2</v>
      </c>
      <c r="J57" s="63">
        <f t="shared" si="0"/>
        <v>0.19230085240163367</v>
      </c>
      <c r="K57" s="63">
        <f t="shared" si="9"/>
        <v>192.30085240163368</v>
      </c>
      <c r="L57" s="63" cm="1">
        <f t="array" ref="L57">IFERROR(INDEX(REF_TABLE!$G$7:$G$32,MATCH(K57,REF_TABLE!$G$7:$G$32,1)+1),"Aucune valeur supérieure")</f>
        <v>200</v>
      </c>
      <c r="M57" s="63">
        <v>150</v>
      </c>
      <c r="N57" s="60">
        <v>79</v>
      </c>
      <c r="Q57" s="60" t="s">
        <v>1345</v>
      </c>
      <c r="R57" s="60" t="s">
        <v>237</v>
      </c>
      <c r="S57" s="60">
        <v>29.029</v>
      </c>
      <c r="T57" s="69">
        <f t="shared" si="10"/>
        <v>2.9028999999999999E-2</v>
      </c>
      <c r="U57" s="63">
        <v>1</v>
      </c>
      <c r="V57" s="63">
        <f t="shared" si="11"/>
        <v>2.9028999999999999E-2</v>
      </c>
      <c r="W57" s="63">
        <f t="shared" si="1"/>
        <v>0.19230085240163367</v>
      </c>
      <c r="X57" s="63">
        <f t="shared" si="12"/>
        <v>192.30085240163368</v>
      </c>
      <c r="Y57" s="63" cm="1">
        <f t="array" ref="Y57">IFERROR(INDEX(REF_TABLE!$G$7:$G$32,MATCH(X57,REF_TABLE!$G$7:$G$32,1)+1),"Aucune valeur supérieure")</f>
        <v>200</v>
      </c>
      <c r="Z57" s="63">
        <v>150</v>
      </c>
      <c r="AA57" s="60">
        <v>79</v>
      </c>
      <c r="AQ57" s="60" t="s">
        <v>1345</v>
      </c>
      <c r="AR57" s="60" t="s">
        <v>214</v>
      </c>
      <c r="AS57" s="63">
        <f>TRONCONS_V2!AW55</f>
        <v>79</v>
      </c>
      <c r="AT57" s="69">
        <f t="shared" si="16"/>
        <v>7.9000000000000001E-2</v>
      </c>
      <c r="AU57" s="63">
        <v>1</v>
      </c>
      <c r="AV57" s="63">
        <f t="shared" si="17"/>
        <v>7.9000000000000001E-2</v>
      </c>
      <c r="AW57" s="63">
        <f t="shared" si="3"/>
        <v>0.31723326224587362</v>
      </c>
      <c r="AX57" s="63">
        <f t="shared" si="18"/>
        <v>317.23326224587362</v>
      </c>
      <c r="AY57" s="63" cm="1">
        <f t="array" ref="AY57">IFERROR(INDEX(REF_TABLE!$G$7:$G$32,MATCH(AX57,REF_TABLE!$G$7:$G$32,1)+1),"Aucune valeur supérieure")</f>
        <v>350</v>
      </c>
      <c r="AZ57" s="63">
        <v>150</v>
      </c>
      <c r="BA57" s="60">
        <v>116</v>
      </c>
      <c r="BS57" s="60" t="s">
        <v>1460</v>
      </c>
      <c r="BT57" s="63" t="str">
        <f>TRONCONS_V2!M55</f>
        <v>N119_N120</v>
      </c>
      <c r="BU57" s="63">
        <f>TRONCONS_V2!N55</f>
        <v>32.837000000000003</v>
      </c>
      <c r="BV57" s="69">
        <f t="shared" si="22"/>
        <v>3.2837000000000005E-2</v>
      </c>
      <c r="BW57" s="63">
        <v>1</v>
      </c>
      <c r="BX57" s="63">
        <f t="shared" si="23"/>
        <v>3.2837000000000005E-2</v>
      </c>
      <c r="BY57" s="63">
        <f t="shared" si="5"/>
        <v>0.20452523865872313</v>
      </c>
      <c r="BZ57" s="63">
        <f t="shared" si="24"/>
        <v>204.52523865872314</v>
      </c>
      <c r="CA57" s="63" cm="1">
        <f t="array" ref="CA57">IFERROR(INDEX(REF_TABLE!$G$7:$G$32,MATCH(BZ57,REF_TABLE!$G$7:$G$32,1)+1),"Aucune valeur supérieure")</f>
        <v>250</v>
      </c>
      <c r="CB57" s="63">
        <v>150</v>
      </c>
      <c r="CC57" s="63">
        <f>TRONCONS_V2!L55</f>
        <v>173</v>
      </c>
    </row>
    <row r="58" spans="4:81" x14ac:dyDescent="0.25">
      <c r="D58" s="60" t="s">
        <v>1345</v>
      </c>
      <c r="E58" s="60" t="s">
        <v>238</v>
      </c>
      <c r="F58" s="63">
        <f>TRONCONS_V2!BH56</f>
        <v>29.029</v>
      </c>
      <c r="G58" s="69">
        <f t="shared" si="7"/>
        <v>2.9028999999999999E-2</v>
      </c>
      <c r="H58" s="63">
        <v>1</v>
      </c>
      <c r="I58" s="63">
        <f t="shared" si="8"/>
        <v>2.9028999999999999E-2</v>
      </c>
      <c r="J58" s="63">
        <f t="shared" si="0"/>
        <v>0.19230085240163367</v>
      </c>
      <c r="K58" s="63">
        <f t="shared" si="9"/>
        <v>192.30085240163368</v>
      </c>
      <c r="L58" s="63" cm="1">
        <f t="array" ref="L58">IFERROR(INDEX(REF_TABLE!$G$7:$G$32,MATCH(K58,REF_TABLE!$G$7:$G$32,1)+1),"Aucune valeur supérieure")</f>
        <v>200</v>
      </c>
      <c r="M58" s="63">
        <v>150</v>
      </c>
      <c r="N58" s="60">
        <v>89</v>
      </c>
      <c r="Q58" s="60" t="s">
        <v>1345</v>
      </c>
      <c r="R58" s="60" t="s">
        <v>238</v>
      </c>
      <c r="S58" s="60">
        <v>29.029</v>
      </c>
      <c r="T58" s="69">
        <f t="shared" si="10"/>
        <v>2.9028999999999999E-2</v>
      </c>
      <c r="U58" s="63">
        <v>1</v>
      </c>
      <c r="V58" s="63">
        <f t="shared" si="11"/>
        <v>2.9028999999999999E-2</v>
      </c>
      <c r="W58" s="63">
        <f t="shared" si="1"/>
        <v>0.19230085240163367</v>
      </c>
      <c r="X58" s="63">
        <f t="shared" si="12"/>
        <v>192.30085240163368</v>
      </c>
      <c r="Y58" s="63" cm="1">
        <f t="array" ref="Y58">IFERROR(INDEX(REF_TABLE!$G$7:$G$32,MATCH(X58,REF_TABLE!$G$7:$G$32,1)+1),"Aucune valeur supérieure")</f>
        <v>200</v>
      </c>
      <c r="Z58" s="63">
        <v>150</v>
      </c>
      <c r="AA58" s="60">
        <v>89</v>
      </c>
      <c r="AQ58" s="60" t="s">
        <v>1345</v>
      </c>
      <c r="AR58" s="60" t="s">
        <v>213</v>
      </c>
      <c r="AS58" s="63">
        <f>TRONCONS_V2!AW56</f>
        <v>89</v>
      </c>
      <c r="AT58" s="69">
        <f t="shared" si="16"/>
        <v>8.8999999999999996E-2</v>
      </c>
      <c r="AU58" s="63">
        <v>1</v>
      </c>
      <c r="AV58" s="63">
        <f t="shared" si="17"/>
        <v>8.8999999999999996E-2</v>
      </c>
      <c r="AW58" s="63">
        <f t="shared" si="3"/>
        <v>0.33671322542832194</v>
      </c>
      <c r="AX58" s="63">
        <f t="shared" si="18"/>
        <v>336.71322542832195</v>
      </c>
      <c r="AY58" s="63" cm="1">
        <f t="array" ref="AY58">IFERROR(INDEX(REF_TABLE!$G$7:$G$32,MATCH(AX58,REF_TABLE!$G$7:$G$32,1)+1),"Aucune valeur supérieure")</f>
        <v>350</v>
      </c>
      <c r="AZ58" s="63">
        <v>150</v>
      </c>
      <c r="BA58" s="60">
        <v>128</v>
      </c>
      <c r="BS58" s="60" t="s">
        <v>1460</v>
      </c>
      <c r="BT58" s="63" t="str">
        <f>TRONCONS_V2!M56</f>
        <v>N120_N121</v>
      </c>
      <c r="BU58" s="63">
        <f>TRONCONS_V2!N56</f>
        <v>32.835999999999999</v>
      </c>
      <c r="BV58" s="69">
        <f t="shared" si="22"/>
        <v>3.2835999999999997E-2</v>
      </c>
      <c r="BW58" s="63">
        <v>1</v>
      </c>
      <c r="BX58" s="63">
        <f t="shared" si="23"/>
        <v>3.2835999999999997E-2</v>
      </c>
      <c r="BY58" s="63">
        <f t="shared" si="5"/>
        <v>0.20452212438525402</v>
      </c>
      <c r="BZ58" s="63">
        <f t="shared" si="24"/>
        <v>204.52212438525402</v>
      </c>
      <c r="CA58" s="63" cm="1">
        <f t="array" ref="CA58">IFERROR(INDEX(REF_TABLE!$G$7:$G$32,MATCH(BZ58,REF_TABLE!$G$7:$G$32,1)+1),"Aucune valeur supérieure")</f>
        <v>250</v>
      </c>
      <c r="CB58" s="63">
        <v>150</v>
      </c>
      <c r="CC58" s="63">
        <f>TRONCONS_V2!L56</f>
        <v>133</v>
      </c>
    </row>
    <row r="59" spans="4:81" x14ac:dyDescent="0.25">
      <c r="D59" s="60" t="s">
        <v>1345</v>
      </c>
      <c r="E59" s="60" t="s">
        <v>239</v>
      </c>
      <c r="F59" s="63">
        <f>TRONCONS_V2!BH57</f>
        <v>29.029</v>
      </c>
      <c r="G59" s="69">
        <f t="shared" si="7"/>
        <v>2.9028999999999999E-2</v>
      </c>
      <c r="H59" s="63">
        <v>1</v>
      </c>
      <c r="I59" s="63">
        <f t="shared" si="8"/>
        <v>2.9028999999999999E-2</v>
      </c>
      <c r="J59" s="63">
        <f t="shared" si="0"/>
        <v>0.19230085240163367</v>
      </c>
      <c r="K59" s="63">
        <f t="shared" si="9"/>
        <v>192.30085240163368</v>
      </c>
      <c r="L59" s="63" cm="1">
        <f t="array" ref="L59">IFERROR(INDEX(REF_TABLE!$G$7:$G$32,MATCH(K59,REF_TABLE!$G$7:$G$32,1)+1),"Aucune valeur supérieure")</f>
        <v>200</v>
      </c>
      <c r="M59" s="63">
        <v>150</v>
      </c>
      <c r="N59" s="60">
        <v>89</v>
      </c>
      <c r="Q59" s="60" t="s">
        <v>1345</v>
      </c>
      <c r="R59" s="60" t="s">
        <v>239</v>
      </c>
      <c r="S59" s="60">
        <v>29.029</v>
      </c>
      <c r="T59" s="69">
        <f t="shared" si="10"/>
        <v>2.9028999999999999E-2</v>
      </c>
      <c r="U59" s="63">
        <v>1</v>
      </c>
      <c r="V59" s="63">
        <f t="shared" si="11"/>
        <v>2.9028999999999999E-2</v>
      </c>
      <c r="W59" s="63">
        <f t="shared" si="1"/>
        <v>0.19230085240163367</v>
      </c>
      <c r="X59" s="63">
        <f t="shared" si="12"/>
        <v>192.30085240163368</v>
      </c>
      <c r="Y59" s="63" cm="1">
        <f t="array" ref="Y59">IFERROR(INDEX(REF_TABLE!$G$7:$G$32,MATCH(X59,REF_TABLE!$G$7:$G$32,1)+1),"Aucune valeur supérieure")</f>
        <v>200</v>
      </c>
      <c r="Z59" s="63">
        <v>150</v>
      </c>
      <c r="AA59" s="60">
        <v>89</v>
      </c>
      <c r="AQ59" s="60" t="s">
        <v>1345</v>
      </c>
      <c r="AR59" s="60" t="s">
        <v>212</v>
      </c>
      <c r="AS59" s="63">
        <f>TRONCONS_V2!AW57</f>
        <v>89</v>
      </c>
      <c r="AT59" s="69">
        <f t="shared" si="16"/>
        <v>8.8999999999999996E-2</v>
      </c>
      <c r="AU59" s="63">
        <v>1</v>
      </c>
      <c r="AV59" s="63">
        <f t="shared" si="17"/>
        <v>8.8999999999999996E-2</v>
      </c>
      <c r="AW59" s="63">
        <f t="shared" si="3"/>
        <v>0.33671322542832194</v>
      </c>
      <c r="AX59" s="63">
        <f t="shared" si="18"/>
        <v>336.71322542832195</v>
      </c>
      <c r="AY59" s="63" cm="1">
        <f t="array" ref="AY59">IFERROR(INDEX(REF_TABLE!$G$7:$G$32,MATCH(AX59,REF_TABLE!$G$7:$G$32,1)+1),"Aucune valeur supérieure")</f>
        <v>350</v>
      </c>
      <c r="AZ59" s="63">
        <v>150</v>
      </c>
      <c r="BA59" s="60">
        <v>138</v>
      </c>
    </row>
    <row r="60" spans="4:81" x14ac:dyDescent="0.25">
      <c r="D60" s="60" t="s">
        <v>1345</v>
      </c>
      <c r="E60" s="60" t="s">
        <v>240</v>
      </c>
      <c r="F60" s="63">
        <f>TRONCONS_V2!BH58</f>
        <v>29.029</v>
      </c>
      <c r="G60" s="69">
        <f t="shared" si="7"/>
        <v>2.9028999999999999E-2</v>
      </c>
      <c r="H60" s="63">
        <v>1</v>
      </c>
      <c r="I60" s="63">
        <f t="shared" si="8"/>
        <v>2.9028999999999999E-2</v>
      </c>
      <c r="J60" s="63">
        <f t="shared" si="0"/>
        <v>0.19230085240163367</v>
      </c>
      <c r="K60" s="63">
        <f t="shared" si="9"/>
        <v>192.30085240163368</v>
      </c>
      <c r="L60" s="63" cm="1">
        <f t="array" ref="L60">IFERROR(INDEX(REF_TABLE!$G$7:$G$32,MATCH(K60,REF_TABLE!$G$7:$G$32,1)+1),"Aucune valeur supérieure")</f>
        <v>200</v>
      </c>
      <c r="M60" s="63">
        <v>150</v>
      </c>
      <c r="N60" s="60">
        <v>45</v>
      </c>
      <c r="Q60" s="60" t="s">
        <v>1345</v>
      </c>
      <c r="R60" s="60" t="s">
        <v>240</v>
      </c>
      <c r="S60" s="60">
        <v>29.029</v>
      </c>
      <c r="T60" s="69">
        <f t="shared" si="10"/>
        <v>2.9028999999999999E-2</v>
      </c>
      <c r="U60" s="63">
        <v>1</v>
      </c>
      <c r="V60" s="63">
        <f t="shared" si="11"/>
        <v>2.9028999999999999E-2</v>
      </c>
      <c r="W60" s="63">
        <f t="shared" si="1"/>
        <v>0.19230085240163367</v>
      </c>
      <c r="X60" s="63">
        <f t="shared" si="12"/>
        <v>192.30085240163368</v>
      </c>
      <c r="Y60" s="63" cm="1">
        <f t="array" ref="Y60">IFERROR(INDEX(REF_TABLE!$G$7:$G$32,MATCH(X60,REF_TABLE!$G$7:$G$32,1)+1),"Aucune valeur supérieure")</f>
        <v>200</v>
      </c>
      <c r="Z60" s="63">
        <v>150</v>
      </c>
      <c r="AA60" s="60">
        <v>45</v>
      </c>
      <c r="AQ60" s="60" t="s">
        <v>1460</v>
      </c>
      <c r="AR60" s="60" t="s">
        <v>426</v>
      </c>
      <c r="AS60" s="63">
        <f>TRONCONS_V2!AW58</f>
        <v>45</v>
      </c>
      <c r="AT60" s="69">
        <f t="shared" si="16"/>
        <v>4.4999999999999998E-2</v>
      </c>
      <c r="AU60" s="63">
        <v>1</v>
      </c>
      <c r="AV60" s="63">
        <f t="shared" si="17"/>
        <v>4.4999999999999998E-2</v>
      </c>
      <c r="AW60" s="63">
        <f t="shared" si="3"/>
        <v>0.23942606534028663</v>
      </c>
      <c r="AX60" s="63">
        <f t="shared" si="18"/>
        <v>239.42606534028661</v>
      </c>
      <c r="AY60" s="63" cm="1">
        <f t="array" ref="AY60">IFERROR(INDEX(REF_TABLE!$G$7:$G$32,MATCH(AX60,REF_TABLE!$G$7:$G$32,1)+1),"Aucune valeur supérieure")</f>
        <v>250</v>
      </c>
      <c r="AZ60" s="63">
        <v>150</v>
      </c>
      <c r="BA60" s="60">
        <v>184</v>
      </c>
    </row>
    <row r="61" spans="4:81" x14ac:dyDescent="0.25">
      <c r="D61" s="60" t="s">
        <v>1345</v>
      </c>
      <c r="E61" s="60" t="s">
        <v>241</v>
      </c>
      <c r="F61" s="63">
        <f>TRONCONS_V2!BH59</f>
        <v>29.029</v>
      </c>
      <c r="G61" s="69">
        <f t="shared" si="7"/>
        <v>2.9028999999999999E-2</v>
      </c>
      <c r="H61" s="63">
        <v>1</v>
      </c>
      <c r="I61" s="63">
        <f t="shared" si="8"/>
        <v>2.9028999999999999E-2</v>
      </c>
      <c r="J61" s="63">
        <f t="shared" si="0"/>
        <v>0.19230085240163367</v>
      </c>
      <c r="K61" s="63">
        <f t="shared" si="9"/>
        <v>192.30085240163368</v>
      </c>
      <c r="L61" s="63" cm="1">
        <f t="array" ref="L61">IFERROR(INDEX(REF_TABLE!$G$7:$G$32,MATCH(K61,REF_TABLE!$G$7:$G$32,1)+1),"Aucune valeur supérieure")</f>
        <v>200</v>
      </c>
      <c r="M61" s="63">
        <v>150</v>
      </c>
      <c r="N61" s="60">
        <v>43</v>
      </c>
      <c r="Q61" s="60" t="s">
        <v>1345</v>
      </c>
      <c r="R61" s="60" t="s">
        <v>241</v>
      </c>
      <c r="S61" s="60">
        <v>29.029</v>
      </c>
      <c r="T61" s="69">
        <f t="shared" si="10"/>
        <v>2.9028999999999999E-2</v>
      </c>
      <c r="U61" s="63">
        <v>1</v>
      </c>
      <c r="V61" s="63">
        <f t="shared" si="11"/>
        <v>2.9028999999999999E-2</v>
      </c>
      <c r="W61" s="63">
        <f t="shared" si="1"/>
        <v>0.19230085240163367</v>
      </c>
      <c r="X61" s="63">
        <f t="shared" si="12"/>
        <v>192.30085240163368</v>
      </c>
      <c r="Y61" s="63" cm="1">
        <f t="array" ref="Y61">IFERROR(INDEX(REF_TABLE!$G$7:$G$32,MATCH(X61,REF_TABLE!$G$7:$G$32,1)+1),"Aucune valeur supérieure")</f>
        <v>200</v>
      </c>
      <c r="Z61" s="63">
        <v>150</v>
      </c>
      <c r="AA61" s="60">
        <v>43</v>
      </c>
      <c r="AQ61" s="60" t="s">
        <v>1460</v>
      </c>
      <c r="AR61" s="60" t="s">
        <v>277</v>
      </c>
      <c r="AS61" s="63">
        <f>TRONCONS_V2!AW59</f>
        <v>43</v>
      </c>
      <c r="AT61" s="69">
        <f t="shared" si="16"/>
        <v>4.2999999999999997E-2</v>
      </c>
      <c r="AU61" s="63">
        <v>1</v>
      </c>
      <c r="AV61" s="63">
        <f t="shared" si="17"/>
        <v>4.2999999999999997E-2</v>
      </c>
      <c r="AW61" s="63">
        <f t="shared" si="3"/>
        <v>0.23404501717339393</v>
      </c>
      <c r="AX61" s="63">
        <f t="shared" si="18"/>
        <v>234.04501717339394</v>
      </c>
      <c r="AY61" s="63" cm="1">
        <f t="array" ref="AY61">IFERROR(INDEX(REF_TABLE!$G$7:$G$32,MATCH(AX61,REF_TABLE!$G$7:$G$32,1)+1),"Aucune valeur supérieure")</f>
        <v>250</v>
      </c>
      <c r="AZ61" s="63">
        <v>150</v>
      </c>
      <c r="BA61" s="60">
        <v>351</v>
      </c>
    </row>
    <row r="62" spans="4:81" x14ac:dyDescent="0.25">
      <c r="D62" s="60" t="s">
        <v>1345</v>
      </c>
      <c r="E62" s="60" t="s">
        <v>243</v>
      </c>
      <c r="F62" s="63">
        <f>TRONCONS_V2!BH60</f>
        <v>29.029</v>
      </c>
      <c r="G62" s="69">
        <f t="shared" si="7"/>
        <v>2.9028999999999999E-2</v>
      </c>
      <c r="H62" s="63">
        <v>1</v>
      </c>
      <c r="I62" s="63">
        <f t="shared" si="8"/>
        <v>2.9028999999999999E-2</v>
      </c>
      <c r="J62" s="63">
        <f t="shared" si="0"/>
        <v>0.19230085240163367</v>
      </c>
      <c r="K62" s="63">
        <f t="shared" si="9"/>
        <v>192.30085240163368</v>
      </c>
      <c r="L62" s="63" cm="1">
        <f t="array" ref="L62">IFERROR(INDEX(REF_TABLE!$G$7:$G$32,MATCH(K62,REF_TABLE!$G$7:$G$32,1)+1),"Aucune valeur supérieure")</f>
        <v>200</v>
      </c>
      <c r="M62" s="63">
        <v>150</v>
      </c>
      <c r="N62" s="60">
        <v>66</v>
      </c>
      <c r="Q62" s="60" t="s">
        <v>1345</v>
      </c>
      <c r="R62" s="60" t="s">
        <v>243</v>
      </c>
      <c r="S62" s="60">
        <v>29.029</v>
      </c>
      <c r="T62" s="69">
        <f t="shared" si="10"/>
        <v>2.9028999999999999E-2</v>
      </c>
      <c r="U62" s="63">
        <v>1</v>
      </c>
      <c r="V62" s="63">
        <f t="shared" si="11"/>
        <v>2.9028999999999999E-2</v>
      </c>
      <c r="W62" s="63">
        <f t="shared" si="1"/>
        <v>0.19230085240163367</v>
      </c>
      <c r="X62" s="63">
        <f t="shared" si="12"/>
        <v>192.30085240163368</v>
      </c>
      <c r="Y62" s="63" cm="1">
        <f t="array" ref="Y62">IFERROR(INDEX(REF_TABLE!$G$7:$G$32,MATCH(X62,REF_TABLE!$G$7:$G$32,1)+1),"Aucune valeur supérieure")</f>
        <v>200</v>
      </c>
      <c r="Z62" s="63">
        <v>150</v>
      </c>
      <c r="AA62" s="60">
        <v>66</v>
      </c>
      <c r="AQ62" s="60" t="s">
        <v>1460</v>
      </c>
      <c r="AR62" s="60" t="s">
        <v>427</v>
      </c>
      <c r="AS62" s="63">
        <f>TRONCONS_V2!AW60</f>
        <v>66</v>
      </c>
      <c r="AT62" s="69">
        <f t="shared" si="16"/>
        <v>6.6000000000000003E-2</v>
      </c>
      <c r="AU62" s="63">
        <v>1</v>
      </c>
      <c r="AV62" s="63">
        <f t="shared" si="17"/>
        <v>6.6000000000000003E-2</v>
      </c>
      <c r="AW62" s="63">
        <f t="shared" si="3"/>
        <v>0.2899593646030752</v>
      </c>
      <c r="AX62" s="63">
        <f t="shared" si="18"/>
        <v>289.95936460307519</v>
      </c>
      <c r="AY62" s="63" cm="1">
        <f t="array" ref="AY62">IFERROR(INDEX(REF_TABLE!$G$7:$G$32,MATCH(AX62,REF_TABLE!$G$7:$G$32,1)+1),"Aucune valeur supérieure")</f>
        <v>300</v>
      </c>
      <c r="AZ62" s="63">
        <v>150</v>
      </c>
      <c r="BA62" s="60">
        <v>169</v>
      </c>
    </row>
    <row r="63" spans="4:81" x14ac:dyDescent="0.25">
      <c r="D63" s="60" t="s">
        <v>1345</v>
      </c>
      <c r="E63" s="60" t="s">
        <v>242</v>
      </c>
      <c r="F63" s="63">
        <f>TRONCONS_V2!BH61</f>
        <v>29.029</v>
      </c>
      <c r="G63" s="69">
        <f t="shared" si="7"/>
        <v>2.9028999999999999E-2</v>
      </c>
      <c r="H63" s="63">
        <v>1</v>
      </c>
      <c r="I63" s="63">
        <f t="shared" si="8"/>
        <v>2.9028999999999999E-2</v>
      </c>
      <c r="J63" s="63">
        <f t="shared" si="0"/>
        <v>0.19230085240163367</v>
      </c>
      <c r="K63" s="63">
        <f t="shared" si="9"/>
        <v>192.30085240163368</v>
      </c>
      <c r="L63" s="63" cm="1">
        <f t="array" ref="L63">IFERROR(INDEX(REF_TABLE!$G$7:$G$32,MATCH(K63,REF_TABLE!$G$7:$G$32,1)+1),"Aucune valeur supérieure")</f>
        <v>200</v>
      </c>
      <c r="M63" s="63">
        <v>150</v>
      </c>
      <c r="N63" s="60">
        <v>48</v>
      </c>
      <c r="Q63" s="60" t="s">
        <v>1345</v>
      </c>
      <c r="R63" s="60" t="s">
        <v>242</v>
      </c>
      <c r="S63" s="60">
        <v>29.029</v>
      </c>
      <c r="T63" s="69">
        <f t="shared" si="10"/>
        <v>2.9028999999999999E-2</v>
      </c>
      <c r="U63" s="63">
        <v>1</v>
      </c>
      <c r="V63" s="63">
        <f t="shared" si="11"/>
        <v>2.9028999999999999E-2</v>
      </c>
      <c r="W63" s="63">
        <f t="shared" si="1"/>
        <v>0.19230085240163367</v>
      </c>
      <c r="X63" s="63">
        <f t="shared" si="12"/>
        <v>192.30085240163368</v>
      </c>
      <c r="Y63" s="63" cm="1">
        <f t="array" ref="Y63">IFERROR(INDEX(REF_TABLE!$G$7:$G$32,MATCH(X63,REF_TABLE!$G$7:$G$32,1)+1),"Aucune valeur supérieure")</f>
        <v>200</v>
      </c>
      <c r="Z63" s="63">
        <v>150</v>
      </c>
      <c r="AA63" s="60">
        <v>48</v>
      </c>
    </row>
    <row r="64" spans="4:81" x14ac:dyDescent="0.25">
      <c r="D64" s="60" t="s">
        <v>1345</v>
      </c>
      <c r="E64" s="60" t="s">
        <v>244</v>
      </c>
      <c r="F64" s="63">
        <f>TRONCONS_V2!BH62</f>
        <v>29.029</v>
      </c>
      <c r="G64" s="69">
        <f t="shared" si="7"/>
        <v>2.9028999999999999E-2</v>
      </c>
      <c r="H64" s="63">
        <v>1</v>
      </c>
      <c r="I64" s="63">
        <f t="shared" si="8"/>
        <v>2.9028999999999999E-2</v>
      </c>
      <c r="J64" s="63">
        <f t="shared" si="0"/>
        <v>0.19230085240163367</v>
      </c>
      <c r="K64" s="63">
        <f t="shared" si="9"/>
        <v>192.30085240163368</v>
      </c>
      <c r="L64" s="63" cm="1">
        <f t="array" ref="L64">IFERROR(INDEX(REF_TABLE!$G$7:$G$32,MATCH(K64,REF_TABLE!$G$7:$G$32,1)+1),"Aucune valeur supérieure")</f>
        <v>200</v>
      </c>
      <c r="M64" s="63">
        <v>150</v>
      </c>
      <c r="N64" s="60">
        <v>19</v>
      </c>
      <c r="Q64" s="60" t="s">
        <v>1345</v>
      </c>
      <c r="R64" s="60" t="s">
        <v>244</v>
      </c>
      <c r="S64" s="60">
        <v>29.029</v>
      </c>
      <c r="T64" s="69">
        <f t="shared" si="10"/>
        <v>2.9028999999999999E-2</v>
      </c>
      <c r="U64" s="63">
        <v>1</v>
      </c>
      <c r="V64" s="63">
        <f t="shared" si="11"/>
        <v>2.9028999999999999E-2</v>
      </c>
      <c r="W64" s="63">
        <f t="shared" si="1"/>
        <v>0.19230085240163367</v>
      </c>
      <c r="X64" s="63">
        <f t="shared" si="12"/>
        <v>192.30085240163368</v>
      </c>
      <c r="Y64" s="63" cm="1">
        <f t="array" ref="Y64">IFERROR(INDEX(REF_TABLE!$G$7:$G$32,MATCH(X64,REF_TABLE!$G$7:$G$32,1)+1),"Aucune valeur supérieure")</f>
        <v>200</v>
      </c>
      <c r="Z64" s="63">
        <v>150</v>
      </c>
      <c r="AA64" s="60">
        <v>19</v>
      </c>
    </row>
    <row r="65" spans="4:27" x14ac:dyDescent="0.25">
      <c r="D65" s="60" t="s">
        <v>1345</v>
      </c>
      <c r="E65" s="60" t="s">
        <v>245</v>
      </c>
      <c r="F65" s="63">
        <f>TRONCONS_V2!BH63</f>
        <v>29.029</v>
      </c>
      <c r="G65" s="69">
        <f t="shared" si="7"/>
        <v>2.9028999999999999E-2</v>
      </c>
      <c r="H65" s="63">
        <v>1</v>
      </c>
      <c r="I65" s="63">
        <f t="shared" si="8"/>
        <v>2.9028999999999999E-2</v>
      </c>
      <c r="J65" s="63">
        <f t="shared" si="0"/>
        <v>0.19230085240163367</v>
      </c>
      <c r="K65" s="63">
        <f t="shared" si="9"/>
        <v>192.30085240163368</v>
      </c>
      <c r="L65" s="63" cm="1">
        <f t="array" ref="L65">IFERROR(INDEX(REF_TABLE!$G$7:$G$32,MATCH(K65,REF_TABLE!$G$7:$G$32,1)+1),"Aucune valeur supérieure")</f>
        <v>200</v>
      </c>
      <c r="M65" s="63">
        <v>150</v>
      </c>
      <c r="N65" s="60">
        <v>58</v>
      </c>
      <c r="Q65" s="60" t="s">
        <v>1345</v>
      </c>
      <c r="R65" s="60" t="s">
        <v>245</v>
      </c>
      <c r="S65" s="60">
        <v>29.029</v>
      </c>
      <c r="T65" s="69">
        <f t="shared" si="10"/>
        <v>2.9028999999999999E-2</v>
      </c>
      <c r="U65" s="63">
        <v>1</v>
      </c>
      <c r="V65" s="63">
        <f t="shared" si="11"/>
        <v>2.9028999999999999E-2</v>
      </c>
      <c r="W65" s="63">
        <f t="shared" si="1"/>
        <v>0.19230085240163367</v>
      </c>
      <c r="X65" s="63">
        <f t="shared" si="12"/>
        <v>192.30085240163368</v>
      </c>
      <c r="Y65" s="63" cm="1">
        <f t="array" ref="Y65">IFERROR(INDEX(REF_TABLE!$G$7:$G$32,MATCH(X65,REF_TABLE!$G$7:$G$32,1)+1),"Aucune valeur supérieure")</f>
        <v>200</v>
      </c>
      <c r="Z65" s="63">
        <v>150</v>
      </c>
      <c r="AA65" s="60">
        <v>58</v>
      </c>
    </row>
    <row r="66" spans="4:27" x14ac:dyDescent="0.25">
      <c r="D66" s="60" t="s">
        <v>1345</v>
      </c>
      <c r="E66" s="60" t="s">
        <v>246</v>
      </c>
      <c r="F66" s="63">
        <f>TRONCONS_V2!BH64</f>
        <v>29.029</v>
      </c>
      <c r="G66" s="69">
        <f t="shared" si="7"/>
        <v>2.9028999999999999E-2</v>
      </c>
      <c r="H66" s="63">
        <v>1</v>
      </c>
      <c r="I66" s="63">
        <f t="shared" si="8"/>
        <v>2.9028999999999999E-2</v>
      </c>
      <c r="J66" s="63">
        <f t="shared" si="0"/>
        <v>0.19230085240163367</v>
      </c>
      <c r="K66" s="63">
        <f t="shared" si="9"/>
        <v>192.30085240163368</v>
      </c>
      <c r="L66" s="63" cm="1">
        <f t="array" ref="L66">IFERROR(INDEX(REF_TABLE!$G$7:$G$32,MATCH(K66,REF_TABLE!$G$7:$G$32,1)+1),"Aucune valeur supérieure")</f>
        <v>200</v>
      </c>
      <c r="M66" s="63">
        <v>150</v>
      </c>
      <c r="N66" s="60">
        <v>84</v>
      </c>
      <c r="Q66" s="60" t="s">
        <v>1345</v>
      </c>
      <c r="R66" s="60" t="s">
        <v>246</v>
      </c>
      <c r="S66" s="60">
        <v>29.029</v>
      </c>
      <c r="T66" s="69">
        <f t="shared" si="10"/>
        <v>2.9028999999999999E-2</v>
      </c>
      <c r="U66" s="63">
        <v>1</v>
      </c>
      <c r="V66" s="63">
        <f t="shared" si="11"/>
        <v>2.9028999999999999E-2</v>
      </c>
      <c r="W66" s="63">
        <f t="shared" si="1"/>
        <v>0.19230085240163367</v>
      </c>
      <c r="X66" s="63">
        <f t="shared" si="12"/>
        <v>192.30085240163368</v>
      </c>
      <c r="Y66" s="63" cm="1">
        <f t="array" ref="Y66">IFERROR(INDEX(REF_TABLE!$G$7:$G$32,MATCH(X66,REF_TABLE!$G$7:$G$32,1)+1),"Aucune valeur supérieure")</f>
        <v>200</v>
      </c>
      <c r="Z66" s="63">
        <v>150</v>
      </c>
      <c r="AA66" s="60">
        <v>84</v>
      </c>
    </row>
    <row r="67" spans="4:27" x14ac:dyDescent="0.25">
      <c r="D67" s="60" t="s">
        <v>1345</v>
      </c>
      <c r="E67" s="60" t="s">
        <v>247</v>
      </c>
      <c r="F67" s="63">
        <f>TRONCONS_V2!BH65</f>
        <v>29.029</v>
      </c>
      <c r="G67" s="69">
        <f t="shared" si="7"/>
        <v>2.9028999999999999E-2</v>
      </c>
      <c r="H67" s="63">
        <v>1</v>
      </c>
      <c r="I67" s="63">
        <f t="shared" si="8"/>
        <v>2.9028999999999999E-2</v>
      </c>
      <c r="J67" s="63">
        <f t="shared" si="0"/>
        <v>0.19230085240163367</v>
      </c>
      <c r="K67" s="63">
        <f t="shared" si="9"/>
        <v>192.30085240163368</v>
      </c>
      <c r="L67" s="63" cm="1">
        <f t="array" ref="L67">IFERROR(INDEX(REF_TABLE!$G$7:$G$32,MATCH(K67,REF_TABLE!$G$7:$G$32,1)+1),"Aucune valeur supérieure")</f>
        <v>200</v>
      </c>
      <c r="M67" s="63">
        <v>150</v>
      </c>
      <c r="N67" s="60">
        <v>105</v>
      </c>
      <c r="Q67" s="60" t="s">
        <v>1345</v>
      </c>
      <c r="R67" s="60" t="s">
        <v>247</v>
      </c>
      <c r="S67" s="60">
        <v>29.029</v>
      </c>
      <c r="T67" s="69">
        <f t="shared" si="10"/>
        <v>2.9028999999999999E-2</v>
      </c>
      <c r="U67" s="63">
        <v>1</v>
      </c>
      <c r="V67" s="63">
        <f t="shared" si="11"/>
        <v>2.9028999999999999E-2</v>
      </c>
      <c r="W67" s="63">
        <f t="shared" si="1"/>
        <v>0.19230085240163367</v>
      </c>
      <c r="X67" s="63">
        <f t="shared" si="12"/>
        <v>192.30085240163368</v>
      </c>
      <c r="Y67" s="63" cm="1">
        <f t="array" ref="Y67">IFERROR(INDEX(REF_TABLE!$G$7:$G$32,MATCH(X67,REF_TABLE!$G$7:$G$32,1)+1),"Aucune valeur supérieure")</f>
        <v>200</v>
      </c>
      <c r="Z67" s="63">
        <v>150</v>
      </c>
      <c r="AA67" s="60">
        <v>105</v>
      </c>
    </row>
    <row r="68" spans="4:27" x14ac:dyDescent="0.25">
      <c r="D68" s="60" t="s">
        <v>1345</v>
      </c>
      <c r="E68" s="60" t="s">
        <v>248</v>
      </c>
      <c r="F68" s="63">
        <f>TRONCONS_V2!BH66</f>
        <v>29.029</v>
      </c>
      <c r="G68" s="69">
        <f t="shared" si="7"/>
        <v>2.9028999999999999E-2</v>
      </c>
      <c r="H68" s="63">
        <v>1</v>
      </c>
      <c r="I68" s="63">
        <f t="shared" si="8"/>
        <v>2.9028999999999999E-2</v>
      </c>
      <c r="J68" s="63">
        <f t="shared" si="0"/>
        <v>0.19230085240163367</v>
      </c>
      <c r="K68" s="63">
        <f t="shared" si="9"/>
        <v>192.30085240163368</v>
      </c>
      <c r="L68" s="63" cm="1">
        <f t="array" ref="L68">IFERROR(INDEX(REF_TABLE!$G$7:$G$32,MATCH(K68,REF_TABLE!$G$7:$G$32,1)+1),"Aucune valeur supérieure")</f>
        <v>200</v>
      </c>
      <c r="M68" s="63">
        <v>150</v>
      </c>
      <c r="N68" s="60">
        <v>90</v>
      </c>
      <c r="Q68" s="60" t="s">
        <v>1345</v>
      </c>
      <c r="R68" s="60" t="s">
        <v>248</v>
      </c>
      <c r="S68" s="60">
        <v>29.029</v>
      </c>
      <c r="T68" s="69">
        <f t="shared" si="10"/>
        <v>2.9028999999999999E-2</v>
      </c>
      <c r="U68" s="63">
        <v>1</v>
      </c>
      <c r="V68" s="63">
        <f t="shared" si="11"/>
        <v>2.9028999999999999E-2</v>
      </c>
      <c r="W68" s="63">
        <f t="shared" si="1"/>
        <v>0.19230085240163367</v>
      </c>
      <c r="X68" s="63">
        <f t="shared" si="12"/>
        <v>192.30085240163368</v>
      </c>
      <c r="Y68" s="63" cm="1">
        <f t="array" ref="Y68">IFERROR(INDEX(REF_TABLE!$G$7:$G$32,MATCH(X68,REF_TABLE!$G$7:$G$32,1)+1),"Aucune valeur supérieure")</f>
        <v>200</v>
      </c>
      <c r="Z68" s="63">
        <v>150</v>
      </c>
      <c r="AA68" s="60">
        <v>90</v>
      </c>
    </row>
    <row r="69" spans="4:27" x14ac:dyDescent="0.25">
      <c r="D69" s="60" t="s">
        <v>1345</v>
      </c>
      <c r="E69" s="60" t="s">
        <v>249</v>
      </c>
      <c r="F69" s="63">
        <f>TRONCONS_V2!BH67</f>
        <v>29.029</v>
      </c>
      <c r="G69" s="69">
        <f t="shared" si="7"/>
        <v>2.9028999999999999E-2</v>
      </c>
      <c r="H69" s="63">
        <v>1</v>
      </c>
      <c r="I69" s="63">
        <f t="shared" si="8"/>
        <v>2.9028999999999999E-2</v>
      </c>
      <c r="J69" s="63">
        <f t="shared" si="0"/>
        <v>0.19230085240163367</v>
      </c>
      <c r="K69" s="63">
        <f t="shared" si="9"/>
        <v>192.30085240163368</v>
      </c>
      <c r="L69" s="63" cm="1">
        <f t="array" ref="L69">IFERROR(INDEX(REF_TABLE!$G$7:$G$32,MATCH(K69,REF_TABLE!$G$7:$G$32,1)+1),"Aucune valeur supérieure")</f>
        <v>200</v>
      </c>
      <c r="M69" s="63">
        <v>150</v>
      </c>
      <c r="N69" s="60">
        <v>78</v>
      </c>
      <c r="Q69" s="60" t="s">
        <v>1345</v>
      </c>
      <c r="R69" s="60" t="s">
        <v>249</v>
      </c>
      <c r="S69" s="60">
        <v>29.029</v>
      </c>
      <c r="T69" s="69">
        <f t="shared" si="10"/>
        <v>2.9028999999999999E-2</v>
      </c>
      <c r="U69" s="63">
        <v>1</v>
      </c>
      <c r="V69" s="63">
        <f t="shared" si="11"/>
        <v>2.9028999999999999E-2</v>
      </c>
      <c r="W69" s="63">
        <f t="shared" si="1"/>
        <v>0.19230085240163367</v>
      </c>
      <c r="X69" s="63">
        <f t="shared" si="12"/>
        <v>192.30085240163368</v>
      </c>
      <c r="Y69" s="63" cm="1">
        <f t="array" ref="Y69">IFERROR(INDEX(REF_TABLE!$G$7:$G$32,MATCH(X69,REF_TABLE!$G$7:$G$32,1)+1),"Aucune valeur supérieure")</f>
        <v>200</v>
      </c>
      <c r="Z69" s="63">
        <v>150</v>
      </c>
      <c r="AA69" s="60">
        <v>78</v>
      </c>
    </row>
    <row r="70" spans="4:27" x14ac:dyDescent="0.25">
      <c r="D70" s="60" t="s">
        <v>1345</v>
      </c>
      <c r="E70" s="60" t="s">
        <v>250</v>
      </c>
      <c r="F70" s="63">
        <f>TRONCONS_V2!BH68</f>
        <v>29.029</v>
      </c>
      <c r="G70" s="69">
        <f t="shared" si="7"/>
        <v>2.9028999999999999E-2</v>
      </c>
      <c r="H70" s="63">
        <v>1</v>
      </c>
      <c r="I70" s="63">
        <f t="shared" si="8"/>
        <v>2.9028999999999999E-2</v>
      </c>
      <c r="J70" s="63">
        <f t="shared" si="0"/>
        <v>0.19230085240163367</v>
      </c>
      <c r="K70" s="63">
        <f t="shared" si="9"/>
        <v>192.30085240163368</v>
      </c>
      <c r="L70" s="63" cm="1">
        <f t="array" ref="L70">IFERROR(INDEX(REF_TABLE!$G$7:$G$32,MATCH(K70,REF_TABLE!$G$7:$G$32,1)+1),"Aucune valeur supérieure")</f>
        <v>200</v>
      </c>
      <c r="M70" s="63">
        <v>150</v>
      </c>
      <c r="N70" s="60">
        <v>83</v>
      </c>
      <c r="Q70" s="60" t="s">
        <v>1345</v>
      </c>
      <c r="R70" s="60" t="s">
        <v>250</v>
      </c>
      <c r="S70" s="60">
        <v>29.029</v>
      </c>
      <c r="T70" s="69">
        <f t="shared" si="10"/>
        <v>2.9028999999999999E-2</v>
      </c>
      <c r="U70" s="63">
        <v>1</v>
      </c>
      <c r="V70" s="63">
        <f t="shared" si="11"/>
        <v>2.9028999999999999E-2</v>
      </c>
      <c r="W70" s="63">
        <f t="shared" si="1"/>
        <v>0.19230085240163367</v>
      </c>
      <c r="X70" s="63">
        <f t="shared" si="12"/>
        <v>192.30085240163368</v>
      </c>
      <c r="Y70" s="63" cm="1">
        <f t="array" ref="Y70">IFERROR(INDEX(REF_TABLE!$G$7:$G$32,MATCH(X70,REF_TABLE!$G$7:$G$32,1)+1),"Aucune valeur supérieure")</f>
        <v>200</v>
      </c>
      <c r="Z70" s="63">
        <v>150</v>
      </c>
      <c r="AA70" s="60">
        <v>83</v>
      </c>
    </row>
    <row r="71" spans="4:27" x14ac:dyDescent="0.25">
      <c r="D71" s="60" t="s">
        <v>1345</v>
      </c>
      <c r="E71" s="60" t="s">
        <v>432</v>
      </c>
      <c r="F71" s="63">
        <f>TRONCONS_V2!BH69</f>
        <v>29.029</v>
      </c>
      <c r="G71" s="69">
        <f t="shared" si="7"/>
        <v>2.9028999999999999E-2</v>
      </c>
      <c r="H71" s="63">
        <v>1</v>
      </c>
      <c r="I71" s="63">
        <f t="shared" si="8"/>
        <v>2.9028999999999999E-2</v>
      </c>
      <c r="J71" s="63">
        <f t="shared" si="0"/>
        <v>0.19230085240163367</v>
      </c>
      <c r="K71" s="63">
        <f t="shared" si="9"/>
        <v>192.30085240163368</v>
      </c>
      <c r="L71" s="63" cm="1">
        <f t="array" ref="L71">IFERROR(INDEX(REF_TABLE!$G$7:$G$32,MATCH(K71,REF_TABLE!$G$7:$G$32,1)+1),"Aucune valeur supérieure")</f>
        <v>200</v>
      </c>
      <c r="M71" s="63">
        <v>150</v>
      </c>
      <c r="N71" s="60">
        <v>175</v>
      </c>
      <c r="Q71" s="60" t="s">
        <v>1345</v>
      </c>
      <c r="R71" s="60" t="s">
        <v>432</v>
      </c>
      <c r="S71" s="60">
        <v>29.029</v>
      </c>
      <c r="T71" s="69">
        <f t="shared" si="10"/>
        <v>2.9028999999999999E-2</v>
      </c>
      <c r="U71" s="63">
        <v>1</v>
      </c>
      <c r="V71" s="63">
        <f t="shared" si="11"/>
        <v>2.9028999999999999E-2</v>
      </c>
      <c r="W71" s="63">
        <f t="shared" si="1"/>
        <v>0.19230085240163367</v>
      </c>
      <c r="X71" s="63">
        <f t="shared" si="12"/>
        <v>192.30085240163368</v>
      </c>
      <c r="Y71" s="63" cm="1">
        <f t="array" ref="Y71">IFERROR(INDEX(REF_TABLE!$G$7:$G$32,MATCH(X71,REF_TABLE!$G$7:$G$32,1)+1),"Aucune valeur supérieure")</f>
        <v>200</v>
      </c>
      <c r="Z71" s="63">
        <v>150</v>
      </c>
      <c r="AA71" s="60">
        <v>175</v>
      </c>
    </row>
    <row r="72" spans="4:27" x14ac:dyDescent="0.25">
      <c r="D72" s="60" t="s">
        <v>1345</v>
      </c>
      <c r="E72" s="60" t="s">
        <v>269</v>
      </c>
      <c r="F72" s="63">
        <f>TRONCONS_V2!BH70</f>
        <v>29.029</v>
      </c>
      <c r="G72" s="69">
        <f t="shared" si="7"/>
        <v>2.9028999999999999E-2</v>
      </c>
      <c r="H72" s="63">
        <v>1</v>
      </c>
      <c r="I72" s="63">
        <f t="shared" si="8"/>
        <v>2.9028999999999999E-2</v>
      </c>
      <c r="J72" s="63">
        <f t="shared" si="0"/>
        <v>0.19230085240163367</v>
      </c>
      <c r="K72" s="63">
        <f t="shared" si="9"/>
        <v>192.30085240163368</v>
      </c>
      <c r="L72" s="63" cm="1">
        <f t="array" ref="L72">IFERROR(INDEX(REF_TABLE!$G$7:$G$32,MATCH(K72,REF_TABLE!$G$7:$G$32,1)+1),"Aucune valeur supérieure")</f>
        <v>200</v>
      </c>
      <c r="M72" s="63">
        <v>150</v>
      </c>
      <c r="N72" s="60">
        <v>169</v>
      </c>
      <c r="Q72" s="60" t="s">
        <v>1345</v>
      </c>
      <c r="R72" s="60" t="s">
        <v>269</v>
      </c>
      <c r="S72" s="60">
        <v>29.029</v>
      </c>
      <c r="T72" s="69">
        <f t="shared" si="10"/>
        <v>2.9028999999999999E-2</v>
      </c>
      <c r="U72" s="63">
        <v>1</v>
      </c>
      <c r="V72" s="63">
        <f t="shared" si="11"/>
        <v>2.9028999999999999E-2</v>
      </c>
      <c r="W72" s="63">
        <f t="shared" si="1"/>
        <v>0.19230085240163367</v>
      </c>
      <c r="X72" s="63">
        <f t="shared" si="12"/>
        <v>192.30085240163368</v>
      </c>
      <c r="Y72" s="63" cm="1">
        <f t="array" ref="Y72">IFERROR(INDEX(REF_TABLE!$G$7:$G$32,MATCH(X72,REF_TABLE!$G$7:$G$32,1)+1),"Aucune valeur supérieure")</f>
        <v>200</v>
      </c>
      <c r="Z72" s="63">
        <v>150</v>
      </c>
      <c r="AA72" s="60">
        <v>169</v>
      </c>
    </row>
    <row r="73" spans="4:27" x14ac:dyDescent="0.25">
      <c r="D73" s="60" t="s">
        <v>1345</v>
      </c>
      <c r="E73" s="60" t="s">
        <v>270</v>
      </c>
      <c r="F73" s="63">
        <f>TRONCONS_V2!BH71</f>
        <v>29.029</v>
      </c>
      <c r="G73" s="69">
        <f t="shared" si="7"/>
        <v>2.9028999999999999E-2</v>
      </c>
      <c r="H73" s="63">
        <v>1</v>
      </c>
      <c r="I73" s="63">
        <f t="shared" si="8"/>
        <v>2.9028999999999999E-2</v>
      </c>
      <c r="J73" s="63">
        <f t="shared" si="0"/>
        <v>0.19230085240163367</v>
      </c>
      <c r="K73" s="63">
        <f t="shared" si="9"/>
        <v>192.30085240163368</v>
      </c>
      <c r="L73" s="63" cm="1">
        <f t="array" ref="L73">IFERROR(INDEX(REF_TABLE!$G$7:$G$32,MATCH(K73,REF_TABLE!$G$7:$G$32,1)+1),"Aucune valeur supérieure")</f>
        <v>200</v>
      </c>
      <c r="M73" s="63">
        <v>150</v>
      </c>
      <c r="N73" s="60">
        <v>169</v>
      </c>
      <c r="Q73" s="60" t="s">
        <v>1345</v>
      </c>
      <c r="R73" s="60" t="s">
        <v>270</v>
      </c>
      <c r="S73" s="60">
        <v>29.029</v>
      </c>
      <c r="T73" s="69">
        <f t="shared" si="10"/>
        <v>2.9028999999999999E-2</v>
      </c>
      <c r="U73" s="63">
        <v>1</v>
      </c>
      <c r="V73" s="63">
        <f t="shared" si="11"/>
        <v>2.9028999999999999E-2</v>
      </c>
      <c r="W73" s="63">
        <f t="shared" si="1"/>
        <v>0.19230085240163367</v>
      </c>
      <c r="X73" s="63">
        <f t="shared" si="12"/>
        <v>192.30085240163368</v>
      </c>
      <c r="Y73" s="63" cm="1">
        <f t="array" ref="Y73">IFERROR(INDEX(REF_TABLE!$G$7:$G$32,MATCH(X73,REF_TABLE!$G$7:$G$32,1)+1),"Aucune valeur supérieure")</f>
        <v>200</v>
      </c>
      <c r="Z73" s="63">
        <v>150</v>
      </c>
      <c r="AA73" s="60">
        <v>169</v>
      </c>
    </row>
    <row r="74" spans="4:27" x14ac:dyDescent="0.25">
      <c r="D74" s="60" t="s">
        <v>1345</v>
      </c>
      <c r="E74" s="60" t="s">
        <v>272</v>
      </c>
      <c r="F74" s="63">
        <f>TRONCONS_V2!BH72</f>
        <v>29.029</v>
      </c>
      <c r="G74" s="69">
        <f t="shared" si="7"/>
        <v>2.9028999999999999E-2</v>
      </c>
      <c r="H74" s="63">
        <v>1</v>
      </c>
      <c r="I74" s="63">
        <f t="shared" si="8"/>
        <v>2.9028999999999999E-2</v>
      </c>
      <c r="J74" s="63">
        <f t="shared" si="0"/>
        <v>0.19230085240163367</v>
      </c>
      <c r="K74" s="63">
        <f t="shared" si="9"/>
        <v>192.30085240163368</v>
      </c>
      <c r="L74" s="63" cm="1">
        <f t="array" ref="L74">IFERROR(INDEX(REF_TABLE!$G$7:$G$32,MATCH(K74,REF_TABLE!$G$7:$G$32,1)+1),"Aucune valeur supérieure")</f>
        <v>200</v>
      </c>
      <c r="M74" s="63">
        <v>150</v>
      </c>
      <c r="N74" s="60">
        <v>134</v>
      </c>
      <c r="Q74" s="60" t="s">
        <v>1345</v>
      </c>
      <c r="R74" s="60" t="s">
        <v>272</v>
      </c>
      <c r="S74" s="60">
        <v>29.029</v>
      </c>
      <c r="T74" s="69">
        <f t="shared" si="10"/>
        <v>2.9028999999999999E-2</v>
      </c>
      <c r="U74" s="63">
        <v>1</v>
      </c>
      <c r="V74" s="63">
        <f t="shared" si="11"/>
        <v>2.9028999999999999E-2</v>
      </c>
      <c r="W74" s="63">
        <f t="shared" si="1"/>
        <v>0.19230085240163367</v>
      </c>
      <c r="X74" s="63">
        <f t="shared" si="12"/>
        <v>192.30085240163368</v>
      </c>
      <c r="Y74" s="63" cm="1">
        <f t="array" ref="Y74">IFERROR(INDEX(REF_TABLE!$G$7:$G$32,MATCH(X74,REF_TABLE!$G$7:$G$32,1)+1),"Aucune valeur supérieure")</f>
        <v>200</v>
      </c>
      <c r="Z74" s="63">
        <v>150</v>
      </c>
      <c r="AA74" s="60">
        <v>134</v>
      </c>
    </row>
    <row r="75" spans="4:27" x14ac:dyDescent="0.25">
      <c r="D75" s="60" t="s">
        <v>1345</v>
      </c>
      <c r="E75" s="60" t="s">
        <v>271</v>
      </c>
      <c r="F75" s="63">
        <f>TRONCONS_V2!BH73</f>
        <v>29.029</v>
      </c>
      <c r="G75" s="69">
        <f t="shared" si="7"/>
        <v>2.9028999999999999E-2</v>
      </c>
      <c r="H75" s="63">
        <v>1</v>
      </c>
      <c r="I75" s="63">
        <f t="shared" si="8"/>
        <v>2.9028999999999999E-2</v>
      </c>
      <c r="J75" s="63">
        <f t="shared" ref="J75:J80" si="28">SQRT(4*I75/3.14)</f>
        <v>0.19230085240163367</v>
      </c>
      <c r="K75" s="63">
        <f t="shared" si="9"/>
        <v>192.30085240163368</v>
      </c>
      <c r="L75" s="63" cm="1">
        <f t="array" ref="L75">IFERROR(INDEX(REF_TABLE!$G$7:$G$32,MATCH(K75,REF_TABLE!$G$7:$G$32,1)+1),"Aucune valeur supérieure")</f>
        <v>200</v>
      </c>
      <c r="M75" s="63">
        <v>150</v>
      </c>
      <c r="N75" s="60">
        <v>263</v>
      </c>
      <c r="Q75" s="60" t="s">
        <v>1345</v>
      </c>
      <c r="R75" s="60" t="s">
        <v>271</v>
      </c>
      <c r="S75" s="60">
        <v>29.029</v>
      </c>
      <c r="T75" s="69">
        <f t="shared" si="10"/>
        <v>2.9028999999999999E-2</v>
      </c>
      <c r="U75" s="63">
        <v>1</v>
      </c>
      <c r="V75" s="63">
        <f t="shared" si="11"/>
        <v>2.9028999999999999E-2</v>
      </c>
      <c r="W75" s="63">
        <f t="shared" ref="W75:W80" si="29">SQRT(4*V75/3.14)</f>
        <v>0.19230085240163367</v>
      </c>
      <c r="X75" s="63">
        <f t="shared" si="12"/>
        <v>192.30085240163368</v>
      </c>
      <c r="Y75" s="63" cm="1">
        <f t="array" ref="Y75">IFERROR(INDEX(REF_TABLE!$G$7:$G$32,MATCH(X75,REF_TABLE!$G$7:$G$32,1)+1),"Aucune valeur supérieure")</f>
        <v>200</v>
      </c>
      <c r="Z75" s="63">
        <v>150</v>
      </c>
      <c r="AA75" s="60">
        <v>263</v>
      </c>
    </row>
    <row r="76" spans="4:27" x14ac:dyDescent="0.25">
      <c r="D76" s="60" t="s">
        <v>1345</v>
      </c>
      <c r="E76" s="60" t="s">
        <v>273</v>
      </c>
      <c r="F76" s="63">
        <f>TRONCONS_V2!BH74</f>
        <v>29.029</v>
      </c>
      <c r="G76" s="69">
        <f t="shared" ref="G76:G80" si="30">F76/1000</f>
        <v>2.9028999999999999E-2</v>
      </c>
      <c r="H76" s="63">
        <v>1</v>
      </c>
      <c r="I76" s="63">
        <f t="shared" ref="I76:I80" si="31">G76*H76</f>
        <v>2.9028999999999999E-2</v>
      </c>
      <c r="J76" s="63">
        <f t="shared" si="28"/>
        <v>0.19230085240163367</v>
      </c>
      <c r="K76" s="63">
        <f t="shared" ref="K76:K80" si="32">J76*1000</f>
        <v>192.30085240163368</v>
      </c>
      <c r="L76" s="63" cm="1">
        <f t="array" ref="L76">IFERROR(INDEX(REF_TABLE!$G$7:$G$32,MATCH(K76,REF_TABLE!$G$7:$G$32,1)+1),"Aucune valeur supérieure")</f>
        <v>200</v>
      </c>
      <c r="M76" s="63">
        <v>150</v>
      </c>
      <c r="N76" s="60">
        <v>257</v>
      </c>
      <c r="Q76" s="60" t="s">
        <v>1345</v>
      </c>
      <c r="R76" s="60" t="s">
        <v>273</v>
      </c>
      <c r="S76" s="60">
        <v>29.029</v>
      </c>
      <c r="T76" s="69">
        <f t="shared" ref="T76:T80" si="33">S76/1000</f>
        <v>2.9028999999999999E-2</v>
      </c>
      <c r="U76" s="63">
        <v>1</v>
      </c>
      <c r="V76" s="63">
        <f t="shared" ref="V76:V80" si="34">T76*U76</f>
        <v>2.9028999999999999E-2</v>
      </c>
      <c r="W76" s="63">
        <f t="shared" si="29"/>
        <v>0.19230085240163367</v>
      </c>
      <c r="X76" s="63">
        <f t="shared" ref="X76:X80" si="35">W76*1000</f>
        <v>192.30085240163368</v>
      </c>
      <c r="Y76" s="63" cm="1">
        <f t="array" ref="Y76">IFERROR(INDEX(REF_TABLE!$G$7:$G$32,MATCH(X76,REF_TABLE!$G$7:$G$32,1)+1),"Aucune valeur supérieure")</f>
        <v>200</v>
      </c>
      <c r="Z76" s="63">
        <v>150</v>
      </c>
      <c r="AA76" s="60">
        <v>257</v>
      </c>
    </row>
    <row r="77" spans="4:27" x14ac:dyDescent="0.25">
      <c r="D77" s="60" t="s">
        <v>1345</v>
      </c>
      <c r="E77" s="60" t="s">
        <v>274</v>
      </c>
      <c r="F77" s="63">
        <f>TRONCONS_V2!BH75</f>
        <v>29.029</v>
      </c>
      <c r="G77" s="69">
        <f t="shared" si="30"/>
        <v>2.9028999999999999E-2</v>
      </c>
      <c r="H77" s="63">
        <v>1</v>
      </c>
      <c r="I77" s="63">
        <f t="shared" si="31"/>
        <v>2.9028999999999999E-2</v>
      </c>
      <c r="J77" s="63">
        <f t="shared" si="28"/>
        <v>0.19230085240163367</v>
      </c>
      <c r="K77" s="63">
        <f t="shared" si="32"/>
        <v>192.30085240163368</v>
      </c>
      <c r="L77" s="63" cm="1">
        <f t="array" ref="L77">IFERROR(INDEX(REF_TABLE!$G$7:$G$32,MATCH(K77,REF_TABLE!$G$7:$G$32,1)+1),"Aucune valeur supérieure")</f>
        <v>200</v>
      </c>
      <c r="M77" s="63">
        <v>150</v>
      </c>
      <c r="N77" s="60">
        <v>173</v>
      </c>
      <c r="Q77" s="60" t="s">
        <v>1345</v>
      </c>
      <c r="R77" s="60" t="s">
        <v>274</v>
      </c>
      <c r="S77" s="60">
        <v>29.029</v>
      </c>
      <c r="T77" s="69">
        <f t="shared" si="33"/>
        <v>2.9028999999999999E-2</v>
      </c>
      <c r="U77" s="63">
        <v>1</v>
      </c>
      <c r="V77" s="63">
        <f t="shared" si="34"/>
        <v>2.9028999999999999E-2</v>
      </c>
      <c r="W77" s="63">
        <f t="shared" si="29"/>
        <v>0.19230085240163367</v>
      </c>
      <c r="X77" s="63">
        <f t="shared" si="35"/>
        <v>192.30085240163368</v>
      </c>
      <c r="Y77" s="63" cm="1">
        <f t="array" ref="Y77">IFERROR(INDEX(REF_TABLE!$G$7:$G$32,MATCH(X77,REF_TABLE!$G$7:$G$32,1)+1),"Aucune valeur supérieure")</f>
        <v>200</v>
      </c>
      <c r="Z77" s="63">
        <v>150</v>
      </c>
      <c r="AA77" s="60">
        <v>173</v>
      </c>
    </row>
    <row r="78" spans="4:27" x14ac:dyDescent="0.25">
      <c r="D78" s="60" t="s">
        <v>1345</v>
      </c>
      <c r="E78" s="60" t="s">
        <v>275</v>
      </c>
      <c r="F78" s="63">
        <f>TRONCONS_V2!BH76</f>
        <v>29.029</v>
      </c>
      <c r="G78" s="69">
        <f t="shared" si="30"/>
        <v>2.9028999999999999E-2</v>
      </c>
      <c r="H78" s="63">
        <v>1</v>
      </c>
      <c r="I78" s="63">
        <f t="shared" si="31"/>
        <v>2.9028999999999999E-2</v>
      </c>
      <c r="J78" s="63">
        <f t="shared" si="28"/>
        <v>0.19230085240163367</v>
      </c>
      <c r="K78" s="63">
        <f t="shared" si="32"/>
        <v>192.30085240163368</v>
      </c>
      <c r="L78" s="63" cm="1">
        <f t="array" ref="L78">IFERROR(INDEX(REF_TABLE!$G$7:$G$32,MATCH(K78,REF_TABLE!$G$7:$G$32,1)+1),"Aucune valeur supérieure")</f>
        <v>200</v>
      </c>
      <c r="M78" s="63">
        <v>150</v>
      </c>
      <c r="N78" s="60">
        <v>47</v>
      </c>
      <c r="Q78" s="60" t="s">
        <v>1345</v>
      </c>
      <c r="R78" s="60" t="s">
        <v>275</v>
      </c>
      <c r="S78" s="60">
        <v>29.029</v>
      </c>
      <c r="T78" s="69">
        <f t="shared" si="33"/>
        <v>2.9028999999999999E-2</v>
      </c>
      <c r="U78" s="63">
        <v>1</v>
      </c>
      <c r="V78" s="63">
        <f t="shared" si="34"/>
        <v>2.9028999999999999E-2</v>
      </c>
      <c r="W78" s="63">
        <f t="shared" si="29"/>
        <v>0.19230085240163367</v>
      </c>
      <c r="X78" s="63">
        <f t="shared" si="35"/>
        <v>192.30085240163368</v>
      </c>
      <c r="Y78" s="63" cm="1">
        <f t="array" ref="Y78">IFERROR(INDEX(REF_TABLE!$G$7:$G$32,MATCH(X78,REF_TABLE!$G$7:$G$32,1)+1),"Aucune valeur supérieure")</f>
        <v>200</v>
      </c>
      <c r="Z78" s="63">
        <v>150</v>
      </c>
      <c r="AA78" s="60">
        <v>47</v>
      </c>
    </row>
    <row r="79" spans="4:27" x14ac:dyDescent="0.25">
      <c r="D79" s="60" t="s">
        <v>1345</v>
      </c>
      <c r="E79" s="60" t="s">
        <v>277</v>
      </c>
      <c r="F79" s="63">
        <f>TRONCONS_V2!BH77</f>
        <v>228.42500000000001</v>
      </c>
      <c r="G79" s="69">
        <f t="shared" si="30"/>
        <v>0.22842500000000002</v>
      </c>
      <c r="H79" s="63">
        <v>1</v>
      </c>
      <c r="I79" s="63">
        <f t="shared" si="31"/>
        <v>0.22842500000000002</v>
      </c>
      <c r="J79" s="63">
        <f t="shared" si="28"/>
        <v>0.53943235085272445</v>
      </c>
      <c r="K79" s="63">
        <f t="shared" si="32"/>
        <v>539.43235085272443</v>
      </c>
      <c r="L79" s="63" cm="1">
        <f t="array" ref="L79">IFERROR(INDEX(REF_TABLE!$G$7:$G$32,MATCH(K79,REF_TABLE!$G$7:$G$32,1)+1),"Aucune valeur supérieure")</f>
        <v>565</v>
      </c>
      <c r="M79" s="63">
        <v>150</v>
      </c>
      <c r="N79" s="60">
        <v>351</v>
      </c>
      <c r="Q79" s="60" t="s">
        <v>1345</v>
      </c>
      <c r="R79" s="60" t="s">
        <v>277</v>
      </c>
      <c r="S79" s="60">
        <v>228.42500000000001</v>
      </c>
      <c r="T79" s="69">
        <f t="shared" si="33"/>
        <v>0.22842500000000002</v>
      </c>
      <c r="U79" s="63">
        <v>1</v>
      </c>
      <c r="V79" s="63">
        <f t="shared" si="34"/>
        <v>0.22842500000000002</v>
      </c>
      <c r="W79" s="63">
        <f t="shared" si="29"/>
        <v>0.53943235085272445</v>
      </c>
      <c r="X79" s="63">
        <f t="shared" si="35"/>
        <v>539.43235085272443</v>
      </c>
      <c r="Y79" s="63" cm="1">
        <f t="array" ref="Y79">IFERROR(INDEX(REF_TABLE!$G$7:$G$32,MATCH(X79,REF_TABLE!$G$7:$G$32,1)+1),"Aucune valeur supérieure")</f>
        <v>565</v>
      </c>
      <c r="Z79" s="63">
        <v>150</v>
      </c>
      <c r="AA79" s="60">
        <v>351</v>
      </c>
    </row>
    <row r="80" spans="4:27" x14ac:dyDescent="0.25">
      <c r="D80" s="60" t="s">
        <v>1345</v>
      </c>
      <c r="E80" s="60" t="s">
        <v>427</v>
      </c>
      <c r="F80" s="63">
        <f>TRONCONS_V2!BH78</f>
        <v>228.42500000000001</v>
      </c>
      <c r="G80" s="69">
        <f t="shared" si="30"/>
        <v>0.22842500000000002</v>
      </c>
      <c r="H80" s="63">
        <v>1</v>
      </c>
      <c r="I80" s="63">
        <f t="shared" si="31"/>
        <v>0.22842500000000002</v>
      </c>
      <c r="J80" s="63">
        <f t="shared" si="28"/>
        <v>0.53943235085272445</v>
      </c>
      <c r="K80" s="63">
        <f t="shared" si="32"/>
        <v>539.43235085272443</v>
      </c>
      <c r="L80" s="63" cm="1">
        <f t="array" ref="L80">IFERROR(INDEX(REF_TABLE!$G$7:$G$32,MATCH(K80,REF_TABLE!$G$7:$G$32,1)+1),"Aucune valeur supérieure")</f>
        <v>565</v>
      </c>
      <c r="M80" s="63">
        <v>150</v>
      </c>
      <c r="N80" s="60">
        <v>169</v>
      </c>
      <c r="Q80" s="60" t="s">
        <v>1345</v>
      </c>
      <c r="R80" s="60" t="s">
        <v>427</v>
      </c>
      <c r="S80" s="60">
        <v>228.42500000000001</v>
      </c>
      <c r="T80" s="69">
        <f t="shared" si="33"/>
        <v>0.22842500000000002</v>
      </c>
      <c r="U80" s="63">
        <v>1</v>
      </c>
      <c r="V80" s="63">
        <f t="shared" si="34"/>
        <v>0.22842500000000002</v>
      </c>
      <c r="W80" s="63">
        <f t="shared" si="29"/>
        <v>0.53943235085272445</v>
      </c>
      <c r="X80" s="63">
        <f t="shared" si="35"/>
        <v>539.43235085272443</v>
      </c>
      <c r="Y80" s="63" cm="1">
        <f t="array" ref="Y80">IFERROR(INDEX(REF_TABLE!$G$7:$G$32,MATCH(X80,REF_TABLE!$G$7:$G$32,1)+1),"Aucune valeur supérieure")</f>
        <v>565</v>
      </c>
      <c r="Z80" s="63">
        <v>150</v>
      </c>
      <c r="AA80" s="60">
        <v>169</v>
      </c>
    </row>
    <row r="98" spans="4:71" x14ac:dyDescent="0.25">
      <c r="E98" t="s">
        <v>111</v>
      </c>
    </row>
    <row r="99" spans="4:71" x14ac:dyDescent="0.25">
      <c r="D99" t="s">
        <v>542</v>
      </c>
      <c r="E99" t="s">
        <v>102</v>
      </c>
      <c r="F99" t="s">
        <v>384</v>
      </c>
      <c r="G99" t="s">
        <v>103</v>
      </c>
      <c r="H99" t="s">
        <v>344</v>
      </c>
      <c r="I99" t="s">
        <v>440</v>
      </c>
      <c r="J99" t="s">
        <v>107</v>
      </c>
      <c r="O99" t="s">
        <v>203</v>
      </c>
    </row>
    <row r="100" spans="4:71" x14ac:dyDescent="0.25">
      <c r="D100" t="s">
        <v>1460</v>
      </c>
      <c r="E100" t="s">
        <v>884</v>
      </c>
      <c r="F100" s="262">
        <v>9.6000000000000002E-2</v>
      </c>
      <c r="G100" s="262">
        <v>9.6000000000000002E-2</v>
      </c>
      <c r="H100" s="262">
        <v>349.70415157754883</v>
      </c>
      <c r="I100">
        <v>350</v>
      </c>
      <c r="J100">
        <v>96</v>
      </c>
      <c r="O100" t="s">
        <v>541</v>
      </c>
      <c r="P100" t="s">
        <v>102</v>
      </c>
      <c r="Q100" t="s">
        <v>384</v>
      </c>
      <c r="R100" t="s">
        <v>103</v>
      </c>
      <c r="S100" t="s">
        <v>344</v>
      </c>
      <c r="T100" t="s">
        <v>440</v>
      </c>
      <c r="U100" t="s">
        <v>107</v>
      </c>
      <c r="Z100" t="s">
        <v>233</v>
      </c>
    </row>
    <row r="101" spans="4:71" x14ac:dyDescent="0.25">
      <c r="D101" t="s">
        <v>1460</v>
      </c>
      <c r="E101" t="s">
        <v>201</v>
      </c>
      <c r="F101" s="262">
        <v>9.5000000000000001E-2</v>
      </c>
      <c r="G101" s="262">
        <v>9.5000000000000001E-2</v>
      </c>
      <c r="H101" s="262">
        <v>347.87800775595855</v>
      </c>
      <c r="I101">
        <v>350</v>
      </c>
      <c r="J101">
        <v>95</v>
      </c>
      <c r="O101" t="s">
        <v>1460</v>
      </c>
      <c r="P101" t="s">
        <v>184</v>
      </c>
      <c r="Q101" s="262">
        <v>9.0894000000000003E-2</v>
      </c>
      <c r="R101" s="262">
        <v>9.0894000000000003E-2</v>
      </c>
      <c r="S101" s="262">
        <v>340.27714444529937</v>
      </c>
      <c r="T101">
        <v>350</v>
      </c>
      <c r="U101">
        <v>68</v>
      </c>
      <c r="Y101" t="s">
        <v>542</v>
      </c>
      <c r="Z101" t="s">
        <v>102</v>
      </c>
      <c r="AA101" t="s">
        <v>384</v>
      </c>
      <c r="AB101" t="s">
        <v>103</v>
      </c>
      <c r="AC101" t="s">
        <v>344</v>
      </c>
      <c r="AD101" t="s">
        <v>440</v>
      </c>
      <c r="AE101" t="s">
        <v>107</v>
      </c>
      <c r="AJ101" t="s">
        <v>255</v>
      </c>
    </row>
    <row r="102" spans="4:71" x14ac:dyDescent="0.25">
      <c r="D102" t="s">
        <v>1460</v>
      </c>
      <c r="E102" t="s">
        <v>199</v>
      </c>
      <c r="F102" s="262">
        <v>7.2999999999999995E-2</v>
      </c>
      <c r="G102" s="262">
        <v>7.2999999999999995E-2</v>
      </c>
      <c r="H102" s="262">
        <v>304.94857037416716</v>
      </c>
      <c r="I102">
        <v>350</v>
      </c>
      <c r="J102">
        <v>73</v>
      </c>
      <c r="O102" t="s">
        <v>1460</v>
      </c>
      <c r="P102" t="s">
        <v>422</v>
      </c>
      <c r="Q102" s="262">
        <v>5.8057999999999998E-2</v>
      </c>
      <c r="R102" s="262">
        <v>5.8057999999999998E-2</v>
      </c>
      <c r="S102" s="262">
        <v>271.95447352229712</v>
      </c>
      <c r="T102">
        <v>300</v>
      </c>
      <c r="U102">
        <v>88</v>
      </c>
      <c r="Y102" t="s">
        <v>1460</v>
      </c>
      <c r="Z102" t="s">
        <v>421</v>
      </c>
      <c r="AA102" s="262">
        <v>3.2835999999999997E-2</v>
      </c>
      <c r="AB102" s="262">
        <v>3.2835999999999997E-2</v>
      </c>
      <c r="AC102" s="262">
        <v>204.52212438525402</v>
      </c>
      <c r="AD102">
        <v>250</v>
      </c>
      <c r="AE102">
        <v>91</v>
      </c>
      <c r="AI102" t="s">
        <v>541</v>
      </c>
      <c r="AJ102" t="s">
        <v>102</v>
      </c>
      <c r="AK102" t="s">
        <v>384</v>
      </c>
      <c r="AL102" t="s">
        <v>103</v>
      </c>
      <c r="AM102" t="s">
        <v>344</v>
      </c>
      <c r="AN102" t="s">
        <v>440</v>
      </c>
      <c r="AO102" t="s">
        <v>107</v>
      </c>
      <c r="AT102" t="s">
        <v>279</v>
      </c>
    </row>
    <row r="103" spans="4:71" x14ac:dyDescent="0.25">
      <c r="D103" t="s">
        <v>1460</v>
      </c>
      <c r="E103" t="s">
        <v>198</v>
      </c>
      <c r="F103" s="262">
        <v>7.6999999999999999E-2</v>
      </c>
      <c r="G103" s="262">
        <v>7.6999999999999999E-2</v>
      </c>
      <c r="H103" s="262">
        <v>313.19190917793884</v>
      </c>
      <c r="I103">
        <v>350</v>
      </c>
      <c r="J103">
        <v>77</v>
      </c>
      <c r="O103" t="s">
        <v>1460</v>
      </c>
      <c r="P103" t="s">
        <v>200</v>
      </c>
      <c r="Q103" s="262">
        <v>9.0894000000000003E-2</v>
      </c>
      <c r="R103" s="262">
        <v>9.0894000000000003E-2</v>
      </c>
      <c r="S103" s="262">
        <v>340.27714444529937</v>
      </c>
      <c r="T103">
        <v>350</v>
      </c>
      <c r="U103">
        <v>152</v>
      </c>
      <c r="Y103" t="s">
        <v>1345</v>
      </c>
      <c r="Z103" t="s">
        <v>413</v>
      </c>
      <c r="AA103" s="262">
        <v>3.2835999999999997E-2</v>
      </c>
      <c r="AB103" s="262">
        <v>3.2835999999999997E-2</v>
      </c>
      <c r="AC103" s="262">
        <v>204.52212438525402</v>
      </c>
      <c r="AD103">
        <v>250</v>
      </c>
      <c r="AE103">
        <v>59</v>
      </c>
      <c r="AI103" t="s">
        <v>1460</v>
      </c>
      <c r="AJ103" t="s">
        <v>414</v>
      </c>
      <c r="AK103">
        <v>3.2835999999999997E-2</v>
      </c>
      <c r="AL103" s="262">
        <v>3.2835999999999997E-2</v>
      </c>
      <c r="AM103" s="262">
        <v>204.52212438525402</v>
      </c>
      <c r="AN103">
        <v>250</v>
      </c>
      <c r="AO103">
        <v>223</v>
      </c>
      <c r="AS103" t="s">
        <v>542</v>
      </c>
      <c r="AT103" t="s">
        <v>102</v>
      </c>
      <c r="AU103" t="s">
        <v>384</v>
      </c>
      <c r="AV103" t="s">
        <v>103</v>
      </c>
      <c r="AW103" t="s">
        <v>344</v>
      </c>
      <c r="AX103" t="s">
        <v>440</v>
      </c>
      <c r="AY103" t="s">
        <v>107</v>
      </c>
      <c r="BD103" t="s">
        <v>305</v>
      </c>
    </row>
    <row r="104" spans="4:71" x14ac:dyDescent="0.25">
      <c r="D104" t="s">
        <v>1460</v>
      </c>
      <c r="E104" t="s">
        <v>197</v>
      </c>
      <c r="F104" s="262">
        <v>0.25</v>
      </c>
      <c r="G104" s="262">
        <v>0.25</v>
      </c>
      <c r="H104" s="262">
        <v>564.33264798310029</v>
      </c>
      <c r="I104">
        <v>565</v>
      </c>
      <c r="J104">
        <v>250</v>
      </c>
      <c r="O104" t="s">
        <v>1460</v>
      </c>
      <c r="P104" t="s">
        <v>202</v>
      </c>
      <c r="Q104" s="262">
        <v>9.0894000000000003E-2</v>
      </c>
      <c r="R104" s="262">
        <v>9.0894000000000003E-2</v>
      </c>
      <c r="S104" s="262">
        <v>340.27714444529937</v>
      </c>
      <c r="T104">
        <v>350</v>
      </c>
      <c r="U104">
        <v>75</v>
      </c>
      <c r="Y104" t="s">
        <v>1460</v>
      </c>
      <c r="Z104" t="s">
        <v>181</v>
      </c>
      <c r="AA104" s="262">
        <v>3.2837000000000005E-2</v>
      </c>
      <c r="AB104" s="262">
        <v>3.2837000000000005E-2</v>
      </c>
      <c r="AC104" s="262">
        <v>204.52523865872314</v>
      </c>
      <c r="AD104">
        <v>250</v>
      </c>
      <c r="AE104">
        <v>80</v>
      </c>
      <c r="AI104" t="s">
        <v>1345</v>
      </c>
      <c r="AJ104" t="s">
        <v>421</v>
      </c>
      <c r="AK104">
        <v>3.2835999999999997E-2</v>
      </c>
      <c r="AL104" s="262">
        <v>3.2835999999999997E-2</v>
      </c>
      <c r="AM104" s="262">
        <v>204.52212438525402</v>
      </c>
      <c r="AN104">
        <v>250</v>
      </c>
      <c r="AO104">
        <v>91</v>
      </c>
      <c r="AS104" t="s">
        <v>1345</v>
      </c>
      <c r="AT104" t="s">
        <v>404</v>
      </c>
      <c r="AU104">
        <v>0.16656000000000001</v>
      </c>
      <c r="AV104" s="262">
        <v>0.16656000000000001</v>
      </c>
      <c r="AW104" s="262">
        <v>460.62820576799743</v>
      </c>
      <c r="AX104">
        <v>466</v>
      </c>
      <c r="AY104">
        <v>211</v>
      </c>
      <c r="BC104" t="s">
        <v>542</v>
      </c>
      <c r="BD104" t="s">
        <v>102</v>
      </c>
      <c r="BE104" t="s">
        <v>384</v>
      </c>
      <c r="BF104" t="s">
        <v>103</v>
      </c>
      <c r="BG104" t="s">
        <v>344</v>
      </c>
      <c r="BH104" t="s">
        <v>440</v>
      </c>
      <c r="BI104" t="s">
        <v>107</v>
      </c>
      <c r="BM104" t="s">
        <v>317</v>
      </c>
    </row>
    <row r="105" spans="4:71" x14ac:dyDescent="0.25">
      <c r="D105" t="s">
        <v>1460</v>
      </c>
      <c r="E105" t="s">
        <v>196</v>
      </c>
      <c r="F105" s="262">
        <v>6.3E-2</v>
      </c>
      <c r="G105" s="262">
        <v>6.3E-2</v>
      </c>
      <c r="H105" s="262">
        <v>283.2927409413515</v>
      </c>
      <c r="I105">
        <v>300</v>
      </c>
      <c r="J105">
        <v>63</v>
      </c>
      <c r="O105" t="s">
        <v>1345</v>
      </c>
      <c r="P105" t="s">
        <v>433</v>
      </c>
      <c r="Q105" s="262">
        <v>2.9028999999999999E-2</v>
      </c>
      <c r="R105" s="262">
        <v>2.9028999999999999E-2</v>
      </c>
      <c r="S105" s="262">
        <v>192.30085240163368</v>
      </c>
      <c r="T105">
        <v>200</v>
      </c>
      <c r="U105">
        <v>96</v>
      </c>
      <c r="Y105" t="s">
        <v>1460</v>
      </c>
      <c r="Z105" t="s">
        <v>179</v>
      </c>
      <c r="AA105" s="262">
        <v>3.2837000000000005E-2</v>
      </c>
      <c r="AB105" s="262">
        <v>3.2837000000000005E-2</v>
      </c>
      <c r="AC105" s="262">
        <v>204.52523865872314</v>
      </c>
      <c r="AD105">
        <v>250</v>
      </c>
      <c r="AE105">
        <v>87</v>
      </c>
      <c r="AI105" t="s">
        <v>1460</v>
      </c>
      <c r="AJ105" t="s">
        <v>159</v>
      </c>
      <c r="AK105">
        <v>3.2837000000000005E-2</v>
      </c>
      <c r="AL105" s="262">
        <v>3.2837000000000005E-2</v>
      </c>
      <c r="AM105" s="262">
        <v>204.52523865872314</v>
      </c>
      <c r="AN105">
        <v>250</v>
      </c>
      <c r="AO105">
        <v>94</v>
      </c>
      <c r="AS105" t="s">
        <v>1460</v>
      </c>
      <c r="AT105" t="s">
        <v>416</v>
      </c>
      <c r="AU105">
        <v>0.16656000000000001</v>
      </c>
      <c r="AV105" s="262">
        <v>0.16656000000000001</v>
      </c>
      <c r="AW105" s="262">
        <v>460.62820576799743</v>
      </c>
      <c r="AX105">
        <v>466</v>
      </c>
      <c r="AY105">
        <v>232</v>
      </c>
      <c r="BC105" t="s">
        <v>1460</v>
      </c>
      <c r="BD105" t="s">
        <v>399</v>
      </c>
      <c r="BE105">
        <v>0.16656000000000001</v>
      </c>
      <c r="BF105" s="262">
        <v>0.16656000000000001</v>
      </c>
      <c r="BG105" s="262">
        <v>460.62820576799743</v>
      </c>
      <c r="BH105">
        <v>466</v>
      </c>
      <c r="BI105">
        <v>93</v>
      </c>
      <c r="BM105" t="s">
        <v>542</v>
      </c>
      <c r="BN105" t="s">
        <v>102</v>
      </c>
      <c r="BO105" t="s">
        <v>384</v>
      </c>
      <c r="BP105" t="s">
        <v>103</v>
      </c>
      <c r="BQ105" t="s">
        <v>344</v>
      </c>
      <c r="BR105" t="s">
        <v>440</v>
      </c>
      <c r="BS105" t="s">
        <v>107</v>
      </c>
    </row>
    <row r="106" spans="4:71" x14ac:dyDescent="0.25">
      <c r="D106" t="s">
        <v>1460</v>
      </c>
      <c r="E106" t="s">
        <v>195</v>
      </c>
      <c r="F106" s="262">
        <v>4.1000000000000002E-2</v>
      </c>
      <c r="G106" s="262">
        <v>4.1000000000000002E-2</v>
      </c>
      <c r="H106" s="262">
        <v>228.53730409510246</v>
      </c>
      <c r="I106">
        <v>250</v>
      </c>
      <c r="J106">
        <v>41</v>
      </c>
      <c r="O106" t="s">
        <v>1345</v>
      </c>
      <c r="P106" t="s">
        <v>436</v>
      </c>
      <c r="Q106" s="262">
        <v>5.8057999999999998E-2</v>
      </c>
      <c r="R106" s="262">
        <v>5.8057999999999998E-2</v>
      </c>
      <c r="S106" s="262">
        <v>271.95447352229712</v>
      </c>
      <c r="T106">
        <v>300</v>
      </c>
      <c r="U106">
        <v>222</v>
      </c>
      <c r="Y106" t="s">
        <v>1460</v>
      </c>
      <c r="Z106" t="s">
        <v>180</v>
      </c>
      <c r="AA106" s="262">
        <v>3.2837000000000005E-2</v>
      </c>
      <c r="AB106" s="262">
        <v>3.2837000000000005E-2</v>
      </c>
      <c r="AC106" s="262">
        <v>204.52523865872314</v>
      </c>
      <c r="AD106">
        <v>250</v>
      </c>
      <c r="AE106">
        <v>89</v>
      </c>
      <c r="AI106" t="s">
        <v>1460</v>
      </c>
      <c r="AJ106" t="s">
        <v>158</v>
      </c>
      <c r="AK106">
        <v>3.2837000000000005E-2</v>
      </c>
      <c r="AL106" s="262">
        <v>3.2837000000000005E-2</v>
      </c>
      <c r="AM106" s="262">
        <v>204.52523865872314</v>
      </c>
      <c r="AN106">
        <v>250</v>
      </c>
      <c r="AO106">
        <v>191</v>
      </c>
      <c r="AS106" t="s">
        <v>1345</v>
      </c>
      <c r="AT106" t="s">
        <v>138</v>
      </c>
      <c r="AU106">
        <v>8.3280000000000007E-2</v>
      </c>
      <c r="AV106" s="262">
        <v>8.3280000000000007E-2</v>
      </c>
      <c r="AW106" s="262">
        <v>325.71332790434337</v>
      </c>
      <c r="AX106">
        <v>350</v>
      </c>
      <c r="AY106">
        <v>129</v>
      </c>
      <c r="BC106" t="s">
        <v>1345</v>
      </c>
      <c r="BD106" t="s">
        <v>400</v>
      </c>
      <c r="BE106">
        <v>0.16656000000000001</v>
      </c>
      <c r="BF106" s="262">
        <v>0.16656000000000001</v>
      </c>
      <c r="BG106" s="262">
        <v>460.62820576799743</v>
      </c>
      <c r="BH106">
        <v>466</v>
      </c>
      <c r="BI106">
        <v>181</v>
      </c>
      <c r="BM106" t="s">
        <v>1460</v>
      </c>
      <c r="BN106" t="s">
        <v>405</v>
      </c>
      <c r="BO106">
        <v>0.33212000000000003</v>
      </c>
      <c r="BP106" s="262">
        <v>0.33212000000000003</v>
      </c>
      <c r="BQ106" s="262">
        <v>650.44815515748121</v>
      </c>
      <c r="BR106">
        <v>700</v>
      </c>
      <c r="BS106">
        <v>47</v>
      </c>
    </row>
    <row r="107" spans="4:71" x14ac:dyDescent="0.25">
      <c r="D107" t="s">
        <v>1460</v>
      </c>
      <c r="E107" t="s">
        <v>194</v>
      </c>
      <c r="F107" s="262">
        <v>0.20100000000000001</v>
      </c>
      <c r="G107" s="262">
        <v>0.20100000000000001</v>
      </c>
      <c r="H107" s="262">
        <v>506.01477786129203</v>
      </c>
      <c r="I107">
        <v>565</v>
      </c>
      <c r="J107">
        <v>201</v>
      </c>
      <c r="O107" t="s">
        <v>1460</v>
      </c>
      <c r="P107" t="s">
        <v>292</v>
      </c>
      <c r="Q107" s="262">
        <v>5.8057999999999998E-2</v>
      </c>
      <c r="R107" s="262">
        <v>5.8057999999999998E-2</v>
      </c>
      <c r="S107" s="262">
        <v>271.95447352229712</v>
      </c>
      <c r="T107">
        <v>300</v>
      </c>
      <c r="U107">
        <v>190</v>
      </c>
      <c r="Y107" t="s">
        <v>1460</v>
      </c>
      <c r="Z107" t="s">
        <v>178</v>
      </c>
      <c r="AA107" s="262">
        <v>3.2837000000000005E-2</v>
      </c>
      <c r="AB107" s="262">
        <v>3.2837000000000005E-2</v>
      </c>
      <c r="AC107" s="262">
        <v>204.52523865872314</v>
      </c>
      <c r="AD107">
        <v>250</v>
      </c>
      <c r="AE107">
        <v>88</v>
      </c>
      <c r="AI107" t="s">
        <v>1460</v>
      </c>
      <c r="AJ107" t="s">
        <v>130</v>
      </c>
      <c r="AK107">
        <v>3.2837000000000005E-2</v>
      </c>
      <c r="AL107" s="262">
        <v>3.2837000000000005E-2</v>
      </c>
      <c r="AM107" s="262">
        <v>204.52523865872314</v>
      </c>
      <c r="AN107">
        <v>250</v>
      </c>
      <c r="AO107">
        <v>77</v>
      </c>
      <c r="AS107" t="s">
        <v>1345</v>
      </c>
      <c r="AT107" t="s">
        <v>137</v>
      </c>
      <c r="AU107">
        <v>8.3280000000000007E-2</v>
      </c>
      <c r="AV107" s="262">
        <v>8.3280000000000007E-2</v>
      </c>
      <c r="AW107" s="262">
        <v>325.71332790434337</v>
      </c>
      <c r="AX107">
        <v>350</v>
      </c>
      <c r="AY107">
        <v>157</v>
      </c>
      <c r="BC107" t="s">
        <v>1345</v>
      </c>
      <c r="BD107" t="s">
        <v>401</v>
      </c>
      <c r="BE107">
        <v>0.16656000000000001</v>
      </c>
      <c r="BF107" s="262">
        <v>0.16656000000000001</v>
      </c>
      <c r="BG107" s="262">
        <v>460.62820576799743</v>
      </c>
      <c r="BH107">
        <v>466</v>
      </c>
      <c r="BI107">
        <v>133</v>
      </c>
      <c r="BM107" t="s">
        <v>1460</v>
      </c>
      <c r="BN107" t="s">
        <v>406</v>
      </c>
      <c r="BO107">
        <v>0.33212000000000003</v>
      </c>
      <c r="BP107" s="262">
        <v>0.33212000000000003</v>
      </c>
      <c r="BQ107" s="262">
        <v>650.44815515748121</v>
      </c>
      <c r="BR107">
        <v>700</v>
      </c>
      <c r="BS107">
        <v>117</v>
      </c>
    </row>
    <row r="108" spans="4:71" x14ac:dyDescent="0.25">
      <c r="D108" t="s">
        <v>1460</v>
      </c>
      <c r="E108" t="s">
        <v>425</v>
      </c>
      <c r="F108" s="262">
        <v>0.129</v>
      </c>
      <c r="G108" s="262">
        <v>0.129</v>
      </c>
      <c r="H108" s="262">
        <v>405.37786100264873</v>
      </c>
      <c r="I108">
        <v>421</v>
      </c>
      <c r="J108">
        <v>129</v>
      </c>
      <c r="O108" t="s">
        <v>1460</v>
      </c>
      <c r="P108" t="s">
        <v>291</v>
      </c>
      <c r="Q108" s="262">
        <v>5.8057999999999998E-2</v>
      </c>
      <c r="R108" s="262">
        <v>5.8057999999999998E-2</v>
      </c>
      <c r="S108" s="262">
        <v>271.95447352229712</v>
      </c>
      <c r="T108">
        <v>300</v>
      </c>
      <c r="U108">
        <v>290</v>
      </c>
      <c r="Y108" t="s">
        <v>1460</v>
      </c>
      <c r="Z108" t="s">
        <v>189</v>
      </c>
      <c r="AA108" s="262">
        <v>3.2837000000000005E-2</v>
      </c>
      <c r="AB108" s="262">
        <v>3.2837000000000005E-2</v>
      </c>
      <c r="AC108" s="262">
        <v>204.52523865872314</v>
      </c>
      <c r="AD108">
        <v>250</v>
      </c>
      <c r="AE108">
        <v>76</v>
      </c>
      <c r="AI108" t="s">
        <v>1460</v>
      </c>
      <c r="AJ108" t="s">
        <v>129</v>
      </c>
      <c r="AK108">
        <v>3.2837000000000005E-2</v>
      </c>
      <c r="AL108" s="262">
        <v>3.2837000000000005E-2</v>
      </c>
      <c r="AM108" s="262">
        <v>204.52523865872314</v>
      </c>
      <c r="AN108">
        <v>250</v>
      </c>
      <c r="AO108">
        <v>77</v>
      </c>
      <c r="AS108" t="s">
        <v>1345</v>
      </c>
      <c r="AT108" t="s">
        <v>136</v>
      </c>
      <c r="AU108">
        <v>8.3280000000000007E-2</v>
      </c>
      <c r="AV108" s="262">
        <v>8.3280000000000007E-2</v>
      </c>
      <c r="AW108" s="262">
        <v>325.71332790434337</v>
      </c>
      <c r="AX108">
        <v>350</v>
      </c>
      <c r="AY108">
        <v>82</v>
      </c>
      <c r="BC108" t="s">
        <v>1345</v>
      </c>
      <c r="BD108" t="s">
        <v>403</v>
      </c>
      <c r="BE108">
        <v>0.16656000000000001</v>
      </c>
      <c r="BF108" s="262">
        <v>0.16656000000000001</v>
      </c>
      <c r="BG108" s="262">
        <v>460.62820576799743</v>
      </c>
      <c r="BH108">
        <v>466</v>
      </c>
      <c r="BI108">
        <v>75</v>
      </c>
      <c r="BM108" t="s">
        <v>1460</v>
      </c>
      <c r="BN108" t="s">
        <v>407</v>
      </c>
      <c r="BO108">
        <v>0.33212000000000003</v>
      </c>
      <c r="BP108" s="262">
        <v>0.33212000000000003</v>
      </c>
      <c r="BQ108" s="262">
        <v>650.44815515748121</v>
      </c>
      <c r="BR108">
        <v>700</v>
      </c>
      <c r="BS108">
        <v>167</v>
      </c>
    </row>
    <row r="109" spans="4:71" x14ac:dyDescent="0.25">
      <c r="D109" t="s">
        <v>1460</v>
      </c>
      <c r="E109" t="s">
        <v>183</v>
      </c>
      <c r="F109" s="262">
        <v>0.111</v>
      </c>
      <c r="G109" s="262">
        <v>0.111</v>
      </c>
      <c r="H109" s="262">
        <v>376.03360738815661</v>
      </c>
      <c r="I109">
        <v>400</v>
      </c>
      <c r="J109">
        <v>111</v>
      </c>
      <c r="O109" t="s">
        <v>1460</v>
      </c>
      <c r="P109" t="s">
        <v>293</v>
      </c>
      <c r="Q109" s="262">
        <v>5.8057999999999998E-2</v>
      </c>
      <c r="R109" s="262">
        <v>5.8057999999999998E-2</v>
      </c>
      <c r="S109" s="262">
        <v>271.95447352229712</v>
      </c>
      <c r="T109">
        <v>300</v>
      </c>
      <c r="U109">
        <v>82</v>
      </c>
      <c r="Y109" t="s">
        <v>1460</v>
      </c>
      <c r="Z109" t="s">
        <v>188</v>
      </c>
      <c r="AA109" s="262">
        <v>3.2837000000000005E-2</v>
      </c>
      <c r="AB109" s="262">
        <v>3.2837000000000005E-2</v>
      </c>
      <c r="AC109" s="262">
        <v>204.52523865872314</v>
      </c>
      <c r="AD109">
        <v>250</v>
      </c>
      <c r="AE109">
        <v>80</v>
      </c>
      <c r="AI109" t="s">
        <v>1460</v>
      </c>
      <c r="AJ109" t="s">
        <v>128</v>
      </c>
      <c r="AK109">
        <v>3.2837000000000005E-2</v>
      </c>
      <c r="AL109" s="262">
        <v>3.2837000000000005E-2</v>
      </c>
      <c r="AM109" s="262">
        <v>204.52523865872314</v>
      </c>
      <c r="AN109">
        <v>250</v>
      </c>
      <c r="AO109">
        <v>76</v>
      </c>
      <c r="AS109" t="s">
        <v>1345</v>
      </c>
      <c r="AT109" t="s">
        <v>134</v>
      </c>
      <c r="AU109">
        <v>8.3280000000000007E-2</v>
      </c>
      <c r="AV109" s="262">
        <v>8.3280000000000007E-2</v>
      </c>
      <c r="AW109" s="262">
        <v>325.71332790434337</v>
      </c>
      <c r="AX109">
        <v>350</v>
      </c>
      <c r="AY109">
        <v>69</v>
      </c>
      <c r="BC109" t="s">
        <v>1345</v>
      </c>
      <c r="BD109" t="s">
        <v>396</v>
      </c>
      <c r="BE109">
        <v>0.16656000000000001</v>
      </c>
      <c r="BF109" s="262">
        <v>0.16656000000000001</v>
      </c>
      <c r="BG109" s="262">
        <v>460.62820576799743</v>
      </c>
      <c r="BH109">
        <v>466</v>
      </c>
      <c r="BI109">
        <v>94</v>
      </c>
      <c r="BM109" t="s">
        <v>1345</v>
      </c>
      <c r="BN109" t="s">
        <v>399</v>
      </c>
      <c r="BO109">
        <v>0.16656000000000001</v>
      </c>
      <c r="BP109" s="262">
        <v>0.16656000000000001</v>
      </c>
      <c r="BQ109" s="262">
        <v>460.62820576799743</v>
      </c>
      <c r="BR109">
        <v>466</v>
      </c>
      <c r="BS109">
        <v>93</v>
      </c>
    </row>
    <row r="110" spans="4:71" x14ac:dyDescent="0.25">
      <c r="D110" t="s">
        <v>1460</v>
      </c>
      <c r="E110" t="s">
        <v>192</v>
      </c>
      <c r="F110" s="262">
        <v>8.7999999999999995E-2</v>
      </c>
      <c r="G110" s="262">
        <v>8.7999999999999995E-2</v>
      </c>
      <c r="H110" s="262">
        <v>334.81623441527665</v>
      </c>
      <c r="I110">
        <v>350</v>
      </c>
      <c r="J110">
        <v>88</v>
      </c>
      <c r="O110" t="s">
        <v>1460</v>
      </c>
      <c r="P110" t="s">
        <v>294</v>
      </c>
      <c r="Q110" s="262">
        <v>5.8057999999999998E-2</v>
      </c>
      <c r="R110" s="262">
        <v>5.8057999999999998E-2</v>
      </c>
      <c r="S110" s="262">
        <v>271.95447352229712</v>
      </c>
      <c r="T110">
        <v>300</v>
      </c>
      <c r="U110">
        <v>75</v>
      </c>
      <c r="Y110" t="s">
        <v>1460</v>
      </c>
      <c r="Z110" t="s">
        <v>186</v>
      </c>
      <c r="AA110" s="262">
        <v>3.2837000000000005E-2</v>
      </c>
      <c r="AB110" s="262">
        <v>3.2837000000000005E-2</v>
      </c>
      <c r="AC110" s="262">
        <v>204.52523865872314</v>
      </c>
      <c r="AD110">
        <v>250</v>
      </c>
      <c r="AE110">
        <v>158</v>
      </c>
      <c r="AI110" t="s">
        <v>1460</v>
      </c>
      <c r="AJ110" t="s">
        <v>127</v>
      </c>
      <c r="AK110">
        <v>3.2837000000000005E-2</v>
      </c>
      <c r="AL110" s="262">
        <v>3.2837000000000005E-2</v>
      </c>
      <c r="AM110" s="262">
        <v>204.52523865872314</v>
      </c>
      <c r="AN110">
        <v>250</v>
      </c>
      <c r="AO110">
        <v>36</v>
      </c>
      <c r="AS110" t="s">
        <v>1345</v>
      </c>
      <c r="AT110" t="s">
        <v>135</v>
      </c>
      <c r="AU110">
        <v>8.3280000000000007E-2</v>
      </c>
      <c r="AV110" s="262">
        <v>8.3280000000000007E-2</v>
      </c>
      <c r="AW110" s="262">
        <v>325.71332790434337</v>
      </c>
      <c r="AX110">
        <v>350</v>
      </c>
      <c r="AY110">
        <v>73</v>
      </c>
      <c r="BC110" t="s">
        <v>1345</v>
      </c>
      <c r="BD110" t="s">
        <v>409</v>
      </c>
      <c r="BE110">
        <v>8.3280000000000007E-2</v>
      </c>
      <c r="BF110" s="262">
        <v>8.3280000000000007E-2</v>
      </c>
      <c r="BG110" s="262">
        <v>325.71332790434337</v>
      </c>
      <c r="BH110">
        <v>350</v>
      </c>
      <c r="BI110">
        <v>322</v>
      </c>
      <c r="BM110" t="s">
        <v>1460</v>
      </c>
      <c r="BN110" t="s">
        <v>400</v>
      </c>
      <c r="BO110">
        <v>0.16656000000000001</v>
      </c>
      <c r="BP110" s="262">
        <v>0.16656000000000001</v>
      </c>
      <c r="BQ110" s="262">
        <v>460.62820576799743</v>
      </c>
      <c r="BR110">
        <v>466</v>
      </c>
      <c r="BS110">
        <v>181</v>
      </c>
    </row>
    <row r="111" spans="4:71" x14ac:dyDescent="0.25">
      <c r="D111" t="s">
        <v>1460</v>
      </c>
      <c r="E111" t="s">
        <v>230</v>
      </c>
      <c r="F111" s="262">
        <v>7.3999999999999996E-2</v>
      </c>
      <c r="G111" s="262">
        <v>7.3999999999999996E-2</v>
      </c>
      <c r="H111" s="262">
        <v>307.03015474634879</v>
      </c>
      <c r="I111">
        <v>350</v>
      </c>
      <c r="J111">
        <v>74</v>
      </c>
      <c r="O111" t="s">
        <v>1460</v>
      </c>
      <c r="P111" t="s">
        <v>295</v>
      </c>
      <c r="Q111" s="262">
        <v>5.8057999999999998E-2</v>
      </c>
      <c r="R111" s="262">
        <v>5.8057999999999998E-2</v>
      </c>
      <c r="S111" s="262">
        <v>271.95447352229712</v>
      </c>
      <c r="T111">
        <v>300</v>
      </c>
      <c r="U111">
        <v>108</v>
      </c>
      <c r="Y111" t="s">
        <v>1460</v>
      </c>
      <c r="Z111" t="s">
        <v>187</v>
      </c>
      <c r="AA111" s="262">
        <v>3.2837000000000005E-2</v>
      </c>
      <c r="AB111" s="262">
        <v>3.2837000000000005E-2</v>
      </c>
      <c r="AC111" s="262">
        <v>204.52523865872314</v>
      </c>
      <c r="AD111">
        <v>250</v>
      </c>
      <c r="AE111">
        <v>70</v>
      </c>
      <c r="AI111" t="s">
        <v>1460</v>
      </c>
      <c r="AJ111" t="s">
        <v>126</v>
      </c>
      <c r="AK111">
        <v>3.2837000000000005E-2</v>
      </c>
      <c r="AL111" s="262">
        <v>3.2837000000000005E-2</v>
      </c>
      <c r="AM111" s="262">
        <v>204.52523865872314</v>
      </c>
      <c r="AN111">
        <v>250</v>
      </c>
      <c r="AO111">
        <v>32</v>
      </c>
      <c r="AS111" t="s">
        <v>1345</v>
      </c>
      <c r="AT111" t="s">
        <v>133</v>
      </c>
      <c r="AU111">
        <v>8.3280000000000007E-2</v>
      </c>
      <c r="AV111" s="262">
        <v>8.3280000000000007E-2</v>
      </c>
      <c r="AW111" s="262">
        <v>325.71332790434337</v>
      </c>
      <c r="AX111">
        <v>350</v>
      </c>
      <c r="AY111">
        <v>81</v>
      </c>
      <c r="BC111" t="s">
        <v>1460</v>
      </c>
      <c r="BD111" t="s">
        <v>151</v>
      </c>
      <c r="BE111">
        <v>0.16656000000000001</v>
      </c>
      <c r="BF111" s="262">
        <v>0.16656000000000001</v>
      </c>
      <c r="BG111" s="262">
        <v>460.62820576799743</v>
      </c>
      <c r="BH111">
        <v>466</v>
      </c>
      <c r="BI111">
        <v>56</v>
      </c>
      <c r="BM111" t="s">
        <v>1460</v>
      </c>
      <c r="BN111" t="s">
        <v>401</v>
      </c>
      <c r="BO111">
        <v>0.16656000000000001</v>
      </c>
      <c r="BP111" s="262">
        <v>0.16656000000000001</v>
      </c>
      <c r="BQ111" s="262">
        <v>460.62820576799743</v>
      </c>
      <c r="BR111">
        <v>466</v>
      </c>
      <c r="BS111">
        <v>133</v>
      </c>
    </row>
    <row r="112" spans="4:71" x14ac:dyDescent="0.25">
      <c r="D112" t="s">
        <v>1460</v>
      </c>
      <c r="E112" t="s">
        <v>215</v>
      </c>
      <c r="F112" s="262">
        <v>0.248</v>
      </c>
      <c r="G112" s="262">
        <v>0.248</v>
      </c>
      <c r="H112" s="262">
        <v>562.07078458053741</v>
      </c>
      <c r="I112">
        <v>565</v>
      </c>
      <c r="J112">
        <v>248</v>
      </c>
      <c r="O112" t="s">
        <v>1460</v>
      </c>
      <c r="P112" t="s">
        <v>296</v>
      </c>
      <c r="Q112" s="262">
        <v>5.8057999999999998E-2</v>
      </c>
      <c r="R112" s="262">
        <v>5.8057999999999998E-2</v>
      </c>
      <c r="S112" s="262">
        <v>271.95447352229712</v>
      </c>
      <c r="T112">
        <v>300</v>
      </c>
      <c r="U112">
        <v>150</v>
      </c>
      <c r="Y112" t="s">
        <v>1460</v>
      </c>
      <c r="Z112" t="s">
        <v>185</v>
      </c>
      <c r="AA112" s="262">
        <v>3.2835999999999997E-2</v>
      </c>
      <c r="AB112" s="262">
        <v>3.2835999999999997E-2</v>
      </c>
      <c r="AC112" s="262">
        <v>204.52212438525402</v>
      </c>
      <c r="AD112">
        <v>250</v>
      </c>
      <c r="AE112">
        <v>80</v>
      </c>
      <c r="AI112" t="s">
        <v>1460</v>
      </c>
      <c r="AJ112" t="s">
        <v>125</v>
      </c>
      <c r="AK112">
        <v>3.2837000000000005E-2</v>
      </c>
      <c r="AL112" s="262">
        <v>3.2837000000000005E-2</v>
      </c>
      <c r="AM112" s="262">
        <v>204.52523865872314</v>
      </c>
      <c r="AN112">
        <v>250</v>
      </c>
      <c r="AO112">
        <v>79</v>
      </c>
      <c r="AS112" t="s">
        <v>1345</v>
      </c>
      <c r="AT112" t="s">
        <v>132</v>
      </c>
      <c r="AU112">
        <v>8.3280000000000007E-2</v>
      </c>
      <c r="AV112" s="262">
        <v>8.3280000000000007E-2</v>
      </c>
      <c r="AW112" s="262">
        <v>325.71332790434337</v>
      </c>
      <c r="AX112">
        <v>350</v>
      </c>
      <c r="AY112">
        <v>101</v>
      </c>
      <c r="BC112" t="s">
        <v>1460</v>
      </c>
      <c r="BD112" t="s">
        <v>150</v>
      </c>
      <c r="BE112">
        <v>0.16656000000000001</v>
      </c>
      <c r="BF112" s="262">
        <v>0.16656000000000001</v>
      </c>
      <c r="BG112" s="262">
        <v>460.62820576799743</v>
      </c>
      <c r="BH112">
        <v>466</v>
      </c>
      <c r="BI112">
        <v>60</v>
      </c>
      <c r="BM112" t="s">
        <v>1460</v>
      </c>
      <c r="BN112" t="s">
        <v>403</v>
      </c>
      <c r="BO112">
        <v>0.16656000000000001</v>
      </c>
      <c r="BP112" s="262">
        <v>0.16656000000000001</v>
      </c>
      <c r="BQ112" s="262">
        <v>460.62820576799743</v>
      </c>
      <c r="BR112">
        <v>466</v>
      </c>
      <c r="BS112">
        <v>75</v>
      </c>
    </row>
    <row r="113" spans="4:71" x14ac:dyDescent="0.25">
      <c r="D113" t="s">
        <v>1460</v>
      </c>
      <c r="E113" t="s">
        <v>214</v>
      </c>
      <c r="F113" s="262">
        <v>0.11600000000000001</v>
      </c>
      <c r="G113" s="262">
        <v>0.11600000000000001</v>
      </c>
      <c r="H113" s="262">
        <v>384.40954805642207</v>
      </c>
      <c r="I113">
        <v>400</v>
      </c>
      <c r="J113">
        <v>116</v>
      </c>
      <c r="O113" t="s">
        <v>1460</v>
      </c>
      <c r="P113" t="s">
        <v>297</v>
      </c>
      <c r="Q113" s="262">
        <v>5.8057999999999998E-2</v>
      </c>
      <c r="R113" s="262">
        <v>5.8057999999999998E-2</v>
      </c>
      <c r="S113" s="262">
        <v>271.95447352229712</v>
      </c>
      <c r="T113">
        <v>300</v>
      </c>
      <c r="U113">
        <v>54</v>
      </c>
      <c r="Y113" t="s">
        <v>1345</v>
      </c>
      <c r="Z113" t="s">
        <v>422</v>
      </c>
      <c r="AA113" s="262">
        <v>5.8057999999999998E-2</v>
      </c>
      <c r="AB113" s="262">
        <v>5.8057999999999998E-2</v>
      </c>
      <c r="AC113" s="262">
        <v>271.95447352229712</v>
      </c>
      <c r="AD113">
        <v>300</v>
      </c>
      <c r="AE113">
        <v>88</v>
      </c>
      <c r="AI113" t="s">
        <v>1460</v>
      </c>
      <c r="AJ113" t="s">
        <v>124</v>
      </c>
      <c r="AK113">
        <v>3.2837000000000005E-2</v>
      </c>
      <c r="AL113" s="262">
        <v>3.2837000000000005E-2</v>
      </c>
      <c r="AM113" s="262">
        <v>204.52523865872314</v>
      </c>
      <c r="AN113">
        <v>250</v>
      </c>
      <c r="AO113">
        <v>51</v>
      </c>
      <c r="AS113" t="s">
        <v>1345</v>
      </c>
      <c r="AT113" t="s">
        <v>408</v>
      </c>
      <c r="AU113">
        <v>8.3280000000000007E-2</v>
      </c>
      <c r="AV113" s="262">
        <v>8.3280000000000007E-2</v>
      </c>
      <c r="AW113" s="262">
        <v>325.71332790434337</v>
      </c>
      <c r="AX113">
        <v>350</v>
      </c>
      <c r="AY113">
        <v>91</v>
      </c>
      <c r="BC113" t="s">
        <v>1460</v>
      </c>
      <c r="BD113" t="s">
        <v>149</v>
      </c>
      <c r="BE113">
        <v>0.16656000000000001</v>
      </c>
      <c r="BF113" s="262">
        <v>0.16656000000000001</v>
      </c>
      <c r="BG113" s="262">
        <v>460.62820576799743</v>
      </c>
      <c r="BH113">
        <v>466</v>
      </c>
      <c r="BI113">
        <v>67</v>
      </c>
      <c r="BM113" t="s">
        <v>1460</v>
      </c>
      <c r="BN113" t="s">
        <v>396</v>
      </c>
      <c r="BO113">
        <v>0.16656000000000001</v>
      </c>
      <c r="BP113" s="262">
        <v>0.16656000000000001</v>
      </c>
      <c r="BQ113" s="262">
        <v>460.62820576799743</v>
      </c>
      <c r="BR113">
        <v>466</v>
      </c>
      <c r="BS113">
        <v>94</v>
      </c>
    </row>
    <row r="114" spans="4:71" x14ac:dyDescent="0.25">
      <c r="D114" t="s">
        <v>1460</v>
      </c>
      <c r="E114" t="s">
        <v>213</v>
      </c>
      <c r="F114" s="262">
        <v>0.128</v>
      </c>
      <c r="G114" s="262">
        <v>0.128</v>
      </c>
      <c r="H114" s="262">
        <v>403.80357210005502</v>
      </c>
      <c r="I114">
        <v>421</v>
      </c>
      <c r="J114">
        <v>128</v>
      </c>
      <c r="O114" t="s">
        <v>1460</v>
      </c>
      <c r="P114" t="s">
        <v>298</v>
      </c>
      <c r="Q114" s="262">
        <v>5.8057999999999998E-2</v>
      </c>
      <c r="R114" s="262">
        <v>5.8057999999999998E-2</v>
      </c>
      <c r="S114" s="262">
        <v>271.95447352229712</v>
      </c>
      <c r="T114">
        <v>300</v>
      </c>
      <c r="U114">
        <v>93</v>
      </c>
      <c r="Y114" t="s">
        <v>1345</v>
      </c>
      <c r="Z114" t="s">
        <v>263</v>
      </c>
      <c r="AA114" s="262">
        <v>3.2837000000000005E-2</v>
      </c>
      <c r="AB114" s="262">
        <v>3.2837000000000005E-2</v>
      </c>
      <c r="AC114" s="262">
        <v>204.52523865872314</v>
      </c>
      <c r="AD114">
        <v>250</v>
      </c>
      <c r="AE114">
        <v>234</v>
      </c>
      <c r="AI114" t="s">
        <v>1460</v>
      </c>
      <c r="AJ114" t="s">
        <v>123</v>
      </c>
      <c r="AK114">
        <v>3.2837000000000005E-2</v>
      </c>
      <c r="AL114" s="262">
        <v>3.2837000000000005E-2</v>
      </c>
      <c r="AM114" s="262">
        <v>204.52523865872314</v>
      </c>
      <c r="AN114">
        <v>250</v>
      </c>
      <c r="AO114">
        <v>73</v>
      </c>
      <c r="AS114" t="s">
        <v>1345</v>
      </c>
      <c r="AT114" t="s">
        <v>172</v>
      </c>
      <c r="AU114">
        <v>8.3280000000000007E-2</v>
      </c>
      <c r="AV114" s="262">
        <v>8.3280000000000007E-2</v>
      </c>
      <c r="AW114" s="262">
        <v>325.71332790434337</v>
      </c>
      <c r="AX114">
        <v>350</v>
      </c>
      <c r="AY114">
        <v>87</v>
      </c>
      <c r="BC114" t="s">
        <v>1460</v>
      </c>
      <c r="BD114" t="s">
        <v>148</v>
      </c>
      <c r="BE114">
        <v>0.16656000000000001</v>
      </c>
      <c r="BF114" s="262">
        <v>0.16656000000000001</v>
      </c>
      <c r="BG114" s="262">
        <v>460.62820576799743</v>
      </c>
      <c r="BH114">
        <v>466</v>
      </c>
      <c r="BI114">
        <v>194</v>
      </c>
      <c r="BM114" t="s">
        <v>1460</v>
      </c>
      <c r="BN114" t="s">
        <v>402</v>
      </c>
      <c r="BO114">
        <v>8.3280000000000007E-2</v>
      </c>
      <c r="BP114" s="262">
        <v>8.3280000000000007E-2</v>
      </c>
      <c r="BQ114" s="262">
        <v>325.71332790434337</v>
      </c>
      <c r="BR114">
        <v>350</v>
      </c>
      <c r="BS114">
        <v>133</v>
      </c>
    </row>
    <row r="115" spans="4:71" x14ac:dyDescent="0.25">
      <c r="D115" t="s">
        <v>1460</v>
      </c>
      <c r="E115" t="s">
        <v>212</v>
      </c>
      <c r="F115" s="262">
        <v>0.13800000000000001</v>
      </c>
      <c r="G115" s="262">
        <v>0.13800000000000001</v>
      </c>
      <c r="H115" s="262">
        <v>419.28054849223457</v>
      </c>
      <c r="I115">
        <v>421</v>
      </c>
      <c r="J115">
        <v>138</v>
      </c>
      <c r="O115" t="s">
        <v>1345</v>
      </c>
      <c r="P115" t="s">
        <v>300</v>
      </c>
      <c r="Q115" s="262">
        <v>5.8057999999999998E-2</v>
      </c>
      <c r="R115" s="262">
        <v>5.8057999999999998E-2</v>
      </c>
      <c r="S115" s="262">
        <v>271.95447352229712</v>
      </c>
      <c r="T115">
        <v>300</v>
      </c>
      <c r="U115">
        <v>360</v>
      </c>
      <c r="Y115" t="s">
        <v>1345</v>
      </c>
      <c r="Z115" t="s">
        <v>264</v>
      </c>
      <c r="AA115" s="262">
        <v>3.2837000000000005E-2</v>
      </c>
      <c r="AB115" s="262">
        <v>3.2837000000000005E-2</v>
      </c>
      <c r="AC115" s="262">
        <v>204.52523865872314</v>
      </c>
      <c r="AD115">
        <v>250</v>
      </c>
      <c r="AE115">
        <v>74</v>
      </c>
      <c r="AI115" t="s">
        <v>1460</v>
      </c>
      <c r="AJ115" t="s">
        <v>122</v>
      </c>
      <c r="AK115">
        <v>3.2837000000000005E-2</v>
      </c>
      <c r="AL115" s="262">
        <v>3.2837000000000005E-2</v>
      </c>
      <c r="AM115" s="262">
        <v>204.52523865872314</v>
      </c>
      <c r="AN115">
        <v>250</v>
      </c>
      <c r="AO115">
        <v>58</v>
      </c>
      <c r="AS115" t="s">
        <v>1345</v>
      </c>
      <c r="AT115" t="s">
        <v>170</v>
      </c>
      <c r="AU115">
        <v>8.3280000000000007E-2</v>
      </c>
      <c r="AV115" s="262">
        <v>8.3280000000000007E-2</v>
      </c>
      <c r="AW115" s="262">
        <v>325.71332790434337</v>
      </c>
      <c r="AX115">
        <v>350</v>
      </c>
      <c r="AY115">
        <v>94</v>
      </c>
      <c r="BC115" t="s">
        <v>1460</v>
      </c>
      <c r="BD115" t="s">
        <v>147</v>
      </c>
      <c r="BE115">
        <v>0.16656000000000001</v>
      </c>
      <c r="BF115" s="262">
        <v>0.16656000000000001</v>
      </c>
      <c r="BG115" s="262">
        <v>460.62820576799743</v>
      </c>
      <c r="BH115">
        <v>466</v>
      </c>
      <c r="BI115">
        <v>74</v>
      </c>
      <c r="BM115" t="s">
        <v>1460</v>
      </c>
      <c r="BN115" t="s">
        <v>174</v>
      </c>
      <c r="BO115">
        <v>8.3280000000000007E-2</v>
      </c>
      <c r="BP115" s="262">
        <v>8.3280000000000007E-2</v>
      </c>
      <c r="BQ115" s="262">
        <v>325.71332790434337</v>
      </c>
      <c r="BR115">
        <v>350</v>
      </c>
      <c r="BS115">
        <v>178</v>
      </c>
    </row>
    <row r="116" spans="4:71" x14ac:dyDescent="0.25">
      <c r="D116" t="s">
        <v>1345</v>
      </c>
      <c r="E116" t="s">
        <v>426</v>
      </c>
      <c r="F116" s="262">
        <v>0.184</v>
      </c>
      <c r="G116" s="262">
        <v>0.184</v>
      </c>
      <c r="H116" s="262">
        <v>484.14347507593106</v>
      </c>
      <c r="I116">
        <v>565</v>
      </c>
      <c r="J116">
        <v>184</v>
      </c>
      <c r="O116" t="s">
        <v>1345</v>
      </c>
      <c r="P116" t="s">
        <v>301</v>
      </c>
      <c r="Q116" s="262">
        <v>5.8057999999999998E-2</v>
      </c>
      <c r="R116" s="262">
        <v>5.8057999999999998E-2</v>
      </c>
      <c r="S116" s="262">
        <v>271.95447352229712</v>
      </c>
      <c r="T116">
        <v>300</v>
      </c>
      <c r="U116">
        <v>315</v>
      </c>
      <c r="Y116" t="s">
        <v>1345</v>
      </c>
      <c r="Z116" t="s">
        <v>266</v>
      </c>
      <c r="AA116" s="262">
        <v>3.2837000000000005E-2</v>
      </c>
      <c r="AB116" s="262">
        <v>3.2837000000000005E-2</v>
      </c>
      <c r="AC116" s="262">
        <v>204.52523865872314</v>
      </c>
      <c r="AD116">
        <v>250</v>
      </c>
      <c r="AE116">
        <v>79</v>
      </c>
      <c r="AI116" t="s">
        <v>1460</v>
      </c>
      <c r="AJ116" t="s">
        <v>121</v>
      </c>
      <c r="AK116">
        <v>3.2837000000000005E-2</v>
      </c>
      <c r="AL116" s="262">
        <v>3.2837000000000005E-2</v>
      </c>
      <c r="AM116" s="262">
        <v>204.52523865872314</v>
      </c>
      <c r="AN116">
        <v>250</v>
      </c>
      <c r="AO116">
        <v>216</v>
      </c>
      <c r="AS116" t="s">
        <v>1345</v>
      </c>
      <c r="AT116" t="s">
        <v>171</v>
      </c>
      <c r="AU116">
        <v>9.851E-2</v>
      </c>
      <c r="AV116" s="262">
        <v>9.851E-2</v>
      </c>
      <c r="AW116" s="262">
        <v>354.24630676955917</v>
      </c>
      <c r="AX116">
        <v>400</v>
      </c>
      <c r="AY116">
        <v>70</v>
      </c>
      <c r="BC116" t="s">
        <v>1460</v>
      </c>
      <c r="BD116" t="s">
        <v>146</v>
      </c>
      <c r="BE116">
        <v>0.16656000000000001</v>
      </c>
      <c r="BF116" s="262">
        <v>0.16656000000000001</v>
      </c>
      <c r="BG116" s="262">
        <v>460.62820576799743</v>
      </c>
      <c r="BH116">
        <v>466</v>
      </c>
      <c r="BI116">
        <v>92</v>
      </c>
      <c r="BM116" t="s">
        <v>1460</v>
      </c>
      <c r="BN116" t="s">
        <v>175</v>
      </c>
      <c r="BO116">
        <v>8.3280000000000007E-2</v>
      </c>
      <c r="BP116" s="262">
        <v>8.3280000000000007E-2</v>
      </c>
      <c r="BQ116" s="262">
        <v>325.71332790434337</v>
      </c>
      <c r="BR116">
        <v>350</v>
      </c>
      <c r="BS116">
        <v>198</v>
      </c>
    </row>
    <row r="117" spans="4:71" x14ac:dyDescent="0.25">
      <c r="D117" t="s">
        <v>1460</v>
      </c>
      <c r="E117" t="s">
        <v>211</v>
      </c>
      <c r="F117" s="262">
        <v>0.28899999999999998</v>
      </c>
      <c r="G117" s="262">
        <v>0.28899999999999998</v>
      </c>
      <c r="H117" s="262">
        <v>606.7560187110123</v>
      </c>
      <c r="I117">
        <v>700</v>
      </c>
      <c r="J117">
        <v>289</v>
      </c>
      <c r="O117" t="s">
        <v>1345</v>
      </c>
      <c r="P117" t="s">
        <v>302</v>
      </c>
      <c r="Q117" s="262">
        <v>5.8057999999999998E-2</v>
      </c>
      <c r="R117" s="262">
        <v>5.8057999999999998E-2</v>
      </c>
      <c r="S117" s="262">
        <v>271.95447352229712</v>
      </c>
      <c r="T117">
        <v>300</v>
      </c>
      <c r="U117">
        <v>270</v>
      </c>
      <c r="Y117" t="s">
        <v>1345</v>
      </c>
      <c r="Z117" t="s">
        <v>276</v>
      </c>
      <c r="AA117" s="262">
        <v>3.2837000000000005E-2</v>
      </c>
      <c r="AB117" s="262">
        <v>3.2837000000000005E-2</v>
      </c>
      <c r="AC117" s="262">
        <v>204.52523865872314</v>
      </c>
      <c r="AD117">
        <v>250</v>
      </c>
      <c r="AE117">
        <v>241</v>
      </c>
      <c r="AI117" t="s">
        <v>1460</v>
      </c>
      <c r="AJ117" t="s">
        <v>119</v>
      </c>
      <c r="AK117">
        <v>3.2837000000000005E-2</v>
      </c>
      <c r="AL117" s="262">
        <v>3.2837000000000005E-2</v>
      </c>
      <c r="AM117" s="262">
        <v>204.52523865872314</v>
      </c>
      <c r="AN117">
        <v>250</v>
      </c>
      <c r="AO117">
        <v>73</v>
      </c>
      <c r="AS117" t="s">
        <v>1345</v>
      </c>
      <c r="AT117" t="s">
        <v>414</v>
      </c>
      <c r="AU117">
        <v>3.2835999999999997E-2</v>
      </c>
      <c r="AV117" s="262">
        <v>3.2835999999999997E-2</v>
      </c>
      <c r="AW117" s="262">
        <v>204.52212438525402</v>
      </c>
      <c r="AX117">
        <v>250</v>
      </c>
      <c r="AY117">
        <v>223</v>
      </c>
      <c r="BC117" t="s">
        <v>1460</v>
      </c>
      <c r="BD117" t="s">
        <v>145</v>
      </c>
      <c r="BE117">
        <v>0.16656000000000001</v>
      </c>
      <c r="BF117" s="262">
        <v>0.16656000000000001</v>
      </c>
      <c r="BG117" s="262">
        <v>460.62820576799743</v>
      </c>
      <c r="BH117">
        <v>466</v>
      </c>
      <c r="BI117">
        <v>75</v>
      </c>
      <c r="BM117" t="s">
        <v>1460</v>
      </c>
      <c r="BN117" t="s">
        <v>176</v>
      </c>
      <c r="BO117">
        <v>8.3280000000000007E-2</v>
      </c>
      <c r="BP117" s="262">
        <v>8.3280000000000007E-2</v>
      </c>
      <c r="BQ117" s="262">
        <v>325.71332790434337</v>
      </c>
      <c r="BR117">
        <v>350</v>
      </c>
      <c r="BS117">
        <v>174</v>
      </c>
    </row>
    <row r="118" spans="4:71" x14ac:dyDescent="0.25">
      <c r="D118" t="s">
        <v>1460</v>
      </c>
      <c r="E118" t="s">
        <v>209</v>
      </c>
      <c r="F118" s="262">
        <v>0.153</v>
      </c>
      <c r="G118" s="262">
        <v>0.153</v>
      </c>
      <c r="H118" s="262">
        <v>441.47985072789686</v>
      </c>
      <c r="I118">
        <v>466</v>
      </c>
      <c r="J118">
        <v>153</v>
      </c>
      <c r="O118" t="s">
        <v>1345</v>
      </c>
      <c r="P118" t="s">
        <v>303</v>
      </c>
      <c r="Q118" s="262">
        <v>5.8057999999999998E-2</v>
      </c>
      <c r="R118" s="262">
        <v>5.8057999999999998E-2</v>
      </c>
      <c r="S118" s="262">
        <v>271.95447352229712</v>
      </c>
      <c r="T118">
        <v>300</v>
      </c>
      <c r="U118">
        <v>180</v>
      </c>
      <c r="Y118" t="s">
        <v>1345</v>
      </c>
      <c r="Z118" t="s">
        <v>316</v>
      </c>
      <c r="AA118" s="262">
        <v>3.2837000000000005E-2</v>
      </c>
      <c r="AB118" s="262">
        <v>3.2837000000000005E-2</v>
      </c>
      <c r="AC118" s="262">
        <v>204.52523865872314</v>
      </c>
      <c r="AD118">
        <v>250</v>
      </c>
      <c r="AE118">
        <v>61</v>
      </c>
      <c r="AI118" t="s">
        <v>1460</v>
      </c>
      <c r="AJ118" t="s">
        <v>120</v>
      </c>
      <c r="AK118">
        <v>3.2837000000000005E-2</v>
      </c>
      <c r="AL118" s="262">
        <v>3.2837000000000005E-2</v>
      </c>
      <c r="AM118" s="262">
        <v>204.52523865872314</v>
      </c>
      <c r="AN118">
        <v>250</v>
      </c>
      <c r="AO118">
        <v>65</v>
      </c>
      <c r="AS118" t="s">
        <v>1345</v>
      </c>
      <c r="AT118" t="s">
        <v>168</v>
      </c>
      <c r="AU118">
        <v>0.16656000000000001</v>
      </c>
      <c r="AV118" s="262">
        <v>0.16656000000000001</v>
      </c>
      <c r="AW118" s="262">
        <v>460.62820576799743</v>
      </c>
      <c r="AX118">
        <v>466</v>
      </c>
      <c r="AY118">
        <v>340</v>
      </c>
      <c r="BC118" t="s">
        <v>1460</v>
      </c>
      <c r="BD118" t="s">
        <v>144</v>
      </c>
      <c r="BE118">
        <v>0.16656000000000001</v>
      </c>
      <c r="BF118" s="262">
        <v>0.16656000000000001</v>
      </c>
      <c r="BG118" s="262">
        <v>460.62820576799743</v>
      </c>
      <c r="BH118">
        <v>466</v>
      </c>
      <c r="BI118">
        <v>76</v>
      </c>
      <c r="BM118" t="s">
        <v>1460</v>
      </c>
      <c r="BN118" t="s">
        <v>177</v>
      </c>
      <c r="BO118">
        <v>8.3280000000000007E-2</v>
      </c>
      <c r="BP118" s="262">
        <v>8.3280000000000007E-2</v>
      </c>
      <c r="BQ118" s="262">
        <v>325.71332790434337</v>
      </c>
      <c r="BR118">
        <v>350</v>
      </c>
      <c r="BS118">
        <v>227</v>
      </c>
    </row>
    <row r="119" spans="4:71" x14ac:dyDescent="0.25">
      <c r="D119" t="s">
        <v>1460</v>
      </c>
      <c r="E119" t="s">
        <v>210</v>
      </c>
      <c r="F119" s="262">
        <v>7.2999999999999995E-2</v>
      </c>
      <c r="G119" s="262">
        <v>7.2999999999999995E-2</v>
      </c>
      <c r="H119" s="262">
        <v>304.94857037416716</v>
      </c>
      <c r="I119">
        <v>350</v>
      </c>
      <c r="J119">
        <v>73</v>
      </c>
      <c r="O119" t="s">
        <v>1345</v>
      </c>
      <c r="P119" t="s">
        <v>304</v>
      </c>
      <c r="Q119" s="262">
        <v>5.8057999999999998E-2</v>
      </c>
      <c r="R119" s="262">
        <v>5.8057999999999998E-2</v>
      </c>
      <c r="S119" s="262">
        <v>271.95447352229712</v>
      </c>
      <c r="T119">
        <v>300</v>
      </c>
      <c r="U119">
        <v>210</v>
      </c>
      <c r="Y119" t="s">
        <v>1345</v>
      </c>
      <c r="Z119" t="s">
        <v>412</v>
      </c>
      <c r="AA119" s="262">
        <v>3.2837000000000005E-2</v>
      </c>
      <c r="AB119" s="262">
        <v>3.2837000000000005E-2</v>
      </c>
      <c r="AC119" s="262">
        <v>204.52523865872314</v>
      </c>
      <c r="AD119">
        <v>250</v>
      </c>
      <c r="AE119">
        <v>76</v>
      </c>
      <c r="AI119" t="s">
        <v>1460</v>
      </c>
      <c r="AJ119" t="s">
        <v>118</v>
      </c>
      <c r="AK119">
        <v>3.2837000000000005E-2</v>
      </c>
      <c r="AL119" s="262">
        <v>3.2837000000000005E-2</v>
      </c>
      <c r="AM119" s="262">
        <v>204.52523865872314</v>
      </c>
      <c r="AN119">
        <v>250</v>
      </c>
      <c r="AO119">
        <v>45</v>
      </c>
      <c r="AS119" t="s">
        <v>1460</v>
      </c>
      <c r="AT119" t="s">
        <v>167</v>
      </c>
      <c r="AU119">
        <v>0.16656000000000001</v>
      </c>
      <c r="AV119" s="262">
        <v>0.16656000000000001</v>
      </c>
      <c r="AW119" s="262">
        <v>460.62820576799743</v>
      </c>
      <c r="AX119">
        <v>466</v>
      </c>
      <c r="AY119">
        <v>205</v>
      </c>
      <c r="BC119" t="s">
        <v>1460</v>
      </c>
      <c r="BD119" t="s">
        <v>142</v>
      </c>
      <c r="BE119">
        <v>0.16656000000000001</v>
      </c>
      <c r="BF119" s="262">
        <v>0.16656000000000001</v>
      </c>
      <c r="BG119" s="262">
        <v>460.62820576799743</v>
      </c>
      <c r="BH119">
        <v>466</v>
      </c>
      <c r="BI119">
        <v>76</v>
      </c>
      <c r="BM119" t="s">
        <v>1460</v>
      </c>
      <c r="BN119" t="s">
        <v>157</v>
      </c>
      <c r="BO119">
        <v>8.3280000000000007E-2</v>
      </c>
      <c r="BP119" s="262">
        <v>8.3280000000000007E-2</v>
      </c>
      <c r="BQ119" s="262">
        <v>325.71332790434337</v>
      </c>
      <c r="BR119">
        <v>350</v>
      </c>
      <c r="BS119">
        <v>533</v>
      </c>
    </row>
    <row r="120" spans="4:71" x14ac:dyDescent="0.25">
      <c r="D120" t="s">
        <v>1460</v>
      </c>
      <c r="E120" t="s">
        <v>208</v>
      </c>
      <c r="F120" s="262">
        <v>5.6000000000000001E-2</v>
      </c>
      <c r="G120" s="262">
        <v>5.6000000000000001E-2</v>
      </c>
      <c r="H120" s="262">
        <v>267.09095757407135</v>
      </c>
      <c r="I120">
        <v>300</v>
      </c>
      <c r="J120">
        <v>56</v>
      </c>
      <c r="O120" t="s">
        <v>1345</v>
      </c>
      <c r="P120" t="s">
        <v>435</v>
      </c>
      <c r="Q120" s="262">
        <v>5.8057999999999998E-2</v>
      </c>
      <c r="R120" s="262">
        <v>5.8057999999999998E-2</v>
      </c>
      <c r="S120" s="262">
        <v>271.95447352229712</v>
      </c>
      <c r="T120">
        <v>300</v>
      </c>
      <c r="U120">
        <v>100</v>
      </c>
      <c r="Y120" t="s">
        <v>1345</v>
      </c>
      <c r="Z120" t="s">
        <v>308</v>
      </c>
      <c r="AA120" s="262">
        <v>3.2837000000000005E-2</v>
      </c>
      <c r="AB120" s="262">
        <v>3.2837000000000005E-2</v>
      </c>
      <c r="AC120" s="262">
        <v>204.52523865872314</v>
      </c>
      <c r="AD120">
        <v>250</v>
      </c>
      <c r="AE120">
        <v>132</v>
      </c>
      <c r="AI120" t="s">
        <v>1460</v>
      </c>
      <c r="AJ120" t="s">
        <v>117</v>
      </c>
      <c r="AK120">
        <v>3.2837000000000005E-2</v>
      </c>
      <c r="AL120" s="262">
        <v>3.2837000000000005E-2</v>
      </c>
      <c r="AM120" s="262">
        <v>204.52523865872314</v>
      </c>
      <c r="AN120">
        <v>250</v>
      </c>
      <c r="AO120">
        <v>100</v>
      </c>
      <c r="AS120" t="s">
        <v>1460</v>
      </c>
      <c r="AT120" t="s">
        <v>166</v>
      </c>
      <c r="AU120">
        <v>0.16656000000000001</v>
      </c>
      <c r="AV120" s="262">
        <v>0.16656000000000001</v>
      </c>
      <c r="AW120" s="262">
        <v>460.62820576799743</v>
      </c>
      <c r="AX120">
        <v>466</v>
      </c>
      <c r="AY120">
        <v>196</v>
      </c>
      <c r="BC120" t="s">
        <v>1460</v>
      </c>
      <c r="BD120" t="s">
        <v>143</v>
      </c>
      <c r="BE120">
        <v>0.16656000000000001</v>
      </c>
      <c r="BF120" s="262">
        <v>0.16656000000000001</v>
      </c>
      <c r="BG120" s="262">
        <v>460.62820576799743</v>
      </c>
      <c r="BH120">
        <v>466</v>
      </c>
      <c r="BI120">
        <v>80</v>
      </c>
      <c r="BM120" t="s">
        <v>1460</v>
      </c>
      <c r="BN120" t="s">
        <v>156</v>
      </c>
      <c r="BO120">
        <v>8.3280000000000007E-2</v>
      </c>
      <c r="BP120" s="262">
        <v>8.3280000000000007E-2</v>
      </c>
      <c r="BQ120" s="262">
        <v>325.71332790434337</v>
      </c>
      <c r="BR120">
        <v>350</v>
      </c>
      <c r="BS120">
        <v>345</v>
      </c>
    </row>
    <row r="121" spans="4:71" x14ac:dyDescent="0.25">
      <c r="D121" t="s">
        <v>1460</v>
      </c>
      <c r="E121" t="s">
        <v>229</v>
      </c>
      <c r="F121" s="262">
        <v>2.1999999999999999E-2</v>
      </c>
      <c r="G121" s="262">
        <v>2.1999999999999999E-2</v>
      </c>
      <c r="H121" s="262">
        <v>167.40811720763833</v>
      </c>
      <c r="I121">
        <v>200</v>
      </c>
      <c r="J121">
        <v>22</v>
      </c>
      <c r="O121" t="s">
        <v>1345</v>
      </c>
      <c r="P121" t="s">
        <v>207</v>
      </c>
      <c r="Q121" s="262">
        <v>5.8057999999999998E-2</v>
      </c>
      <c r="R121" s="262">
        <v>5.8057999999999998E-2</v>
      </c>
      <c r="S121" s="262">
        <v>271.95447352229712</v>
      </c>
      <c r="T121">
        <v>300</v>
      </c>
      <c r="U121">
        <v>427</v>
      </c>
      <c r="Y121" t="s">
        <v>1345</v>
      </c>
      <c r="Z121" t="s">
        <v>411</v>
      </c>
      <c r="AA121" s="262">
        <v>3.2837000000000005E-2</v>
      </c>
      <c r="AB121" s="262">
        <v>3.2837000000000005E-2</v>
      </c>
      <c r="AC121" s="262">
        <v>204.52523865872314</v>
      </c>
      <c r="AD121">
        <v>250</v>
      </c>
      <c r="AE121">
        <v>154</v>
      </c>
      <c r="AI121" t="s">
        <v>1460</v>
      </c>
      <c r="AJ121" t="s">
        <v>116</v>
      </c>
      <c r="AK121">
        <v>3.2835999999999997E-2</v>
      </c>
      <c r="AL121" s="262">
        <v>3.2835999999999997E-2</v>
      </c>
      <c r="AM121" s="262">
        <v>204.52212438525402</v>
      </c>
      <c r="AN121">
        <v>250</v>
      </c>
      <c r="AO121">
        <v>202</v>
      </c>
      <c r="AS121" t="s">
        <v>1460</v>
      </c>
      <c r="AT121" t="s">
        <v>165</v>
      </c>
      <c r="AU121">
        <v>0.16656000000000001</v>
      </c>
      <c r="AV121" s="262">
        <v>0.16656000000000001</v>
      </c>
      <c r="AW121" s="262">
        <v>460.62820576799743</v>
      </c>
      <c r="AX121">
        <v>466</v>
      </c>
      <c r="AY121">
        <v>275</v>
      </c>
      <c r="BC121" t="s">
        <v>1460</v>
      </c>
      <c r="BD121" t="s">
        <v>398</v>
      </c>
      <c r="BE121">
        <v>0.16656000000000001</v>
      </c>
      <c r="BF121" s="262">
        <v>0.16656000000000001</v>
      </c>
      <c r="BG121" s="262">
        <v>460.62820576799743</v>
      </c>
      <c r="BH121">
        <v>466</v>
      </c>
      <c r="BI121">
        <v>75</v>
      </c>
      <c r="BM121" t="s">
        <v>1460</v>
      </c>
      <c r="BN121" t="s">
        <v>155</v>
      </c>
      <c r="BO121">
        <v>8.3280000000000007E-2</v>
      </c>
      <c r="BP121" s="262">
        <v>8.3280000000000007E-2</v>
      </c>
      <c r="BQ121" s="262">
        <v>325.71332790434337</v>
      </c>
      <c r="BR121">
        <v>350</v>
      </c>
      <c r="BS121">
        <v>795</v>
      </c>
    </row>
    <row r="122" spans="4:71" x14ac:dyDescent="0.25">
      <c r="D122" t="s">
        <v>1460</v>
      </c>
      <c r="E122" t="s">
        <v>265</v>
      </c>
      <c r="F122" s="262">
        <v>5.3999999999999999E-2</v>
      </c>
      <c r="G122" s="262">
        <v>5.3999999999999999E-2</v>
      </c>
      <c r="H122" s="262">
        <v>262.27811368316162</v>
      </c>
      <c r="I122">
        <v>300</v>
      </c>
      <c r="J122">
        <v>54</v>
      </c>
      <c r="O122" t="s">
        <v>1345</v>
      </c>
      <c r="P122" t="s">
        <v>206</v>
      </c>
      <c r="Q122" s="262">
        <v>5.8057999999999998E-2</v>
      </c>
      <c r="R122" s="262">
        <v>5.8057999999999998E-2</v>
      </c>
      <c r="S122" s="262">
        <v>271.95447352229712</v>
      </c>
      <c r="T122">
        <v>300</v>
      </c>
      <c r="U122">
        <v>87</v>
      </c>
      <c r="Y122" t="s">
        <v>1345</v>
      </c>
      <c r="Z122" t="s">
        <v>309</v>
      </c>
      <c r="AA122" s="262">
        <v>3.2837000000000005E-2</v>
      </c>
      <c r="AB122" s="262">
        <v>3.2837000000000005E-2</v>
      </c>
      <c r="AC122" s="262">
        <v>204.52523865872314</v>
      </c>
      <c r="AD122">
        <v>250</v>
      </c>
      <c r="AE122">
        <v>212</v>
      </c>
      <c r="AI122" t="s">
        <v>1460</v>
      </c>
      <c r="AJ122" t="s">
        <v>115</v>
      </c>
      <c r="AK122">
        <v>0.19939599999999999</v>
      </c>
      <c r="AL122" s="262">
        <v>0.19939599999999999</v>
      </c>
      <c r="AM122" s="262">
        <v>503.99170956683594</v>
      </c>
      <c r="AN122">
        <v>565</v>
      </c>
      <c r="AO122">
        <v>166</v>
      </c>
      <c r="AS122" t="s">
        <v>1460</v>
      </c>
      <c r="AT122" t="s">
        <v>164</v>
      </c>
      <c r="AU122">
        <v>0.16656000000000001</v>
      </c>
      <c r="AV122" s="262">
        <v>0.16656000000000001</v>
      </c>
      <c r="AW122" s="262">
        <v>460.62820576799743</v>
      </c>
      <c r="AX122">
        <v>466</v>
      </c>
      <c r="AY122">
        <v>407</v>
      </c>
      <c r="BC122" t="s">
        <v>1460</v>
      </c>
      <c r="BD122" t="s">
        <v>140</v>
      </c>
      <c r="BE122">
        <v>0.16656000000000001</v>
      </c>
      <c r="BF122" s="262">
        <v>0.16656000000000001</v>
      </c>
      <c r="BG122" s="262">
        <v>460.62820576799743</v>
      </c>
      <c r="BH122">
        <v>466</v>
      </c>
      <c r="BI122">
        <v>76</v>
      </c>
      <c r="BM122" t="s">
        <v>1460</v>
      </c>
      <c r="BN122" t="s">
        <v>154</v>
      </c>
      <c r="BO122">
        <v>8.3280000000000007E-2</v>
      </c>
      <c r="BP122" s="262">
        <v>8.3280000000000007E-2</v>
      </c>
      <c r="BQ122" s="262">
        <v>325.71332790434337</v>
      </c>
      <c r="BR122">
        <v>350</v>
      </c>
      <c r="BS122">
        <v>496</v>
      </c>
    </row>
    <row r="123" spans="4:71" x14ac:dyDescent="0.25">
      <c r="D123" t="s">
        <v>1460</v>
      </c>
      <c r="E123" t="s">
        <v>434</v>
      </c>
      <c r="F123" s="262">
        <v>0.03</v>
      </c>
      <c r="G123" s="262">
        <v>0.03</v>
      </c>
      <c r="H123" s="262">
        <v>195.49056373532235</v>
      </c>
      <c r="I123">
        <v>200</v>
      </c>
      <c r="J123">
        <v>30</v>
      </c>
      <c r="O123" t="s">
        <v>1345</v>
      </c>
      <c r="P123" t="s">
        <v>205</v>
      </c>
      <c r="Q123" s="262">
        <v>5.8057999999999998E-2</v>
      </c>
      <c r="R123" s="262">
        <v>5.8057999999999998E-2</v>
      </c>
      <c r="S123" s="262">
        <v>271.95447352229712</v>
      </c>
      <c r="T123">
        <v>300</v>
      </c>
      <c r="U123">
        <v>115</v>
      </c>
      <c r="Y123" t="s">
        <v>1345</v>
      </c>
      <c r="Z123" t="s">
        <v>310</v>
      </c>
      <c r="AA123" s="262">
        <v>3.2837000000000005E-2</v>
      </c>
      <c r="AB123" s="262">
        <v>3.2837000000000005E-2</v>
      </c>
      <c r="AC123" s="262">
        <v>204.52523865872314</v>
      </c>
      <c r="AD123">
        <v>250</v>
      </c>
      <c r="AE123">
        <v>173</v>
      </c>
      <c r="AI123" t="s">
        <v>1460</v>
      </c>
      <c r="AJ123" t="s">
        <v>424</v>
      </c>
      <c r="AK123">
        <v>0.19939599999999999</v>
      </c>
      <c r="AL123" s="262">
        <v>0.19939599999999999</v>
      </c>
      <c r="AM123" s="262">
        <v>503.99170956683594</v>
      </c>
      <c r="AN123">
        <v>565</v>
      </c>
      <c r="AO123">
        <v>584</v>
      </c>
      <c r="AS123" t="s">
        <v>1460</v>
      </c>
      <c r="AT123" t="s">
        <v>163</v>
      </c>
      <c r="AU123">
        <v>0.16656000000000001</v>
      </c>
      <c r="AV123" s="262">
        <v>0.16656000000000001</v>
      </c>
      <c r="AW123" s="262">
        <v>460.62820576799743</v>
      </c>
      <c r="AX123">
        <v>466</v>
      </c>
      <c r="AY123">
        <v>395</v>
      </c>
      <c r="BC123" t="s">
        <v>1460</v>
      </c>
      <c r="BD123" t="s">
        <v>909</v>
      </c>
      <c r="BE123">
        <v>0.16656000000000001</v>
      </c>
      <c r="BF123" s="262">
        <v>0.16656000000000001</v>
      </c>
      <c r="BG123" s="262">
        <v>460.62820576799743</v>
      </c>
      <c r="BH123">
        <v>466</v>
      </c>
      <c r="BI123">
        <v>69</v>
      </c>
      <c r="BM123" t="s">
        <v>1460</v>
      </c>
      <c r="BN123" t="s">
        <v>153</v>
      </c>
      <c r="BO123">
        <v>8.3280000000000007E-2</v>
      </c>
      <c r="BP123" s="262">
        <v>8.3280000000000007E-2</v>
      </c>
      <c r="BQ123" s="262">
        <v>325.71332790434337</v>
      </c>
      <c r="BR123">
        <v>350</v>
      </c>
      <c r="BS123">
        <v>414</v>
      </c>
    </row>
    <row r="124" spans="4:71" x14ac:dyDescent="0.25">
      <c r="D124" t="s">
        <v>1460</v>
      </c>
      <c r="E124" t="s">
        <v>220</v>
      </c>
      <c r="F124" s="262">
        <v>9.0999999999999998E-2</v>
      </c>
      <c r="G124" s="262">
        <v>9.0999999999999998E-2</v>
      </c>
      <c r="H124" s="262">
        <v>340.47550114359308</v>
      </c>
      <c r="I124">
        <v>350</v>
      </c>
      <c r="J124">
        <v>91</v>
      </c>
      <c r="O124" t="s">
        <v>1345</v>
      </c>
      <c r="P124" t="s">
        <v>204</v>
      </c>
      <c r="Q124" s="262">
        <v>5.8057999999999998E-2</v>
      </c>
      <c r="R124" s="262">
        <v>5.8057999999999998E-2</v>
      </c>
      <c r="S124" s="262">
        <v>271.95447352229712</v>
      </c>
      <c r="T124">
        <v>300</v>
      </c>
      <c r="U124">
        <v>168</v>
      </c>
      <c r="Y124" t="s">
        <v>1345</v>
      </c>
      <c r="Z124" t="s">
        <v>312</v>
      </c>
      <c r="AA124" s="262">
        <v>3.2835999999999997E-2</v>
      </c>
      <c r="AB124" s="262">
        <v>3.2835999999999997E-2</v>
      </c>
      <c r="AC124" s="262">
        <v>204.52212438525402</v>
      </c>
      <c r="AD124">
        <v>250</v>
      </c>
      <c r="AE124">
        <v>133</v>
      </c>
      <c r="AI124" t="s">
        <v>1460</v>
      </c>
      <c r="AJ124" t="s">
        <v>428</v>
      </c>
      <c r="AK124">
        <v>0.19939599999999999</v>
      </c>
      <c r="AL124" s="262">
        <v>0.19939599999999999</v>
      </c>
      <c r="AM124" s="262">
        <v>503.99170956683594</v>
      </c>
      <c r="AN124">
        <v>565</v>
      </c>
      <c r="AO124">
        <v>211</v>
      </c>
      <c r="AS124" t="s">
        <v>1460</v>
      </c>
      <c r="AT124" t="s">
        <v>162</v>
      </c>
      <c r="AU124">
        <v>0.16656000000000001</v>
      </c>
      <c r="AV124" s="262">
        <v>0.16656000000000001</v>
      </c>
      <c r="AW124" s="262">
        <v>460.62820576799743</v>
      </c>
      <c r="AX124">
        <v>466</v>
      </c>
      <c r="AY124">
        <v>151</v>
      </c>
      <c r="BC124" t="s">
        <v>1460</v>
      </c>
      <c r="BD124" t="s">
        <v>139</v>
      </c>
      <c r="BE124">
        <v>0.16656000000000001</v>
      </c>
      <c r="BF124" s="262">
        <v>0.16656000000000001</v>
      </c>
      <c r="BG124" s="262">
        <v>460.62820576799743</v>
      </c>
      <c r="BH124">
        <v>466</v>
      </c>
      <c r="BI124">
        <v>251</v>
      </c>
      <c r="BM124" t="s">
        <v>1345</v>
      </c>
      <c r="BN124" t="s">
        <v>404</v>
      </c>
      <c r="BO124">
        <v>0.16656000000000001</v>
      </c>
      <c r="BP124" s="262">
        <v>0.16656000000000001</v>
      </c>
      <c r="BQ124" s="262">
        <v>460.62820576799743</v>
      </c>
      <c r="BR124">
        <v>466</v>
      </c>
      <c r="BS124">
        <v>211</v>
      </c>
    </row>
    <row r="125" spans="4:71" x14ac:dyDescent="0.25">
      <c r="D125" t="s">
        <v>1345</v>
      </c>
      <c r="E125" t="s">
        <v>431</v>
      </c>
      <c r="F125" s="262">
        <v>0.10100000000000001</v>
      </c>
      <c r="G125" s="262">
        <v>0.10100000000000001</v>
      </c>
      <c r="H125" s="262">
        <v>358.69544237718657</v>
      </c>
      <c r="I125">
        <v>400</v>
      </c>
      <c r="J125">
        <v>101</v>
      </c>
      <c r="O125" t="s">
        <v>1345</v>
      </c>
      <c r="P125" t="s">
        <v>218</v>
      </c>
      <c r="Q125" s="262">
        <v>5.8057999999999998E-2</v>
      </c>
      <c r="R125" s="262">
        <v>5.8057999999999998E-2</v>
      </c>
      <c r="S125" s="262">
        <v>271.95447352229712</v>
      </c>
      <c r="T125">
        <v>300</v>
      </c>
      <c r="U125">
        <v>214</v>
      </c>
      <c r="Y125" t="s">
        <v>1345</v>
      </c>
      <c r="Z125" t="s">
        <v>311</v>
      </c>
      <c r="AA125" s="262">
        <v>0.116116</v>
      </c>
      <c r="AB125" s="262">
        <v>0.116116</v>
      </c>
      <c r="AC125" s="262">
        <v>384.60170480326735</v>
      </c>
      <c r="AD125">
        <v>400</v>
      </c>
      <c r="AE125">
        <v>72</v>
      </c>
      <c r="AI125" t="s">
        <v>1345</v>
      </c>
      <c r="AJ125" t="s">
        <v>181</v>
      </c>
      <c r="AK125">
        <v>3.2837000000000005E-2</v>
      </c>
      <c r="AL125" s="262">
        <v>3.2837000000000005E-2</v>
      </c>
      <c r="AM125" s="262">
        <v>204.52523865872314</v>
      </c>
      <c r="AN125">
        <v>250</v>
      </c>
      <c r="AO125">
        <v>80</v>
      </c>
      <c r="AS125" t="s">
        <v>1460</v>
      </c>
      <c r="AT125" t="s">
        <v>161</v>
      </c>
      <c r="AU125">
        <v>0.16656000000000001</v>
      </c>
      <c r="AV125" s="262">
        <v>0.16656000000000001</v>
      </c>
      <c r="AW125" s="262">
        <v>460.62820576799743</v>
      </c>
      <c r="AX125">
        <v>466</v>
      </c>
      <c r="AY125">
        <v>186</v>
      </c>
      <c r="BC125" t="s">
        <v>1460</v>
      </c>
      <c r="BD125" t="s">
        <v>138</v>
      </c>
      <c r="BE125">
        <v>8.3280000000000007E-2</v>
      </c>
      <c r="BF125" s="262">
        <v>8.3280000000000007E-2</v>
      </c>
      <c r="BG125" s="262">
        <v>325.71332790434337</v>
      </c>
      <c r="BH125">
        <v>350</v>
      </c>
      <c r="BI125">
        <v>129</v>
      </c>
      <c r="BM125" t="s">
        <v>1345</v>
      </c>
      <c r="BN125" t="s">
        <v>151</v>
      </c>
      <c r="BO125">
        <v>0.16656000000000001</v>
      </c>
      <c r="BP125" s="262">
        <v>0.16656000000000001</v>
      </c>
      <c r="BQ125" s="262">
        <v>460.62820576799743</v>
      </c>
      <c r="BR125">
        <v>466</v>
      </c>
      <c r="BS125">
        <v>56</v>
      </c>
    </row>
    <row r="126" spans="4:71" x14ac:dyDescent="0.25">
      <c r="D126" t="s">
        <v>1460</v>
      </c>
      <c r="E126" t="s">
        <v>219</v>
      </c>
      <c r="F126" s="262">
        <v>0.03</v>
      </c>
      <c r="G126" s="262">
        <v>0.03</v>
      </c>
      <c r="H126" s="262">
        <v>195.49056373532235</v>
      </c>
      <c r="I126">
        <v>200</v>
      </c>
      <c r="J126">
        <v>30</v>
      </c>
      <c r="O126" t="s">
        <v>1345</v>
      </c>
      <c r="P126" t="s">
        <v>216</v>
      </c>
      <c r="Q126" s="262">
        <v>5.8057999999999998E-2</v>
      </c>
      <c r="R126" s="262">
        <v>5.8057999999999998E-2</v>
      </c>
      <c r="S126" s="262">
        <v>271.95447352229712</v>
      </c>
      <c r="T126">
        <v>300</v>
      </c>
      <c r="U126">
        <v>70</v>
      </c>
      <c r="Y126" t="s">
        <v>1345</v>
      </c>
      <c r="Z126" t="s">
        <v>313</v>
      </c>
      <c r="AA126" s="262">
        <v>0.116116</v>
      </c>
      <c r="AB126" s="262">
        <v>0.116116</v>
      </c>
      <c r="AC126" s="262">
        <v>384.60170480326735</v>
      </c>
      <c r="AD126">
        <v>400</v>
      </c>
      <c r="AE126">
        <v>193</v>
      </c>
      <c r="AI126" t="s">
        <v>1345</v>
      </c>
      <c r="AJ126" t="s">
        <v>179</v>
      </c>
      <c r="AK126">
        <v>3.2837000000000005E-2</v>
      </c>
      <c r="AL126" s="262">
        <v>3.2837000000000005E-2</v>
      </c>
      <c r="AM126" s="262">
        <v>204.52523865872314</v>
      </c>
      <c r="AN126">
        <v>250</v>
      </c>
      <c r="AO126">
        <v>87</v>
      </c>
      <c r="AS126" t="s">
        <v>1460</v>
      </c>
      <c r="AT126" t="s">
        <v>415</v>
      </c>
      <c r="AU126">
        <v>0.16656000000000001</v>
      </c>
      <c r="AV126" s="262">
        <v>0.16656000000000001</v>
      </c>
      <c r="AW126" s="262">
        <v>460.62820576799743</v>
      </c>
      <c r="AX126">
        <v>466</v>
      </c>
      <c r="AY126">
        <v>191</v>
      </c>
      <c r="BC126" t="s">
        <v>1460</v>
      </c>
      <c r="BD126" t="s">
        <v>137</v>
      </c>
      <c r="BE126">
        <v>8.3280000000000007E-2</v>
      </c>
      <c r="BF126" s="262">
        <v>8.3280000000000007E-2</v>
      </c>
      <c r="BG126" s="262">
        <v>325.71332790434337</v>
      </c>
      <c r="BH126">
        <v>350</v>
      </c>
      <c r="BI126">
        <v>157</v>
      </c>
      <c r="BM126" t="s">
        <v>1345</v>
      </c>
      <c r="BN126" t="s">
        <v>150</v>
      </c>
      <c r="BO126">
        <v>0.16656000000000001</v>
      </c>
      <c r="BP126" s="262">
        <v>0.16656000000000001</v>
      </c>
      <c r="BQ126" s="262">
        <v>460.62820576799743</v>
      </c>
      <c r="BR126">
        <v>466</v>
      </c>
      <c r="BS126">
        <v>60</v>
      </c>
    </row>
    <row r="127" spans="4:71" x14ac:dyDescent="0.25">
      <c r="D127" t="s">
        <v>1460</v>
      </c>
      <c r="E127" t="s">
        <v>221</v>
      </c>
      <c r="F127" s="262">
        <v>3.5000000000000003E-2</v>
      </c>
      <c r="G127" s="262">
        <v>3.5000000000000003E-2</v>
      </c>
      <c r="H127" s="262">
        <v>211.15394209236661</v>
      </c>
      <c r="I127">
        <v>250</v>
      </c>
      <c r="J127">
        <v>35</v>
      </c>
      <c r="O127" t="s">
        <v>1345</v>
      </c>
      <c r="P127" t="s">
        <v>220</v>
      </c>
      <c r="Q127" s="262">
        <v>2.9028999999999999E-2</v>
      </c>
      <c r="R127" s="262">
        <v>2.9028999999999999E-2</v>
      </c>
      <c r="S127" s="262">
        <v>192.30085240163368</v>
      </c>
      <c r="T127">
        <v>200</v>
      </c>
      <c r="U127">
        <v>91</v>
      </c>
      <c r="Y127" t="s">
        <v>1345</v>
      </c>
      <c r="Z127" t="s">
        <v>314</v>
      </c>
      <c r="AA127" s="262">
        <v>0.116116</v>
      </c>
      <c r="AB127" s="262">
        <v>0.116116</v>
      </c>
      <c r="AC127" s="262">
        <v>384.60170480326735</v>
      </c>
      <c r="AD127">
        <v>400</v>
      </c>
      <c r="AE127">
        <v>215</v>
      </c>
      <c r="AI127" t="s">
        <v>1345</v>
      </c>
      <c r="AJ127" t="s">
        <v>180</v>
      </c>
      <c r="AK127">
        <v>3.2837000000000005E-2</v>
      </c>
      <c r="AL127" s="262">
        <v>3.2837000000000005E-2</v>
      </c>
      <c r="AM127" s="262">
        <v>204.52523865872314</v>
      </c>
      <c r="AN127">
        <v>250</v>
      </c>
      <c r="AO127">
        <v>89</v>
      </c>
      <c r="AS127" t="s">
        <v>1460</v>
      </c>
      <c r="AT127" t="s">
        <v>159</v>
      </c>
      <c r="AU127">
        <v>3.2837000000000005E-2</v>
      </c>
      <c r="AV127" s="262">
        <v>3.2837000000000005E-2</v>
      </c>
      <c r="AW127" s="262">
        <v>204.52523865872314</v>
      </c>
      <c r="AX127">
        <v>250</v>
      </c>
      <c r="AY127">
        <v>94</v>
      </c>
      <c r="BC127" t="s">
        <v>1460</v>
      </c>
      <c r="BD127" t="s">
        <v>136</v>
      </c>
      <c r="BE127">
        <v>8.3280000000000007E-2</v>
      </c>
      <c r="BF127" s="262">
        <v>8.3280000000000007E-2</v>
      </c>
      <c r="BG127" s="262">
        <v>325.71332790434337</v>
      </c>
      <c r="BH127">
        <v>350</v>
      </c>
      <c r="BI127">
        <v>82</v>
      </c>
      <c r="BM127" t="s">
        <v>1345</v>
      </c>
      <c r="BN127" t="s">
        <v>149</v>
      </c>
      <c r="BO127">
        <v>0.16656000000000001</v>
      </c>
      <c r="BP127" s="262">
        <v>0.16656000000000001</v>
      </c>
      <c r="BQ127" s="262">
        <v>460.62820576799743</v>
      </c>
      <c r="BR127">
        <v>466</v>
      </c>
      <c r="BS127">
        <v>67</v>
      </c>
    </row>
    <row r="128" spans="4:71" x14ac:dyDescent="0.25">
      <c r="D128" t="s">
        <v>1460</v>
      </c>
      <c r="E128" t="s">
        <v>222</v>
      </c>
      <c r="F128" s="262">
        <v>4.9000000000000002E-2</v>
      </c>
      <c r="G128" s="262">
        <v>4.9000000000000002E-2</v>
      </c>
      <c r="H128" s="262">
        <v>249.8407135868874</v>
      </c>
      <c r="I128">
        <v>250</v>
      </c>
      <c r="J128">
        <v>49</v>
      </c>
      <c r="O128" t="s">
        <v>1345</v>
      </c>
      <c r="P128" t="s">
        <v>219</v>
      </c>
      <c r="Q128" s="262">
        <v>2.9028999999999999E-2</v>
      </c>
      <c r="R128" s="262">
        <v>2.9028999999999999E-2</v>
      </c>
      <c r="S128" s="262">
        <v>192.30085240163368</v>
      </c>
      <c r="T128">
        <v>200</v>
      </c>
      <c r="U128">
        <v>30</v>
      </c>
      <c r="Y128" t="s">
        <v>1345</v>
      </c>
      <c r="Z128" t="s">
        <v>420</v>
      </c>
      <c r="AA128" s="262">
        <v>0.116116</v>
      </c>
      <c r="AB128" s="262">
        <v>0.116116</v>
      </c>
      <c r="AC128" s="262">
        <v>384.60170480326735</v>
      </c>
      <c r="AD128">
        <v>400</v>
      </c>
      <c r="AE128">
        <v>199</v>
      </c>
      <c r="AI128" t="s">
        <v>1345</v>
      </c>
      <c r="AJ128" t="s">
        <v>178</v>
      </c>
      <c r="AK128">
        <v>3.2837000000000005E-2</v>
      </c>
      <c r="AL128" s="262">
        <v>3.2837000000000005E-2</v>
      </c>
      <c r="AM128" s="262">
        <v>204.52523865872314</v>
      </c>
      <c r="AN128">
        <v>250</v>
      </c>
      <c r="AO128">
        <v>88</v>
      </c>
      <c r="AS128" t="s">
        <v>1345</v>
      </c>
      <c r="AT128" t="s">
        <v>158</v>
      </c>
      <c r="AU128">
        <v>3.2837000000000005E-2</v>
      </c>
      <c r="AV128" s="262">
        <v>3.2837000000000005E-2</v>
      </c>
      <c r="AW128" s="262">
        <v>204.52523865872314</v>
      </c>
      <c r="AX128">
        <v>250</v>
      </c>
      <c r="AY128">
        <v>191</v>
      </c>
      <c r="BC128" t="s">
        <v>1460</v>
      </c>
      <c r="BD128" t="s">
        <v>134</v>
      </c>
      <c r="BE128">
        <v>8.3280000000000007E-2</v>
      </c>
      <c r="BF128" s="262">
        <v>8.3280000000000007E-2</v>
      </c>
      <c r="BG128" s="262">
        <v>325.71332790434337</v>
      </c>
      <c r="BH128">
        <v>350</v>
      </c>
      <c r="BI128">
        <v>69</v>
      </c>
      <c r="BM128" t="s">
        <v>1345</v>
      </c>
      <c r="BN128" t="s">
        <v>148</v>
      </c>
      <c r="BO128">
        <v>0.16656000000000001</v>
      </c>
      <c r="BP128" s="262">
        <v>0.16656000000000001</v>
      </c>
      <c r="BQ128" s="262">
        <v>460.62820576799743</v>
      </c>
      <c r="BR128">
        <v>466</v>
      </c>
      <c r="BS128">
        <v>194</v>
      </c>
    </row>
    <row r="129" spans="4:71" x14ac:dyDescent="0.25">
      <c r="D129" t="s">
        <v>1460</v>
      </c>
      <c r="E129" t="s">
        <v>223</v>
      </c>
      <c r="F129" s="262">
        <v>8.8999999999999996E-2</v>
      </c>
      <c r="G129" s="262">
        <v>8.8999999999999996E-2</v>
      </c>
      <c r="H129" s="262">
        <v>336.71322542832195</v>
      </c>
      <c r="I129">
        <v>350</v>
      </c>
      <c r="J129">
        <v>89</v>
      </c>
      <c r="O129" t="s">
        <v>1345</v>
      </c>
      <c r="P129" t="s">
        <v>221</v>
      </c>
      <c r="Q129" s="262">
        <v>2.9028999999999999E-2</v>
      </c>
      <c r="R129" s="262">
        <v>2.9028999999999999E-2</v>
      </c>
      <c r="S129" s="262">
        <v>192.30085240163368</v>
      </c>
      <c r="T129">
        <v>200</v>
      </c>
      <c r="U129">
        <v>35</v>
      </c>
      <c r="Y129" t="s">
        <v>1345</v>
      </c>
      <c r="Z129" t="s">
        <v>288</v>
      </c>
      <c r="AA129" s="262">
        <v>0.116116</v>
      </c>
      <c r="AB129" s="262">
        <v>0.116116</v>
      </c>
      <c r="AC129" s="262">
        <v>384.60170480326735</v>
      </c>
      <c r="AD129">
        <v>400</v>
      </c>
      <c r="AE129">
        <v>362</v>
      </c>
      <c r="AI129" t="s">
        <v>1345</v>
      </c>
      <c r="AJ129" t="s">
        <v>189</v>
      </c>
      <c r="AK129">
        <v>3.2837000000000005E-2</v>
      </c>
      <c r="AL129" s="262">
        <v>3.2837000000000005E-2</v>
      </c>
      <c r="AM129" s="262">
        <v>204.52523865872314</v>
      </c>
      <c r="AN129">
        <v>250</v>
      </c>
      <c r="AO129">
        <v>76</v>
      </c>
      <c r="AS129" t="s">
        <v>1345</v>
      </c>
      <c r="AT129" t="s">
        <v>130</v>
      </c>
      <c r="AU129">
        <v>3.2837000000000005E-2</v>
      </c>
      <c r="AV129" s="262">
        <v>3.2837000000000005E-2</v>
      </c>
      <c r="AW129" s="262">
        <v>204.52523865872314</v>
      </c>
      <c r="AX129">
        <v>250</v>
      </c>
      <c r="AY129">
        <v>77</v>
      </c>
      <c r="BC129" t="s">
        <v>1460</v>
      </c>
      <c r="BD129" t="s">
        <v>135</v>
      </c>
      <c r="BE129">
        <v>8.3280000000000007E-2</v>
      </c>
      <c r="BF129" s="262">
        <v>8.3280000000000007E-2</v>
      </c>
      <c r="BG129" s="262">
        <v>325.71332790434337</v>
      </c>
      <c r="BH129">
        <v>350</v>
      </c>
      <c r="BI129">
        <v>73</v>
      </c>
      <c r="BM129" t="s">
        <v>1345</v>
      </c>
      <c r="BN129" t="s">
        <v>147</v>
      </c>
      <c r="BO129">
        <v>0.16656000000000001</v>
      </c>
      <c r="BP129" s="262">
        <v>0.16656000000000001</v>
      </c>
      <c r="BQ129" s="262">
        <v>460.62820576799743</v>
      </c>
      <c r="BR129">
        <v>466</v>
      </c>
      <c r="BS129">
        <v>74</v>
      </c>
    </row>
    <row r="130" spans="4:71" x14ac:dyDescent="0.25">
      <c r="D130" t="s">
        <v>1460</v>
      </c>
      <c r="E130" t="s">
        <v>224</v>
      </c>
      <c r="F130" s="262">
        <v>7.6999999999999999E-2</v>
      </c>
      <c r="G130" s="262">
        <v>7.6999999999999999E-2</v>
      </c>
      <c r="H130" s="262">
        <v>313.19190917793884</v>
      </c>
      <c r="I130">
        <v>350</v>
      </c>
      <c r="J130">
        <v>77</v>
      </c>
      <c r="O130" t="s">
        <v>1345</v>
      </c>
      <c r="P130" t="s">
        <v>222</v>
      </c>
      <c r="Q130" s="262">
        <v>2.9028999999999999E-2</v>
      </c>
      <c r="R130" s="262">
        <v>2.9028999999999999E-2</v>
      </c>
      <c r="S130" s="262">
        <v>192.30085240163368</v>
      </c>
      <c r="T130">
        <v>200</v>
      </c>
      <c r="U130">
        <v>49</v>
      </c>
      <c r="Y130" t="s">
        <v>1345</v>
      </c>
      <c r="Z130" t="s">
        <v>423</v>
      </c>
      <c r="AA130" s="262">
        <v>0.116116</v>
      </c>
      <c r="AB130" s="262">
        <v>0.116116</v>
      </c>
      <c r="AC130" s="262">
        <v>384.60170480326735</v>
      </c>
      <c r="AD130">
        <v>400</v>
      </c>
      <c r="AE130">
        <v>241</v>
      </c>
      <c r="AI130" t="s">
        <v>1345</v>
      </c>
      <c r="AJ130" t="s">
        <v>188</v>
      </c>
      <c r="AK130">
        <v>3.2837000000000005E-2</v>
      </c>
      <c r="AL130" s="262">
        <v>3.2837000000000005E-2</v>
      </c>
      <c r="AM130" s="262">
        <v>204.52523865872314</v>
      </c>
      <c r="AN130">
        <v>250</v>
      </c>
      <c r="AO130">
        <v>80</v>
      </c>
      <c r="AS130" t="s">
        <v>1345</v>
      </c>
      <c r="AT130" t="s">
        <v>129</v>
      </c>
      <c r="AU130">
        <v>3.2837000000000005E-2</v>
      </c>
      <c r="AV130" s="262">
        <v>3.2837000000000005E-2</v>
      </c>
      <c r="AW130" s="262">
        <v>204.52523865872314</v>
      </c>
      <c r="AX130">
        <v>250</v>
      </c>
      <c r="AY130">
        <v>77</v>
      </c>
      <c r="BC130" t="s">
        <v>1460</v>
      </c>
      <c r="BD130" t="s">
        <v>133</v>
      </c>
      <c r="BE130">
        <v>8.3280000000000007E-2</v>
      </c>
      <c r="BF130" s="262">
        <v>8.3280000000000007E-2</v>
      </c>
      <c r="BG130" s="262">
        <v>325.71332790434337</v>
      </c>
      <c r="BH130">
        <v>350</v>
      </c>
      <c r="BI130">
        <v>81</v>
      </c>
      <c r="BM130" t="s">
        <v>1345</v>
      </c>
      <c r="BN130" t="s">
        <v>146</v>
      </c>
      <c r="BO130">
        <v>0.16656000000000001</v>
      </c>
      <c r="BP130" s="262">
        <v>0.16656000000000001</v>
      </c>
      <c r="BQ130" s="262">
        <v>460.62820576799743</v>
      </c>
      <c r="BR130">
        <v>466</v>
      </c>
      <c r="BS130">
        <v>92</v>
      </c>
    </row>
    <row r="131" spans="4:71" x14ac:dyDescent="0.25">
      <c r="D131" t="s">
        <v>1460</v>
      </c>
      <c r="E131" t="s">
        <v>225</v>
      </c>
      <c r="F131" s="262">
        <v>3.6999999999999998E-2</v>
      </c>
      <c r="G131" s="262">
        <v>3.6999999999999998E-2</v>
      </c>
      <c r="H131" s="262">
        <v>217.10310444989827</v>
      </c>
      <c r="I131">
        <v>250</v>
      </c>
      <c r="J131">
        <v>37</v>
      </c>
      <c r="O131" t="s">
        <v>1345</v>
      </c>
      <c r="P131" t="s">
        <v>223</v>
      </c>
      <c r="Q131" s="262">
        <v>2.9028999999999999E-2</v>
      </c>
      <c r="R131" s="262">
        <v>2.9028999999999999E-2</v>
      </c>
      <c r="S131" s="262">
        <v>192.30085240163368</v>
      </c>
      <c r="T131">
        <v>200</v>
      </c>
      <c r="U131">
        <v>89</v>
      </c>
      <c r="Y131" t="s">
        <v>1345</v>
      </c>
      <c r="Z131" t="s">
        <v>292</v>
      </c>
      <c r="AA131" s="262">
        <v>5.8057999999999998E-2</v>
      </c>
      <c r="AB131" s="262">
        <v>5.8057999999999998E-2</v>
      </c>
      <c r="AC131" s="262">
        <v>271.95447352229712</v>
      </c>
      <c r="AD131">
        <v>300</v>
      </c>
      <c r="AE131">
        <v>190</v>
      </c>
      <c r="AI131" t="s">
        <v>1345</v>
      </c>
      <c r="AJ131" t="s">
        <v>186</v>
      </c>
      <c r="AK131">
        <v>3.2837000000000005E-2</v>
      </c>
      <c r="AL131" s="262">
        <v>3.2837000000000005E-2</v>
      </c>
      <c r="AM131" s="262">
        <v>204.52523865872314</v>
      </c>
      <c r="AN131">
        <v>250</v>
      </c>
      <c r="AO131">
        <v>158</v>
      </c>
      <c r="AS131" t="s">
        <v>1345</v>
      </c>
      <c r="AT131" t="s">
        <v>128</v>
      </c>
      <c r="AU131">
        <v>3.2837000000000005E-2</v>
      </c>
      <c r="AV131" s="262">
        <v>3.2837000000000005E-2</v>
      </c>
      <c r="AW131" s="262">
        <v>204.52523865872314</v>
      </c>
      <c r="AX131">
        <v>250</v>
      </c>
      <c r="AY131">
        <v>76</v>
      </c>
      <c r="BC131" t="s">
        <v>1460</v>
      </c>
      <c r="BD131" t="s">
        <v>132</v>
      </c>
      <c r="BE131">
        <v>8.3280000000000007E-2</v>
      </c>
      <c r="BF131" s="262">
        <v>8.3280000000000007E-2</v>
      </c>
      <c r="BG131" s="262">
        <v>325.71332790434337</v>
      </c>
      <c r="BH131">
        <v>350</v>
      </c>
      <c r="BI131">
        <v>101</v>
      </c>
      <c r="BM131" t="s">
        <v>1345</v>
      </c>
      <c r="BN131" t="s">
        <v>145</v>
      </c>
      <c r="BO131">
        <v>0.16656000000000001</v>
      </c>
      <c r="BP131" s="262">
        <v>0.16656000000000001</v>
      </c>
      <c r="BQ131" s="262">
        <v>460.62820576799743</v>
      </c>
      <c r="BR131">
        <v>466</v>
      </c>
      <c r="BS131">
        <v>75</v>
      </c>
    </row>
    <row r="132" spans="4:71" x14ac:dyDescent="0.25">
      <c r="D132" t="s">
        <v>1460</v>
      </c>
      <c r="E132" t="s">
        <v>226</v>
      </c>
      <c r="F132" s="262">
        <v>0.129</v>
      </c>
      <c r="G132" s="262">
        <v>0.129</v>
      </c>
      <c r="H132" s="262">
        <v>405.37786100264873</v>
      </c>
      <c r="I132">
        <v>421</v>
      </c>
      <c r="J132">
        <v>129</v>
      </c>
      <c r="O132" t="s">
        <v>1345</v>
      </c>
      <c r="P132" t="s">
        <v>224</v>
      </c>
      <c r="Q132" s="262">
        <v>2.9028999999999999E-2</v>
      </c>
      <c r="R132" s="262">
        <v>2.9028999999999999E-2</v>
      </c>
      <c r="S132" s="262">
        <v>192.30085240163368</v>
      </c>
      <c r="T132">
        <v>200</v>
      </c>
      <c r="U132">
        <v>77</v>
      </c>
      <c r="Y132" t="s">
        <v>1345</v>
      </c>
      <c r="Z132" t="s">
        <v>291</v>
      </c>
      <c r="AA132" s="262">
        <v>5.8057999999999998E-2</v>
      </c>
      <c r="AB132" s="262">
        <v>5.8057999999999998E-2</v>
      </c>
      <c r="AC132" s="262">
        <v>271.95447352229712</v>
      </c>
      <c r="AD132">
        <v>300</v>
      </c>
      <c r="AE132">
        <v>290</v>
      </c>
      <c r="AI132" t="s">
        <v>1345</v>
      </c>
      <c r="AJ132" t="s">
        <v>187</v>
      </c>
      <c r="AK132">
        <v>3.2837000000000005E-2</v>
      </c>
      <c r="AL132" s="262">
        <v>3.2837000000000005E-2</v>
      </c>
      <c r="AM132" s="262">
        <v>204.52523865872314</v>
      </c>
      <c r="AN132">
        <v>250</v>
      </c>
      <c r="AO132">
        <v>70</v>
      </c>
      <c r="AS132" t="s">
        <v>1345</v>
      </c>
      <c r="AT132" t="s">
        <v>127</v>
      </c>
      <c r="AU132">
        <v>3.2837000000000005E-2</v>
      </c>
      <c r="AV132" s="262">
        <v>3.2837000000000005E-2</v>
      </c>
      <c r="AW132" s="262">
        <v>204.52523865872314</v>
      </c>
      <c r="AX132">
        <v>250</v>
      </c>
      <c r="AY132">
        <v>36</v>
      </c>
      <c r="BC132" t="s">
        <v>1460</v>
      </c>
      <c r="BD132" t="s">
        <v>408</v>
      </c>
      <c r="BE132">
        <v>8.3280000000000007E-2</v>
      </c>
      <c r="BF132" s="262">
        <v>8.3280000000000007E-2</v>
      </c>
      <c r="BG132" s="262">
        <v>325.71332790434337</v>
      </c>
      <c r="BH132">
        <v>350</v>
      </c>
      <c r="BI132">
        <v>91</v>
      </c>
      <c r="BM132" t="s">
        <v>1345</v>
      </c>
      <c r="BN132" t="s">
        <v>144</v>
      </c>
      <c r="BO132">
        <v>0.16656000000000001</v>
      </c>
      <c r="BP132" s="262">
        <v>0.16656000000000001</v>
      </c>
      <c r="BQ132" s="262">
        <v>460.62820576799743</v>
      </c>
      <c r="BR132">
        <v>466</v>
      </c>
      <c r="BS132">
        <v>76</v>
      </c>
    </row>
    <row r="133" spans="4:71" x14ac:dyDescent="0.25">
      <c r="D133" t="s">
        <v>1460</v>
      </c>
      <c r="E133" t="s">
        <v>228</v>
      </c>
      <c r="F133" s="262">
        <v>8.5000000000000006E-2</v>
      </c>
      <c r="G133" s="262">
        <v>8.5000000000000006E-2</v>
      </c>
      <c r="H133" s="262">
        <v>329.05965230801246</v>
      </c>
      <c r="I133">
        <v>350</v>
      </c>
      <c r="J133">
        <v>85</v>
      </c>
      <c r="O133" t="s">
        <v>1345</v>
      </c>
      <c r="P133" t="s">
        <v>225</v>
      </c>
      <c r="Q133" s="262">
        <v>2.9028999999999999E-2</v>
      </c>
      <c r="R133" s="262">
        <v>2.9028999999999999E-2</v>
      </c>
      <c r="S133" s="262">
        <v>192.30085240163368</v>
      </c>
      <c r="T133">
        <v>200</v>
      </c>
      <c r="U133">
        <v>37</v>
      </c>
      <c r="Y133" t="s">
        <v>1345</v>
      </c>
      <c r="Z133" t="s">
        <v>293</v>
      </c>
      <c r="AA133" s="262">
        <v>5.8057999999999998E-2</v>
      </c>
      <c r="AB133" s="262">
        <v>5.8057999999999998E-2</v>
      </c>
      <c r="AC133" s="262">
        <v>271.95447352229712</v>
      </c>
      <c r="AD133">
        <v>300</v>
      </c>
      <c r="AE133">
        <v>82</v>
      </c>
      <c r="AI133" t="s">
        <v>1345</v>
      </c>
      <c r="AJ133" t="s">
        <v>185</v>
      </c>
      <c r="AK133">
        <v>3.2835999999999997E-2</v>
      </c>
      <c r="AL133" s="262">
        <v>3.2835999999999997E-2</v>
      </c>
      <c r="AM133" s="262">
        <v>204.52212438525402</v>
      </c>
      <c r="AN133">
        <v>250</v>
      </c>
      <c r="AO133">
        <v>80</v>
      </c>
      <c r="AS133" t="s">
        <v>1345</v>
      </c>
      <c r="AT133" t="s">
        <v>126</v>
      </c>
      <c r="AU133">
        <v>3.2837000000000005E-2</v>
      </c>
      <c r="AV133" s="262">
        <v>3.2837000000000005E-2</v>
      </c>
      <c r="AW133" s="262">
        <v>204.52523865872314</v>
      </c>
      <c r="AX133">
        <v>250</v>
      </c>
      <c r="AY133">
        <v>32</v>
      </c>
      <c r="BC133" t="s">
        <v>1460</v>
      </c>
      <c r="BD133" t="s">
        <v>172</v>
      </c>
      <c r="BE133">
        <v>8.3280000000000007E-2</v>
      </c>
      <c r="BF133" s="262">
        <v>8.3280000000000007E-2</v>
      </c>
      <c r="BG133" s="262">
        <v>325.71332790434337</v>
      </c>
      <c r="BH133">
        <v>350</v>
      </c>
      <c r="BI133">
        <v>87</v>
      </c>
      <c r="BM133" t="s">
        <v>1345</v>
      </c>
      <c r="BN133" t="s">
        <v>142</v>
      </c>
      <c r="BO133">
        <v>0.16656000000000001</v>
      </c>
      <c r="BP133" s="262">
        <v>0.16656000000000001</v>
      </c>
      <c r="BQ133" s="262">
        <v>460.62820576799743</v>
      </c>
      <c r="BR133">
        <v>466</v>
      </c>
      <c r="BS133">
        <v>76</v>
      </c>
    </row>
    <row r="134" spans="4:71" x14ac:dyDescent="0.25">
      <c r="D134" t="s">
        <v>1460</v>
      </c>
      <c r="E134" t="s">
        <v>227</v>
      </c>
      <c r="F134" s="262">
        <v>7.4999999999999997E-2</v>
      </c>
      <c r="G134" s="262">
        <v>7.4999999999999997E-2</v>
      </c>
      <c r="H134" s="262">
        <v>309.09772123696632</v>
      </c>
      <c r="I134">
        <v>350</v>
      </c>
      <c r="J134">
        <v>75</v>
      </c>
      <c r="O134" t="s">
        <v>1345</v>
      </c>
      <c r="P134" t="s">
        <v>226</v>
      </c>
      <c r="Q134" s="262">
        <v>2.9028999999999999E-2</v>
      </c>
      <c r="R134" s="262">
        <v>2.9028999999999999E-2</v>
      </c>
      <c r="S134" s="262">
        <v>192.30085240163368</v>
      </c>
      <c r="T134">
        <v>200</v>
      </c>
      <c r="U134">
        <v>129</v>
      </c>
      <c r="Y134" t="s">
        <v>1345</v>
      </c>
      <c r="Z134" t="s">
        <v>294</v>
      </c>
      <c r="AA134" s="262">
        <v>5.8057999999999998E-2</v>
      </c>
      <c r="AB134" s="262">
        <v>5.8057999999999998E-2</v>
      </c>
      <c r="AC134" s="262">
        <v>271.95447352229712</v>
      </c>
      <c r="AD134">
        <v>300</v>
      </c>
      <c r="AE134">
        <v>75</v>
      </c>
      <c r="AI134" t="s">
        <v>1345</v>
      </c>
      <c r="AJ134" t="s">
        <v>184</v>
      </c>
      <c r="AK134">
        <v>9.0894000000000003E-2</v>
      </c>
      <c r="AL134" s="262">
        <v>9.0894000000000003E-2</v>
      </c>
      <c r="AM134" s="262">
        <v>340.27714444529937</v>
      </c>
      <c r="AN134">
        <v>350</v>
      </c>
      <c r="AO134">
        <v>68</v>
      </c>
      <c r="AS134" t="s">
        <v>1345</v>
      </c>
      <c r="AT134" t="s">
        <v>125</v>
      </c>
      <c r="AU134">
        <v>3.2837000000000005E-2</v>
      </c>
      <c r="AV134" s="262">
        <v>3.2837000000000005E-2</v>
      </c>
      <c r="AW134" s="262">
        <v>204.52523865872314</v>
      </c>
      <c r="AX134">
        <v>250</v>
      </c>
      <c r="AY134">
        <v>79</v>
      </c>
      <c r="BC134" t="s">
        <v>1460</v>
      </c>
      <c r="BD134" t="s">
        <v>170</v>
      </c>
      <c r="BE134">
        <v>8.3280000000000007E-2</v>
      </c>
      <c r="BF134" s="262">
        <v>8.3280000000000007E-2</v>
      </c>
      <c r="BG134" s="262">
        <v>325.71332790434337</v>
      </c>
      <c r="BH134">
        <v>350</v>
      </c>
      <c r="BI134">
        <v>94</v>
      </c>
      <c r="BM134" t="s">
        <v>1345</v>
      </c>
      <c r="BN134" t="s">
        <v>143</v>
      </c>
      <c r="BO134">
        <v>0.16656000000000001</v>
      </c>
      <c r="BP134" s="262">
        <v>0.16656000000000001</v>
      </c>
      <c r="BQ134" s="262">
        <v>460.62820576799743</v>
      </c>
      <c r="BR134">
        <v>466</v>
      </c>
      <c r="BS134">
        <v>80</v>
      </c>
    </row>
    <row r="135" spans="4:71" x14ac:dyDescent="0.25">
      <c r="D135" t="s">
        <v>1460</v>
      </c>
      <c r="E135" t="s">
        <v>429</v>
      </c>
      <c r="F135" s="262">
        <v>8.3000000000000004E-2</v>
      </c>
      <c r="G135" s="262">
        <v>8.3000000000000004E-2</v>
      </c>
      <c r="H135" s="262">
        <v>325.165318071336</v>
      </c>
      <c r="I135">
        <v>350</v>
      </c>
      <c r="J135">
        <v>83</v>
      </c>
      <c r="O135" t="s">
        <v>1345</v>
      </c>
      <c r="P135" t="s">
        <v>228</v>
      </c>
      <c r="Q135" s="262">
        <v>2.9028999999999999E-2</v>
      </c>
      <c r="R135" s="262">
        <v>2.9028999999999999E-2</v>
      </c>
      <c r="S135" s="262">
        <v>192.30085240163368</v>
      </c>
      <c r="T135">
        <v>200</v>
      </c>
      <c r="U135">
        <v>85</v>
      </c>
      <c r="Y135" t="s">
        <v>1345</v>
      </c>
      <c r="Z135" t="s">
        <v>295</v>
      </c>
      <c r="AA135" s="262">
        <v>5.8057999999999998E-2</v>
      </c>
      <c r="AB135" s="262">
        <v>5.8057999999999998E-2</v>
      </c>
      <c r="AC135" s="262">
        <v>271.95447352229712</v>
      </c>
      <c r="AD135">
        <v>300</v>
      </c>
      <c r="AE135">
        <v>108</v>
      </c>
      <c r="AI135" t="s">
        <v>1345</v>
      </c>
      <c r="AJ135" t="s">
        <v>200</v>
      </c>
      <c r="AK135">
        <v>9.0894000000000003E-2</v>
      </c>
      <c r="AL135" s="262">
        <v>9.0894000000000003E-2</v>
      </c>
      <c r="AM135" s="262">
        <v>340.27714444529937</v>
      </c>
      <c r="AN135">
        <v>350</v>
      </c>
      <c r="AO135">
        <v>152</v>
      </c>
      <c r="AS135" t="s">
        <v>1345</v>
      </c>
      <c r="AT135" t="s">
        <v>124</v>
      </c>
      <c r="AU135">
        <v>3.2837000000000005E-2</v>
      </c>
      <c r="AV135" s="262">
        <v>3.2837000000000005E-2</v>
      </c>
      <c r="AW135" s="262">
        <v>204.52523865872314</v>
      </c>
      <c r="AX135">
        <v>250</v>
      </c>
      <c r="AY135">
        <v>51</v>
      </c>
      <c r="BC135" t="s">
        <v>1460</v>
      </c>
      <c r="BD135" t="s">
        <v>171</v>
      </c>
      <c r="BE135">
        <v>9.851E-2</v>
      </c>
      <c r="BF135" s="262">
        <v>9.851E-2</v>
      </c>
      <c r="BG135" s="262">
        <v>354.24630676955917</v>
      </c>
      <c r="BH135">
        <v>400</v>
      </c>
      <c r="BI135">
        <v>70</v>
      </c>
      <c r="BM135" t="s">
        <v>1345</v>
      </c>
      <c r="BN135" t="s">
        <v>398</v>
      </c>
      <c r="BO135">
        <v>0.16656000000000001</v>
      </c>
      <c r="BP135" s="262">
        <v>0.16656000000000001</v>
      </c>
      <c r="BQ135" s="262">
        <v>460.62820576799743</v>
      </c>
      <c r="BR135">
        <v>466</v>
      </c>
      <c r="BS135">
        <v>75</v>
      </c>
    </row>
    <row r="136" spans="4:71" x14ac:dyDescent="0.25">
      <c r="D136" t="s">
        <v>1460</v>
      </c>
      <c r="E136" t="s">
        <v>285</v>
      </c>
      <c r="F136" s="262">
        <v>8.4000000000000005E-2</v>
      </c>
      <c r="G136" s="262">
        <v>8.4000000000000005E-2</v>
      </c>
      <c r="H136" s="262">
        <v>327.11828048391237</v>
      </c>
      <c r="I136">
        <v>350</v>
      </c>
      <c r="J136">
        <v>84</v>
      </c>
      <c r="O136" t="s">
        <v>1345</v>
      </c>
      <c r="P136" t="s">
        <v>227</v>
      </c>
      <c r="Q136" s="262">
        <v>2.9028999999999999E-2</v>
      </c>
      <c r="R136" s="262">
        <v>2.9028999999999999E-2</v>
      </c>
      <c r="S136" s="262">
        <v>192.30085240163368</v>
      </c>
      <c r="T136">
        <v>200</v>
      </c>
      <c r="U136">
        <v>75</v>
      </c>
      <c r="Y136" t="s">
        <v>1345</v>
      </c>
      <c r="Z136" t="s">
        <v>296</v>
      </c>
      <c r="AA136" s="262">
        <v>5.8057999999999998E-2</v>
      </c>
      <c r="AB136" s="262">
        <v>5.8057999999999998E-2</v>
      </c>
      <c r="AC136" s="262">
        <v>271.95447352229712</v>
      </c>
      <c r="AD136">
        <v>300</v>
      </c>
      <c r="AE136">
        <v>150</v>
      </c>
      <c r="AI136" t="s">
        <v>1345</v>
      </c>
      <c r="AJ136" t="s">
        <v>202</v>
      </c>
      <c r="AK136">
        <v>9.0894000000000003E-2</v>
      </c>
      <c r="AL136" s="262">
        <v>9.0894000000000003E-2</v>
      </c>
      <c r="AM136" s="262">
        <v>340.27714444529937</v>
      </c>
      <c r="AN136">
        <v>350</v>
      </c>
      <c r="AO136">
        <v>75</v>
      </c>
      <c r="AS136" t="s">
        <v>1345</v>
      </c>
      <c r="AT136" t="s">
        <v>123</v>
      </c>
      <c r="AU136">
        <v>3.2837000000000005E-2</v>
      </c>
      <c r="AV136" s="262">
        <v>3.2837000000000005E-2</v>
      </c>
      <c r="AW136" s="262">
        <v>204.52523865872314</v>
      </c>
      <c r="AX136">
        <v>250</v>
      </c>
      <c r="AY136">
        <v>73</v>
      </c>
      <c r="BC136" t="s">
        <v>1460</v>
      </c>
      <c r="BD136" t="s">
        <v>413</v>
      </c>
      <c r="BE136">
        <v>3.2835999999999997E-2</v>
      </c>
      <c r="BF136" s="262">
        <v>3.2835999999999997E-2</v>
      </c>
      <c r="BG136" s="262">
        <v>204.52212438525402</v>
      </c>
      <c r="BH136">
        <v>250</v>
      </c>
      <c r="BI136">
        <v>59</v>
      </c>
      <c r="BM136" t="s">
        <v>1345</v>
      </c>
      <c r="BN136" t="s">
        <v>140</v>
      </c>
      <c r="BO136">
        <v>0.16656000000000001</v>
      </c>
      <c r="BP136" s="262">
        <v>0.16656000000000001</v>
      </c>
      <c r="BQ136" s="262">
        <v>460.62820576799743</v>
      </c>
      <c r="BR136">
        <v>466</v>
      </c>
      <c r="BS136">
        <v>76</v>
      </c>
    </row>
    <row r="137" spans="4:71" x14ac:dyDescent="0.25">
      <c r="D137" t="s">
        <v>1460</v>
      </c>
      <c r="E137" t="s">
        <v>284</v>
      </c>
      <c r="F137" s="262">
        <v>7.8E-2</v>
      </c>
      <c r="G137" s="262">
        <v>7.8E-2</v>
      </c>
      <c r="H137" s="262">
        <v>315.21906243887082</v>
      </c>
      <c r="I137">
        <v>350</v>
      </c>
      <c r="J137">
        <v>78</v>
      </c>
      <c r="O137" t="s">
        <v>1345</v>
      </c>
      <c r="P137" t="s">
        <v>429</v>
      </c>
      <c r="Q137" s="262">
        <v>2.9028999999999999E-2</v>
      </c>
      <c r="R137" s="262">
        <v>2.9028999999999999E-2</v>
      </c>
      <c r="S137" s="262">
        <v>192.30085240163368</v>
      </c>
      <c r="T137">
        <v>200</v>
      </c>
      <c r="U137">
        <v>83</v>
      </c>
      <c r="Y137" t="s">
        <v>1345</v>
      </c>
      <c r="Z137" t="s">
        <v>297</v>
      </c>
      <c r="AA137" s="262">
        <v>5.8057999999999998E-2</v>
      </c>
      <c r="AB137" s="262">
        <v>5.8057999999999998E-2</v>
      </c>
      <c r="AC137" s="262">
        <v>271.95447352229712</v>
      </c>
      <c r="AD137">
        <v>300</v>
      </c>
      <c r="AE137">
        <v>54</v>
      </c>
      <c r="AI137" t="s">
        <v>1345</v>
      </c>
      <c r="AJ137" t="s">
        <v>201</v>
      </c>
      <c r="AK137">
        <v>0.119923</v>
      </c>
      <c r="AL137" s="262">
        <v>0.119923</v>
      </c>
      <c r="AM137" s="262">
        <v>390.85566756315819</v>
      </c>
      <c r="AN137">
        <v>400</v>
      </c>
      <c r="AO137">
        <v>95</v>
      </c>
      <c r="AS137" t="s">
        <v>1345</v>
      </c>
      <c r="AT137" t="s">
        <v>122</v>
      </c>
      <c r="AU137">
        <v>3.2837000000000005E-2</v>
      </c>
      <c r="AV137" s="262">
        <v>3.2837000000000005E-2</v>
      </c>
      <c r="AW137" s="262">
        <v>204.52523865872314</v>
      </c>
      <c r="AX137">
        <v>250</v>
      </c>
      <c r="AY137">
        <v>58</v>
      </c>
      <c r="BC137" t="s">
        <v>1345</v>
      </c>
      <c r="BD137" t="s">
        <v>258</v>
      </c>
      <c r="BE137">
        <v>8.3280000000000007E-2</v>
      </c>
      <c r="BF137" s="262">
        <v>8.3280000000000007E-2</v>
      </c>
      <c r="BG137" s="262">
        <v>325.71332790434337</v>
      </c>
      <c r="BH137">
        <v>350</v>
      </c>
      <c r="BI137">
        <v>218</v>
      </c>
      <c r="BM137" t="s">
        <v>1345</v>
      </c>
      <c r="BN137" t="s">
        <v>909</v>
      </c>
      <c r="BO137">
        <v>0.16656000000000001</v>
      </c>
      <c r="BP137" s="262">
        <v>0.16656000000000001</v>
      </c>
      <c r="BQ137" s="262">
        <v>460.62820576799743</v>
      </c>
      <c r="BR137">
        <v>466</v>
      </c>
      <c r="BS137">
        <v>69</v>
      </c>
    </row>
    <row r="138" spans="4:71" x14ac:dyDescent="0.25">
      <c r="D138" t="s">
        <v>1460</v>
      </c>
      <c r="E138" t="s">
        <v>283</v>
      </c>
      <c r="F138" s="262">
        <v>0.151</v>
      </c>
      <c r="G138" s="262">
        <v>0.151</v>
      </c>
      <c r="H138" s="262">
        <v>438.5848696638875</v>
      </c>
      <c r="I138">
        <v>466</v>
      </c>
      <c r="J138">
        <v>151</v>
      </c>
      <c r="O138" t="s">
        <v>1345</v>
      </c>
      <c r="P138" t="s">
        <v>285</v>
      </c>
      <c r="Q138" s="262">
        <v>2.9028999999999999E-2</v>
      </c>
      <c r="R138" s="262">
        <v>2.9028999999999999E-2</v>
      </c>
      <c r="S138" s="262">
        <v>192.30085240163368</v>
      </c>
      <c r="T138">
        <v>200</v>
      </c>
      <c r="U138">
        <v>84</v>
      </c>
      <c r="Y138" t="s">
        <v>1345</v>
      </c>
      <c r="Z138" t="s">
        <v>298</v>
      </c>
      <c r="AA138" s="262">
        <v>5.8057999999999998E-2</v>
      </c>
      <c r="AB138" s="262">
        <v>5.8057999999999998E-2</v>
      </c>
      <c r="AC138" s="262">
        <v>271.95447352229712</v>
      </c>
      <c r="AD138">
        <v>300</v>
      </c>
      <c r="AE138">
        <v>93</v>
      </c>
      <c r="AI138" t="s">
        <v>1345</v>
      </c>
      <c r="AJ138" t="s">
        <v>199</v>
      </c>
      <c r="AK138">
        <v>0.119923</v>
      </c>
      <c r="AL138" s="262">
        <v>0.119923</v>
      </c>
      <c r="AM138" s="262">
        <v>390.85566756315819</v>
      </c>
      <c r="AN138">
        <v>400</v>
      </c>
      <c r="AO138">
        <v>73</v>
      </c>
      <c r="AS138" t="s">
        <v>1345</v>
      </c>
      <c r="AT138" t="s">
        <v>121</v>
      </c>
      <c r="AU138">
        <v>3.2837000000000005E-2</v>
      </c>
      <c r="AV138" s="262">
        <v>3.2837000000000005E-2</v>
      </c>
      <c r="AW138" s="262">
        <v>204.52523865872314</v>
      </c>
      <c r="AX138">
        <v>250</v>
      </c>
      <c r="AY138">
        <v>216</v>
      </c>
      <c r="BC138" t="s">
        <v>1345</v>
      </c>
      <c r="BD138" t="s">
        <v>259</v>
      </c>
      <c r="BE138">
        <v>8.3280000000000007E-2</v>
      </c>
      <c r="BF138" s="262">
        <v>8.3280000000000007E-2</v>
      </c>
      <c r="BG138" s="262">
        <v>325.71332790434337</v>
      </c>
      <c r="BH138">
        <v>350</v>
      </c>
      <c r="BI138">
        <v>101</v>
      </c>
      <c r="BM138" t="s">
        <v>1345</v>
      </c>
      <c r="BN138" t="s">
        <v>139</v>
      </c>
      <c r="BO138">
        <v>0.16656000000000001</v>
      </c>
      <c r="BP138" s="262">
        <v>0.16656000000000001</v>
      </c>
      <c r="BQ138" s="262">
        <v>460.62820576799743</v>
      </c>
      <c r="BR138">
        <v>466</v>
      </c>
      <c r="BS138">
        <v>251</v>
      </c>
    </row>
    <row r="139" spans="4:71" x14ac:dyDescent="0.25">
      <c r="D139" t="s">
        <v>1460</v>
      </c>
      <c r="E139" t="s">
        <v>280</v>
      </c>
      <c r="F139" s="262">
        <v>5.3999999999999999E-2</v>
      </c>
      <c r="G139" s="262">
        <v>5.3999999999999999E-2</v>
      </c>
      <c r="H139" s="262">
        <v>262.27811368316162</v>
      </c>
      <c r="I139">
        <v>300</v>
      </c>
      <c r="J139">
        <v>54</v>
      </c>
      <c r="O139" t="s">
        <v>1345</v>
      </c>
      <c r="P139" t="s">
        <v>284</v>
      </c>
      <c r="Q139" s="262">
        <v>2.9028999999999999E-2</v>
      </c>
      <c r="R139" s="262">
        <v>2.9028999999999999E-2</v>
      </c>
      <c r="S139" s="262">
        <v>192.30085240163368</v>
      </c>
      <c r="T139">
        <v>200</v>
      </c>
      <c r="U139">
        <v>78</v>
      </c>
      <c r="AI139" t="s">
        <v>1345</v>
      </c>
      <c r="AJ139" t="s">
        <v>198</v>
      </c>
      <c r="AK139">
        <v>0.119923</v>
      </c>
      <c r="AL139" s="262">
        <v>0.119923</v>
      </c>
      <c r="AM139" s="262">
        <v>390.85566756315819</v>
      </c>
      <c r="AN139">
        <v>400</v>
      </c>
      <c r="AO139">
        <v>77</v>
      </c>
      <c r="AS139" t="s">
        <v>1345</v>
      </c>
      <c r="AT139" t="s">
        <v>119</v>
      </c>
      <c r="AU139">
        <v>3.2837000000000005E-2</v>
      </c>
      <c r="AV139" s="262">
        <v>3.2837000000000005E-2</v>
      </c>
      <c r="AW139" s="262">
        <v>204.52523865872314</v>
      </c>
      <c r="AX139">
        <v>250</v>
      </c>
      <c r="AY139">
        <v>73</v>
      </c>
      <c r="BC139" t="s">
        <v>1345</v>
      </c>
      <c r="BD139" t="s">
        <v>261</v>
      </c>
      <c r="BE139">
        <v>8.3280000000000007E-2</v>
      </c>
      <c r="BF139" s="262">
        <v>8.3280000000000007E-2</v>
      </c>
      <c r="BG139" s="262">
        <v>325.71332790434337</v>
      </c>
      <c r="BH139">
        <v>350</v>
      </c>
      <c r="BI139">
        <v>149</v>
      </c>
    </row>
    <row r="140" spans="4:71" x14ac:dyDescent="0.25">
      <c r="D140" t="s">
        <v>1460</v>
      </c>
      <c r="E140" t="s">
        <v>282</v>
      </c>
      <c r="F140" s="262">
        <v>3.5000000000000003E-2</v>
      </c>
      <c r="G140" s="262">
        <v>3.5000000000000003E-2</v>
      </c>
      <c r="H140" s="262">
        <v>211.15394209236661</v>
      </c>
      <c r="I140">
        <v>250</v>
      </c>
      <c r="J140">
        <v>35</v>
      </c>
      <c r="O140" t="s">
        <v>1345</v>
      </c>
      <c r="P140" t="s">
        <v>283</v>
      </c>
      <c r="Q140" s="262">
        <v>2.9028999999999999E-2</v>
      </c>
      <c r="R140" s="262">
        <v>2.9028999999999999E-2</v>
      </c>
      <c r="S140" s="262">
        <v>192.30085240163368</v>
      </c>
      <c r="T140">
        <v>200</v>
      </c>
      <c r="U140">
        <v>151</v>
      </c>
      <c r="AI140" t="s">
        <v>1345</v>
      </c>
      <c r="AJ140" t="s">
        <v>197</v>
      </c>
      <c r="AK140">
        <v>0.119923</v>
      </c>
      <c r="AL140" s="262">
        <v>0.119923</v>
      </c>
      <c r="AM140" s="262">
        <v>390.85566756315819</v>
      </c>
      <c r="AN140">
        <v>400</v>
      </c>
      <c r="AO140">
        <v>250</v>
      </c>
      <c r="AS140" t="s">
        <v>1345</v>
      </c>
      <c r="AT140" t="s">
        <v>120</v>
      </c>
      <c r="AU140">
        <v>3.2837000000000005E-2</v>
      </c>
      <c r="AV140" s="262">
        <v>3.2837000000000005E-2</v>
      </c>
      <c r="AW140" s="262">
        <v>204.52523865872314</v>
      </c>
      <c r="AX140">
        <v>250</v>
      </c>
      <c r="AY140">
        <v>65</v>
      </c>
      <c r="BC140" t="s">
        <v>1345</v>
      </c>
      <c r="BD140" t="s">
        <v>260</v>
      </c>
      <c r="BE140">
        <v>8.3280000000000007E-2</v>
      </c>
      <c r="BF140" s="262">
        <v>8.3280000000000007E-2</v>
      </c>
      <c r="BG140" s="262">
        <v>325.71332790434337</v>
      </c>
      <c r="BH140">
        <v>350</v>
      </c>
      <c r="BI140">
        <v>260</v>
      </c>
    </row>
    <row r="141" spans="4:71" x14ac:dyDescent="0.25">
      <c r="D141" t="s">
        <v>1460</v>
      </c>
      <c r="E141" t="s">
        <v>430</v>
      </c>
      <c r="F141" s="262">
        <v>8.7999999999999995E-2</v>
      </c>
      <c r="G141" s="262">
        <v>8.7999999999999995E-2</v>
      </c>
      <c r="H141" s="262">
        <v>334.81623441527665</v>
      </c>
      <c r="I141">
        <v>350</v>
      </c>
      <c r="J141">
        <v>88</v>
      </c>
      <c r="O141" t="s">
        <v>1345</v>
      </c>
      <c r="P141" t="s">
        <v>280</v>
      </c>
      <c r="Q141" s="262">
        <v>2.9028999999999999E-2</v>
      </c>
      <c r="R141" s="262">
        <v>2.9028999999999999E-2</v>
      </c>
      <c r="S141" s="262">
        <v>192.30085240163368</v>
      </c>
      <c r="T141">
        <v>200</v>
      </c>
      <c r="U141">
        <v>54</v>
      </c>
      <c r="AI141" t="s">
        <v>1345</v>
      </c>
      <c r="AJ141" t="s">
        <v>196</v>
      </c>
      <c r="AK141">
        <v>0.119923</v>
      </c>
      <c r="AL141" s="262">
        <v>0.119923</v>
      </c>
      <c r="AM141" s="262">
        <v>390.85566756315819</v>
      </c>
      <c r="AN141">
        <v>400</v>
      </c>
      <c r="AO141">
        <v>63</v>
      </c>
      <c r="AS141" t="s">
        <v>1345</v>
      </c>
      <c r="AT141" t="s">
        <v>118</v>
      </c>
      <c r="AU141">
        <v>3.2837000000000005E-2</v>
      </c>
      <c r="AV141" s="262">
        <v>3.2837000000000005E-2</v>
      </c>
      <c r="AW141" s="262">
        <v>204.52523865872314</v>
      </c>
      <c r="AX141">
        <v>250</v>
      </c>
      <c r="AY141">
        <v>45</v>
      </c>
      <c r="BC141" t="s">
        <v>1345</v>
      </c>
      <c r="BD141" t="s">
        <v>410</v>
      </c>
      <c r="BE141">
        <v>8.3280000000000007E-2</v>
      </c>
      <c r="BF141" s="262">
        <v>8.3280000000000007E-2</v>
      </c>
      <c r="BG141" s="262">
        <v>325.71332790434337</v>
      </c>
      <c r="BH141">
        <v>350</v>
      </c>
      <c r="BI141">
        <v>81</v>
      </c>
    </row>
    <row r="142" spans="4:71" x14ac:dyDescent="0.25">
      <c r="D142" t="s">
        <v>1345</v>
      </c>
      <c r="E142" t="s">
        <v>252</v>
      </c>
      <c r="F142" s="262">
        <v>0.23</v>
      </c>
      <c r="G142" s="262">
        <v>0.23</v>
      </c>
      <c r="H142" s="262">
        <v>541.28886056637862</v>
      </c>
      <c r="I142">
        <v>565</v>
      </c>
      <c r="J142">
        <v>230</v>
      </c>
      <c r="O142" t="s">
        <v>1345</v>
      </c>
      <c r="P142" t="s">
        <v>282</v>
      </c>
      <c r="Q142" s="262">
        <v>2.9028999999999999E-2</v>
      </c>
      <c r="R142" s="262">
        <v>2.9028999999999999E-2</v>
      </c>
      <c r="S142" s="262">
        <v>192.30085240163368</v>
      </c>
      <c r="T142">
        <v>200</v>
      </c>
      <c r="U142">
        <v>35</v>
      </c>
      <c r="AI142" t="s">
        <v>1345</v>
      </c>
      <c r="AJ142" t="s">
        <v>195</v>
      </c>
      <c r="AK142">
        <v>0.119923</v>
      </c>
      <c r="AL142" s="262">
        <v>0.119923</v>
      </c>
      <c r="AM142" s="262">
        <v>390.85566756315819</v>
      </c>
      <c r="AN142">
        <v>400</v>
      </c>
      <c r="AO142">
        <v>41</v>
      </c>
      <c r="AS142" t="s">
        <v>1345</v>
      </c>
      <c r="AT142" t="s">
        <v>117</v>
      </c>
      <c r="AU142">
        <v>3.2837000000000005E-2</v>
      </c>
      <c r="AV142" s="262">
        <v>3.2837000000000005E-2</v>
      </c>
      <c r="AW142" s="262">
        <v>204.52523865872314</v>
      </c>
      <c r="AX142">
        <v>250</v>
      </c>
      <c r="AY142">
        <v>100</v>
      </c>
      <c r="BC142" t="s">
        <v>1460</v>
      </c>
      <c r="BD142" t="s">
        <v>263</v>
      </c>
      <c r="BE142">
        <v>3.2837000000000005E-2</v>
      </c>
      <c r="BF142" s="262">
        <v>3.2837000000000005E-2</v>
      </c>
      <c r="BG142" s="262">
        <v>204.52523865872314</v>
      </c>
      <c r="BH142">
        <v>250</v>
      </c>
      <c r="BI142">
        <v>234</v>
      </c>
    </row>
    <row r="143" spans="4:71" x14ac:dyDescent="0.25">
      <c r="D143" t="s">
        <v>1345</v>
      </c>
      <c r="E143" t="s">
        <v>253</v>
      </c>
      <c r="F143" s="263">
        <v>2.9028999999999999E-2</v>
      </c>
      <c r="G143" s="262">
        <v>2.9028999999999999E-2</v>
      </c>
      <c r="H143" s="262">
        <v>192.30085240163368</v>
      </c>
      <c r="I143">
        <v>200</v>
      </c>
      <c r="J143">
        <v>145</v>
      </c>
      <c r="O143" t="s">
        <v>1345</v>
      </c>
      <c r="P143" t="s">
        <v>430</v>
      </c>
      <c r="Q143" s="262">
        <v>2.9028999999999999E-2</v>
      </c>
      <c r="R143" s="262">
        <v>2.9028999999999999E-2</v>
      </c>
      <c r="S143" s="262">
        <v>192.30085240163368</v>
      </c>
      <c r="T143">
        <v>200</v>
      </c>
      <c r="U143">
        <v>88</v>
      </c>
      <c r="AI143" t="s">
        <v>1345</v>
      </c>
      <c r="AJ143" t="s">
        <v>194</v>
      </c>
      <c r="AK143">
        <v>0.119923</v>
      </c>
      <c r="AL143" s="262">
        <v>0.119923</v>
      </c>
      <c r="AM143" s="262">
        <v>390.85566756315819</v>
      </c>
      <c r="AN143">
        <v>400</v>
      </c>
      <c r="AO143">
        <v>201</v>
      </c>
      <c r="AS143" t="s">
        <v>1345</v>
      </c>
      <c r="AT143" t="s">
        <v>116</v>
      </c>
      <c r="AU143">
        <v>3.2835999999999997E-2</v>
      </c>
      <c r="AV143" s="262">
        <v>3.2835999999999997E-2</v>
      </c>
      <c r="AW143" s="262">
        <v>204.52212438525402</v>
      </c>
      <c r="AX143">
        <v>250</v>
      </c>
      <c r="AY143">
        <v>202</v>
      </c>
      <c r="BC143" t="s">
        <v>1460</v>
      </c>
      <c r="BD143" t="s">
        <v>264</v>
      </c>
      <c r="BE143">
        <v>3.2837000000000005E-2</v>
      </c>
      <c r="BF143" s="262">
        <v>3.2837000000000005E-2</v>
      </c>
      <c r="BG143" s="262">
        <v>204.52523865872314</v>
      </c>
      <c r="BH143">
        <v>250</v>
      </c>
      <c r="BI143">
        <v>74</v>
      </c>
    </row>
    <row r="144" spans="4:71" x14ac:dyDescent="0.25">
      <c r="D144" t="s">
        <v>1345</v>
      </c>
      <c r="E144" t="s">
        <v>235</v>
      </c>
      <c r="F144" s="263">
        <v>2.9028999999999999E-2</v>
      </c>
      <c r="G144" s="262">
        <v>2.9028999999999999E-2</v>
      </c>
      <c r="H144" s="262">
        <v>192.30085240163368</v>
      </c>
      <c r="I144">
        <v>200</v>
      </c>
      <c r="J144">
        <v>129</v>
      </c>
      <c r="O144" t="s">
        <v>1345</v>
      </c>
      <c r="P144" t="s">
        <v>253</v>
      </c>
      <c r="Q144" s="262">
        <v>2.9028999999999999E-2</v>
      </c>
      <c r="R144" s="262">
        <v>2.9028999999999999E-2</v>
      </c>
      <c r="S144" s="262">
        <v>192.30085240163368</v>
      </c>
      <c r="T144">
        <v>200</v>
      </c>
      <c r="U144">
        <v>145</v>
      </c>
      <c r="AI144" t="s">
        <v>1345</v>
      </c>
      <c r="AJ144" t="s">
        <v>425</v>
      </c>
      <c r="AK144">
        <v>0.119923</v>
      </c>
      <c r="AL144" s="262">
        <v>0.119923</v>
      </c>
      <c r="AM144" s="262">
        <v>390.85566756315819</v>
      </c>
      <c r="AN144">
        <v>400</v>
      </c>
      <c r="AO144">
        <v>129</v>
      </c>
      <c r="AS144" t="s">
        <v>1460</v>
      </c>
      <c r="AT144" t="s">
        <v>417</v>
      </c>
      <c r="AU144">
        <v>9.851E-2</v>
      </c>
      <c r="AV144" s="262">
        <v>9.851E-2</v>
      </c>
      <c r="AW144" s="262">
        <v>354.24630676955917</v>
      </c>
      <c r="AX144">
        <v>400</v>
      </c>
      <c r="AY144">
        <v>9</v>
      </c>
      <c r="BC144" t="s">
        <v>1460</v>
      </c>
      <c r="BD144" t="s">
        <v>266</v>
      </c>
      <c r="BE144">
        <v>3.2837000000000005E-2</v>
      </c>
      <c r="BF144" s="262">
        <v>3.2837000000000005E-2</v>
      </c>
      <c r="BG144" s="262">
        <v>204.52523865872314</v>
      </c>
      <c r="BH144">
        <v>250</v>
      </c>
      <c r="BI144">
        <v>79</v>
      </c>
    </row>
    <row r="145" spans="4:61" x14ac:dyDescent="0.25">
      <c r="D145" t="s">
        <v>1345</v>
      </c>
      <c r="E145" t="s">
        <v>236</v>
      </c>
      <c r="F145" s="263">
        <v>2.9028999999999999E-2</v>
      </c>
      <c r="G145" s="262">
        <v>2.9028999999999999E-2</v>
      </c>
      <c r="H145" s="262">
        <v>192.30085240163368</v>
      </c>
      <c r="I145">
        <v>200</v>
      </c>
      <c r="J145">
        <v>104</v>
      </c>
      <c r="O145" t="s">
        <v>1345</v>
      </c>
      <c r="P145" t="s">
        <v>235</v>
      </c>
      <c r="Q145" s="262">
        <v>2.9028999999999999E-2</v>
      </c>
      <c r="R145" s="262">
        <v>2.9028999999999999E-2</v>
      </c>
      <c r="S145" s="262">
        <v>192.30085240163368</v>
      </c>
      <c r="T145">
        <v>200</v>
      </c>
      <c r="U145">
        <v>129</v>
      </c>
      <c r="AI145" t="s">
        <v>1345</v>
      </c>
      <c r="AJ145" t="s">
        <v>183</v>
      </c>
      <c r="AK145">
        <v>0.119923</v>
      </c>
      <c r="AL145" s="262">
        <v>0.119923</v>
      </c>
      <c r="AM145" s="262">
        <v>390.85566756315819</v>
      </c>
      <c r="AN145">
        <v>400</v>
      </c>
      <c r="AO145">
        <v>111</v>
      </c>
      <c r="BC145" t="s">
        <v>1460</v>
      </c>
      <c r="BD145" t="s">
        <v>276</v>
      </c>
      <c r="BE145">
        <v>3.2837000000000005E-2</v>
      </c>
      <c r="BF145" s="262">
        <v>3.2837000000000005E-2</v>
      </c>
      <c r="BG145" s="262">
        <v>204.52523865872314</v>
      </c>
      <c r="BH145">
        <v>250</v>
      </c>
      <c r="BI145">
        <v>241</v>
      </c>
    </row>
    <row r="146" spans="4:61" x14ac:dyDescent="0.25">
      <c r="D146" t="s">
        <v>1345</v>
      </c>
      <c r="E146" t="s">
        <v>237</v>
      </c>
      <c r="F146" s="263">
        <v>2.9028999999999999E-2</v>
      </c>
      <c r="G146" s="262">
        <v>2.9028999999999999E-2</v>
      </c>
      <c r="H146" s="262">
        <v>192.30085240163368</v>
      </c>
      <c r="I146">
        <v>200</v>
      </c>
      <c r="J146">
        <v>79</v>
      </c>
      <c r="O146" t="s">
        <v>1345</v>
      </c>
      <c r="P146" t="s">
        <v>236</v>
      </c>
      <c r="Q146" s="262">
        <v>2.9028999999999999E-2</v>
      </c>
      <c r="R146" s="262">
        <v>2.9028999999999999E-2</v>
      </c>
      <c r="S146" s="262">
        <v>192.30085240163368</v>
      </c>
      <c r="T146">
        <v>200</v>
      </c>
      <c r="U146">
        <v>104</v>
      </c>
      <c r="AI146" t="s">
        <v>1345</v>
      </c>
      <c r="AJ146" t="s">
        <v>192</v>
      </c>
      <c r="AK146">
        <v>0.14499999999999999</v>
      </c>
      <c r="AL146" s="262">
        <v>0.14499999999999999</v>
      </c>
      <c r="AM146" s="262">
        <v>429.78294032706594</v>
      </c>
      <c r="AN146">
        <v>466</v>
      </c>
      <c r="AO146">
        <v>88</v>
      </c>
      <c r="BC146" t="s">
        <v>1460</v>
      </c>
      <c r="BD146" t="s">
        <v>316</v>
      </c>
      <c r="BE146">
        <v>3.2837000000000005E-2</v>
      </c>
      <c r="BF146" s="262">
        <v>3.2837000000000005E-2</v>
      </c>
      <c r="BG146" s="262">
        <v>204.52523865872314</v>
      </c>
      <c r="BH146">
        <v>250</v>
      </c>
      <c r="BI146">
        <v>61</v>
      </c>
    </row>
    <row r="147" spans="4:61" x14ac:dyDescent="0.25">
      <c r="D147" t="s">
        <v>1345</v>
      </c>
      <c r="E147" t="s">
        <v>238</v>
      </c>
      <c r="F147" s="263">
        <v>2.9028999999999999E-2</v>
      </c>
      <c r="G147" s="262">
        <v>2.9028999999999999E-2</v>
      </c>
      <c r="H147" s="262">
        <v>192.30085240163368</v>
      </c>
      <c r="I147">
        <v>200</v>
      </c>
      <c r="J147">
        <v>89</v>
      </c>
      <c r="O147" t="s">
        <v>1345</v>
      </c>
      <c r="P147" t="s">
        <v>237</v>
      </c>
      <c r="Q147" s="262">
        <v>2.9028999999999999E-2</v>
      </c>
      <c r="R147" s="262">
        <v>2.9028999999999999E-2</v>
      </c>
      <c r="S147" s="262">
        <v>192.30085240163368</v>
      </c>
      <c r="T147">
        <v>200</v>
      </c>
      <c r="U147">
        <v>79</v>
      </c>
      <c r="AI147" t="s">
        <v>1345</v>
      </c>
      <c r="AJ147" t="s">
        <v>230</v>
      </c>
      <c r="AK147">
        <v>0.129</v>
      </c>
      <c r="AL147" s="262">
        <v>0.129</v>
      </c>
      <c r="AM147" s="262">
        <v>405.37786100264873</v>
      </c>
      <c r="AN147">
        <v>421</v>
      </c>
      <c r="AO147">
        <v>74</v>
      </c>
      <c r="BC147" t="s">
        <v>1460</v>
      </c>
      <c r="BD147" t="s">
        <v>412</v>
      </c>
      <c r="BE147">
        <v>3.2837000000000005E-2</v>
      </c>
      <c r="BF147" s="262">
        <v>3.2837000000000005E-2</v>
      </c>
      <c r="BG147" s="262">
        <v>204.52523865872314</v>
      </c>
      <c r="BH147">
        <v>250</v>
      </c>
      <c r="BI147">
        <v>76</v>
      </c>
    </row>
    <row r="148" spans="4:61" x14ac:dyDescent="0.25">
      <c r="D148" t="s">
        <v>1345</v>
      </c>
      <c r="E148" t="s">
        <v>239</v>
      </c>
      <c r="F148" s="263">
        <v>2.9028999999999999E-2</v>
      </c>
      <c r="G148" s="262">
        <v>2.9028999999999999E-2</v>
      </c>
      <c r="H148" s="262">
        <v>192.30085240163368</v>
      </c>
      <c r="I148">
        <v>200</v>
      </c>
      <c r="J148">
        <v>89</v>
      </c>
      <c r="O148" t="s">
        <v>1345</v>
      </c>
      <c r="P148" t="s">
        <v>238</v>
      </c>
      <c r="Q148" s="262">
        <v>2.9028999999999999E-2</v>
      </c>
      <c r="R148" s="262">
        <v>2.9028999999999999E-2</v>
      </c>
      <c r="S148" s="262">
        <v>192.30085240163368</v>
      </c>
      <c r="T148">
        <v>200</v>
      </c>
      <c r="U148">
        <v>89</v>
      </c>
      <c r="AI148" t="s">
        <v>1345</v>
      </c>
      <c r="AJ148" t="s">
        <v>215</v>
      </c>
      <c r="AK148">
        <v>0.104</v>
      </c>
      <c r="AL148" s="262">
        <v>0.104</v>
      </c>
      <c r="AM148" s="262">
        <v>363.98362110556707</v>
      </c>
      <c r="AN148">
        <v>400</v>
      </c>
      <c r="AO148">
        <v>248</v>
      </c>
      <c r="BC148" t="s">
        <v>1460</v>
      </c>
      <c r="BD148" t="s">
        <v>308</v>
      </c>
      <c r="BE148">
        <v>3.2837000000000005E-2</v>
      </c>
      <c r="BF148" s="262">
        <v>3.2837000000000005E-2</v>
      </c>
      <c r="BG148" s="262">
        <v>204.52523865872314</v>
      </c>
      <c r="BH148">
        <v>250</v>
      </c>
      <c r="BI148">
        <v>132</v>
      </c>
    </row>
    <row r="149" spans="4:61" x14ac:dyDescent="0.25">
      <c r="D149" t="s">
        <v>1345</v>
      </c>
      <c r="E149" t="s">
        <v>240</v>
      </c>
      <c r="F149" s="263">
        <v>2.9028999999999999E-2</v>
      </c>
      <c r="G149" s="262">
        <v>2.9028999999999999E-2</v>
      </c>
      <c r="H149" s="262">
        <v>192.30085240163368</v>
      </c>
      <c r="I149">
        <v>200</v>
      </c>
      <c r="J149">
        <v>45</v>
      </c>
      <c r="O149" t="s">
        <v>1345</v>
      </c>
      <c r="P149" t="s">
        <v>239</v>
      </c>
      <c r="Q149" s="262">
        <v>2.9028999999999999E-2</v>
      </c>
      <c r="R149" s="262">
        <v>2.9028999999999999E-2</v>
      </c>
      <c r="S149" s="262">
        <v>192.30085240163368</v>
      </c>
      <c r="T149">
        <v>200</v>
      </c>
      <c r="U149">
        <v>89</v>
      </c>
      <c r="AI149" t="s">
        <v>1345</v>
      </c>
      <c r="AJ149" t="s">
        <v>214</v>
      </c>
      <c r="AK149">
        <v>7.9000000000000001E-2</v>
      </c>
      <c r="AL149" s="262">
        <v>7.9000000000000001E-2</v>
      </c>
      <c r="AM149" s="262">
        <v>317.23326224587362</v>
      </c>
      <c r="AN149">
        <v>350</v>
      </c>
      <c r="AO149">
        <v>116</v>
      </c>
      <c r="BC149" t="s">
        <v>1460</v>
      </c>
      <c r="BD149" t="s">
        <v>411</v>
      </c>
      <c r="BE149">
        <v>3.2837000000000005E-2</v>
      </c>
      <c r="BF149" s="262">
        <v>3.2837000000000005E-2</v>
      </c>
      <c r="BG149" s="262">
        <v>204.52523865872314</v>
      </c>
      <c r="BH149">
        <v>250</v>
      </c>
      <c r="BI149">
        <v>154</v>
      </c>
    </row>
    <row r="150" spans="4:61" x14ac:dyDescent="0.25">
      <c r="D150" t="s">
        <v>1345</v>
      </c>
      <c r="E150" t="s">
        <v>241</v>
      </c>
      <c r="F150" s="263">
        <v>2.9028999999999999E-2</v>
      </c>
      <c r="G150" s="262">
        <v>2.9028999999999999E-2</v>
      </c>
      <c r="H150" s="262">
        <v>192.30085240163368</v>
      </c>
      <c r="I150">
        <v>200</v>
      </c>
      <c r="J150">
        <v>43</v>
      </c>
      <c r="O150" t="s">
        <v>1345</v>
      </c>
      <c r="P150" t="s">
        <v>240</v>
      </c>
      <c r="Q150" s="262">
        <v>2.9028999999999999E-2</v>
      </c>
      <c r="R150" s="262">
        <v>2.9028999999999999E-2</v>
      </c>
      <c r="S150" s="262">
        <v>192.30085240163368</v>
      </c>
      <c r="T150">
        <v>200</v>
      </c>
      <c r="U150">
        <v>45</v>
      </c>
      <c r="AI150" t="s">
        <v>1345</v>
      </c>
      <c r="AJ150" t="s">
        <v>213</v>
      </c>
      <c r="AK150">
        <v>8.8999999999999996E-2</v>
      </c>
      <c r="AL150" s="262">
        <v>8.8999999999999996E-2</v>
      </c>
      <c r="AM150" s="262">
        <v>336.71322542832195</v>
      </c>
      <c r="AN150">
        <v>350</v>
      </c>
      <c r="AO150">
        <v>128</v>
      </c>
      <c r="BC150" t="s">
        <v>1460</v>
      </c>
      <c r="BD150" t="s">
        <v>309</v>
      </c>
      <c r="BE150">
        <v>3.2837000000000005E-2</v>
      </c>
      <c r="BF150" s="262">
        <v>3.2837000000000005E-2</v>
      </c>
      <c r="BG150" s="262">
        <v>204.52523865872314</v>
      </c>
      <c r="BH150">
        <v>250</v>
      </c>
      <c r="BI150">
        <v>212</v>
      </c>
    </row>
    <row r="151" spans="4:61" x14ac:dyDescent="0.25">
      <c r="D151" t="s">
        <v>1345</v>
      </c>
      <c r="E151" t="s">
        <v>243</v>
      </c>
      <c r="F151" s="263">
        <v>2.9028999999999999E-2</v>
      </c>
      <c r="G151" s="262">
        <v>2.9028999999999999E-2</v>
      </c>
      <c r="H151" s="262">
        <v>192.30085240163368</v>
      </c>
      <c r="I151">
        <v>200</v>
      </c>
      <c r="J151">
        <v>66</v>
      </c>
      <c r="O151" t="s">
        <v>1345</v>
      </c>
      <c r="P151" t="s">
        <v>241</v>
      </c>
      <c r="Q151" s="262">
        <v>2.9028999999999999E-2</v>
      </c>
      <c r="R151" s="262">
        <v>2.9028999999999999E-2</v>
      </c>
      <c r="S151" s="262">
        <v>192.30085240163368</v>
      </c>
      <c r="T151">
        <v>200</v>
      </c>
      <c r="U151">
        <v>43</v>
      </c>
      <c r="AI151" t="s">
        <v>1345</v>
      </c>
      <c r="AJ151" t="s">
        <v>212</v>
      </c>
      <c r="AK151">
        <v>8.8999999999999996E-2</v>
      </c>
      <c r="AL151" s="262">
        <v>8.8999999999999996E-2</v>
      </c>
      <c r="AM151" s="262">
        <v>336.71322542832195</v>
      </c>
      <c r="AN151">
        <v>350</v>
      </c>
      <c r="AO151">
        <v>138</v>
      </c>
      <c r="BC151" t="s">
        <v>1460</v>
      </c>
      <c r="BD151" t="s">
        <v>310</v>
      </c>
      <c r="BE151">
        <v>3.2837000000000005E-2</v>
      </c>
      <c r="BF151" s="262">
        <v>3.2837000000000005E-2</v>
      </c>
      <c r="BG151" s="262">
        <v>204.52523865872314</v>
      </c>
      <c r="BH151">
        <v>250</v>
      </c>
      <c r="BI151">
        <v>173</v>
      </c>
    </row>
    <row r="152" spans="4:61" x14ac:dyDescent="0.25">
      <c r="D152" t="s">
        <v>1345</v>
      </c>
      <c r="E152" t="s">
        <v>242</v>
      </c>
      <c r="F152" s="263">
        <v>2.9028999999999999E-2</v>
      </c>
      <c r="G152" s="262">
        <v>2.9028999999999999E-2</v>
      </c>
      <c r="H152" s="262">
        <v>192.30085240163368</v>
      </c>
      <c r="I152">
        <v>200</v>
      </c>
      <c r="J152">
        <v>48</v>
      </c>
      <c r="O152" t="s">
        <v>1345</v>
      </c>
      <c r="P152" t="s">
        <v>243</v>
      </c>
      <c r="Q152" s="262">
        <v>2.9028999999999999E-2</v>
      </c>
      <c r="R152" s="262">
        <v>2.9028999999999999E-2</v>
      </c>
      <c r="S152" s="262">
        <v>192.30085240163368</v>
      </c>
      <c r="T152">
        <v>200</v>
      </c>
      <c r="U152">
        <v>66</v>
      </c>
      <c r="AI152" t="s">
        <v>1460</v>
      </c>
      <c r="AJ152" t="s">
        <v>426</v>
      </c>
      <c r="AK152">
        <v>4.4999999999999998E-2</v>
      </c>
      <c r="AL152" s="262">
        <v>4.4999999999999998E-2</v>
      </c>
      <c r="AM152" s="262">
        <v>239.42606534028661</v>
      </c>
      <c r="AN152">
        <v>250</v>
      </c>
      <c r="AO152">
        <v>184</v>
      </c>
      <c r="BC152" t="s">
        <v>1460</v>
      </c>
      <c r="BD152" t="s">
        <v>312</v>
      </c>
      <c r="BE152">
        <v>3.2835999999999997E-2</v>
      </c>
      <c r="BF152" s="262">
        <v>3.2835999999999997E-2</v>
      </c>
      <c r="BG152" s="262">
        <v>204.52212438525402</v>
      </c>
      <c r="BH152">
        <v>250</v>
      </c>
      <c r="BI152">
        <v>133</v>
      </c>
    </row>
    <row r="153" spans="4:61" x14ac:dyDescent="0.25">
      <c r="D153" t="s">
        <v>1345</v>
      </c>
      <c r="E153" t="s">
        <v>244</v>
      </c>
      <c r="F153" s="263">
        <v>2.9028999999999999E-2</v>
      </c>
      <c r="G153" s="262">
        <v>2.9028999999999999E-2</v>
      </c>
      <c r="H153" s="262">
        <v>192.30085240163368</v>
      </c>
      <c r="I153">
        <v>200</v>
      </c>
      <c r="J153">
        <v>19</v>
      </c>
      <c r="O153" t="s">
        <v>1345</v>
      </c>
      <c r="P153" t="s">
        <v>242</v>
      </c>
      <c r="Q153" s="262">
        <v>2.9028999999999999E-2</v>
      </c>
      <c r="R153" s="262">
        <v>2.9028999999999999E-2</v>
      </c>
      <c r="S153" s="262">
        <v>192.30085240163368</v>
      </c>
      <c r="T153">
        <v>200</v>
      </c>
      <c r="U153">
        <v>48</v>
      </c>
      <c r="AI153" t="s">
        <v>1460</v>
      </c>
      <c r="AJ153" t="s">
        <v>277</v>
      </c>
      <c r="AK153">
        <v>4.2999999999999997E-2</v>
      </c>
      <c r="AL153" s="262">
        <v>4.2999999999999997E-2</v>
      </c>
      <c r="AM153" s="262">
        <v>234.04501717339394</v>
      </c>
      <c r="AN153">
        <v>250</v>
      </c>
      <c r="AO153">
        <v>351</v>
      </c>
    </row>
    <row r="154" spans="4:61" x14ac:dyDescent="0.25">
      <c r="D154" t="s">
        <v>1345</v>
      </c>
      <c r="E154" t="s">
        <v>245</v>
      </c>
      <c r="F154" s="263">
        <v>2.9028999999999999E-2</v>
      </c>
      <c r="G154" s="262">
        <v>2.9028999999999999E-2</v>
      </c>
      <c r="H154" s="262">
        <v>192.30085240163368</v>
      </c>
      <c r="I154">
        <v>200</v>
      </c>
      <c r="J154">
        <v>58</v>
      </c>
      <c r="O154" t="s">
        <v>1345</v>
      </c>
      <c r="P154" t="s">
        <v>244</v>
      </c>
      <c r="Q154" s="262">
        <v>2.9028999999999999E-2</v>
      </c>
      <c r="R154" s="262">
        <v>2.9028999999999999E-2</v>
      </c>
      <c r="S154" s="262">
        <v>192.30085240163368</v>
      </c>
      <c r="T154">
        <v>200</v>
      </c>
      <c r="U154">
        <v>19</v>
      </c>
      <c r="AI154" t="s">
        <v>1460</v>
      </c>
      <c r="AJ154" t="s">
        <v>427</v>
      </c>
      <c r="AK154">
        <v>6.6000000000000003E-2</v>
      </c>
      <c r="AL154" s="262">
        <v>6.6000000000000003E-2</v>
      </c>
      <c r="AM154" s="262">
        <v>289.95936460307519</v>
      </c>
      <c r="AN154">
        <v>300</v>
      </c>
      <c r="AO154">
        <v>169</v>
      </c>
    </row>
    <row r="155" spans="4:61" x14ac:dyDescent="0.25">
      <c r="D155" t="s">
        <v>1345</v>
      </c>
      <c r="E155" t="s">
        <v>246</v>
      </c>
      <c r="F155" s="263">
        <v>2.9028999999999999E-2</v>
      </c>
      <c r="G155" s="262">
        <v>2.9028999999999999E-2</v>
      </c>
      <c r="H155" s="262">
        <v>192.30085240163368</v>
      </c>
      <c r="I155">
        <v>200</v>
      </c>
      <c r="J155">
        <v>84</v>
      </c>
      <c r="O155" t="s">
        <v>1345</v>
      </c>
      <c r="P155" t="s">
        <v>245</v>
      </c>
      <c r="Q155" s="262">
        <v>2.9028999999999999E-2</v>
      </c>
      <c r="R155" s="262">
        <v>2.9028999999999999E-2</v>
      </c>
      <c r="S155" s="262">
        <v>192.30085240163368</v>
      </c>
      <c r="T155">
        <v>200</v>
      </c>
      <c r="U155">
        <v>58</v>
      </c>
    </row>
    <row r="156" spans="4:61" x14ac:dyDescent="0.25">
      <c r="D156" t="s">
        <v>1345</v>
      </c>
      <c r="E156" t="s">
        <v>247</v>
      </c>
      <c r="F156" s="263">
        <v>2.9028999999999999E-2</v>
      </c>
      <c r="G156" s="262">
        <v>2.9028999999999999E-2</v>
      </c>
      <c r="H156" s="262">
        <v>192.30085240163368</v>
      </c>
      <c r="I156">
        <v>200</v>
      </c>
      <c r="J156">
        <v>105</v>
      </c>
      <c r="O156" t="s">
        <v>1345</v>
      </c>
      <c r="P156" t="s">
        <v>246</v>
      </c>
      <c r="Q156" s="262">
        <v>2.9028999999999999E-2</v>
      </c>
      <c r="R156" s="262">
        <v>2.9028999999999999E-2</v>
      </c>
      <c r="S156" s="262">
        <v>192.30085240163368</v>
      </c>
      <c r="T156">
        <v>200</v>
      </c>
      <c r="U156">
        <v>84</v>
      </c>
    </row>
    <row r="157" spans="4:61" x14ac:dyDescent="0.25">
      <c r="D157" t="s">
        <v>1345</v>
      </c>
      <c r="E157" t="s">
        <v>248</v>
      </c>
      <c r="F157" s="263">
        <v>2.9028999999999999E-2</v>
      </c>
      <c r="G157" s="262">
        <v>2.9028999999999999E-2</v>
      </c>
      <c r="H157" s="262">
        <v>192.30085240163368</v>
      </c>
      <c r="I157">
        <v>200</v>
      </c>
      <c r="J157">
        <v>90</v>
      </c>
      <c r="O157" t="s">
        <v>1345</v>
      </c>
      <c r="P157" t="s">
        <v>247</v>
      </c>
      <c r="Q157" s="262">
        <v>2.9028999999999999E-2</v>
      </c>
      <c r="R157" s="262">
        <v>2.9028999999999999E-2</v>
      </c>
      <c r="S157" s="262">
        <v>192.30085240163368</v>
      </c>
      <c r="T157">
        <v>200</v>
      </c>
      <c r="U157">
        <v>105</v>
      </c>
    </row>
    <row r="158" spans="4:61" x14ac:dyDescent="0.25">
      <c r="D158" t="s">
        <v>1345</v>
      </c>
      <c r="E158" t="s">
        <v>249</v>
      </c>
      <c r="F158" s="263">
        <v>2.9028999999999999E-2</v>
      </c>
      <c r="G158" s="262">
        <v>2.9028999999999999E-2</v>
      </c>
      <c r="H158" s="262">
        <v>192.30085240163368</v>
      </c>
      <c r="I158">
        <v>200</v>
      </c>
      <c r="J158">
        <v>78</v>
      </c>
      <c r="O158" t="s">
        <v>1345</v>
      </c>
      <c r="P158" t="s">
        <v>248</v>
      </c>
      <c r="Q158" s="262">
        <v>2.9028999999999999E-2</v>
      </c>
      <c r="R158" s="262">
        <v>2.9028999999999999E-2</v>
      </c>
      <c r="S158" s="262">
        <v>192.30085240163368</v>
      </c>
      <c r="T158">
        <v>200</v>
      </c>
      <c r="U158">
        <v>90</v>
      </c>
    </row>
    <row r="159" spans="4:61" x14ac:dyDescent="0.25">
      <c r="D159" t="s">
        <v>1345</v>
      </c>
      <c r="E159" t="s">
        <v>250</v>
      </c>
      <c r="F159" s="263">
        <v>2.9028999999999999E-2</v>
      </c>
      <c r="G159" s="262">
        <v>2.9028999999999999E-2</v>
      </c>
      <c r="H159" s="262">
        <v>192.30085240163368</v>
      </c>
      <c r="I159">
        <v>200</v>
      </c>
      <c r="J159">
        <v>83</v>
      </c>
      <c r="O159" t="s">
        <v>1345</v>
      </c>
      <c r="P159" t="s">
        <v>249</v>
      </c>
      <c r="Q159" s="262">
        <v>2.9028999999999999E-2</v>
      </c>
      <c r="R159" s="262">
        <v>2.9028999999999999E-2</v>
      </c>
      <c r="S159" s="262">
        <v>192.30085240163368</v>
      </c>
      <c r="T159">
        <v>200</v>
      </c>
      <c r="U159">
        <v>78</v>
      </c>
    </row>
    <row r="160" spans="4:61" x14ac:dyDescent="0.25">
      <c r="D160" t="s">
        <v>1345</v>
      </c>
      <c r="E160" t="s">
        <v>432</v>
      </c>
      <c r="F160" s="263">
        <v>2.9028999999999999E-2</v>
      </c>
      <c r="G160" s="262">
        <v>2.9028999999999999E-2</v>
      </c>
      <c r="H160" s="262">
        <v>192.30085240163368</v>
      </c>
      <c r="I160">
        <v>200</v>
      </c>
      <c r="J160">
        <v>175</v>
      </c>
      <c r="O160" t="s">
        <v>1345</v>
      </c>
      <c r="P160" t="s">
        <v>250</v>
      </c>
      <c r="Q160" s="262">
        <v>2.9028999999999999E-2</v>
      </c>
      <c r="R160" s="262">
        <v>2.9028999999999999E-2</v>
      </c>
      <c r="S160" s="262">
        <v>192.30085240163368</v>
      </c>
      <c r="T160">
        <v>200</v>
      </c>
      <c r="U160">
        <v>83</v>
      </c>
    </row>
    <row r="161" spans="4:21" x14ac:dyDescent="0.25">
      <c r="D161" t="s">
        <v>1345</v>
      </c>
      <c r="E161" t="s">
        <v>269</v>
      </c>
      <c r="F161" s="263">
        <v>2.9028999999999999E-2</v>
      </c>
      <c r="G161" s="262">
        <v>2.9028999999999999E-2</v>
      </c>
      <c r="H161" s="262">
        <v>192.30085240163368</v>
      </c>
      <c r="I161">
        <v>200</v>
      </c>
      <c r="J161">
        <v>169</v>
      </c>
      <c r="O161" t="s">
        <v>1345</v>
      </c>
      <c r="P161" t="s">
        <v>432</v>
      </c>
      <c r="Q161" s="262">
        <v>2.9028999999999999E-2</v>
      </c>
      <c r="R161" s="262">
        <v>2.9028999999999999E-2</v>
      </c>
      <c r="S161" s="262">
        <v>192.30085240163368</v>
      </c>
      <c r="T161">
        <v>200</v>
      </c>
      <c r="U161">
        <v>175</v>
      </c>
    </row>
    <row r="162" spans="4:21" x14ac:dyDescent="0.25">
      <c r="D162" t="s">
        <v>1345</v>
      </c>
      <c r="E162" t="s">
        <v>270</v>
      </c>
      <c r="F162" s="263">
        <v>2.9028999999999999E-2</v>
      </c>
      <c r="G162" s="262">
        <v>2.9028999999999999E-2</v>
      </c>
      <c r="H162" s="262">
        <v>192.30085240163368</v>
      </c>
      <c r="I162">
        <v>200</v>
      </c>
      <c r="J162">
        <v>169</v>
      </c>
      <c r="O162" t="s">
        <v>1345</v>
      </c>
      <c r="P162" t="s">
        <v>269</v>
      </c>
      <c r="Q162" s="262">
        <v>2.9028999999999999E-2</v>
      </c>
      <c r="R162" s="262">
        <v>2.9028999999999999E-2</v>
      </c>
      <c r="S162" s="262">
        <v>192.30085240163368</v>
      </c>
      <c r="T162">
        <v>200</v>
      </c>
      <c r="U162">
        <v>169</v>
      </c>
    </row>
    <row r="163" spans="4:21" x14ac:dyDescent="0.25">
      <c r="D163" t="s">
        <v>1345</v>
      </c>
      <c r="E163" t="s">
        <v>272</v>
      </c>
      <c r="F163" s="263">
        <v>2.9028999999999999E-2</v>
      </c>
      <c r="G163" s="262">
        <v>2.9028999999999999E-2</v>
      </c>
      <c r="H163" s="262">
        <v>192.30085240163368</v>
      </c>
      <c r="I163">
        <v>200</v>
      </c>
      <c r="J163">
        <v>134</v>
      </c>
      <c r="O163" t="s">
        <v>1345</v>
      </c>
      <c r="P163" t="s">
        <v>270</v>
      </c>
      <c r="Q163" s="262">
        <v>2.9028999999999999E-2</v>
      </c>
      <c r="R163" s="262">
        <v>2.9028999999999999E-2</v>
      </c>
      <c r="S163" s="262">
        <v>192.30085240163368</v>
      </c>
      <c r="T163">
        <v>200</v>
      </c>
      <c r="U163">
        <v>169</v>
      </c>
    </row>
    <row r="164" spans="4:21" x14ac:dyDescent="0.25">
      <c r="D164" t="s">
        <v>1345</v>
      </c>
      <c r="E164" t="s">
        <v>271</v>
      </c>
      <c r="F164" s="263">
        <v>2.9028999999999999E-2</v>
      </c>
      <c r="G164" s="262">
        <v>2.9028999999999999E-2</v>
      </c>
      <c r="H164" s="262">
        <v>192.30085240163368</v>
      </c>
      <c r="I164">
        <v>200</v>
      </c>
      <c r="J164">
        <v>263</v>
      </c>
      <c r="O164" t="s">
        <v>1345</v>
      </c>
      <c r="P164" t="s">
        <v>272</v>
      </c>
      <c r="Q164" s="262">
        <v>2.9028999999999999E-2</v>
      </c>
      <c r="R164" s="262">
        <v>2.9028999999999999E-2</v>
      </c>
      <c r="S164" s="262">
        <v>192.30085240163368</v>
      </c>
      <c r="T164">
        <v>200</v>
      </c>
      <c r="U164">
        <v>134</v>
      </c>
    </row>
    <row r="165" spans="4:21" x14ac:dyDescent="0.25">
      <c r="D165" t="s">
        <v>1345</v>
      </c>
      <c r="E165" t="s">
        <v>273</v>
      </c>
      <c r="F165" s="263">
        <v>2.9028999999999999E-2</v>
      </c>
      <c r="G165" s="262">
        <v>2.9028999999999999E-2</v>
      </c>
      <c r="H165" s="262">
        <v>192.30085240163368</v>
      </c>
      <c r="I165">
        <v>200</v>
      </c>
      <c r="J165">
        <v>257</v>
      </c>
      <c r="O165" t="s">
        <v>1345</v>
      </c>
      <c r="P165" t="s">
        <v>271</v>
      </c>
      <c r="Q165" s="262">
        <v>2.9028999999999999E-2</v>
      </c>
      <c r="R165" s="262">
        <v>2.9028999999999999E-2</v>
      </c>
      <c r="S165" s="262">
        <v>192.30085240163368</v>
      </c>
      <c r="T165">
        <v>200</v>
      </c>
      <c r="U165">
        <v>263</v>
      </c>
    </row>
    <row r="166" spans="4:21" x14ac:dyDescent="0.25">
      <c r="D166" t="s">
        <v>1345</v>
      </c>
      <c r="E166" t="s">
        <v>274</v>
      </c>
      <c r="F166" s="263">
        <v>2.9028999999999999E-2</v>
      </c>
      <c r="G166" s="262">
        <v>2.9028999999999999E-2</v>
      </c>
      <c r="H166" s="262">
        <v>192.30085240163368</v>
      </c>
      <c r="I166">
        <v>200</v>
      </c>
      <c r="J166">
        <v>173</v>
      </c>
      <c r="O166" t="s">
        <v>1345</v>
      </c>
      <c r="P166" t="s">
        <v>273</v>
      </c>
      <c r="Q166" s="262">
        <v>2.9028999999999999E-2</v>
      </c>
      <c r="R166" s="262">
        <v>2.9028999999999999E-2</v>
      </c>
      <c r="S166" s="262">
        <v>192.30085240163368</v>
      </c>
      <c r="T166">
        <v>200</v>
      </c>
      <c r="U166">
        <v>257</v>
      </c>
    </row>
    <row r="167" spans="4:21" x14ac:dyDescent="0.25">
      <c r="D167" t="s">
        <v>1345</v>
      </c>
      <c r="E167" t="s">
        <v>275</v>
      </c>
      <c r="F167" s="263">
        <v>2.9028999999999999E-2</v>
      </c>
      <c r="G167" s="262">
        <v>2.9028999999999999E-2</v>
      </c>
      <c r="H167" s="262">
        <v>192.30085240163368</v>
      </c>
      <c r="I167">
        <v>200</v>
      </c>
      <c r="J167">
        <v>47</v>
      </c>
      <c r="O167" t="s">
        <v>1345</v>
      </c>
      <c r="P167" t="s">
        <v>274</v>
      </c>
      <c r="Q167" s="262">
        <v>2.9028999999999999E-2</v>
      </c>
      <c r="R167" s="262">
        <v>2.9028999999999999E-2</v>
      </c>
      <c r="S167" s="262">
        <v>192.30085240163368</v>
      </c>
      <c r="T167">
        <v>200</v>
      </c>
      <c r="U167">
        <v>173</v>
      </c>
    </row>
    <row r="168" spans="4:21" x14ac:dyDescent="0.25">
      <c r="D168" t="s">
        <v>1345</v>
      </c>
      <c r="E168" t="s">
        <v>277</v>
      </c>
      <c r="F168" s="263">
        <v>0.22842500000000002</v>
      </c>
      <c r="G168" s="262">
        <v>0.22842500000000002</v>
      </c>
      <c r="H168" s="262">
        <v>539.43235085272443</v>
      </c>
      <c r="I168">
        <v>565</v>
      </c>
      <c r="J168">
        <v>351</v>
      </c>
      <c r="O168" t="s">
        <v>1345</v>
      </c>
      <c r="P168" t="s">
        <v>275</v>
      </c>
      <c r="Q168" s="262">
        <v>2.9028999999999999E-2</v>
      </c>
      <c r="R168" s="262">
        <v>2.9028999999999999E-2</v>
      </c>
      <c r="S168" s="262">
        <v>192.30085240163368</v>
      </c>
      <c r="T168">
        <v>200</v>
      </c>
      <c r="U168">
        <v>47</v>
      </c>
    </row>
    <row r="169" spans="4:21" x14ac:dyDescent="0.25">
      <c r="D169" t="s">
        <v>1345</v>
      </c>
      <c r="E169" t="s">
        <v>427</v>
      </c>
      <c r="F169" s="263">
        <v>0.22842500000000002</v>
      </c>
      <c r="G169" s="262">
        <v>0.22842500000000002</v>
      </c>
      <c r="H169" s="262">
        <v>539.43235085272443</v>
      </c>
      <c r="I169">
        <v>565</v>
      </c>
      <c r="J169">
        <v>169</v>
      </c>
      <c r="O169" t="s">
        <v>1345</v>
      </c>
      <c r="P169" t="s">
        <v>277</v>
      </c>
      <c r="Q169" s="262">
        <v>0.22842500000000002</v>
      </c>
      <c r="R169" s="262">
        <v>0.22842500000000002</v>
      </c>
      <c r="S169" s="262">
        <v>539.43235085272443</v>
      </c>
      <c r="T169">
        <v>565</v>
      </c>
      <c r="U169">
        <v>351</v>
      </c>
    </row>
    <row r="170" spans="4:21" x14ac:dyDescent="0.25">
      <c r="O170" t="s">
        <v>1345</v>
      </c>
      <c r="P170" t="s">
        <v>427</v>
      </c>
      <c r="Q170" s="262">
        <v>0.22842500000000002</v>
      </c>
      <c r="R170" s="262">
        <v>0.22842500000000002</v>
      </c>
      <c r="S170" s="262">
        <v>539.43235085272443</v>
      </c>
      <c r="T170">
        <v>565</v>
      </c>
      <c r="U170">
        <v>169</v>
      </c>
    </row>
  </sheetData>
  <mergeCells count="7">
    <mergeCell ref="CF9:CP9"/>
    <mergeCell ref="Q9:AA9"/>
    <mergeCell ref="BG9:BP9"/>
    <mergeCell ref="BT9:CC9"/>
    <mergeCell ref="E9:N9"/>
    <mergeCell ref="AE9:AN9"/>
    <mergeCell ref="AR9:BA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B024D-8B62-4653-8E51-43B35D0EE04D}">
  <sheetPr codeName="Feuil8"/>
  <dimension ref="C1:BQ84"/>
  <sheetViews>
    <sheetView zoomScaleNormal="100" workbookViewId="0">
      <selection activeCell="EO10" sqref="A10:XFD13"/>
    </sheetView>
  </sheetViews>
  <sheetFormatPr baseColWidth="10" defaultRowHeight="15" x14ac:dyDescent="0.25"/>
  <cols>
    <col min="6" max="6" width="18.7109375" bestFit="1" customWidth="1"/>
    <col min="7" max="7" width="10.42578125" bestFit="1" customWidth="1"/>
    <col min="8" max="8" width="4.5703125" bestFit="1" customWidth="1"/>
    <col min="9" max="9" width="13.5703125" bestFit="1" customWidth="1"/>
    <col min="10" max="11" width="11.85546875" bestFit="1" customWidth="1"/>
    <col min="12" max="12" width="12.42578125" bestFit="1" customWidth="1"/>
    <col min="13" max="13" width="14.5703125" bestFit="1" customWidth="1"/>
    <col min="14" max="14" width="12.42578125" bestFit="1" customWidth="1"/>
    <col min="17" max="17" width="12.42578125" bestFit="1" customWidth="1"/>
    <col min="18" max="18" width="10.140625" bestFit="1" customWidth="1"/>
    <col min="19" max="19" width="18.7109375" bestFit="1" customWidth="1"/>
    <col min="20" max="20" width="10.42578125" bestFit="1" customWidth="1"/>
    <col min="21" max="21" width="4.5703125" bestFit="1" customWidth="1"/>
    <col min="22" max="22" width="13.5703125" bestFit="1" customWidth="1"/>
    <col min="23" max="24" width="11.85546875" bestFit="1" customWidth="1"/>
  </cols>
  <sheetData>
    <row r="1" spans="3:69" x14ac:dyDescent="0.25">
      <c r="C1" s="225" t="s">
        <v>377</v>
      </c>
      <c r="D1" s="225"/>
      <c r="E1" s="225"/>
      <c r="F1" s="225"/>
    </row>
    <row r="2" spans="3:69" x14ac:dyDescent="0.25">
      <c r="C2" s="225"/>
      <c r="D2" s="225"/>
      <c r="E2" s="225"/>
      <c r="F2" s="225"/>
    </row>
    <row r="3" spans="3:69" x14ac:dyDescent="0.25">
      <c r="C3" s="225"/>
      <c r="D3" s="225"/>
      <c r="E3" s="225"/>
      <c r="F3" s="225"/>
    </row>
    <row r="4" spans="3:69" x14ac:dyDescent="0.25">
      <c r="C4" s="225"/>
      <c r="D4" s="225"/>
      <c r="E4" s="225"/>
      <c r="F4" s="225"/>
    </row>
    <row r="9" spans="3:69" ht="14.45" customHeight="1" x14ac:dyDescent="0.25">
      <c r="C9" s="224" t="s">
        <v>378</v>
      </c>
      <c r="D9" s="226"/>
      <c r="E9" s="226"/>
      <c r="F9" s="226"/>
      <c r="G9" s="224" t="s">
        <v>378</v>
      </c>
      <c r="H9" s="226"/>
      <c r="I9" s="226"/>
      <c r="J9" s="226"/>
      <c r="K9" s="224" t="s">
        <v>378</v>
      </c>
      <c r="L9" s="226"/>
      <c r="M9" s="226"/>
      <c r="N9" s="226"/>
      <c r="O9" s="224" t="s">
        <v>378</v>
      </c>
      <c r="P9" s="226"/>
      <c r="Q9" s="226"/>
      <c r="R9" s="226"/>
      <c r="S9" s="224"/>
      <c r="T9" s="224"/>
      <c r="U9" s="224"/>
      <c r="V9" s="224" t="s">
        <v>378</v>
      </c>
      <c r="W9" s="224"/>
      <c r="X9" s="224"/>
      <c r="Y9" s="224"/>
      <c r="Z9" s="224" t="s">
        <v>378</v>
      </c>
      <c r="AA9" s="224"/>
      <c r="AB9" s="224"/>
      <c r="AC9" s="224"/>
      <c r="AD9" s="224" t="s">
        <v>378</v>
      </c>
      <c r="AE9" s="224"/>
      <c r="AF9" s="224"/>
      <c r="AG9" s="224"/>
      <c r="AH9" s="224" t="s">
        <v>378</v>
      </c>
      <c r="AI9" s="224"/>
      <c r="AJ9" s="224"/>
      <c r="AK9" s="224"/>
      <c r="AL9" s="224" t="s">
        <v>378</v>
      </c>
      <c r="AM9" s="224"/>
      <c r="AN9" s="224"/>
      <c r="AO9" s="224"/>
      <c r="AP9" s="224" t="s">
        <v>378</v>
      </c>
      <c r="AQ9" s="224"/>
      <c r="AR9" s="224"/>
      <c r="AS9" s="224"/>
      <c r="AT9" s="224" t="s">
        <v>378</v>
      </c>
      <c r="AU9" s="224"/>
      <c r="AV9" s="224"/>
      <c r="AW9" s="224"/>
      <c r="AX9" s="224" t="s">
        <v>378</v>
      </c>
      <c r="AY9" s="224"/>
      <c r="AZ9" s="224"/>
      <c r="BA9" s="224"/>
      <c r="BB9" s="224" t="s">
        <v>378</v>
      </c>
      <c r="BC9" s="224"/>
      <c r="BD9" s="224"/>
      <c r="BE9" s="224"/>
      <c r="BF9" s="224" t="s">
        <v>378</v>
      </c>
      <c r="BG9" s="224"/>
      <c r="BH9" s="224"/>
      <c r="BI9" s="224"/>
      <c r="BJ9" s="224" t="s">
        <v>378</v>
      </c>
      <c r="BK9" s="224"/>
      <c r="BL9" s="224"/>
      <c r="BM9" s="224"/>
      <c r="BN9" s="224" t="s">
        <v>378</v>
      </c>
      <c r="BO9" s="224"/>
      <c r="BP9" s="224"/>
      <c r="BQ9" s="224"/>
    </row>
    <row r="10" spans="3:69" ht="14.45" customHeight="1" x14ac:dyDescent="0.25">
      <c r="C10" s="226"/>
      <c r="D10" s="226"/>
      <c r="E10" s="226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/>
      <c r="Q10" s="226"/>
      <c r="R10" s="226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4"/>
      <c r="BI10" s="224"/>
      <c r="BJ10" s="224"/>
      <c r="BK10" s="224"/>
      <c r="BL10" s="224"/>
      <c r="BM10" s="224"/>
      <c r="BN10" s="224"/>
      <c r="BO10" s="224"/>
      <c r="BP10" s="224"/>
      <c r="BQ10" s="224"/>
    </row>
    <row r="11" spans="3:69" ht="14.45" customHeight="1" x14ac:dyDescent="0.25">
      <c r="C11" s="226"/>
      <c r="D11" s="226"/>
      <c r="E11" s="226"/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6"/>
      <c r="R11" s="226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24"/>
      <c r="BN11" s="224"/>
      <c r="BO11" s="224"/>
      <c r="BP11" s="224"/>
      <c r="BQ11" s="224"/>
    </row>
    <row r="12" spans="3:69" ht="14.45" customHeight="1" x14ac:dyDescent="0.25">
      <c r="C12" s="226"/>
      <c r="D12" s="226"/>
      <c r="E12" s="226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6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4"/>
      <c r="BI12" s="224"/>
      <c r="BJ12" s="224"/>
      <c r="BK12" s="224"/>
      <c r="BL12" s="224"/>
      <c r="BM12" s="224"/>
      <c r="BN12" s="224"/>
      <c r="BO12" s="224"/>
      <c r="BP12" s="224"/>
      <c r="BQ12" s="224"/>
    </row>
    <row r="17" spans="5:24" x14ac:dyDescent="0.25">
      <c r="E17" s="213" t="str">
        <f>'DIST _PHASE_1_V1'!E4</f>
        <v>BOUCLE 1</v>
      </c>
      <c r="F17" s="213"/>
      <c r="G17" s="213"/>
      <c r="H17" s="213"/>
      <c r="I17" s="213"/>
      <c r="J17" s="213"/>
      <c r="K17" s="213"/>
      <c r="L17" s="213"/>
      <c r="M17" s="213"/>
      <c r="N17" s="213"/>
      <c r="R17" s="233" t="str">
        <f>'DIST _PHASE_1_V1'!R4</f>
        <v>BOUCLE 2</v>
      </c>
      <c r="S17" s="233"/>
      <c r="T17" s="233"/>
      <c r="U17" s="233"/>
      <c r="V17" s="233"/>
    </row>
    <row r="18" spans="5:24" x14ac:dyDescent="0.25">
      <c r="E18" s="63" t="str">
        <f>'DIST _PHASE_1_V1'!E5</f>
        <v>TRONCONS</v>
      </c>
      <c r="F18" s="63" t="str">
        <f>'DIST _PHASE_1_V1'!G5</f>
        <v>DEBIT |Q_si| (m^3/s)</v>
      </c>
      <c r="G18" s="63" t="str">
        <f>'DIST _PHASE_1_V1'!L5</f>
        <v>D_REEL (m)</v>
      </c>
      <c r="H18" s="63" t="str">
        <f>'DIST _PHASE_1_V1'!M5</f>
        <v>CHw</v>
      </c>
      <c r="I18" s="63" t="str">
        <f>'DIST _PHASE_1_V1'!N5</f>
        <v>LONGUEUR (m)</v>
      </c>
      <c r="J18" s="63" t="s">
        <v>379</v>
      </c>
      <c r="K18" s="63" t="s">
        <v>385</v>
      </c>
      <c r="L18" s="82" t="s">
        <v>387</v>
      </c>
      <c r="M18" s="63" t="s">
        <v>388</v>
      </c>
      <c r="N18" s="63" t="s">
        <v>386</v>
      </c>
      <c r="R18" t="str">
        <f>'DIST _PHASE_1_V1'!R5</f>
        <v>TRONCONS</v>
      </c>
      <c r="S18" t="str">
        <f>'DIST _PHASE_1_V1'!T5</f>
        <v>DEBIT |Q_si| (m^3/s)</v>
      </c>
      <c r="T18" t="str">
        <f>'DIST _PHASE_1_V1'!Y5</f>
        <v>D_REEL (m)</v>
      </c>
      <c r="U18" t="str">
        <f>'DIST _PHASE_1_V1'!Z5</f>
        <v>CHw</v>
      </c>
      <c r="V18" t="str">
        <f>'DIST _PHASE_1_V1'!AA5</f>
        <v>LONGUEUR (m)</v>
      </c>
      <c r="W18" s="63" t="s">
        <v>379</v>
      </c>
      <c r="X18" s="63" t="s">
        <v>385</v>
      </c>
    </row>
    <row r="19" spans="5:24" x14ac:dyDescent="0.25">
      <c r="E19" s="63" t="str">
        <f>'DIST _PHASE_1_V1'!E6</f>
        <v>N8_N39</v>
      </c>
      <c r="F19" s="63">
        <f>'DIST _PHASE_1_V1'!G6</f>
        <v>0.13377500000000001</v>
      </c>
      <c r="G19" s="63">
        <f>'DIST _PHASE_1_V1'!L6</f>
        <v>421</v>
      </c>
      <c r="H19" s="63">
        <f>'DIST _PHASE_1_V1'!M6</f>
        <v>150</v>
      </c>
      <c r="I19" s="63">
        <f>'DIST _PHASE_1_V1'!N6</f>
        <v>138</v>
      </c>
      <c r="J19" s="63">
        <f xml:space="preserve"> (10.679 * I19) / ((G19/1000)^4.871 * H19^1.852)</f>
        <v>9.2984502615965194</v>
      </c>
      <c r="K19" s="63">
        <f t="shared" ref="K19:K63" si="0">-F19</f>
        <v>-0.13377500000000001</v>
      </c>
      <c r="L19" s="63">
        <f xml:space="preserve"> -J19*F19^1.852</f>
        <v>-0.22410781306207989</v>
      </c>
      <c r="M19" s="63">
        <f>1.852*J19*F19^(1.852-1)</f>
        <v>3.1025802264322326</v>
      </c>
      <c r="N19" s="63">
        <f>K19+$F$83</f>
        <v>-0.1295879607842684</v>
      </c>
      <c r="R19" t="str">
        <f>'DIST _PHASE_1_V1'!R6</f>
        <v>N38_N71</v>
      </c>
      <c r="S19">
        <f>'DIST _PHASE_1_V1'!T6</f>
        <v>6.6888000000000003E-2</v>
      </c>
      <c r="T19">
        <f>'DIST _PHASE_1_V1'!Y6</f>
        <v>300</v>
      </c>
      <c r="U19">
        <f>'DIST _PHASE_1_V1'!Z6</f>
        <v>150</v>
      </c>
      <c r="V19">
        <f>'DIST _PHASE_1_V1'!AA6</f>
        <v>70</v>
      </c>
      <c r="W19" s="63">
        <f xml:space="preserve"> (10.679 * V19) / ((T19/1000)^4.871 * U19^1.852)</f>
        <v>24.572536170390066</v>
      </c>
    </row>
    <row r="20" spans="5:24" x14ac:dyDescent="0.25">
      <c r="E20" s="63" t="str">
        <f>'DIST _PHASE_1_V1'!E7</f>
        <v>N8_N9</v>
      </c>
      <c r="F20" s="63">
        <f>'DIST _PHASE_1_V1'!G7</f>
        <v>0.13377500000000001</v>
      </c>
      <c r="G20" s="63">
        <f>'DIST _PHASE_1_V1'!L7</f>
        <v>421</v>
      </c>
      <c r="H20" s="63">
        <f>'DIST _PHASE_1_V1'!M7</f>
        <v>150</v>
      </c>
      <c r="I20" s="63">
        <f>'DIST _PHASE_1_V1'!N7</f>
        <v>184</v>
      </c>
      <c r="J20" s="63">
        <f t="shared" ref="J20:J81" si="1" xml:space="preserve"> (10.679 * I20) / ((G20/1000)^4.871 * H20^1.852)</f>
        <v>12.397933682128693</v>
      </c>
      <c r="K20" s="63">
        <f>F20</f>
        <v>0.13377500000000001</v>
      </c>
      <c r="L20" s="63">
        <f xml:space="preserve"> J20*F20^1.852</f>
        <v>0.29881041741610653</v>
      </c>
      <c r="M20" s="63">
        <f t="shared" ref="M20:M81" si="2">1.852*J20*F20^(1.852-1)</f>
        <v>4.1367736352429771</v>
      </c>
      <c r="N20" s="63">
        <f>K20+$F$83</f>
        <v>0.13796203921573161</v>
      </c>
      <c r="R20" t="str">
        <f>'DIST _PHASE_1_V1'!R7</f>
        <v>N38_N70</v>
      </c>
      <c r="S20">
        <f>N50</f>
        <v>7.107503921573162E-2</v>
      </c>
      <c r="T20">
        <f>'DIST _PHASE_1_V1'!Y7</f>
        <v>300</v>
      </c>
      <c r="U20">
        <f>'DIST _PHASE_1_V1'!Z7</f>
        <v>150</v>
      </c>
      <c r="V20">
        <f>'DIST _PHASE_1_V1'!AA7</f>
        <v>91</v>
      </c>
      <c r="W20" s="63">
        <f t="shared" ref="W20:W61" si="3" xml:space="preserve"> (10.679 * V20) / ((T20/1000)^4.871 * U20^1.852)</f>
        <v>31.944297021507086</v>
      </c>
    </row>
    <row r="21" spans="5:24" x14ac:dyDescent="0.25">
      <c r="E21" s="63" t="str">
        <f>'DIST _PHASE_1_V1'!E8</f>
        <v>N9_N10</v>
      </c>
      <c r="F21" s="63">
        <f>'DIST _PHASE_1_V1'!G8</f>
        <v>0.13377500000000001</v>
      </c>
      <c r="G21" s="63">
        <f>'DIST _PHASE_1_V1'!L8</f>
        <v>421</v>
      </c>
      <c r="H21" s="63">
        <f>'DIST _PHASE_1_V1'!M8</f>
        <v>150</v>
      </c>
      <c r="I21" s="63">
        <f>'DIST _PHASE_1_V1'!N8</f>
        <v>169</v>
      </c>
      <c r="J21" s="63">
        <f t="shared" si="1"/>
        <v>11.387232566737765</v>
      </c>
      <c r="K21" s="63">
        <f t="shared" ref="K21:K48" si="4">F21</f>
        <v>0.13377500000000001</v>
      </c>
      <c r="L21" s="63">
        <f t="shared" ref="L21:L50" si="5" xml:space="preserve"> J21*F21^1.852</f>
        <v>0.27445087251805433</v>
      </c>
      <c r="M21" s="63">
        <f t="shared" si="2"/>
        <v>3.7995366541090383</v>
      </c>
      <c r="N21" s="63">
        <f t="shared" ref="N21:N81" si="6">K21+$F$83</f>
        <v>0.13796203921573161</v>
      </c>
      <c r="R21" t="str">
        <f>'DIST _PHASE_1_V1'!R8</f>
        <v>N53_N54</v>
      </c>
      <c r="S21">
        <f t="shared" ref="S21:S38" si="7">N51</f>
        <v>-0.1295879607842684</v>
      </c>
      <c r="T21">
        <f>'DIST _PHASE_1_V1'!Y8</f>
        <v>421</v>
      </c>
      <c r="U21">
        <f>'DIST _PHASE_1_V1'!Z8</f>
        <v>150</v>
      </c>
      <c r="V21">
        <f>'DIST _PHASE_1_V1'!AA8</f>
        <v>96</v>
      </c>
      <c r="W21" s="63">
        <f t="shared" si="3"/>
        <v>6.468487138501926</v>
      </c>
    </row>
    <row r="22" spans="5:24" x14ac:dyDescent="0.25">
      <c r="E22" s="63" t="str">
        <f>'DIST _PHASE_1_V1'!E9</f>
        <v>N10_N11</v>
      </c>
      <c r="F22" s="63">
        <f>'DIST _PHASE_1_V1'!G9</f>
        <v>0.13377500000000001</v>
      </c>
      <c r="G22" s="63">
        <f>'DIST _PHASE_1_V1'!L9</f>
        <v>421</v>
      </c>
      <c r="H22" s="63">
        <f>'DIST _PHASE_1_V1'!M9</f>
        <v>150</v>
      </c>
      <c r="I22" s="63">
        <f>'DIST _PHASE_1_V1'!N9</f>
        <v>351</v>
      </c>
      <c r="J22" s="63">
        <f t="shared" si="1"/>
        <v>23.65040610014767</v>
      </c>
      <c r="K22" s="63">
        <f t="shared" si="4"/>
        <v>0.13377500000000001</v>
      </c>
      <c r="L22" s="63">
        <f t="shared" si="5"/>
        <v>0.5700133506144206</v>
      </c>
      <c r="M22" s="63">
        <f t="shared" si="2"/>
        <v>7.8913453585341573</v>
      </c>
      <c r="N22" s="63">
        <f t="shared" si="6"/>
        <v>0.13796203921573161</v>
      </c>
      <c r="R22" t="str">
        <f>'DIST _PHASE_1_V1'!R9</f>
        <v>N53_N92</v>
      </c>
      <c r="S22">
        <f t="shared" si="7"/>
        <v>-0.1295879607842684</v>
      </c>
      <c r="T22">
        <f>'DIST _PHASE_1_V1'!Y9</f>
        <v>421</v>
      </c>
      <c r="U22">
        <f>'DIST _PHASE_1_V1'!Z9</f>
        <v>150</v>
      </c>
      <c r="V22">
        <f>'DIST _PHASE_1_V1'!AA9</f>
        <v>75</v>
      </c>
      <c r="W22" s="63">
        <f t="shared" si="3"/>
        <v>5.0535055769546302</v>
      </c>
    </row>
    <row r="23" spans="5:24" x14ac:dyDescent="0.25">
      <c r="E23" s="63" t="str">
        <f>'DIST _PHASE_1_V1'!E10</f>
        <v>N11_N12</v>
      </c>
      <c r="F23" s="63">
        <f>'DIST _PHASE_1_V1'!G10</f>
        <v>0.13377500000000001</v>
      </c>
      <c r="G23" s="63">
        <f>'DIST _PHASE_1_V1'!L10</f>
        <v>421</v>
      </c>
      <c r="H23" s="63">
        <f>'DIST _PHASE_1_V1'!M10</f>
        <v>150</v>
      </c>
      <c r="I23" s="63">
        <f>'DIST _PHASE_1_V1'!N10</f>
        <v>47</v>
      </c>
      <c r="J23" s="63">
        <f t="shared" si="1"/>
        <v>3.1668634948915679</v>
      </c>
      <c r="K23" s="63">
        <f t="shared" si="4"/>
        <v>0.13377500000000001</v>
      </c>
      <c r="L23" s="63">
        <f t="shared" si="5"/>
        <v>7.6326574013896767E-2</v>
      </c>
      <c r="M23" s="63">
        <f t="shared" si="2"/>
        <v>1.0566758742196734</v>
      </c>
      <c r="N23" s="63">
        <f t="shared" si="6"/>
        <v>0.13796203921573161</v>
      </c>
      <c r="R23" t="str">
        <f>'DIST _PHASE_1_V1'!R10</f>
        <v>N54_N55</v>
      </c>
      <c r="S23">
        <f t="shared" si="7"/>
        <v>-0.1295879607842684</v>
      </c>
      <c r="T23">
        <f>'DIST _PHASE_1_V1'!Y10</f>
        <v>300</v>
      </c>
      <c r="U23">
        <f>'DIST _PHASE_1_V1'!Z10</f>
        <v>150</v>
      </c>
      <c r="V23">
        <f>'DIST _PHASE_1_V1'!AA10</f>
        <v>88</v>
      </c>
      <c r="W23" s="63">
        <f t="shared" si="3"/>
        <v>30.891188328490372</v>
      </c>
    </row>
    <row r="24" spans="5:24" x14ac:dyDescent="0.25">
      <c r="E24" s="63" t="str">
        <f>'DIST _PHASE_1_V1'!E11</f>
        <v>N12_N13</v>
      </c>
      <c r="F24" s="63">
        <f>'DIST _PHASE_1_V1'!G11</f>
        <v>6.6888000000000003E-2</v>
      </c>
      <c r="G24" s="63">
        <f>'DIST _PHASE_1_V1'!L11</f>
        <v>300</v>
      </c>
      <c r="H24" s="63">
        <f>'DIST _PHASE_1_V1'!M11</f>
        <v>150</v>
      </c>
      <c r="I24" s="63">
        <f>'DIST _PHASE_1_V1'!N11</f>
        <v>173</v>
      </c>
      <c r="J24" s="63">
        <f t="shared" si="1"/>
        <v>60.729267963964027</v>
      </c>
      <c r="K24" s="63">
        <f t="shared" si="4"/>
        <v>6.6888000000000003E-2</v>
      </c>
      <c r="L24" s="63">
        <f t="shared" si="5"/>
        <v>0.4054552533828879</v>
      </c>
      <c r="M24" s="63">
        <f t="shared" si="2"/>
        <v>11.226275703640539</v>
      </c>
      <c r="N24" s="63">
        <f t="shared" si="6"/>
        <v>7.107503921573162E-2</v>
      </c>
      <c r="R24" t="str">
        <f>'DIST _PHASE_1_V1'!R11</f>
        <v>N55_N56</v>
      </c>
      <c r="S24">
        <f t="shared" si="7"/>
        <v>-0.1295879607842684</v>
      </c>
      <c r="T24">
        <f>'DIST _PHASE_1_V1'!Y11</f>
        <v>300</v>
      </c>
      <c r="U24">
        <f>'DIST _PHASE_1_V1'!Z11</f>
        <v>150</v>
      </c>
      <c r="V24">
        <f>'DIST _PHASE_1_V1'!AA11</f>
        <v>35</v>
      </c>
      <c r="W24" s="63">
        <f t="shared" si="3"/>
        <v>12.286268085195033</v>
      </c>
    </row>
    <row r="25" spans="5:24" x14ac:dyDescent="0.25">
      <c r="E25" s="63" t="str">
        <f>'DIST _PHASE_1_V1'!E12</f>
        <v>N13_N14</v>
      </c>
      <c r="F25" s="63">
        <f>'DIST _PHASE_1_V1'!G12</f>
        <v>6.6888000000000003E-2</v>
      </c>
      <c r="G25" s="63">
        <f>'DIST _PHASE_1_V1'!L12</f>
        <v>300</v>
      </c>
      <c r="H25" s="63">
        <f>'DIST _PHASE_1_V1'!M12</f>
        <v>150</v>
      </c>
      <c r="I25" s="63">
        <f>'DIST _PHASE_1_V1'!N12</f>
        <v>257</v>
      </c>
      <c r="J25" s="63">
        <f t="shared" si="1"/>
        <v>90.216311368432102</v>
      </c>
      <c r="K25" s="63">
        <f t="shared" si="4"/>
        <v>6.6888000000000003E-2</v>
      </c>
      <c r="L25" s="63">
        <f t="shared" si="5"/>
        <v>0.60232370011215142</v>
      </c>
      <c r="M25" s="63">
        <f t="shared" si="2"/>
        <v>16.677184137778138</v>
      </c>
      <c r="N25" s="63">
        <f t="shared" si="6"/>
        <v>7.107503921573162E-2</v>
      </c>
      <c r="R25" t="str">
        <f>'DIST _PHASE_1_V1'!R12</f>
        <v>N56_N57</v>
      </c>
      <c r="S25">
        <f t="shared" si="7"/>
        <v>-0.1295879607842684</v>
      </c>
      <c r="T25">
        <f>'DIST _PHASE_1_V1'!Y12</f>
        <v>300</v>
      </c>
      <c r="U25">
        <f>'DIST _PHASE_1_V1'!Z12</f>
        <v>150</v>
      </c>
      <c r="V25">
        <f>'DIST _PHASE_1_V1'!AA12</f>
        <v>54</v>
      </c>
      <c r="W25" s="63">
        <f t="shared" si="3"/>
        <v>18.955956474300912</v>
      </c>
    </row>
    <row r="26" spans="5:24" x14ac:dyDescent="0.25">
      <c r="E26" s="63" t="str">
        <f>'DIST _PHASE_1_V1'!E13</f>
        <v>N14_N15</v>
      </c>
      <c r="F26" s="63">
        <f>'DIST _PHASE_1_V1'!G13</f>
        <v>6.6888000000000003E-2</v>
      </c>
      <c r="G26" s="63">
        <f>'DIST _PHASE_1_V1'!L13</f>
        <v>300</v>
      </c>
      <c r="H26" s="63">
        <f>'DIST _PHASE_1_V1'!M13</f>
        <v>150</v>
      </c>
      <c r="I26" s="63">
        <f>'DIST _PHASE_1_V1'!N13</f>
        <v>263</v>
      </c>
      <c r="J26" s="63">
        <f t="shared" si="1"/>
        <v>92.322528754465537</v>
      </c>
      <c r="K26" s="63">
        <f t="shared" si="4"/>
        <v>6.6888000000000003E-2</v>
      </c>
      <c r="L26" s="63">
        <f t="shared" si="5"/>
        <v>0.61638573202138447</v>
      </c>
      <c r="M26" s="63">
        <f t="shared" si="2"/>
        <v>17.066534740216539</v>
      </c>
      <c r="N26" s="63">
        <f t="shared" si="6"/>
        <v>7.107503921573162E-2</v>
      </c>
      <c r="R26" t="str">
        <f>'DIST _PHASE_1_V1'!R13</f>
        <v>N57_N58</v>
      </c>
      <c r="S26">
        <f t="shared" si="7"/>
        <v>-0.1295879607842684</v>
      </c>
      <c r="T26">
        <f>'DIST _PHASE_1_V1'!Y13</f>
        <v>300</v>
      </c>
      <c r="U26">
        <f>'DIST _PHASE_1_V1'!Z13</f>
        <v>150</v>
      </c>
      <c r="V26">
        <f>'DIST _PHASE_1_V1'!AA13</f>
        <v>151</v>
      </c>
      <c r="W26" s="63">
        <f t="shared" si="3"/>
        <v>53.00647088184143</v>
      </c>
    </row>
    <row r="27" spans="5:24" x14ac:dyDescent="0.25">
      <c r="E27" s="63" t="str">
        <f>'DIST _PHASE_1_V1'!E14</f>
        <v>N15_N16</v>
      </c>
      <c r="F27" s="63">
        <f>'DIST _PHASE_1_V1'!G14</f>
        <v>6.6888000000000003E-2</v>
      </c>
      <c r="G27" s="63">
        <f>'DIST _PHASE_1_V1'!L14</f>
        <v>300</v>
      </c>
      <c r="H27" s="63">
        <f>'DIST _PHASE_1_V1'!M14</f>
        <v>150</v>
      </c>
      <c r="I27" s="63">
        <f>'DIST _PHASE_1_V1'!N14</f>
        <v>134</v>
      </c>
      <c r="J27" s="63">
        <f t="shared" si="1"/>
        <v>47.038854954746704</v>
      </c>
      <c r="K27" s="63">
        <f t="shared" si="4"/>
        <v>6.6888000000000003E-2</v>
      </c>
      <c r="L27" s="63">
        <f t="shared" si="5"/>
        <v>0.31405204597287273</v>
      </c>
      <c r="M27" s="63">
        <f t="shared" si="2"/>
        <v>8.6954967877909368</v>
      </c>
      <c r="N27" s="63">
        <f t="shared" si="6"/>
        <v>7.107503921573162E-2</v>
      </c>
      <c r="R27" t="str">
        <f>'DIST _PHASE_1_V1'!R14</f>
        <v>N58_N59</v>
      </c>
      <c r="S27">
        <f t="shared" si="7"/>
        <v>-0.1295879607842684</v>
      </c>
      <c r="T27">
        <f>'DIST _PHASE_1_V1'!Y14</f>
        <v>300</v>
      </c>
      <c r="U27">
        <f>'DIST _PHASE_1_V1'!Z14</f>
        <v>150</v>
      </c>
      <c r="V27">
        <f>'DIST _PHASE_1_V1'!AA14</f>
        <v>78</v>
      </c>
      <c r="W27" s="63">
        <f t="shared" si="3"/>
        <v>27.380826018434647</v>
      </c>
    </row>
    <row r="28" spans="5:24" x14ac:dyDescent="0.25">
      <c r="E28" s="63" t="str">
        <f>'DIST _PHASE_1_V1'!E15</f>
        <v>N16_N17</v>
      </c>
      <c r="F28" s="63">
        <f>'DIST _PHASE_1_V1'!G15</f>
        <v>6.6888000000000003E-2</v>
      </c>
      <c r="G28" s="63">
        <f>'DIST _PHASE_1_V1'!L15</f>
        <v>300</v>
      </c>
      <c r="H28" s="63">
        <f>'DIST _PHASE_1_V1'!M15</f>
        <v>150</v>
      </c>
      <c r="I28" s="63">
        <f>'DIST _PHASE_1_V1'!N15</f>
        <v>169</v>
      </c>
      <c r="J28" s="63">
        <f t="shared" si="1"/>
        <v>59.32512303994173</v>
      </c>
      <c r="K28" s="63">
        <f t="shared" si="4"/>
        <v>6.6888000000000003E-2</v>
      </c>
      <c r="L28" s="63">
        <f t="shared" si="5"/>
        <v>0.39608056544339915</v>
      </c>
      <c r="M28" s="63">
        <f t="shared" si="2"/>
        <v>10.966708635348271</v>
      </c>
      <c r="N28" s="63">
        <f t="shared" si="6"/>
        <v>7.107503921573162E-2</v>
      </c>
      <c r="R28" t="str">
        <f>'DIST _PHASE_1_V1'!R15</f>
        <v>N59_N60</v>
      </c>
      <c r="S28">
        <f t="shared" si="7"/>
        <v>-0.1295879607842684</v>
      </c>
      <c r="T28">
        <f>'DIST _PHASE_1_V1'!Y15</f>
        <v>300</v>
      </c>
      <c r="U28">
        <f>'DIST _PHASE_1_V1'!Z15</f>
        <v>150</v>
      </c>
      <c r="V28">
        <f>'DIST _PHASE_1_V1'!AA15</f>
        <v>84</v>
      </c>
      <c r="W28" s="63">
        <f t="shared" si="3"/>
        <v>29.487043404468082</v>
      </c>
    </row>
    <row r="29" spans="5:24" x14ac:dyDescent="0.25">
      <c r="E29" s="63" t="str">
        <f>'DIST _PHASE_1_V1'!E16</f>
        <v>N17_N18</v>
      </c>
      <c r="F29" s="63">
        <f>'DIST _PHASE_1_V1'!G16</f>
        <v>6.6888000000000003E-2</v>
      </c>
      <c r="G29" s="63">
        <f>'DIST _PHASE_1_V1'!L16</f>
        <v>300</v>
      </c>
      <c r="H29" s="63">
        <f>'DIST _PHASE_1_V1'!M16</f>
        <v>150</v>
      </c>
      <c r="I29" s="63">
        <f>'DIST _PHASE_1_V1'!N16</f>
        <v>169</v>
      </c>
      <c r="J29" s="63">
        <f t="shared" si="1"/>
        <v>59.32512303994173</v>
      </c>
      <c r="K29" s="63">
        <f t="shared" si="4"/>
        <v>6.6888000000000003E-2</v>
      </c>
      <c r="L29" s="63">
        <f t="shared" si="5"/>
        <v>0.39608056544339915</v>
      </c>
      <c r="M29" s="63">
        <f t="shared" si="2"/>
        <v>10.966708635348271</v>
      </c>
      <c r="N29" s="63">
        <f t="shared" si="6"/>
        <v>7.107503921573162E-2</v>
      </c>
      <c r="R29" t="str">
        <f>'DIST _PHASE_1_V1'!R16</f>
        <v>N60_N61</v>
      </c>
      <c r="S29">
        <f t="shared" si="7"/>
        <v>-0.1295879607842684</v>
      </c>
      <c r="T29">
        <f>'DIST _PHASE_1_V1'!Y16</f>
        <v>300</v>
      </c>
      <c r="U29">
        <f>'DIST _PHASE_1_V1'!Z16</f>
        <v>150</v>
      </c>
      <c r="V29">
        <f>'DIST _PHASE_1_V1'!AA16</f>
        <v>83</v>
      </c>
      <c r="W29" s="63">
        <f t="shared" si="3"/>
        <v>29.136007173462506</v>
      </c>
    </row>
    <row r="30" spans="5:24" x14ac:dyDescent="0.25">
      <c r="E30" s="63" t="str">
        <f>'DIST _PHASE_1_V1'!E17</f>
        <v>N18_N19</v>
      </c>
      <c r="F30" s="63">
        <f>'DIST _PHASE_1_V1'!G17</f>
        <v>6.6888000000000003E-2</v>
      </c>
      <c r="G30" s="63">
        <f>'DIST _PHASE_1_V1'!L17</f>
        <v>300</v>
      </c>
      <c r="H30" s="63">
        <f>'DIST _PHASE_1_V1'!M17</f>
        <v>150</v>
      </c>
      <c r="I30" s="63">
        <f>'DIST _PHASE_1_V1'!N17</f>
        <v>175</v>
      </c>
      <c r="J30" s="63">
        <f t="shared" si="1"/>
        <v>61.431340425975165</v>
      </c>
      <c r="K30" s="63">
        <f t="shared" si="4"/>
        <v>6.6888000000000003E-2</v>
      </c>
      <c r="L30" s="63">
        <f t="shared" si="5"/>
        <v>0.41014259735263225</v>
      </c>
      <c r="M30" s="63">
        <f t="shared" si="2"/>
        <v>11.35605923778667</v>
      </c>
      <c r="N30" s="63">
        <f t="shared" si="6"/>
        <v>7.107503921573162E-2</v>
      </c>
      <c r="R30" t="str">
        <f>'DIST _PHASE_1_V1'!R17</f>
        <v>N61_N62</v>
      </c>
      <c r="S30">
        <f t="shared" si="7"/>
        <v>-0.1295879607842684</v>
      </c>
      <c r="T30">
        <f>'DIST _PHASE_1_V1'!Y17</f>
        <v>300</v>
      </c>
      <c r="U30">
        <f>'DIST _PHASE_1_V1'!Z17</f>
        <v>150</v>
      </c>
      <c r="V30">
        <f>'DIST _PHASE_1_V1'!AA17</f>
        <v>75</v>
      </c>
      <c r="W30" s="63">
        <f t="shared" si="3"/>
        <v>26.327717325417932</v>
      </c>
    </row>
    <row r="31" spans="5:24" x14ac:dyDescent="0.25">
      <c r="E31" s="63" t="str">
        <f>'DIST _PHASE_1_V1'!E18</f>
        <v>N19_N20</v>
      </c>
      <c r="F31" s="63">
        <f>'DIST _PHASE_1_V1'!G18</f>
        <v>6.6888000000000003E-2</v>
      </c>
      <c r="G31" s="63">
        <f>'DIST _PHASE_1_V1'!L18</f>
        <v>300</v>
      </c>
      <c r="H31" s="63">
        <f>'DIST _PHASE_1_V1'!M18</f>
        <v>150</v>
      </c>
      <c r="I31" s="63">
        <f>'DIST _PHASE_1_V1'!N18</f>
        <v>83</v>
      </c>
      <c r="J31" s="63">
        <f t="shared" si="1"/>
        <v>29.136007173462506</v>
      </c>
      <c r="K31" s="63">
        <f t="shared" si="4"/>
        <v>6.6888000000000003E-2</v>
      </c>
      <c r="L31" s="63">
        <f t="shared" si="5"/>
        <v>0.19452477474439128</v>
      </c>
      <c r="M31" s="63">
        <f t="shared" si="2"/>
        <v>5.3860166670645349</v>
      </c>
      <c r="N31" s="63">
        <f t="shared" si="6"/>
        <v>7.107503921573162E-2</v>
      </c>
      <c r="R31" t="str">
        <f>'DIST _PHASE_1_V1'!R18</f>
        <v>N62_N63</v>
      </c>
      <c r="S31">
        <f t="shared" si="7"/>
        <v>-0.1295879607842684</v>
      </c>
      <c r="T31">
        <f>'DIST _PHASE_1_V1'!Y18</f>
        <v>300</v>
      </c>
      <c r="U31">
        <f>'DIST _PHASE_1_V1'!Z18</f>
        <v>150</v>
      </c>
      <c r="V31">
        <f>'DIST _PHASE_1_V1'!AA18</f>
        <v>85</v>
      </c>
      <c r="W31" s="63">
        <f t="shared" si="3"/>
        <v>29.838079635473655</v>
      </c>
    </row>
    <row r="32" spans="5:24" x14ac:dyDescent="0.25">
      <c r="E32" s="63" t="str">
        <f>'DIST _PHASE_1_V1'!E19</f>
        <v>N20_N21</v>
      </c>
      <c r="F32" s="63">
        <f>'DIST _PHASE_1_V1'!G19</f>
        <v>6.6888000000000003E-2</v>
      </c>
      <c r="G32" s="63">
        <f>'DIST _PHASE_1_V1'!L19</f>
        <v>300</v>
      </c>
      <c r="H32" s="63">
        <f>'DIST _PHASE_1_V1'!M19</f>
        <v>150</v>
      </c>
      <c r="I32" s="63">
        <f>'DIST _PHASE_1_V1'!N19</f>
        <v>78</v>
      </c>
      <c r="J32" s="63">
        <f t="shared" si="1"/>
        <v>27.380826018434647</v>
      </c>
      <c r="K32" s="63">
        <f t="shared" si="4"/>
        <v>6.6888000000000003E-2</v>
      </c>
      <c r="L32" s="63">
        <f t="shared" si="5"/>
        <v>0.18280641482003038</v>
      </c>
      <c r="M32" s="63">
        <f t="shared" si="2"/>
        <v>5.0615578316992025</v>
      </c>
      <c r="N32" s="63">
        <f t="shared" si="6"/>
        <v>7.107503921573162E-2</v>
      </c>
      <c r="R32" t="str">
        <f>'DIST _PHASE_1_V1'!R19</f>
        <v>N63_N64</v>
      </c>
      <c r="S32">
        <f t="shared" si="7"/>
        <v>-0.1295879607842684</v>
      </c>
      <c r="T32">
        <f>'DIST _PHASE_1_V1'!Y19</f>
        <v>300</v>
      </c>
      <c r="U32">
        <f>'DIST _PHASE_1_V1'!Z19</f>
        <v>150</v>
      </c>
      <c r="V32">
        <f>'DIST _PHASE_1_V1'!AA19</f>
        <v>129</v>
      </c>
      <c r="W32" s="63">
        <f t="shared" si="3"/>
        <v>45.283673799718841</v>
      </c>
    </row>
    <row r="33" spans="5:23" x14ac:dyDescent="0.25">
      <c r="E33" s="63" t="str">
        <f>'DIST _PHASE_1_V1'!E20</f>
        <v>N21_N22</v>
      </c>
      <c r="F33" s="63">
        <f>'DIST _PHASE_1_V1'!G20</f>
        <v>6.6888000000000003E-2</v>
      </c>
      <c r="G33" s="63">
        <f>'DIST _PHASE_1_V1'!L20</f>
        <v>300</v>
      </c>
      <c r="H33" s="63">
        <f>'DIST _PHASE_1_V1'!M20</f>
        <v>150</v>
      </c>
      <c r="I33" s="63">
        <f>'DIST _PHASE_1_V1'!N20</f>
        <v>90</v>
      </c>
      <c r="J33" s="63">
        <f t="shared" si="1"/>
        <v>31.593260790501514</v>
      </c>
      <c r="K33" s="63">
        <f t="shared" si="4"/>
        <v>6.6888000000000003E-2</v>
      </c>
      <c r="L33" s="63">
        <f t="shared" si="5"/>
        <v>0.21093047863849659</v>
      </c>
      <c r="M33" s="63">
        <f t="shared" si="2"/>
        <v>5.8402590365760023</v>
      </c>
      <c r="N33" s="63">
        <f t="shared" si="6"/>
        <v>7.107503921573162E-2</v>
      </c>
      <c r="R33" t="str">
        <f>'DIST _PHASE_1_V1'!R20</f>
        <v>N64_N65</v>
      </c>
      <c r="S33">
        <f t="shared" si="7"/>
        <v>-0.1295879607842684</v>
      </c>
      <c r="T33">
        <f>'DIST _PHASE_1_V1'!Y20</f>
        <v>300</v>
      </c>
      <c r="U33">
        <f>'DIST _PHASE_1_V1'!Z20</f>
        <v>150</v>
      </c>
      <c r="V33">
        <f>'DIST _PHASE_1_V1'!AA20</f>
        <v>37</v>
      </c>
      <c r="W33" s="63">
        <f t="shared" si="3"/>
        <v>12.988340547206178</v>
      </c>
    </row>
    <row r="34" spans="5:23" x14ac:dyDescent="0.25">
      <c r="E34" s="63" t="str">
        <f>'DIST _PHASE_1_V1'!E21</f>
        <v>N22_N23</v>
      </c>
      <c r="F34" s="63">
        <f>'DIST _PHASE_1_V1'!G21</f>
        <v>6.6888000000000003E-2</v>
      </c>
      <c r="G34" s="63">
        <f>'DIST _PHASE_1_V1'!L21</f>
        <v>300</v>
      </c>
      <c r="H34" s="63">
        <f>'DIST _PHASE_1_V1'!M21</f>
        <v>150</v>
      </c>
      <c r="I34" s="63">
        <f>'DIST _PHASE_1_V1'!N21</f>
        <v>105</v>
      </c>
      <c r="J34" s="63">
        <f t="shared" si="1"/>
        <v>36.858804255585099</v>
      </c>
      <c r="K34" s="63">
        <f t="shared" si="4"/>
        <v>6.6888000000000003E-2</v>
      </c>
      <c r="L34" s="63">
        <f t="shared" si="5"/>
        <v>0.24608555841157934</v>
      </c>
      <c r="M34" s="63">
        <f t="shared" si="2"/>
        <v>6.813635542672003</v>
      </c>
      <c r="N34" s="63">
        <f t="shared" si="6"/>
        <v>7.107503921573162E-2</v>
      </c>
      <c r="R34" t="str">
        <f>'DIST _PHASE_1_V1'!R21</f>
        <v>N65_N66</v>
      </c>
      <c r="S34">
        <f t="shared" si="7"/>
        <v>-0.1295879607842684</v>
      </c>
      <c r="T34">
        <f>'DIST _PHASE_1_V1'!Y21</f>
        <v>300</v>
      </c>
      <c r="U34">
        <f>'DIST _PHASE_1_V1'!Z21</f>
        <v>150</v>
      </c>
      <c r="V34">
        <f>'DIST _PHASE_1_V1'!AA21</f>
        <v>77</v>
      </c>
      <c r="W34" s="63">
        <f t="shared" si="3"/>
        <v>27.029789787429074</v>
      </c>
    </row>
    <row r="35" spans="5:23" x14ac:dyDescent="0.25">
      <c r="E35" s="63" t="str">
        <f>'DIST _PHASE_1_V1'!E22</f>
        <v>N23_N24</v>
      </c>
      <c r="F35" s="63">
        <f>'DIST _PHASE_1_V1'!G22</f>
        <v>6.6888000000000003E-2</v>
      </c>
      <c r="G35" s="63">
        <f>'DIST _PHASE_1_V1'!L22</f>
        <v>300</v>
      </c>
      <c r="H35" s="63">
        <f>'DIST _PHASE_1_V1'!M22</f>
        <v>150</v>
      </c>
      <c r="I35" s="63">
        <f>'DIST _PHASE_1_V1'!N22</f>
        <v>84</v>
      </c>
      <c r="J35" s="63">
        <f t="shared" si="1"/>
        <v>29.487043404468082</v>
      </c>
      <c r="K35" s="63">
        <f t="shared" si="4"/>
        <v>6.6888000000000003E-2</v>
      </c>
      <c r="L35" s="63">
        <f t="shared" si="5"/>
        <v>0.19686844672926349</v>
      </c>
      <c r="M35" s="63">
        <f t="shared" si="2"/>
        <v>5.4509084341376024</v>
      </c>
      <c r="N35" s="63">
        <f t="shared" si="6"/>
        <v>7.107503921573162E-2</v>
      </c>
      <c r="R35" t="str">
        <f>'DIST _PHASE_1_V1'!R22</f>
        <v>N66_N67</v>
      </c>
      <c r="S35">
        <f t="shared" si="7"/>
        <v>-0.1295879607842684</v>
      </c>
      <c r="T35">
        <f>'DIST _PHASE_1_V1'!Y22</f>
        <v>300</v>
      </c>
      <c r="U35">
        <f>'DIST _PHASE_1_V1'!Z22</f>
        <v>150</v>
      </c>
      <c r="V35">
        <f>'DIST _PHASE_1_V1'!AA22</f>
        <v>89</v>
      </c>
      <c r="W35" s="63">
        <f t="shared" si="3"/>
        <v>31.242224559495945</v>
      </c>
    </row>
    <row r="36" spans="5:23" x14ac:dyDescent="0.25">
      <c r="E36" s="63" t="str">
        <f>'DIST _PHASE_1_V1'!E23</f>
        <v>N24_N25</v>
      </c>
      <c r="F36" s="63">
        <f>'DIST _PHASE_1_V1'!G23</f>
        <v>6.6888000000000003E-2</v>
      </c>
      <c r="G36" s="63">
        <f>'DIST _PHASE_1_V1'!L23</f>
        <v>300</v>
      </c>
      <c r="H36" s="63">
        <f>'DIST _PHASE_1_V1'!M23</f>
        <v>150</v>
      </c>
      <c r="I36" s="63">
        <f>'DIST _PHASE_1_V1'!N23</f>
        <v>58</v>
      </c>
      <c r="J36" s="63">
        <f t="shared" si="1"/>
        <v>20.360101398323199</v>
      </c>
      <c r="K36" s="63">
        <f t="shared" si="4"/>
        <v>6.6888000000000003E-2</v>
      </c>
      <c r="L36" s="63">
        <f t="shared" si="5"/>
        <v>0.1359329751225867</v>
      </c>
      <c r="M36" s="63">
        <f t="shared" si="2"/>
        <v>3.7637224902378685</v>
      </c>
      <c r="N36" s="63">
        <f t="shared" si="6"/>
        <v>7.107503921573162E-2</v>
      </c>
      <c r="R36" t="str">
        <f>'DIST _PHASE_1_V1'!R23</f>
        <v>N67_N68</v>
      </c>
      <c r="S36">
        <f t="shared" si="7"/>
        <v>-6.2700960784268386E-2</v>
      </c>
      <c r="T36">
        <f>'DIST _PHASE_1_V1'!Y23</f>
        <v>300</v>
      </c>
      <c r="U36">
        <f>'DIST _PHASE_1_V1'!Z23</f>
        <v>150</v>
      </c>
      <c r="V36">
        <f>'DIST _PHASE_1_V1'!AA23</f>
        <v>49</v>
      </c>
      <c r="W36" s="63">
        <f t="shared" si="3"/>
        <v>17.200775319273045</v>
      </c>
    </row>
    <row r="37" spans="5:23" x14ac:dyDescent="0.25">
      <c r="E37" s="63" t="str">
        <f>'DIST _PHASE_1_V1'!E24</f>
        <v>N25_N26</v>
      </c>
      <c r="F37" s="63">
        <f>'DIST _PHASE_1_V1'!G24</f>
        <v>6.6888000000000003E-2</v>
      </c>
      <c r="G37" s="63">
        <f>'DIST _PHASE_1_V1'!L24</f>
        <v>300</v>
      </c>
      <c r="H37" s="63">
        <f>'DIST _PHASE_1_V1'!M24</f>
        <v>150</v>
      </c>
      <c r="I37" s="63">
        <f>'DIST _PHASE_1_V1'!N24</f>
        <v>19</v>
      </c>
      <c r="J37" s="63">
        <f t="shared" si="1"/>
        <v>6.6696883891058754</v>
      </c>
      <c r="K37" s="63">
        <f t="shared" si="4"/>
        <v>6.6888000000000003E-2</v>
      </c>
      <c r="L37" s="63">
        <f t="shared" si="5"/>
        <v>4.45297677125715E-2</v>
      </c>
      <c r="M37" s="63">
        <f t="shared" si="2"/>
        <v>1.2329435743882671</v>
      </c>
      <c r="N37" s="63">
        <f t="shared" si="6"/>
        <v>7.107503921573162E-2</v>
      </c>
      <c r="R37" t="str">
        <f>'DIST _PHASE_1_V1'!R24</f>
        <v>N68_N69</v>
      </c>
      <c r="S37">
        <f t="shared" si="7"/>
        <v>-6.2700960784268386E-2</v>
      </c>
      <c r="T37">
        <f>'DIST _PHASE_1_V1'!Y24</f>
        <v>300</v>
      </c>
      <c r="U37">
        <f>'DIST _PHASE_1_V1'!Z24</f>
        <v>150</v>
      </c>
      <c r="V37">
        <f>'DIST _PHASE_1_V1'!AA24</f>
        <v>35</v>
      </c>
      <c r="W37" s="63">
        <f t="shared" si="3"/>
        <v>12.286268085195033</v>
      </c>
    </row>
    <row r="38" spans="5:23" x14ac:dyDescent="0.25">
      <c r="E38" s="63" t="str">
        <f>'DIST _PHASE_1_V1'!E25</f>
        <v>N26_N27</v>
      </c>
      <c r="F38" s="63">
        <f>'DIST _PHASE_1_V1'!G25</f>
        <v>6.6888000000000003E-2</v>
      </c>
      <c r="G38" s="63">
        <f>'DIST _PHASE_1_V1'!L25</f>
        <v>300</v>
      </c>
      <c r="H38" s="63">
        <f>'DIST _PHASE_1_V1'!M25</f>
        <v>150</v>
      </c>
      <c r="I38" s="63">
        <f>'DIST _PHASE_1_V1'!N25</f>
        <v>48</v>
      </c>
      <c r="J38" s="63">
        <f t="shared" si="1"/>
        <v>16.849739088267473</v>
      </c>
      <c r="K38" s="63">
        <f t="shared" si="4"/>
        <v>6.6888000000000003E-2</v>
      </c>
      <c r="L38" s="63">
        <f t="shared" si="5"/>
        <v>0.11249625527386484</v>
      </c>
      <c r="M38" s="63">
        <f t="shared" si="2"/>
        <v>3.1148048195072007</v>
      </c>
      <c r="N38" s="63">
        <f t="shared" si="6"/>
        <v>7.107503921573162E-2</v>
      </c>
      <c r="R38" t="str">
        <f>'DIST _PHASE_1_V1'!R25</f>
        <v>N69_N70</v>
      </c>
      <c r="S38">
        <f t="shared" si="7"/>
        <v>-6.2700960784268386E-2</v>
      </c>
      <c r="T38">
        <f>'DIST _PHASE_1_V1'!Y25</f>
        <v>300</v>
      </c>
      <c r="U38">
        <f>'DIST _PHASE_1_V1'!Z25</f>
        <v>150</v>
      </c>
      <c r="V38">
        <f>'DIST _PHASE_1_V1'!AA25</f>
        <v>30</v>
      </c>
      <c r="W38" s="63">
        <f t="shared" si="3"/>
        <v>10.531086930167172</v>
      </c>
    </row>
    <row r="39" spans="5:23" x14ac:dyDescent="0.25">
      <c r="E39" s="63" t="str">
        <f>'DIST _PHASE_1_V1'!E26</f>
        <v>N27_N28</v>
      </c>
      <c r="F39" s="63">
        <f>'DIST _PHASE_1_V1'!G26</f>
        <v>6.6888000000000003E-2</v>
      </c>
      <c r="G39" s="63">
        <f>'DIST _PHASE_1_V1'!L26</f>
        <v>300</v>
      </c>
      <c r="H39" s="63">
        <f>'DIST _PHASE_1_V1'!M26</f>
        <v>150</v>
      </c>
      <c r="I39" s="63">
        <f>'DIST _PHASE_1_V1'!N26</f>
        <v>66</v>
      </c>
      <c r="J39" s="63">
        <f t="shared" si="1"/>
        <v>23.168391246367776</v>
      </c>
      <c r="K39" s="63">
        <f t="shared" si="4"/>
        <v>6.6888000000000003E-2</v>
      </c>
      <c r="L39" s="63">
        <f t="shared" si="5"/>
        <v>0.15468235100156416</v>
      </c>
      <c r="M39" s="63">
        <f t="shared" si="2"/>
        <v>4.2828566268224018</v>
      </c>
      <c r="N39" s="63">
        <f t="shared" si="6"/>
        <v>7.107503921573162E-2</v>
      </c>
      <c r="R39" t="str">
        <f>'DIST _PHASE_1_V1'!R26</f>
        <v>N71_N72</v>
      </c>
      <c r="S39">
        <f>'DIST _PHASE_1_V1'!T26</f>
        <v>0.13377500000000001</v>
      </c>
      <c r="T39">
        <f>'DIST _PHASE_1_V1'!Y26</f>
        <v>421</v>
      </c>
      <c r="U39">
        <f>'DIST _PHASE_1_V1'!Z26</f>
        <v>150</v>
      </c>
      <c r="V39">
        <f>'DIST _PHASE_1_V1'!AA26</f>
        <v>214</v>
      </c>
      <c r="W39" s="63">
        <f t="shared" si="3"/>
        <v>14.419335912910544</v>
      </c>
    </row>
    <row r="40" spans="5:23" x14ac:dyDescent="0.25">
      <c r="E40" s="63" t="str">
        <f>'DIST _PHASE_1_V1'!E27</f>
        <v>N28_N29</v>
      </c>
      <c r="F40" s="63">
        <f>'DIST _PHASE_1_V1'!G27</f>
        <v>6.6888000000000003E-2</v>
      </c>
      <c r="G40" s="63">
        <f>'DIST _PHASE_1_V1'!L27</f>
        <v>300</v>
      </c>
      <c r="H40" s="63">
        <f>'DIST _PHASE_1_V1'!M27</f>
        <v>150</v>
      </c>
      <c r="I40" s="63">
        <f>'DIST _PHASE_1_V1'!N27</f>
        <v>43</v>
      </c>
      <c r="J40" s="63">
        <f t="shared" si="1"/>
        <v>15.094557933239612</v>
      </c>
      <c r="K40" s="63">
        <f t="shared" si="4"/>
        <v>6.6888000000000003E-2</v>
      </c>
      <c r="L40" s="63">
        <f t="shared" si="5"/>
        <v>0.10077789534950392</v>
      </c>
      <c r="M40" s="63">
        <f t="shared" si="2"/>
        <v>2.7903459841418679</v>
      </c>
      <c r="N40" s="63">
        <f t="shared" si="6"/>
        <v>7.107503921573162E-2</v>
      </c>
      <c r="R40" t="str">
        <f>'DIST _PHASE_1_V1'!R27</f>
        <v>N72_N73</v>
      </c>
      <c r="S40">
        <f>'DIST _PHASE_1_V1'!T27</f>
        <v>0.13377500000000001</v>
      </c>
      <c r="T40">
        <f>'DIST _PHASE_1_V1'!Y27</f>
        <v>421</v>
      </c>
      <c r="U40">
        <f>'DIST _PHASE_1_V1'!Z27</f>
        <v>150</v>
      </c>
      <c r="V40">
        <f>'DIST _PHASE_1_V1'!AA27</f>
        <v>168</v>
      </c>
      <c r="W40" s="63">
        <f t="shared" si="3"/>
        <v>11.319852492378372</v>
      </c>
    </row>
    <row r="41" spans="5:23" x14ac:dyDescent="0.25">
      <c r="E41" s="63" t="str">
        <f>'DIST _PHASE_1_V1'!E28</f>
        <v>N29_N30</v>
      </c>
      <c r="F41" s="63">
        <f>'DIST _PHASE_1_V1'!G28</f>
        <v>6.6888000000000003E-2</v>
      </c>
      <c r="G41" s="63">
        <f>'DIST _PHASE_1_V1'!L28</f>
        <v>300</v>
      </c>
      <c r="H41" s="63">
        <f>'DIST _PHASE_1_V1'!M28</f>
        <v>150</v>
      </c>
      <c r="I41" s="63">
        <f>'DIST _PHASE_1_V1'!N28</f>
        <v>45</v>
      </c>
      <c r="J41" s="63">
        <f t="shared" si="1"/>
        <v>15.796630395250757</v>
      </c>
      <c r="K41" s="63">
        <f t="shared" si="4"/>
        <v>6.6888000000000003E-2</v>
      </c>
      <c r="L41" s="63">
        <f t="shared" si="5"/>
        <v>0.1054652393192483</v>
      </c>
      <c r="M41" s="63">
        <f t="shared" si="2"/>
        <v>2.9201295182880012</v>
      </c>
      <c r="N41" s="63">
        <f t="shared" si="6"/>
        <v>7.107503921573162E-2</v>
      </c>
      <c r="R41" t="str">
        <f>'DIST _PHASE_1_V1'!R28</f>
        <v>N73_N74</v>
      </c>
      <c r="S41">
        <f>'DIST _PHASE_1_V1'!T28</f>
        <v>0.13377500000000001</v>
      </c>
      <c r="T41">
        <f>'DIST _PHASE_1_V1'!Y28</f>
        <v>421</v>
      </c>
      <c r="U41">
        <f>'DIST _PHASE_1_V1'!Z28</f>
        <v>150</v>
      </c>
      <c r="V41">
        <f>'DIST _PHASE_1_V1'!AA28</f>
        <v>115</v>
      </c>
      <c r="W41" s="63">
        <f t="shared" si="3"/>
        <v>7.7487085513304326</v>
      </c>
    </row>
    <row r="42" spans="5:23" x14ac:dyDescent="0.25">
      <c r="E42" s="63" t="str">
        <f>'DIST _PHASE_1_V1'!E29</f>
        <v>N30_N31</v>
      </c>
      <c r="F42" s="63">
        <f>'DIST _PHASE_1_V1'!G29</f>
        <v>6.6888000000000003E-2</v>
      </c>
      <c r="G42" s="63">
        <f>'DIST _PHASE_1_V1'!L29</f>
        <v>300</v>
      </c>
      <c r="H42" s="63">
        <f>'DIST _PHASE_1_V1'!M29</f>
        <v>150</v>
      </c>
      <c r="I42" s="63">
        <f>'DIST _PHASE_1_V1'!N29</f>
        <v>89</v>
      </c>
      <c r="J42" s="63">
        <f t="shared" si="1"/>
        <v>31.242224559495945</v>
      </c>
      <c r="K42" s="63">
        <f t="shared" si="4"/>
        <v>6.6888000000000003E-2</v>
      </c>
      <c r="L42" s="63">
        <f t="shared" si="5"/>
        <v>0.20858680665362442</v>
      </c>
      <c r="M42" s="63">
        <f t="shared" si="2"/>
        <v>5.7753672695029357</v>
      </c>
      <c r="N42" s="63">
        <f t="shared" si="6"/>
        <v>7.107503921573162E-2</v>
      </c>
      <c r="R42" t="str">
        <f>'DIST _PHASE_1_V1'!R29</f>
        <v>N74_N75</v>
      </c>
      <c r="S42">
        <f>'DIST _PHASE_1_V1'!T29</f>
        <v>0.13377500000000001</v>
      </c>
      <c r="T42">
        <f>'DIST _PHASE_1_V1'!Y29</f>
        <v>421</v>
      </c>
      <c r="U42">
        <f>'DIST _PHASE_1_V1'!Z29</f>
        <v>150</v>
      </c>
      <c r="V42">
        <f>'DIST _PHASE_1_V1'!AA29</f>
        <v>87</v>
      </c>
      <c r="W42" s="63">
        <f t="shared" si="3"/>
        <v>5.8620664692673703</v>
      </c>
    </row>
    <row r="43" spans="5:23" x14ac:dyDescent="0.25">
      <c r="E43" s="63" t="str">
        <f>'DIST _PHASE_1_V1'!E30</f>
        <v>N31_N32</v>
      </c>
      <c r="F43" s="63">
        <f>'DIST _PHASE_1_V1'!G30</f>
        <v>6.6888000000000003E-2</v>
      </c>
      <c r="G43" s="63">
        <f>'DIST _PHASE_1_V1'!L30</f>
        <v>300</v>
      </c>
      <c r="H43" s="63">
        <f>'DIST _PHASE_1_V1'!M30</f>
        <v>150</v>
      </c>
      <c r="I43" s="63">
        <f>'DIST _PHASE_1_V1'!N30</f>
        <v>89</v>
      </c>
      <c r="J43" s="63">
        <f t="shared" si="1"/>
        <v>31.242224559495945</v>
      </c>
      <c r="K43" s="63">
        <f t="shared" si="4"/>
        <v>6.6888000000000003E-2</v>
      </c>
      <c r="L43" s="63">
        <f t="shared" si="5"/>
        <v>0.20858680665362442</v>
      </c>
      <c r="M43" s="63">
        <f t="shared" si="2"/>
        <v>5.7753672695029357</v>
      </c>
      <c r="N43" s="63">
        <f t="shared" si="6"/>
        <v>7.107503921573162E-2</v>
      </c>
      <c r="R43" t="str">
        <f>'DIST _PHASE_1_V1'!R30</f>
        <v>N75_N76</v>
      </c>
      <c r="S43">
        <f>'DIST _PHASE_1_V1'!T30</f>
        <v>0.13377500000000001</v>
      </c>
      <c r="T43">
        <f>'DIST _PHASE_1_V1'!Y30</f>
        <v>421</v>
      </c>
      <c r="U43">
        <f>'DIST _PHASE_1_V1'!Z30</f>
        <v>150</v>
      </c>
      <c r="V43">
        <f>'DIST _PHASE_1_V1'!AA30</f>
        <v>427</v>
      </c>
      <c r="W43" s="63">
        <f t="shared" si="3"/>
        <v>28.771291751461693</v>
      </c>
    </row>
    <row r="44" spans="5:23" x14ac:dyDescent="0.25">
      <c r="E44" s="63" t="str">
        <f>'DIST _PHASE_1_V1'!E31</f>
        <v>N32_N33</v>
      </c>
      <c r="F44" s="63">
        <f>'DIST _PHASE_1_V1'!G31</f>
        <v>6.6888000000000003E-2</v>
      </c>
      <c r="G44" s="63">
        <f>'DIST _PHASE_1_V1'!L31</f>
        <v>300</v>
      </c>
      <c r="H44" s="63">
        <f>'DIST _PHASE_1_V1'!M31</f>
        <v>150</v>
      </c>
      <c r="I44" s="63">
        <f>'DIST _PHASE_1_V1'!N31</f>
        <v>79</v>
      </c>
      <c r="J44" s="63">
        <f t="shared" si="1"/>
        <v>27.731862249440219</v>
      </c>
      <c r="K44" s="63">
        <f t="shared" si="4"/>
        <v>6.6888000000000003E-2</v>
      </c>
      <c r="L44" s="63">
        <f t="shared" si="5"/>
        <v>0.18515008680490258</v>
      </c>
      <c r="M44" s="63">
        <f t="shared" si="2"/>
        <v>5.1264495987722691</v>
      </c>
      <c r="N44" s="63">
        <f t="shared" si="6"/>
        <v>7.107503921573162E-2</v>
      </c>
      <c r="R44" t="str">
        <f>'DIST _PHASE_1_V1'!R31</f>
        <v>N76_N77</v>
      </c>
      <c r="S44">
        <f>'DIST _PHASE_1_V1'!T31</f>
        <v>0.13377500000000001</v>
      </c>
      <c r="T44">
        <f>'DIST _PHASE_1_V1'!Y31</f>
        <v>421</v>
      </c>
      <c r="U44">
        <f>'DIST _PHASE_1_V1'!Z31</f>
        <v>150</v>
      </c>
      <c r="V44">
        <f>'DIST _PHASE_1_V1'!AA31</f>
        <v>100</v>
      </c>
      <c r="W44" s="63">
        <f t="shared" si="3"/>
        <v>6.7380074359395072</v>
      </c>
    </row>
    <row r="45" spans="5:23" x14ac:dyDescent="0.25">
      <c r="E45" s="63" t="str">
        <f>'DIST _PHASE_1_V1'!E32</f>
        <v>N33_N34</v>
      </c>
      <c r="F45" s="63">
        <f>'DIST _PHASE_1_V1'!G32</f>
        <v>6.6888000000000003E-2</v>
      </c>
      <c r="G45" s="63">
        <f>'DIST _PHASE_1_V1'!L32</f>
        <v>300</v>
      </c>
      <c r="H45" s="63">
        <f>'DIST _PHASE_1_V1'!M32</f>
        <v>150</v>
      </c>
      <c r="I45" s="63">
        <f>'DIST _PHASE_1_V1'!N32</f>
        <v>104</v>
      </c>
      <c r="J45" s="63">
        <f t="shared" si="1"/>
        <v>36.507768024579526</v>
      </c>
      <c r="K45" s="63">
        <f t="shared" si="4"/>
        <v>6.6888000000000003E-2</v>
      </c>
      <c r="L45" s="63">
        <f t="shared" si="5"/>
        <v>0.24374188642670716</v>
      </c>
      <c r="M45" s="63">
        <f t="shared" si="2"/>
        <v>6.7487437755989363</v>
      </c>
      <c r="N45" s="63">
        <f t="shared" si="6"/>
        <v>7.107503921573162E-2</v>
      </c>
      <c r="R45" t="str">
        <f>'DIST _PHASE_1_V1'!R32</f>
        <v>N77_N78</v>
      </c>
      <c r="S45">
        <f>'DIST _PHASE_1_V1'!T32</f>
        <v>0.13377500000000001</v>
      </c>
      <c r="T45">
        <f>'DIST _PHASE_1_V1'!Y32</f>
        <v>421</v>
      </c>
      <c r="U45">
        <f>'DIST _PHASE_1_V1'!Z32</f>
        <v>150</v>
      </c>
      <c r="V45">
        <f>'DIST _PHASE_1_V1'!AA32</f>
        <v>210</v>
      </c>
      <c r="W45" s="63">
        <f t="shared" si="3"/>
        <v>14.149815615472965</v>
      </c>
    </row>
    <row r="46" spans="5:23" x14ac:dyDescent="0.25">
      <c r="E46" s="63" t="str">
        <f>'DIST _PHASE_1_V1'!E33</f>
        <v>N34_N35</v>
      </c>
      <c r="F46" s="63">
        <f>'DIST _PHASE_1_V1'!G33</f>
        <v>6.6888000000000003E-2</v>
      </c>
      <c r="G46" s="63">
        <f>'DIST _PHASE_1_V1'!L33</f>
        <v>300</v>
      </c>
      <c r="H46" s="63">
        <f>'DIST _PHASE_1_V1'!M33</f>
        <v>150</v>
      </c>
      <c r="I46" s="63">
        <f>'DIST _PHASE_1_V1'!N33</f>
        <v>129</v>
      </c>
      <c r="J46" s="63">
        <f t="shared" si="1"/>
        <v>45.283673799718841</v>
      </c>
      <c r="K46" s="63">
        <f t="shared" si="4"/>
        <v>6.6888000000000003E-2</v>
      </c>
      <c r="L46" s="63">
        <f t="shared" si="5"/>
        <v>0.3023336860485118</v>
      </c>
      <c r="M46" s="63">
        <f t="shared" si="2"/>
        <v>8.3710379524256044</v>
      </c>
      <c r="N46" s="63">
        <f t="shared" si="6"/>
        <v>7.107503921573162E-2</v>
      </c>
      <c r="R46" t="str">
        <f>'DIST _PHASE_1_V1'!R33</f>
        <v>N78_N79</v>
      </c>
      <c r="S46">
        <f>'DIST _PHASE_1_V1'!T33</f>
        <v>0.13377500000000001</v>
      </c>
      <c r="T46">
        <f>'DIST _PHASE_1_V1'!Y33</f>
        <v>421</v>
      </c>
      <c r="U46">
        <f>'DIST _PHASE_1_V1'!Z33</f>
        <v>150</v>
      </c>
      <c r="V46">
        <f>'DIST _PHASE_1_V1'!AA33</f>
        <v>180</v>
      </c>
      <c r="W46" s="63">
        <f t="shared" si="3"/>
        <v>12.128413384691111</v>
      </c>
    </row>
    <row r="47" spans="5:23" x14ac:dyDescent="0.25">
      <c r="E47" s="63" t="str">
        <f>'DIST _PHASE_1_V1'!E34</f>
        <v>N35_N36</v>
      </c>
      <c r="F47" s="63">
        <f>'DIST _PHASE_1_V1'!G34</f>
        <v>6.6888000000000003E-2</v>
      </c>
      <c r="G47" s="63">
        <f>'DIST _PHASE_1_V1'!L34</f>
        <v>300</v>
      </c>
      <c r="H47" s="63">
        <f>'DIST _PHASE_1_V1'!M34</f>
        <v>150</v>
      </c>
      <c r="I47" s="63">
        <f>'DIST _PHASE_1_V1'!N34</f>
        <v>145</v>
      </c>
      <c r="J47" s="63">
        <f t="shared" si="1"/>
        <v>50.900253495807995</v>
      </c>
      <c r="K47" s="63">
        <f t="shared" si="4"/>
        <v>6.6888000000000003E-2</v>
      </c>
      <c r="L47" s="63">
        <f t="shared" si="5"/>
        <v>0.33983243780646671</v>
      </c>
      <c r="M47" s="63">
        <f t="shared" si="2"/>
        <v>9.4093062255946709</v>
      </c>
      <c r="N47" s="63">
        <f t="shared" si="6"/>
        <v>7.107503921573162E-2</v>
      </c>
      <c r="R47" t="str">
        <f>'DIST _PHASE_1_V1'!R34</f>
        <v>N79_N80</v>
      </c>
      <c r="S47">
        <f>'DIST _PHASE_1_V1'!T34</f>
        <v>0.13377500000000001</v>
      </c>
      <c r="T47">
        <f>'DIST _PHASE_1_V1'!Y34</f>
        <v>421</v>
      </c>
      <c r="U47">
        <f>'DIST _PHASE_1_V1'!Z34</f>
        <v>150</v>
      </c>
      <c r="V47">
        <f>'DIST _PHASE_1_V1'!AA34</f>
        <v>270</v>
      </c>
      <c r="W47" s="63">
        <f t="shared" si="3"/>
        <v>18.192620077036668</v>
      </c>
    </row>
    <row r="48" spans="5:23" x14ac:dyDescent="0.25">
      <c r="E48" s="63" t="str">
        <f>'DIST _PHASE_1_V1'!E35</f>
        <v>N36_N37</v>
      </c>
      <c r="F48" s="63">
        <f>'DIST _PHASE_1_V1'!G35</f>
        <v>6.6888000000000003E-2</v>
      </c>
      <c r="G48" s="63">
        <f>'DIST _PHASE_1_V1'!L35</f>
        <v>300</v>
      </c>
      <c r="H48" s="63">
        <f>'DIST _PHASE_1_V1'!M35</f>
        <v>150</v>
      </c>
      <c r="I48" s="63">
        <f>'DIST _PHASE_1_V1'!N35</f>
        <v>230</v>
      </c>
      <c r="J48" s="63">
        <f t="shared" si="1"/>
        <v>80.738333131281649</v>
      </c>
      <c r="K48" s="63">
        <f t="shared" si="4"/>
        <v>6.6888000000000003E-2</v>
      </c>
      <c r="L48" s="63">
        <f t="shared" si="5"/>
        <v>0.53904455652060246</v>
      </c>
      <c r="M48" s="63">
        <f t="shared" si="2"/>
        <v>14.925106426805341</v>
      </c>
      <c r="N48" s="63">
        <f t="shared" si="6"/>
        <v>7.107503921573162E-2</v>
      </c>
      <c r="R48" t="str">
        <f>'DIST _PHASE_1_V1'!R35</f>
        <v>N80_N81</v>
      </c>
      <c r="S48">
        <f>'DIST _PHASE_1_V1'!T35</f>
        <v>0.13377500000000001</v>
      </c>
      <c r="T48">
        <f>'DIST _PHASE_1_V1'!Y35</f>
        <v>421</v>
      </c>
      <c r="U48">
        <f>'DIST _PHASE_1_V1'!Z35</f>
        <v>150</v>
      </c>
      <c r="V48">
        <f>'DIST _PHASE_1_V1'!AA35</f>
        <v>315</v>
      </c>
      <c r="W48" s="63">
        <f t="shared" si="3"/>
        <v>21.224723423209447</v>
      </c>
    </row>
    <row r="49" spans="5:23" x14ac:dyDescent="0.25">
      <c r="E49" s="63" t="str">
        <f>'DIST _PHASE_1_V1'!E36</f>
        <v>N37_N38</v>
      </c>
      <c r="F49" s="63">
        <f>'DIST _PHASE_1_V1'!G36</f>
        <v>6.6888000000000003E-2</v>
      </c>
      <c r="G49" s="63">
        <f>'DIST _PHASE_1_V1'!L36</f>
        <v>300</v>
      </c>
      <c r="H49" s="63">
        <f>'DIST _PHASE_1_V1'!M36</f>
        <v>150</v>
      </c>
      <c r="I49" s="63">
        <f>'DIST _PHASE_1_V1'!N36</f>
        <v>101</v>
      </c>
      <c r="J49" s="63">
        <f t="shared" si="1"/>
        <v>35.454659331562809</v>
      </c>
      <c r="K49" s="63">
        <f>F49</f>
        <v>6.6888000000000003E-2</v>
      </c>
      <c r="L49" s="63">
        <f t="shared" si="5"/>
        <v>0.23671087047209061</v>
      </c>
      <c r="M49" s="63">
        <f t="shared" si="2"/>
        <v>6.5540684743797364</v>
      </c>
      <c r="N49" s="63">
        <f t="shared" si="6"/>
        <v>7.107503921573162E-2</v>
      </c>
      <c r="R49" t="str">
        <f>'DIST _PHASE_1_V1'!R36</f>
        <v>N81_N82</v>
      </c>
      <c r="S49">
        <f>'DIST _PHASE_1_V1'!T36</f>
        <v>0.13377500000000001</v>
      </c>
      <c r="T49">
        <f>'DIST _PHASE_1_V1'!Y36</f>
        <v>421</v>
      </c>
      <c r="U49">
        <f>'DIST _PHASE_1_V1'!Z36</f>
        <v>150</v>
      </c>
      <c r="V49">
        <f>'DIST _PHASE_1_V1'!AA36</f>
        <v>360</v>
      </c>
      <c r="W49" s="63">
        <f t="shared" si="3"/>
        <v>24.256826769382222</v>
      </c>
    </row>
    <row r="50" spans="5:23" x14ac:dyDescent="0.25">
      <c r="E50" s="63" t="str">
        <f>'DIST _PHASE_1_V1'!E37</f>
        <v>N38_N70</v>
      </c>
      <c r="F50" s="63">
        <f>'DIST _PHASE_1_V1'!G37</f>
        <v>6.6888000000000003E-2</v>
      </c>
      <c r="G50" s="63">
        <f>'DIST _PHASE_1_V1'!L37</f>
        <v>300</v>
      </c>
      <c r="H50" s="63">
        <f>'DIST _PHASE_1_V1'!M37</f>
        <v>150</v>
      </c>
      <c r="I50" s="63">
        <f>'DIST _PHASE_1_V1'!N37</f>
        <v>91</v>
      </c>
      <c r="J50" s="63">
        <f t="shared" si="1"/>
        <v>31.944297021507086</v>
      </c>
      <c r="K50" s="63">
        <f>F50</f>
        <v>6.6888000000000003E-2</v>
      </c>
      <c r="L50" s="63">
        <f t="shared" si="5"/>
        <v>0.21327415062336877</v>
      </c>
      <c r="M50" s="63">
        <f t="shared" si="2"/>
        <v>5.905150803649069</v>
      </c>
      <c r="N50" s="63">
        <f t="shared" si="6"/>
        <v>7.107503921573162E-2</v>
      </c>
      <c r="R50" t="str">
        <f>'DIST _PHASE_1_V1'!R37</f>
        <v>N82_N83</v>
      </c>
      <c r="S50">
        <f>'DIST _PHASE_1_V1'!T37</f>
        <v>6.6888000000000003E-2</v>
      </c>
      <c r="T50">
        <f>'DIST _PHASE_1_V1'!Y37</f>
        <v>300</v>
      </c>
      <c r="U50">
        <f>'DIST _PHASE_1_V1'!Z37</f>
        <v>150</v>
      </c>
      <c r="V50">
        <f>'DIST _PHASE_1_V1'!AA37</f>
        <v>222</v>
      </c>
      <c r="W50" s="63">
        <f t="shared" si="3"/>
        <v>77.930043283237083</v>
      </c>
    </row>
    <row r="51" spans="5:23" x14ac:dyDescent="0.25">
      <c r="E51" s="63" t="str">
        <f>'DIST _PHASE_1_V1'!E38</f>
        <v>N39_N40</v>
      </c>
      <c r="F51" s="63">
        <f>'DIST _PHASE_1_V1'!G38</f>
        <v>0.13377500000000001</v>
      </c>
      <c r="G51" s="63">
        <f>'DIST _PHASE_1_V1'!L38</f>
        <v>421</v>
      </c>
      <c r="H51" s="63">
        <f>'DIST _PHASE_1_V1'!M38</f>
        <v>150</v>
      </c>
      <c r="I51" s="63">
        <f>'DIST _PHASE_1_V1'!N38</f>
        <v>128</v>
      </c>
      <c r="J51" s="63">
        <f t="shared" si="1"/>
        <v>8.6246495180025686</v>
      </c>
      <c r="K51" s="63">
        <f t="shared" si="0"/>
        <v>-0.13377500000000001</v>
      </c>
      <c r="L51" s="63">
        <f>-J51*F51^1.852</f>
        <v>-0.20786811646337844</v>
      </c>
      <c r="M51" s="63">
        <f t="shared" si="2"/>
        <v>2.8777555723429407</v>
      </c>
      <c r="N51" s="63">
        <f t="shared" si="6"/>
        <v>-0.1295879607842684</v>
      </c>
      <c r="R51" t="str">
        <f>'DIST _PHASE_1_V1'!R38</f>
        <v>N83_N84</v>
      </c>
      <c r="S51">
        <f>'DIST _PHASE_1_V1'!T38</f>
        <v>6.6888000000000003E-2</v>
      </c>
      <c r="T51">
        <f>'DIST _PHASE_1_V1'!Y38</f>
        <v>300</v>
      </c>
      <c r="U51">
        <f>'DIST _PHASE_1_V1'!Z38</f>
        <v>150</v>
      </c>
      <c r="V51">
        <f>'DIST _PHASE_1_V1'!AA38</f>
        <v>190</v>
      </c>
      <c r="W51" s="63">
        <f t="shared" si="3"/>
        <v>66.696883891058746</v>
      </c>
    </row>
    <row r="52" spans="5:23" x14ac:dyDescent="0.25">
      <c r="E52" s="63" t="str">
        <f>'DIST _PHASE_1_V1'!E39</f>
        <v>N40_N41</v>
      </c>
      <c r="F52" s="63">
        <f>'DIST _PHASE_1_V1'!G39</f>
        <v>0.13377500000000001</v>
      </c>
      <c r="G52" s="63">
        <f>'DIST _PHASE_1_V1'!L39</f>
        <v>421</v>
      </c>
      <c r="H52" s="63">
        <f>'DIST _PHASE_1_V1'!M39</f>
        <v>150</v>
      </c>
      <c r="I52" s="63">
        <f>'DIST _PHASE_1_V1'!N39</f>
        <v>116</v>
      </c>
      <c r="J52" s="63">
        <f t="shared" si="1"/>
        <v>7.8160886256898285</v>
      </c>
      <c r="K52" s="63">
        <f t="shared" si="0"/>
        <v>-0.13377500000000001</v>
      </c>
      <c r="L52" s="63">
        <f t="shared" ref="L52:L81" si="8">-J52*F52^1.852</f>
        <v>-0.18838048054493672</v>
      </c>
      <c r="M52" s="63">
        <f t="shared" si="2"/>
        <v>2.6079659874357901</v>
      </c>
      <c r="N52" s="63">
        <f t="shared" si="6"/>
        <v>-0.1295879607842684</v>
      </c>
      <c r="R52" t="str">
        <f>'DIST _PHASE_1_V1'!R39</f>
        <v>N84_N85</v>
      </c>
      <c r="S52">
        <f>'DIST _PHASE_1_V1'!T39</f>
        <v>6.6888000000000003E-2</v>
      </c>
      <c r="T52">
        <f>'DIST _PHASE_1_V1'!Y39</f>
        <v>300</v>
      </c>
      <c r="U52">
        <f>'DIST _PHASE_1_V1'!Z39</f>
        <v>150</v>
      </c>
      <c r="V52">
        <f>'DIST _PHASE_1_V1'!AA39</f>
        <v>290</v>
      </c>
      <c r="W52" s="63">
        <f t="shared" si="3"/>
        <v>101.80050699161599</v>
      </c>
    </row>
    <row r="53" spans="5:23" x14ac:dyDescent="0.25">
      <c r="E53" s="63" t="str">
        <f>'DIST _PHASE_1_V1'!E40</f>
        <v>N41_N42</v>
      </c>
      <c r="F53" s="63">
        <f>'DIST _PHASE_1_V1'!G40</f>
        <v>0.13377500000000001</v>
      </c>
      <c r="G53" s="63">
        <f>'DIST _PHASE_1_V1'!L40</f>
        <v>421</v>
      </c>
      <c r="H53" s="63">
        <f>'DIST _PHASE_1_V1'!M40</f>
        <v>150</v>
      </c>
      <c r="I53" s="63">
        <f>'DIST _PHASE_1_V1'!N40</f>
        <v>248</v>
      </c>
      <c r="J53" s="63">
        <f t="shared" si="1"/>
        <v>16.710258441129977</v>
      </c>
      <c r="K53" s="63">
        <f t="shared" si="0"/>
        <v>-0.13377500000000001</v>
      </c>
      <c r="L53" s="63">
        <f t="shared" si="8"/>
        <v>-0.4027444756477957</v>
      </c>
      <c r="M53" s="63">
        <f t="shared" si="2"/>
        <v>5.575651421414447</v>
      </c>
      <c r="N53" s="63">
        <f t="shared" si="6"/>
        <v>-0.1295879607842684</v>
      </c>
      <c r="R53" t="str">
        <f>'DIST _PHASE_1_V1'!R40</f>
        <v>N85_N86</v>
      </c>
      <c r="S53">
        <f>'DIST _PHASE_1_V1'!T40</f>
        <v>6.6888000000000003E-2</v>
      </c>
      <c r="T53">
        <f>'DIST _PHASE_1_V1'!Y40</f>
        <v>300</v>
      </c>
      <c r="U53">
        <f>'DIST _PHASE_1_V1'!Z40</f>
        <v>150</v>
      </c>
      <c r="V53">
        <f>'DIST _PHASE_1_V1'!AA40</f>
        <v>82</v>
      </c>
      <c r="W53" s="63">
        <f t="shared" si="3"/>
        <v>28.784970942456937</v>
      </c>
    </row>
    <row r="54" spans="5:23" x14ac:dyDescent="0.25">
      <c r="E54" s="63" t="str">
        <f>'DIST _PHASE_1_V1'!E41</f>
        <v>N42_N43</v>
      </c>
      <c r="F54" s="63">
        <f>'DIST _PHASE_1_V1'!G41</f>
        <v>0.13377500000000001</v>
      </c>
      <c r="G54" s="63">
        <f>'DIST _PHASE_1_V1'!L41</f>
        <v>421</v>
      </c>
      <c r="H54" s="63">
        <f>'DIST _PHASE_1_V1'!M41</f>
        <v>150</v>
      </c>
      <c r="I54" s="63">
        <f>'DIST _PHASE_1_V1'!N41</f>
        <v>74</v>
      </c>
      <c r="J54" s="63">
        <f t="shared" si="1"/>
        <v>4.9861255025952351</v>
      </c>
      <c r="K54" s="63">
        <f t="shared" si="0"/>
        <v>-0.13377500000000001</v>
      </c>
      <c r="L54" s="63">
        <f t="shared" si="8"/>
        <v>-0.12017375483039067</v>
      </c>
      <c r="M54" s="63">
        <f t="shared" si="2"/>
        <v>1.6637024402607623</v>
      </c>
      <c r="N54" s="63">
        <f t="shared" si="6"/>
        <v>-0.1295879607842684</v>
      </c>
      <c r="R54" t="str">
        <f>'DIST _PHASE_1_V1'!R41</f>
        <v>N86_N87</v>
      </c>
      <c r="S54">
        <f>'DIST _PHASE_1_V1'!T41</f>
        <v>6.6888000000000003E-2</v>
      </c>
      <c r="T54">
        <f>'DIST _PHASE_1_V1'!Y41</f>
        <v>300</v>
      </c>
      <c r="U54">
        <f>'DIST _PHASE_1_V1'!Z41</f>
        <v>150</v>
      </c>
      <c r="V54">
        <f>'DIST _PHASE_1_V1'!AA41</f>
        <v>75</v>
      </c>
      <c r="W54" s="63">
        <f t="shared" si="3"/>
        <v>26.327717325417932</v>
      </c>
    </row>
    <row r="55" spans="5:23" x14ac:dyDescent="0.25">
      <c r="E55" s="63" t="str">
        <f>'DIST _PHASE_1_V1'!E42</f>
        <v>N43_N44</v>
      </c>
      <c r="F55" s="63">
        <f>'DIST _PHASE_1_V1'!G42</f>
        <v>0.13377500000000001</v>
      </c>
      <c r="G55" s="63">
        <f>'DIST _PHASE_1_V1'!L42</f>
        <v>421</v>
      </c>
      <c r="H55" s="63">
        <f>'DIST _PHASE_1_V1'!M42</f>
        <v>150</v>
      </c>
      <c r="I55" s="63">
        <f>'DIST _PHASE_1_V1'!N42</f>
        <v>88</v>
      </c>
      <c r="J55" s="63">
        <f t="shared" si="1"/>
        <v>5.9294465436267663</v>
      </c>
      <c r="K55" s="63">
        <f t="shared" si="0"/>
        <v>-0.13377500000000001</v>
      </c>
      <c r="L55" s="63">
        <f t="shared" si="8"/>
        <v>-0.14290933006857268</v>
      </c>
      <c r="M55" s="63">
        <f t="shared" si="2"/>
        <v>1.9784569559857716</v>
      </c>
      <c r="N55" s="63">
        <f t="shared" si="6"/>
        <v>-0.1295879607842684</v>
      </c>
      <c r="R55" t="str">
        <f>'DIST _PHASE_1_V1'!R42</f>
        <v>N87_N88</v>
      </c>
      <c r="S55">
        <f>'DIST _PHASE_1_V1'!T42</f>
        <v>6.6888000000000003E-2</v>
      </c>
      <c r="T55">
        <f>'DIST _PHASE_1_V1'!Y42</f>
        <v>300</v>
      </c>
      <c r="U55">
        <f>'DIST _PHASE_1_V1'!Z42</f>
        <v>150</v>
      </c>
      <c r="V55">
        <f>'DIST _PHASE_1_V1'!AA42</f>
        <v>108</v>
      </c>
      <c r="W55" s="63">
        <f t="shared" si="3"/>
        <v>37.911912948601824</v>
      </c>
    </row>
    <row r="56" spans="5:23" x14ac:dyDescent="0.25">
      <c r="E56" s="63" t="str">
        <f>'DIST _PHASE_1_V1'!E43</f>
        <v>N44_N45</v>
      </c>
      <c r="F56" s="63">
        <f>'DIST _PHASE_1_V1'!G43</f>
        <v>0.13377500000000001</v>
      </c>
      <c r="G56" s="63">
        <f>'DIST _PHASE_1_V1'!L43</f>
        <v>421</v>
      </c>
      <c r="H56" s="63">
        <f>'DIST _PHASE_1_V1'!M43</f>
        <v>150</v>
      </c>
      <c r="I56" s="63">
        <f>'DIST _PHASE_1_V1'!N43</f>
        <v>111</v>
      </c>
      <c r="J56" s="63">
        <f t="shared" si="1"/>
        <v>7.4791882538928531</v>
      </c>
      <c r="K56" s="63">
        <f t="shared" si="0"/>
        <v>-0.13377500000000001</v>
      </c>
      <c r="L56" s="63">
        <f t="shared" si="8"/>
        <v>-0.180260632245586</v>
      </c>
      <c r="M56" s="63">
        <f t="shared" si="2"/>
        <v>2.4955536603911437</v>
      </c>
      <c r="N56" s="63">
        <f t="shared" si="6"/>
        <v>-0.1295879607842684</v>
      </c>
      <c r="R56" t="str">
        <f>'DIST _PHASE_1_V1'!R43</f>
        <v>N88_N89</v>
      </c>
      <c r="S56">
        <f>'DIST _PHASE_1_V1'!T43</f>
        <v>6.6888000000000003E-2</v>
      </c>
      <c r="T56">
        <f>'DIST _PHASE_1_V1'!Y43</f>
        <v>300</v>
      </c>
      <c r="U56">
        <f>'DIST _PHASE_1_V1'!Z43</f>
        <v>150</v>
      </c>
      <c r="V56">
        <f>'DIST _PHASE_1_V1'!AA43</f>
        <v>150</v>
      </c>
      <c r="W56" s="63">
        <f t="shared" si="3"/>
        <v>52.655434650835865</v>
      </c>
    </row>
    <row r="57" spans="5:23" x14ac:dyDescent="0.25">
      <c r="E57" s="63" t="str">
        <f>'DIST _PHASE_1_V1'!E44</f>
        <v>N45_N46</v>
      </c>
      <c r="F57" s="63">
        <f>'DIST _PHASE_1_V1'!G44</f>
        <v>0.13377500000000001</v>
      </c>
      <c r="G57" s="63">
        <f>'DIST _PHASE_1_V1'!L44</f>
        <v>421</v>
      </c>
      <c r="H57" s="63">
        <f>'DIST _PHASE_1_V1'!M44</f>
        <v>150</v>
      </c>
      <c r="I57" s="63">
        <f>'DIST _PHASE_1_V1'!N44</f>
        <v>129</v>
      </c>
      <c r="J57" s="63">
        <f t="shared" si="1"/>
        <v>8.6920295923619637</v>
      </c>
      <c r="K57" s="63">
        <f t="shared" si="0"/>
        <v>-0.13377500000000001</v>
      </c>
      <c r="L57" s="63">
        <f t="shared" si="8"/>
        <v>-0.20949208612324857</v>
      </c>
      <c r="M57" s="63">
        <f t="shared" si="2"/>
        <v>2.9002380377518699</v>
      </c>
      <c r="N57" s="63">
        <f t="shared" si="6"/>
        <v>-0.1295879607842684</v>
      </c>
      <c r="R57" t="str">
        <f>'DIST _PHASE_1_V1'!R44</f>
        <v>N89_N90</v>
      </c>
      <c r="S57">
        <f>'DIST _PHASE_1_V1'!T44</f>
        <v>6.6888000000000003E-2</v>
      </c>
      <c r="T57">
        <f>'DIST _PHASE_1_V1'!Y44</f>
        <v>300</v>
      </c>
      <c r="U57">
        <f>'DIST _PHASE_1_V1'!Z44</f>
        <v>150</v>
      </c>
      <c r="V57">
        <f>'DIST _PHASE_1_V1'!AA44</f>
        <v>54</v>
      </c>
      <c r="W57" s="63">
        <f t="shared" si="3"/>
        <v>18.955956474300912</v>
      </c>
    </row>
    <row r="58" spans="5:23" x14ac:dyDescent="0.25">
      <c r="E58" s="63" t="str">
        <f>'DIST _PHASE_1_V1'!E45</f>
        <v>N46_N47</v>
      </c>
      <c r="F58" s="63">
        <f>'DIST _PHASE_1_V1'!G45</f>
        <v>0.13377500000000001</v>
      </c>
      <c r="G58" s="63">
        <f>'DIST _PHASE_1_V1'!L45</f>
        <v>421</v>
      </c>
      <c r="H58" s="63">
        <f>'DIST _PHASE_1_V1'!M45</f>
        <v>150</v>
      </c>
      <c r="I58" s="63">
        <f>'DIST _PHASE_1_V1'!N45</f>
        <v>201</v>
      </c>
      <c r="J58" s="63">
        <f t="shared" si="1"/>
        <v>13.54339494623841</v>
      </c>
      <c r="K58" s="63">
        <f t="shared" si="0"/>
        <v>-0.13377500000000001</v>
      </c>
      <c r="L58" s="63">
        <f t="shared" si="8"/>
        <v>-0.326417901633899</v>
      </c>
      <c r="M58" s="63">
        <f t="shared" si="2"/>
        <v>4.5189755471947741</v>
      </c>
      <c r="N58" s="63">
        <f t="shared" si="6"/>
        <v>-0.1295879607842684</v>
      </c>
      <c r="R58" t="str">
        <f>'DIST _PHASE_1_V1'!R45</f>
        <v>N90_N91</v>
      </c>
      <c r="S58">
        <f>'DIST _PHASE_1_V1'!T45</f>
        <v>6.6888000000000003E-2</v>
      </c>
      <c r="T58">
        <f>'DIST _PHASE_1_V1'!Y45</f>
        <v>300</v>
      </c>
      <c r="U58">
        <f>'DIST _PHASE_1_V1'!Z45</f>
        <v>150</v>
      </c>
      <c r="V58">
        <f>'DIST _PHASE_1_V1'!AA45</f>
        <v>93</v>
      </c>
      <c r="W58" s="63">
        <f t="shared" si="3"/>
        <v>32.646369483518235</v>
      </c>
    </row>
    <row r="59" spans="5:23" x14ac:dyDescent="0.25">
      <c r="E59" s="63" t="str">
        <f>'DIST _PHASE_1_V1'!E46</f>
        <v>N47_N48</v>
      </c>
      <c r="F59" s="63">
        <f>'DIST _PHASE_1_V1'!G46</f>
        <v>0.13377500000000001</v>
      </c>
      <c r="G59" s="63">
        <f>'DIST _PHASE_1_V1'!L46</f>
        <v>421</v>
      </c>
      <c r="H59" s="63">
        <f>'DIST _PHASE_1_V1'!M46</f>
        <v>150</v>
      </c>
      <c r="I59" s="63">
        <f>'DIST _PHASE_1_V1'!N46</f>
        <v>41</v>
      </c>
      <c r="J59" s="63">
        <f t="shared" si="1"/>
        <v>2.7625830487351974</v>
      </c>
      <c r="K59" s="63">
        <f t="shared" si="0"/>
        <v>-0.13377500000000001</v>
      </c>
      <c r="L59" s="63">
        <f t="shared" si="8"/>
        <v>-6.6582756054675896E-2</v>
      </c>
      <c r="M59" s="63">
        <f t="shared" si="2"/>
        <v>0.92178108176609808</v>
      </c>
      <c r="N59" s="63">
        <f t="shared" si="6"/>
        <v>-0.1295879607842684</v>
      </c>
      <c r="R59" t="str">
        <f>'DIST _PHASE_1_V1'!R46</f>
        <v>N91_N94</v>
      </c>
      <c r="S59">
        <f>'DIST _PHASE_1_V1'!T46</f>
        <v>6.6888000000000003E-2</v>
      </c>
      <c r="T59">
        <f>'DIST _PHASE_1_V1'!Y46</f>
        <v>300</v>
      </c>
      <c r="U59">
        <f>'DIST _PHASE_1_V1'!Z46</f>
        <v>150</v>
      </c>
      <c r="V59">
        <f>'DIST _PHASE_1_V1'!AA46</f>
        <v>88</v>
      </c>
      <c r="W59" s="63">
        <f t="shared" si="3"/>
        <v>30.891188328490372</v>
      </c>
    </row>
    <row r="60" spans="5:23" x14ac:dyDescent="0.25">
      <c r="E60" s="63" t="str">
        <f>'DIST _PHASE_1_V1'!E47</f>
        <v>N48_N49</v>
      </c>
      <c r="F60" s="63">
        <f>'DIST _PHASE_1_V1'!G47</f>
        <v>0.13377500000000001</v>
      </c>
      <c r="G60" s="63">
        <f>'DIST _PHASE_1_V1'!L47</f>
        <v>421</v>
      </c>
      <c r="H60" s="63">
        <f>'DIST _PHASE_1_V1'!M47</f>
        <v>150</v>
      </c>
      <c r="I60" s="63">
        <f>'DIST _PHASE_1_V1'!N47</f>
        <v>63</v>
      </c>
      <c r="J60" s="63">
        <f t="shared" si="1"/>
        <v>4.2449446846418892</v>
      </c>
      <c r="K60" s="63">
        <f t="shared" si="0"/>
        <v>-0.13377500000000001</v>
      </c>
      <c r="L60" s="63">
        <f t="shared" si="8"/>
        <v>-0.10231008857181907</v>
      </c>
      <c r="M60" s="63">
        <f t="shared" si="2"/>
        <v>1.416395320762541</v>
      </c>
      <c r="N60" s="63">
        <f t="shared" si="6"/>
        <v>-0.1295879607842684</v>
      </c>
      <c r="R60" t="str">
        <f>'DIST _PHASE_1_V1'!R47</f>
        <v>N92_N93</v>
      </c>
      <c r="S60">
        <f>'DIST _PHASE_1_V1'!T47</f>
        <v>6.6888000000000003E-2</v>
      </c>
      <c r="T60">
        <f>'DIST _PHASE_1_V1'!Y47</f>
        <v>300</v>
      </c>
      <c r="U60">
        <f>'DIST _PHASE_1_V1'!Z47</f>
        <v>150</v>
      </c>
      <c r="V60">
        <f>'DIST _PHASE_1_V1'!AA47</f>
        <v>152</v>
      </c>
      <c r="W60" s="63">
        <f t="shared" si="3"/>
        <v>53.357507112847003</v>
      </c>
    </row>
    <row r="61" spans="5:23" x14ac:dyDescent="0.25">
      <c r="E61" s="63" t="str">
        <f>'DIST _PHASE_1_V1'!E48</f>
        <v>N49_N50</v>
      </c>
      <c r="F61" s="63">
        <f>'DIST _PHASE_1_V1'!G48</f>
        <v>0.13377500000000001</v>
      </c>
      <c r="G61" s="63">
        <f>'DIST _PHASE_1_V1'!L48</f>
        <v>421</v>
      </c>
      <c r="H61" s="63">
        <f>'DIST _PHASE_1_V1'!M48</f>
        <v>150</v>
      </c>
      <c r="I61" s="63">
        <f>'DIST _PHASE_1_V1'!N48</f>
        <v>250</v>
      </c>
      <c r="J61" s="63">
        <f t="shared" si="1"/>
        <v>16.845018589848767</v>
      </c>
      <c r="K61" s="63">
        <f t="shared" si="0"/>
        <v>-0.13377500000000001</v>
      </c>
      <c r="L61" s="63">
        <f t="shared" si="8"/>
        <v>-0.40599241496753602</v>
      </c>
      <c r="M61" s="63">
        <f t="shared" si="2"/>
        <v>5.6206163522323056</v>
      </c>
      <c r="N61" s="63">
        <f t="shared" si="6"/>
        <v>-0.1295879607842684</v>
      </c>
      <c r="R61" t="str">
        <f>'DIST _PHASE_1_V1'!R48</f>
        <v>N93_N94</v>
      </c>
      <c r="S61">
        <f>'DIST _PHASE_1_V1'!T48</f>
        <v>6.6888000000000003E-2</v>
      </c>
      <c r="T61">
        <f>'DIST _PHASE_1_V1'!Y48</f>
        <v>300</v>
      </c>
      <c r="U61">
        <f>'DIST _PHASE_1_V1'!Z48</f>
        <v>150</v>
      </c>
      <c r="V61">
        <f>'DIST _PHASE_1_V1'!AA48</f>
        <v>68</v>
      </c>
      <c r="W61" s="63">
        <f t="shared" si="3"/>
        <v>23.870463708378924</v>
      </c>
    </row>
    <row r="62" spans="5:23" x14ac:dyDescent="0.25">
      <c r="E62" s="63" t="str">
        <f>'DIST _PHASE_1_V1'!E49</f>
        <v>N50_N51</v>
      </c>
      <c r="F62" s="63">
        <f>'DIST _PHASE_1_V1'!G49</f>
        <v>0.13377500000000001</v>
      </c>
      <c r="G62" s="63">
        <f>'DIST _PHASE_1_V1'!L49</f>
        <v>421</v>
      </c>
      <c r="H62" s="63">
        <f>'DIST _PHASE_1_V1'!M49</f>
        <v>150</v>
      </c>
      <c r="I62" s="63">
        <f>'DIST _PHASE_1_V1'!N49</f>
        <v>77</v>
      </c>
      <c r="J62" s="63">
        <f t="shared" si="1"/>
        <v>5.1882657256734204</v>
      </c>
      <c r="K62" s="63">
        <f t="shared" si="0"/>
        <v>-0.13377500000000001</v>
      </c>
      <c r="L62" s="63">
        <f t="shared" si="8"/>
        <v>-0.1250456638100011</v>
      </c>
      <c r="M62" s="63">
        <f t="shared" si="2"/>
        <v>1.7311498364875504</v>
      </c>
      <c r="N62" s="63">
        <f t="shared" si="6"/>
        <v>-0.1295879607842684</v>
      </c>
    </row>
    <row r="63" spans="5:23" x14ac:dyDescent="0.25">
      <c r="E63" s="63" t="str">
        <f>'DIST _PHASE_1_V1'!E50</f>
        <v>N51_N52</v>
      </c>
      <c r="F63" s="63">
        <f>'DIST _PHASE_1_V1'!G50</f>
        <v>0.13377500000000001</v>
      </c>
      <c r="G63" s="63">
        <f>'DIST _PHASE_1_V1'!L50</f>
        <v>421</v>
      </c>
      <c r="H63" s="63">
        <f>'DIST _PHASE_1_V1'!M50</f>
        <v>150</v>
      </c>
      <c r="I63" s="63">
        <f>'DIST _PHASE_1_V1'!N50</f>
        <v>73</v>
      </c>
      <c r="J63" s="63">
        <f t="shared" si="1"/>
        <v>4.91874542823584</v>
      </c>
      <c r="K63" s="63">
        <f t="shared" si="0"/>
        <v>-0.13377500000000001</v>
      </c>
      <c r="L63" s="63">
        <f t="shared" si="8"/>
        <v>-0.11854978517052052</v>
      </c>
      <c r="M63" s="63">
        <f t="shared" si="2"/>
        <v>1.6412199748518332</v>
      </c>
      <c r="N63" s="63">
        <f t="shared" si="6"/>
        <v>-0.1295879607842684</v>
      </c>
    </row>
    <row r="64" spans="5:23" x14ac:dyDescent="0.25">
      <c r="E64" s="63" t="str">
        <f>'DIST _PHASE_1_V1'!E51</f>
        <v>N52_N53</v>
      </c>
      <c r="F64" s="63">
        <f>'DIST _PHASE_1_V1'!G51</f>
        <v>0.13377500000000001</v>
      </c>
      <c r="G64" s="63">
        <f>'DIST _PHASE_1_V1'!L51</f>
        <v>421</v>
      </c>
      <c r="H64" s="63">
        <f>'DIST _PHASE_1_V1'!M51</f>
        <v>150</v>
      </c>
      <c r="I64" s="63">
        <f>'DIST _PHASE_1_V1'!N51</f>
        <v>95</v>
      </c>
      <c r="J64" s="63">
        <f t="shared" si="1"/>
        <v>6.4011070641425309</v>
      </c>
      <c r="K64" s="63">
        <f>-F64</f>
        <v>-0.13377500000000001</v>
      </c>
      <c r="L64" s="63">
        <f t="shared" si="8"/>
        <v>-0.15427711768766367</v>
      </c>
      <c r="M64" s="63">
        <f t="shared" si="2"/>
        <v>2.135834213848276</v>
      </c>
      <c r="N64" s="63">
        <f t="shared" si="6"/>
        <v>-0.1295879607842684</v>
      </c>
    </row>
    <row r="65" spans="5:14" x14ac:dyDescent="0.25">
      <c r="E65" s="63" t="str">
        <f>'DIST _PHASE_1_V1'!E52</f>
        <v>N53_N54</v>
      </c>
      <c r="F65" s="63">
        <f>'DIST _PHASE_1_V1'!G52</f>
        <v>0.13377500000000001</v>
      </c>
      <c r="G65" s="63">
        <f>'DIST _PHASE_1_V1'!L52</f>
        <v>421</v>
      </c>
      <c r="H65" s="63">
        <f>'DIST _PHASE_1_V1'!M52</f>
        <v>150</v>
      </c>
      <c r="I65" s="63">
        <f>'DIST _PHASE_1_V1'!N52</f>
        <v>96</v>
      </c>
      <c r="J65" s="63">
        <f t="shared" si="1"/>
        <v>6.468487138501926</v>
      </c>
      <c r="K65" s="63">
        <f t="shared" ref="K65:K81" si="9">-F65</f>
        <v>-0.13377500000000001</v>
      </c>
      <c r="L65" s="63">
        <f t="shared" si="8"/>
        <v>-0.15590108734753383</v>
      </c>
      <c r="M65" s="63">
        <f t="shared" si="2"/>
        <v>2.1583166792572053</v>
      </c>
      <c r="N65" s="63">
        <f t="shared" si="6"/>
        <v>-0.1295879607842684</v>
      </c>
    </row>
    <row r="66" spans="5:14" x14ac:dyDescent="0.25">
      <c r="E66" s="63" t="str">
        <f>'DIST _PHASE_1_V1'!E53</f>
        <v>N54_N55</v>
      </c>
      <c r="F66" s="63">
        <f>'DIST _PHASE_1_V1'!G53</f>
        <v>6.6888000000000003E-2</v>
      </c>
      <c r="G66" s="63">
        <f>'DIST _PHASE_1_V1'!L53</f>
        <v>300</v>
      </c>
      <c r="H66" s="63">
        <f>'DIST _PHASE_1_V1'!M53</f>
        <v>150</v>
      </c>
      <c r="I66" s="63">
        <f>'DIST _PHASE_1_V1'!N53</f>
        <v>88</v>
      </c>
      <c r="J66" s="63">
        <f t="shared" si="1"/>
        <v>30.891188328490372</v>
      </c>
      <c r="K66" s="63">
        <f t="shared" si="9"/>
        <v>-6.6888000000000003E-2</v>
      </c>
      <c r="L66" s="63">
        <f t="shared" si="8"/>
        <v>-0.20624313466875224</v>
      </c>
      <c r="M66" s="63">
        <f t="shared" si="2"/>
        <v>5.710475502429869</v>
      </c>
      <c r="N66" s="63">
        <f t="shared" si="6"/>
        <v>-6.2700960784268386E-2</v>
      </c>
    </row>
    <row r="67" spans="5:14" x14ac:dyDescent="0.25">
      <c r="E67" s="63" t="str">
        <f>'DIST _PHASE_1_V1'!E54</f>
        <v>N55_N56</v>
      </c>
      <c r="F67" s="63">
        <f>'DIST _PHASE_1_V1'!G54</f>
        <v>6.6888000000000003E-2</v>
      </c>
      <c r="G67" s="63">
        <f>'DIST _PHASE_1_V1'!L54</f>
        <v>300</v>
      </c>
      <c r="H67" s="63">
        <f>'DIST _PHASE_1_V1'!M54</f>
        <v>150</v>
      </c>
      <c r="I67" s="63">
        <f>'DIST _PHASE_1_V1'!N54</f>
        <v>35</v>
      </c>
      <c r="J67" s="63">
        <f t="shared" si="1"/>
        <v>12.286268085195033</v>
      </c>
      <c r="K67" s="63">
        <f t="shared" si="9"/>
        <v>-6.6888000000000003E-2</v>
      </c>
      <c r="L67" s="63">
        <f t="shared" si="8"/>
        <v>-8.2028519470526445E-2</v>
      </c>
      <c r="M67" s="63">
        <f t="shared" si="2"/>
        <v>2.2712118475573342</v>
      </c>
      <c r="N67" s="63">
        <f t="shared" si="6"/>
        <v>-6.2700960784268386E-2</v>
      </c>
    </row>
    <row r="68" spans="5:14" x14ac:dyDescent="0.25">
      <c r="E68" s="63" t="str">
        <f>'DIST _PHASE_1_V1'!E55</f>
        <v>N56_N57</v>
      </c>
      <c r="F68" s="63">
        <f>'DIST _PHASE_1_V1'!G55</f>
        <v>6.6888000000000003E-2</v>
      </c>
      <c r="G68" s="63">
        <f>'DIST _PHASE_1_V1'!L55</f>
        <v>300</v>
      </c>
      <c r="H68" s="63">
        <f>'DIST _PHASE_1_V1'!M55</f>
        <v>150</v>
      </c>
      <c r="I68" s="63">
        <f>'DIST _PHASE_1_V1'!N55</f>
        <v>54</v>
      </c>
      <c r="J68" s="63">
        <f t="shared" si="1"/>
        <v>18.955956474300912</v>
      </c>
      <c r="K68" s="63">
        <f t="shared" si="9"/>
        <v>-6.6888000000000003E-2</v>
      </c>
      <c r="L68" s="63">
        <f t="shared" si="8"/>
        <v>-0.12655828718309797</v>
      </c>
      <c r="M68" s="63">
        <f t="shared" si="2"/>
        <v>3.5041554219456019</v>
      </c>
      <c r="N68" s="63">
        <f t="shared" si="6"/>
        <v>-6.2700960784268386E-2</v>
      </c>
    </row>
    <row r="69" spans="5:14" x14ac:dyDescent="0.25">
      <c r="E69" s="63" t="str">
        <f>'DIST _PHASE_1_V1'!E56</f>
        <v>N57_N58</v>
      </c>
      <c r="F69" s="63">
        <f>'DIST _PHASE_1_V1'!G56</f>
        <v>6.6888000000000003E-2</v>
      </c>
      <c r="G69" s="63">
        <f>'DIST _PHASE_1_V1'!L56</f>
        <v>300</v>
      </c>
      <c r="H69" s="63">
        <f>'DIST _PHASE_1_V1'!M56</f>
        <v>150</v>
      </c>
      <c r="I69" s="63">
        <f>'DIST _PHASE_1_V1'!N56</f>
        <v>151</v>
      </c>
      <c r="J69" s="63">
        <f t="shared" si="1"/>
        <v>53.00647088184143</v>
      </c>
      <c r="K69" s="63">
        <f t="shared" si="9"/>
        <v>-6.6888000000000003E-2</v>
      </c>
      <c r="L69" s="63">
        <f t="shared" si="8"/>
        <v>-0.35389446971569982</v>
      </c>
      <c r="M69" s="63">
        <f t="shared" si="2"/>
        <v>9.7986568280330708</v>
      </c>
      <c r="N69" s="63">
        <f t="shared" si="6"/>
        <v>-6.2700960784268386E-2</v>
      </c>
    </row>
    <row r="70" spans="5:14" x14ac:dyDescent="0.25">
      <c r="E70" s="63" t="str">
        <f>'DIST _PHASE_1_V1'!E57</f>
        <v>N58_N59</v>
      </c>
      <c r="F70" s="63">
        <f>'DIST _PHASE_1_V1'!G57</f>
        <v>6.6888000000000003E-2</v>
      </c>
      <c r="G70" s="63">
        <f>'DIST _PHASE_1_V1'!L57</f>
        <v>300</v>
      </c>
      <c r="H70" s="63">
        <f>'DIST _PHASE_1_V1'!M57</f>
        <v>150</v>
      </c>
      <c r="I70" s="63">
        <f>'DIST _PHASE_1_V1'!N57</f>
        <v>78</v>
      </c>
      <c r="J70" s="63">
        <f t="shared" si="1"/>
        <v>27.380826018434647</v>
      </c>
      <c r="K70" s="63">
        <f t="shared" si="9"/>
        <v>-6.6888000000000003E-2</v>
      </c>
      <c r="L70" s="63">
        <f t="shared" si="8"/>
        <v>-0.18280641482003038</v>
      </c>
      <c r="M70" s="63">
        <f t="shared" si="2"/>
        <v>5.0615578316992025</v>
      </c>
      <c r="N70" s="63">
        <f t="shared" si="6"/>
        <v>-6.2700960784268386E-2</v>
      </c>
    </row>
    <row r="71" spans="5:14" x14ac:dyDescent="0.25">
      <c r="E71" s="63" t="str">
        <f>'DIST _PHASE_1_V1'!E58</f>
        <v>N59_N60</v>
      </c>
      <c r="F71" s="63">
        <f>'DIST _PHASE_1_V1'!G58</f>
        <v>6.6888000000000003E-2</v>
      </c>
      <c r="G71" s="63">
        <f>'DIST _PHASE_1_V1'!L58</f>
        <v>300</v>
      </c>
      <c r="H71" s="63">
        <f>'DIST _PHASE_1_V1'!M58</f>
        <v>150</v>
      </c>
      <c r="I71" s="63">
        <f>'DIST _PHASE_1_V1'!N58</f>
        <v>84</v>
      </c>
      <c r="J71" s="63">
        <f t="shared" si="1"/>
        <v>29.487043404468082</v>
      </c>
      <c r="K71" s="63">
        <f t="shared" si="9"/>
        <v>-6.6888000000000003E-2</v>
      </c>
      <c r="L71" s="63">
        <f t="shared" si="8"/>
        <v>-0.19686844672926349</v>
      </c>
      <c r="M71" s="63">
        <f t="shared" si="2"/>
        <v>5.4509084341376024</v>
      </c>
      <c r="N71" s="63">
        <f t="shared" si="6"/>
        <v>-6.2700960784268386E-2</v>
      </c>
    </row>
    <row r="72" spans="5:14" x14ac:dyDescent="0.25">
      <c r="E72" s="63" t="str">
        <f>'DIST _PHASE_1_V1'!E59</f>
        <v>N60_N61</v>
      </c>
      <c r="F72" s="63">
        <f>'DIST _PHASE_1_V1'!G59</f>
        <v>6.6888000000000003E-2</v>
      </c>
      <c r="G72" s="63">
        <f>'DIST _PHASE_1_V1'!L59</f>
        <v>300</v>
      </c>
      <c r="H72" s="63">
        <f>'DIST _PHASE_1_V1'!M59</f>
        <v>150</v>
      </c>
      <c r="I72" s="63">
        <f>'DIST _PHASE_1_V1'!N59</f>
        <v>83</v>
      </c>
      <c r="J72" s="63">
        <f t="shared" si="1"/>
        <v>29.136007173462506</v>
      </c>
      <c r="K72" s="63">
        <f t="shared" si="9"/>
        <v>-6.6888000000000003E-2</v>
      </c>
      <c r="L72" s="63">
        <f t="shared" si="8"/>
        <v>-0.19452477474439128</v>
      </c>
      <c r="M72" s="63">
        <f t="shared" si="2"/>
        <v>5.3860166670645349</v>
      </c>
      <c r="N72" s="63">
        <f t="shared" si="6"/>
        <v>-6.2700960784268386E-2</v>
      </c>
    </row>
    <row r="73" spans="5:14" x14ac:dyDescent="0.25">
      <c r="E73" s="63" t="str">
        <f>'DIST _PHASE_1_V1'!E60</f>
        <v>N61_N62</v>
      </c>
      <c r="F73" s="63">
        <f>'DIST _PHASE_1_V1'!G60</f>
        <v>6.6888000000000003E-2</v>
      </c>
      <c r="G73" s="63">
        <f>'DIST _PHASE_1_V1'!L60</f>
        <v>300</v>
      </c>
      <c r="H73" s="63">
        <f>'DIST _PHASE_1_V1'!M60</f>
        <v>150</v>
      </c>
      <c r="I73" s="63">
        <f>'DIST _PHASE_1_V1'!N60</f>
        <v>75</v>
      </c>
      <c r="J73" s="63">
        <f t="shared" si="1"/>
        <v>26.327717325417932</v>
      </c>
      <c r="K73" s="63">
        <f t="shared" si="9"/>
        <v>-6.6888000000000003E-2</v>
      </c>
      <c r="L73" s="63">
        <f t="shared" si="8"/>
        <v>-0.17577539886541385</v>
      </c>
      <c r="M73" s="63">
        <f t="shared" si="2"/>
        <v>4.8668825304800025</v>
      </c>
      <c r="N73" s="63">
        <f t="shared" si="6"/>
        <v>-6.2700960784268386E-2</v>
      </c>
    </row>
    <row r="74" spans="5:14" x14ac:dyDescent="0.25">
      <c r="E74" s="63" t="str">
        <f>'DIST _PHASE_1_V1'!E61</f>
        <v>N62_N63</v>
      </c>
      <c r="F74" s="63">
        <f>'DIST _PHASE_1_V1'!G61</f>
        <v>6.6888000000000003E-2</v>
      </c>
      <c r="G74" s="63">
        <f>'DIST _PHASE_1_V1'!L61</f>
        <v>300</v>
      </c>
      <c r="H74" s="63">
        <f>'DIST _PHASE_1_V1'!M61</f>
        <v>150</v>
      </c>
      <c r="I74" s="63">
        <f>'DIST _PHASE_1_V1'!N61</f>
        <v>85</v>
      </c>
      <c r="J74" s="63">
        <f t="shared" si="1"/>
        <v>29.838079635473655</v>
      </c>
      <c r="K74" s="63">
        <f t="shared" si="9"/>
        <v>-6.6888000000000003E-2</v>
      </c>
      <c r="L74" s="63">
        <f t="shared" si="8"/>
        <v>-0.19921211871413569</v>
      </c>
      <c r="M74" s="63">
        <f t="shared" si="2"/>
        <v>5.5158002012106691</v>
      </c>
      <c r="N74" s="63">
        <f t="shared" si="6"/>
        <v>-6.2700960784268386E-2</v>
      </c>
    </row>
    <row r="75" spans="5:14" x14ac:dyDescent="0.25">
      <c r="E75" s="63" t="str">
        <f>'DIST _PHASE_1_V1'!E62</f>
        <v>N63_N64</v>
      </c>
      <c r="F75" s="63">
        <f>'DIST _PHASE_1_V1'!G62</f>
        <v>6.6888000000000003E-2</v>
      </c>
      <c r="G75" s="63">
        <f>'DIST _PHASE_1_V1'!L62</f>
        <v>300</v>
      </c>
      <c r="H75" s="63">
        <f>'DIST _PHASE_1_V1'!M62</f>
        <v>150</v>
      </c>
      <c r="I75" s="63">
        <f>'DIST _PHASE_1_V1'!N62</f>
        <v>129</v>
      </c>
      <c r="J75" s="63">
        <f t="shared" si="1"/>
        <v>45.283673799718841</v>
      </c>
      <c r="K75" s="63">
        <f t="shared" si="9"/>
        <v>-6.6888000000000003E-2</v>
      </c>
      <c r="L75" s="63">
        <f t="shared" si="8"/>
        <v>-0.3023336860485118</v>
      </c>
      <c r="M75" s="63">
        <f t="shared" si="2"/>
        <v>8.3710379524256044</v>
      </c>
      <c r="N75" s="63">
        <f t="shared" si="6"/>
        <v>-6.2700960784268386E-2</v>
      </c>
    </row>
    <row r="76" spans="5:14" x14ac:dyDescent="0.25">
      <c r="E76" s="63" t="str">
        <f>'DIST _PHASE_1_V1'!E63</f>
        <v>N64_N65</v>
      </c>
      <c r="F76" s="63">
        <f>'DIST _PHASE_1_V1'!G63</f>
        <v>6.6888000000000003E-2</v>
      </c>
      <c r="G76" s="63">
        <f>'DIST _PHASE_1_V1'!L63</f>
        <v>300</v>
      </c>
      <c r="H76" s="63">
        <f>'DIST _PHASE_1_V1'!M63</f>
        <v>150</v>
      </c>
      <c r="I76" s="63">
        <f>'DIST _PHASE_1_V1'!N63</f>
        <v>37</v>
      </c>
      <c r="J76" s="63">
        <f t="shared" si="1"/>
        <v>12.988340547206178</v>
      </c>
      <c r="K76" s="63">
        <f t="shared" si="9"/>
        <v>-6.6888000000000003E-2</v>
      </c>
      <c r="L76" s="63">
        <f t="shared" si="8"/>
        <v>-8.6715863440270824E-2</v>
      </c>
      <c r="M76" s="63">
        <f t="shared" si="2"/>
        <v>2.4009953817034675</v>
      </c>
      <c r="N76" s="63">
        <f t="shared" si="6"/>
        <v>-6.2700960784268386E-2</v>
      </c>
    </row>
    <row r="77" spans="5:14" x14ac:dyDescent="0.25">
      <c r="E77" s="63" t="str">
        <f>'DIST _PHASE_1_V1'!E64</f>
        <v>N65_N66</v>
      </c>
      <c r="F77" s="63">
        <f>'DIST _PHASE_1_V1'!G64</f>
        <v>6.6888000000000003E-2</v>
      </c>
      <c r="G77" s="63">
        <f>'DIST _PHASE_1_V1'!L64</f>
        <v>300</v>
      </c>
      <c r="H77" s="63">
        <f>'DIST _PHASE_1_V1'!M64</f>
        <v>150</v>
      </c>
      <c r="I77" s="63">
        <f>'DIST _PHASE_1_V1'!N64</f>
        <v>77</v>
      </c>
      <c r="J77" s="63">
        <f t="shared" si="1"/>
        <v>27.029789787429074</v>
      </c>
      <c r="K77" s="63">
        <f t="shared" si="9"/>
        <v>-6.6888000000000003E-2</v>
      </c>
      <c r="L77" s="63">
        <f t="shared" si="8"/>
        <v>-0.1804627428351582</v>
      </c>
      <c r="M77" s="63">
        <f t="shared" si="2"/>
        <v>4.9966660646261349</v>
      </c>
      <c r="N77" s="63">
        <f t="shared" si="6"/>
        <v>-6.2700960784268386E-2</v>
      </c>
    </row>
    <row r="78" spans="5:14" x14ac:dyDescent="0.25">
      <c r="E78" s="63" t="str">
        <f>'DIST _PHASE_1_V1'!E65</f>
        <v>N66_N67</v>
      </c>
      <c r="F78" s="63">
        <f>'DIST _PHASE_1_V1'!G65</f>
        <v>6.6888000000000003E-2</v>
      </c>
      <c r="G78" s="63">
        <f>'DIST _PHASE_1_V1'!L65</f>
        <v>300</v>
      </c>
      <c r="H78" s="63">
        <f>'DIST _PHASE_1_V1'!M65</f>
        <v>150</v>
      </c>
      <c r="I78" s="63">
        <f>'DIST _PHASE_1_V1'!N65</f>
        <v>89</v>
      </c>
      <c r="J78" s="63">
        <f t="shared" si="1"/>
        <v>31.242224559495945</v>
      </c>
      <c r="K78" s="63">
        <f t="shared" si="9"/>
        <v>-6.6888000000000003E-2</v>
      </c>
      <c r="L78" s="63">
        <f t="shared" si="8"/>
        <v>-0.20858680665362442</v>
      </c>
      <c r="M78" s="63">
        <f t="shared" si="2"/>
        <v>5.7753672695029357</v>
      </c>
      <c r="N78" s="63">
        <f t="shared" si="6"/>
        <v>-6.2700960784268386E-2</v>
      </c>
    </row>
    <row r="79" spans="5:14" x14ac:dyDescent="0.25">
      <c r="E79" s="63" t="str">
        <f>'DIST _PHASE_1_V1'!E66</f>
        <v>N67_N68</v>
      </c>
      <c r="F79" s="63">
        <f>'DIST _PHASE_1_V1'!G66</f>
        <v>6.6888000000000003E-2</v>
      </c>
      <c r="G79" s="63">
        <f>'DIST _PHASE_1_V1'!L66</f>
        <v>300</v>
      </c>
      <c r="H79" s="63">
        <f>'DIST _PHASE_1_V1'!M66</f>
        <v>150</v>
      </c>
      <c r="I79" s="63">
        <f>'DIST _PHASE_1_V1'!N66</f>
        <v>49</v>
      </c>
      <c r="J79" s="63">
        <f t="shared" si="1"/>
        <v>17.200775319273045</v>
      </c>
      <c r="K79" s="63">
        <f t="shared" si="9"/>
        <v>-6.6888000000000003E-2</v>
      </c>
      <c r="L79" s="63">
        <f t="shared" si="8"/>
        <v>-0.11483992725873703</v>
      </c>
      <c r="M79" s="63">
        <f t="shared" si="2"/>
        <v>3.1796965865802678</v>
      </c>
      <c r="N79" s="63">
        <f t="shared" si="6"/>
        <v>-6.2700960784268386E-2</v>
      </c>
    </row>
    <row r="80" spans="5:14" x14ac:dyDescent="0.25">
      <c r="E80" s="63" t="str">
        <f>'DIST _PHASE_1_V1'!E67</f>
        <v>N68_N69</v>
      </c>
      <c r="F80" s="63">
        <f>'DIST _PHASE_1_V1'!G67</f>
        <v>6.6888000000000003E-2</v>
      </c>
      <c r="G80" s="63">
        <f>'DIST _PHASE_1_V1'!L67</f>
        <v>300</v>
      </c>
      <c r="H80" s="63">
        <f>'DIST _PHASE_1_V1'!M67</f>
        <v>150</v>
      </c>
      <c r="I80" s="63">
        <f>'DIST _PHASE_1_V1'!N67</f>
        <v>35</v>
      </c>
      <c r="J80" s="63">
        <f t="shared" si="1"/>
        <v>12.286268085195033</v>
      </c>
      <c r="K80" s="63">
        <f t="shared" si="9"/>
        <v>-6.6888000000000003E-2</v>
      </c>
      <c r="L80" s="63">
        <f t="shared" si="8"/>
        <v>-8.2028519470526445E-2</v>
      </c>
      <c r="M80" s="63">
        <f t="shared" si="2"/>
        <v>2.2712118475573342</v>
      </c>
      <c r="N80" s="63">
        <f t="shared" si="6"/>
        <v>-6.2700960784268386E-2</v>
      </c>
    </row>
    <row r="81" spans="5:14" x14ac:dyDescent="0.25">
      <c r="E81" s="63" t="str">
        <f>'DIST _PHASE_1_V1'!E68</f>
        <v>N69_N70</v>
      </c>
      <c r="F81" s="63">
        <f>'DIST _PHASE_1_V1'!G68</f>
        <v>6.6888000000000003E-2</v>
      </c>
      <c r="G81" s="63">
        <f>'DIST _PHASE_1_V1'!L68</f>
        <v>300</v>
      </c>
      <c r="H81" s="63">
        <f>'DIST _PHASE_1_V1'!M68</f>
        <v>150</v>
      </c>
      <c r="I81" s="63">
        <f>'DIST _PHASE_1_V1'!N68</f>
        <v>30</v>
      </c>
      <c r="J81" s="63">
        <f t="shared" si="1"/>
        <v>10.531086930167172</v>
      </c>
      <c r="K81" s="63">
        <f t="shared" si="9"/>
        <v>-6.6888000000000003E-2</v>
      </c>
      <c r="L81" s="63">
        <f t="shared" si="8"/>
        <v>-7.0310159546165527E-2</v>
      </c>
      <c r="M81" s="63">
        <f t="shared" si="2"/>
        <v>1.9467530121920009</v>
      </c>
      <c r="N81" s="63">
        <f t="shared" si="6"/>
        <v>-6.2700960784268386E-2</v>
      </c>
    </row>
    <row r="82" spans="5:14" x14ac:dyDescent="0.25">
      <c r="E82" s="63" t="s">
        <v>380</v>
      </c>
      <c r="F82" s="227"/>
      <c r="G82" s="228"/>
      <c r="H82" s="228"/>
      <c r="I82" s="228"/>
      <c r="J82" s="228"/>
      <c r="K82" s="229"/>
      <c r="L82" s="63">
        <f>SUM(L19:L81)</f>
        <v>2.6282803450302605</v>
      </c>
      <c r="M82" s="63">
        <f>SUM(M19:M81)</f>
        <v>338.94066440934273</v>
      </c>
      <c r="N82" s="63"/>
    </row>
    <row r="83" spans="5:14" x14ac:dyDescent="0.25">
      <c r="E83" s="82" t="s">
        <v>381</v>
      </c>
      <c r="F83" s="230">
        <f>ABS(L82/(1.852*M82))</f>
        <v>4.1870392157316114E-3</v>
      </c>
      <c r="G83" s="231"/>
      <c r="H83" s="231"/>
      <c r="I83" s="231"/>
      <c r="J83" s="231"/>
      <c r="K83" s="231"/>
      <c r="L83" s="231"/>
      <c r="M83" s="231"/>
      <c r="N83" s="232"/>
    </row>
    <row r="84" spans="5:14" x14ac:dyDescent="0.25">
      <c r="F84" t="s">
        <v>382</v>
      </c>
    </row>
  </sheetData>
  <mergeCells count="23">
    <mergeCell ref="BN9:BQ12"/>
    <mergeCell ref="E17:N17"/>
    <mergeCell ref="F82:K82"/>
    <mergeCell ref="F83:N83"/>
    <mergeCell ref="R17:V17"/>
    <mergeCell ref="AP9:AS12"/>
    <mergeCell ref="AT9:AW12"/>
    <mergeCell ref="AX9:BA12"/>
    <mergeCell ref="BB9:BE12"/>
    <mergeCell ref="BF9:BI12"/>
    <mergeCell ref="BJ9:BM12"/>
    <mergeCell ref="T9:U12"/>
    <mergeCell ref="V9:Y12"/>
    <mergeCell ref="Z9:AC12"/>
    <mergeCell ref="AD9:AG12"/>
    <mergeCell ref="AH9:AK12"/>
    <mergeCell ref="AL9:AO12"/>
    <mergeCell ref="C1:F4"/>
    <mergeCell ref="C9:F12"/>
    <mergeCell ref="G9:J12"/>
    <mergeCell ref="K9:N12"/>
    <mergeCell ref="O9:R12"/>
    <mergeCell ref="S9:S12"/>
  </mergeCells>
  <conditionalFormatting sqref="K19:K81">
    <cfRule type="expression" dxfId="81" priority="1">
      <formula>K19&gt;0</formula>
    </cfRule>
    <cfRule type="expression" dxfId="80" priority="2">
      <formula>K19&lt;0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C108-C039-47CF-A411-1DF9CA641DCE}">
  <sheetPr codeName="Feuil9"/>
  <dimension ref="A1:EN284"/>
  <sheetViews>
    <sheetView zoomScale="90" zoomScaleNormal="90" workbookViewId="0">
      <selection activeCell="CB62" sqref="CB62"/>
    </sheetView>
  </sheetViews>
  <sheetFormatPr baseColWidth="10" defaultRowHeight="15" x14ac:dyDescent="0.25"/>
  <cols>
    <col min="3" max="3" width="12.7109375" bestFit="1" customWidth="1"/>
    <col min="5" max="5" width="18.7109375" bestFit="1" customWidth="1"/>
    <col min="8" max="8" width="13.5703125" bestFit="1" customWidth="1"/>
    <col min="9" max="9" width="11.85546875" bestFit="1" customWidth="1"/>
    <col min="10" max="10" width="15.42578125" bestFit="1" customWidth="1"/>
    <col min="11" max="11" width="18.7109375" bestFit="1" customWidth="1"/>
    <col min="12" max="12" width="14.5703125" bestFit="1" customWidth="1"/>
    <col min="20" max="20" width="18.7109375" bestFit="1" customWidth="1"/>
    <col min="21" max="21" width="12" bestFit="1" customWidth="1"/>
    <col min="23" max="23" width="13.5703125" bestFit="1" customWidth="1"/>
    <col min="25" max="26" width="14.7109375" bestFit="1" customWidth="1"/>
    <col min="27" max="27" width="17.28515625" bestFit="1" customWidth="1"/>
    <col min="28" max="28" width="18.42578125" bestFit="1" customWidth="1"/>
    <col min="29" max="30" width="17.28515625" bestFit="1" customWidth="1"/>
    <col min="31" max="31" width="18.42578125" bestFit="1" customWidth="1"/>
    <col min="38" max="38" width="18.7109375" bestFit="1" customWidth="1"/>
    <col min="41" max="41" width="13.5703125" bestFit="1" customWidth="1"/>
    <col min="42" max="42" width="7.140625" bestFit="1" customWidth="1"/>
    <col min="43" max="43" width="12.42578125" bestFit="1" customWidth="1"/>
    <col min="53" max="53" width="15.42578125" bestFit="1" customWidth="1"/>
    <col min="54" max="54" width="18.7109375" bestFit="1" customWidth="1"/>
    <col min="67" max="67" width="18.7109375" bestFit="1" customWidth="1"/>
    <col min="70" max="70" width="18.7109375" bestFit="1" customWidth="1"/>
    <col min="82" max="82" width="15.42578125" bestFit="1" customWidth="1"/>
    <col min="83" max="83" width="18.7109375" bestFit="1" customWidth="1"/>
    <col min="86" max="86" width="18.7109375" bestFit="1" customWidth="1"/>
    <col min="87" max="87" width="12" bestFit="1" customWidth="1"/>
    <col min="91" max="91" width="11.85546875" bestFit="1" customWidth="1"/>
    <col min="93" max="93" width="14.5703125" bestFit="1" customWidth="1"/>
    <col min="94" max="94" width="12.42578125" bestFit="1" customWidth="1"/>
    <col min="101" max="102" width="18.7109375" bestFit="1" customWidth="1"/>
    <col min="105" max="105" width="13.5703125" bestFit="1" customWidth="1"/>
    <col min="106" max="107" width="11.85546875" bestFit="1" customWidth="1"/>
    <col min="108" max="108" width="12.42578125" bestFit="1" customWidth="1"/>
    <col min="109" max="109" width="14.5703125" bestFit="1" customWidth="1"/>
    <col min="110" max="110" width="11.85546875" bestFit="1" customWidth="1"/>
  </cols>
  <sheetData>
    <row r="1" spans="1:144" x14ac:dyDescent="0.25">
      <c r="A1" s="225" t="s">
        <v>377</v>
      </c>
      <c r="B1" s="225"/>
      <c r="C1" s="225"/>
      <c r="D1" s="225"/>
    </row>
    <row r="2" spans="1:144" x14ac:dyDescent="0.25">
      <c r="A2" s="225"/>
      <c r="B2" s="225"/>
      <c r="C2" s="225"/>
      <c r="D2" s="225"/>
    </row>
    <row r="3" spans="1:144" x14ac:dyDescent="0.25">
      <c r="A3" s="225"/>
      <c r="B3" s="225"/>
      <c r="C3" s="225"/>
      <c r="D3" s="225"/>
    </row>
    <row r="4" spans="1:144" x14ac:dyDescent="0.25">
      <c r="A4" s="225"/>
      <c r="B4" s="225"/>
      <c r="C4" s="225"/>
      <c r="D4" s="225"/>
    </row>
    <row r="10" spans="1:144" x14ac:dyDescent="0.25">
      <c r="A10" s="224" t="s">
        <v>378</v>
      </c>
      <c r="B10" s="226"/>
      <c r="C10" s="226"/>
      <c r="D10" s="226"/>
      <c r="E10" s="224" t="s">
        <v>378</v>
      </c>
      <c r="F10" s="226"/>
      <c r="G10" s="226"/>
      <c r="H10" s="226"/>
      <c r="I10" s="224" t="s">
        <v>378</v>
      </c>
      <c r="J10" s="226"/>
      <c r="K10" s="226"/>
      <c r="L10" s="226"/>
      <c r="M10" s="224" t="s">
        <v>378</v>
      </c>
      <c r="N10" s="226"/>
      <c r="O10" s="226"/>
      <c r="P10" s="226"/>
      <c r="Q10" s="224"/>
      <c r="R10" s="224"/>
      <c r="S10" s="224"/>
      <c r="T10" s="224"/>
      <c r="U10" s="224" t="s">
        <v>378</v>
      </c>
      <c r="V10" s="224"/>
      <c r="W10" s="224"/>
      <c r="X10" s="224"/>
      <c r="Y10" s="224" t="s">
        <v>378</v>
      </c>
      <c r="Z10" s="224"/>
      <c r="AA10" s="224"/>
      <c r="AB10" s="224"/>
      <c r="AC10" s="224" t="s">
        <v>378</v>
      </c>
      <c r="AD10" s="224"/>
      <c r="AE10" s="224"/>
      <c r="AF10" s="224"/>
      <c r="AG10" s="224" t="s">
        <v>378</v>
      </c>
      <c r="AH10" s="224"/>
      <c r="AI10" s="224"/>
      <c r="AJ10" s="224"/>
      <c r="AK10" s="224" t="s">
        <v>378</v>
      </c>
      <c r="AL10" s="224"/>
      <c r="AM10" s="224"/>
      <c r="AN10" s="224"/>
      <c r="AO10" s="224" t="s">
        <v>378</v>
      </c>
      <c r="AP10" s="224"/>
      <c r="AQ10" s="224"/>
      <c r="AR10" s="224"/>
      <c r="AS10" s="224" t="s">
        <v>378</v>
      </c>
      <c r="AT10" s="224"/>
      <c r="AU10" s="224"/>
      <c r="AV10" s="224"/>
      <c r="AW10" s="224" t="s">
        <v>378</v>
      </c>
      <c r="AX10" s="224"/>
      <c r="AY10" s="224"/>
      <c r="AZ10" s="224"/>
      <c r="BA10" s="224" t="s">
        <v>378</v>
      </c>
      <c r="BB10" s="224"/>
      <c r="BC10" s="224"/>
      <c r="BD10" s="224"/>
      <c r="BE10" s="224" t="s">
        <v>378</v>
      </c>
      <c r="BF10" s="224"/>
      <c r="BG10" s="224"/>
      <c r="BH10" s="224"/>
      <c r="BI10" s="224" t="s">
        <v>378</v>
      </c>
      <c r="BJ10" s="224"/>
      <c r="BK10" s="224"/>
      <c r="BL10" s="224"/>
      <c r="BM10" s="224" t="s">
        <v>378</v>
      </c>
      <c r="BN10" s="224"/>
      <c r="BO10" s="224"/>
      <c r="BP10" s="224"/>
      <c r="BQ10" s="224" t="s">
        <v>378</v>
      </c>
      <c r="BR10" s="224"/>
      <c r="BS10" s="224"/>
      <c r="BT10" s="224"/>
      <c r="BU10" s="224" t="s">
        <v>378</v>
      </c>
      <c r="BV10" s="224"/>
      <c r="BW10" s="224"/>
      <c r="BX10" s="224"/>
      <c r="BY10" s="224" t="s">
        <v>378</v>
      </c>
      <c r="BZ10" s="224"/>
      <c r="CA10" s="224"/>
      <c r="CB10" s="224"/>
      <c r="CC10" s="224" t="s">
        <v>378</v>
      </c>
      <c r="CD10" s="224"/>
      <c r="CE10" s="224"/>
      <c r="CF10" s="224"/>
      <c r="CG10" s="224" t="s">
        <v>378</v>
      </c>
      <c r="CH10" s="224"/>
      <c r="CI10" s="224"/>
      <c r="CJ10" s="224"/>
      <c r="CK10" s="224" t="s">
        <v>378</v>
      </c>
      <c r="CL10" s="224"/>
      <c r="CM10" s="224"/>
      <c r="CN10" s="224"/>
      <c r="CO10" s="224" t="s">
        <v>378</v>
      </c>
      <c r="CP10" s="224"/>
      <c r="CQ10" s="224"/>
      <c r="CR10" s="224"/>
      <c r="CS10" s="224" t="s">
        <v>378</v>
      </c>
      <c r="CT10" s="224"/>
      <c r="CU10" s="224"/>
      <c r="CV10" s="224"/>
      <c r="CW10" s="224" t="s">
        <v>378</v>
      </c>
      <c r="CX10" s="224"/>
      <c r="CY10" s="224"/>
      <c r="CZ10" s="224"/>
      <c r="DA10" s="224" t="s">
        <v>378</v>
      </c>
      <c r="DB10" s="224"/>
      <c r="DC10" s="224"/>
      <c r="DD10" s="224"/>
      <c r="DE10" s="224" t="s">
        <v>378</v>
      </c>
      <c r="DF10" s="224"/>
      <c r="DG10" s="224"/>
      <c r="DH10" s="224"/>
      <c r="DI10" s="224" t="s">
        <v>378</v>
      </c>
      <c r="DJ10" s="224"/>
      <c r="DK10" s="224"/>
      <c r="DL10" s="224"/>
      <c r="DM10" s="224" t="s">
        <v>378</v>
      </c>
      <c r="DN10" s="224"/>
      <c r="DO10" s="224"/>
      <c r="DP10" s="224"/>
      <c r="DQ10" s="224" t="s">
        <v>378</v>
      </c>
      <c r="DR10" s="224"/>
      <c r="DS10" s="224"/>
      <c r="DT10" s="224"/>
      <c r="DU10" s="224" t="s">
        <v>378</v>
      </c>
      <c r="DV10" s="224"/>
      <c r="DW10" s="224"/>
      <c r="DX10" s="224"/>
      <c r="DY10" s="224" t="s">
        <v>378</v>
      </c>
      <c r="DZ10" s="224"/>
      <c r="EA10" s="224"/>
      <c r="EB10" s="224"/>
      <c r="EC10" s="224" t="s">
        <v>378</v>
      </c>
      <c r="ED10" s="224"/>
      <c r="EE10" s="224"/>
      <c r="EF10" s="224"/>
      <c r="EG10" s="224" t="s">
        <v>378</v>
      </c>
      <c r="EH10" s="224"/>
      <c r="EI10" s="224"/>
      <c r="EJ10" s="224"/>
      <c r="EK10" s="224" t="s">
        <v>378</v>
      </c>
      <c r="EL10" s="224"/>
      <c r="EM10" s="224"/>
      <c r="EN10" s="224"/>
    </row>
    <row r="11" spans="1:144" x14ac:dyDescent="0.25">
      <c r="A11" s="226"/>
      <c r="B11" s="226"/>
      <c r="C11" s="226"/>
      <c r="D11" s="226"/>
      <c r="E11" s="226"/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4"/>
      <c r="R11" s="224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24"/>
      <c r="BN11" s="224"/>
      <c r="BO11" s="224"/>
      <c r="BP11" s="224"/>
      <c r="BQ11" s="224"/>
      <c r="BR11" s="224"/>
      <c r="BS11" s="224"/>
      <c r="BT11" s="224"/>
      <c r="BU11" s="224"/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  <c r="DC11" s="224"/>
      <c r="DD11" s="224"/>
      <c r="DE11" s="224"/>
      <c r="DF11" s="224"/>
      <c r="DG11" s="224"/>
      <c r="DH11" s="224"/>
      <c r="DI11" s="224"/>
      <c r="DJ11" s="224"/>
      <c r="DK11" s="224"/>
      <c r="DL11" s="224"/>
      <c r="DM11" s="224"/>
      <c r="DN11" s="224"/>
      <c r="DO11" s="224"/>
      <c r="DP11" s="224"/>
      <c r="DQ11" s="224"/>
      <c r="DR11" s="224"/>
      <c r="DS11" s="224"/>
      <c r="DT11" s="224"/>
      <c r="DU11" s="224"/>
      <c r="DV11" s="224"/>
      <c r="DW11" s="224"/>
      <c r="DX11" s="224"/>
      <c r="DY11" s="224"/>
      <c r="DZ11" s="224"/>
      <c r="EA11" s="224"/>
      <c r="EB11" s="224"/>
      <c r="EC11" s="224"/>
      <c r="ED11" s="224"/>
      <c r="EE11" s="224"/>
      <c r="EF11" s="224"/>
      <c r="EG11" s="224"/>
      <c r="EH11" s="224"/>
      <c r="EI11" s="224"/>
      <c r="EJ11" s="224"/>
      <c r="EK11" s="224"/>
      <c r="EL11" s="224"/>
      <c r="EM11" s="224"/>
      <c r="EN11" s="224"/>
    </row>
    <row r="12" spans="1:144" x14ac:dyDescent="0.25">
      <c r="A12" s="226"/>
      <c r="B12" s="226"/>
      <c r="C12" s="226"/>
      <c r="D12" s="226"/>
      <c r="E12" s="226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4"/>
      <c r="R12" s="224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4"/>
      <c r="BI12" s="224"/>
      <c r="BJ12" s="224"/>
      <c r="BK12" s="224"/>
      <c r="BL12" s="224"/>
      <c r="BM12" s="224"/>
      <c r="BN12" s="224"/>
      <c r="BO12" s="224"/>
      <c r="BP12" s="224"/>
      <c r="BQ12" s="224"/>
      <c r="BR12" s="224"/>
      <c r="BS12" s="224"/>
      <c r="BT12" s="224"/>
      <c r="BU12" s="224"/>
      <c r="BV12" s="224"/>
      <c r="BW12" s="224"/>
      <c r="BX12" s="224"/>
      <c r="BY12" s="224"/>
      <c r="BZ12" s="224"/>
      <c r="CA12" s="224"/>
      <c r="CB12" s="224"/>
      <c r="CC12" s="224"/>
      <c r="CD12" s="224"/>
      <c r="CE12" s="224"/>
      <c r="CF12" s="224"/>
      <c r="CG12" s="224"/>
      <c r="CH12" s="224"/>
      <c r="CI12" s="224"/>
      <c r="CJ12" s="224"/>
      <c r="CK12" s="224"/>
      <c r="CL12" s="224"/>
      <c r="CM12" s="224"/>
      <c r="CN12" s="224"/>
      <c r="CO12" s="224"/>
      <c r="CP12" s="224"/>
      <c r="CQ12" s="224"/>
      <c r="CR12" s="224"/>
      <c r="CS12" s="224"/>
      <c r="CT12" s="224"/>
      <c r="CU12" s="224"/>
      <c r="CV12" s="224"/>
      <c r="CW12" s="224"/>
      <c r="CX12" s="224"/>
      <c r="CY12" s="224"/>
      <c r="CZ12" s="224"/>
      <c r="DA12" s="224"/>
      <c r="DB12" s="224"/>
      <c r="DC12" s="224"/>
      <c r="DD12" s="224"/>
      <c r="DE12" s="224"/>
      <c r="DF12" s="224"/>
      <c r="DG12" s="224"/>
      <c r="DH12" s="224"/>
      <c r="DI12" s="224"/>
      <c r="DJ12" s="224"/>
      <c r="DK12" s="224"/>
      <c r="DL12" s="224"/>
      <c r="DM12" s="224"/>
      <c r="DN12" s="224"/>
      <c r="DO12" s="224"/>
      <c r="DP12" s="224"/>
      <c r="DQ12" s="224"/>
      <c r="DR12" s="224"/>
      <c r="DS12" s="224"/>
      <c r="DT12" s="224"/>
      <c r="DU12" s="224"/>
      <c r="DV12" s="224"/>
      <c r="DW12" s="224"/>
      <c r="DX12" s="224"/>
      <c r="DY12" s="224"/>
      <c r="DZ12" s="224"/>
      <c r="EA12" s="224"/>
      <c r="EB12" s="224"/>
      <c r="EC12" s="224"/>
      <c r="ED12" s="224"/>
      <c r="EE12" s="224"/>
      <c r="EF12" s="224"/>
      <c r="EG12" s="224"/>
      <c r="EH12" s="224"/>
      <c r="EI12" s="224"/>
      <c r="EJ12" s="224"/>
      <c r="EK12" s="224"/>
      <c r="EL12" s="224"/>
      <c r="EM12" s="224"/>
      <c r="EN12" s="224"/>
    </row>
    <row r="13" spans="1:144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4"/>
      <c r="BI13" s="224"/>
      <c r="BJ13" s="224"/>
      <c r="BK13" s="224"/>
      <c r="BL13" s="224"/>
      <c r="BM13" s="224"/>
      <c r="BN13" s="224"/>
      <c r="BO13" s="224"/>
      <c r="BP13" s="224"/>
      <c r="BQ13" s="224"/>
      <c r="BR13" s="224"/>
      <c r="BS13" s="224"/>
      <c r="BT13" s="224"/>
      <c r="BU13" s="224"/>
      <c r="BV13" s="224"/>
      <c r="BW13" s="224"/>
      <c r="BX13" s="224"/>
      <c r="BY13" s="224"/>
      <c r="BZ13" s="224"/>
      <c r="CA13" s="224"/>
      <c r="CB13" s="224"/>
      <c r="CC13" s="224"/>
      <c r="CD13" s="224"/>
      <c r="CE13" s="224"/>
      <c r="CF13" s="224"/>
      <c r="CG13" s="224"/>
      <c r="CH13" s="224"/>
      <c r="CI13" s="224"/>
      <c r="CJ13" s="224"/>
      <c r="CK13" s="224"/>
      <c r="CL13" s="224"/>
      <c r="CM13" s="224"/>
      <c r="CN13" s="224"/>
      <c r="CO13" s="224"/>
      <c r="CP13" s="224"/>
      <c r="CQ13" s="224"/>
      <c r="CR13" s="224"/>
      <c r="CS13" s="224"/>
      <c r="CT13" s="224"/>
      <c r="CU13" s="224"/>
      <c r="CV13" s="224"/>
      <c r="CW13" s="224"/>
      <c r="CX13" s="224"/>
      <c r="CY13" s="224"/>
      <c r="CZ13" s="224"/>
      <c r="DA13" s="224"/>
      <c r="DB13" s="224"/>
      <c r="DC13" s="224"/>
      <c r="DD13" s="224"/>
      <c r="DE13" s="224"/>
      <c r="DF13" s="224"/>
      <c r="DG13" s="224"/>
      <c r="DH13" s="224"/>
      <c r="DI13" s="224"/>
      <c r="DJ13" s="224"/>
      <c r="DK13" s="224"/>
      <c r="DL13" s="224"/>
      <c r="DM13" s="224"/>
      <c r="DN13" s="224"/>
      <c r="DO13" s="224"/>
      <c r="DP13" s="224"/>
      <c r="DQ13" s="224"/>
      <c r="DR13" s="224"/>
      <c r="DS13" s="224"/>
      <c r="DT13" s="224"/>
      <c r="DU13" s="224"/>
      <c r="DV13" s="224"/>
      <c r="DW13" s="224"/>
      <c r="DX13" s="224"/>
      <c r="DY13" s="224"/>
      <c r="DZ13" s="224"/>
      <c r="EA13" s="224"/>
      <c r="EB13" s="224"/>
      <c r="EC13" s="224"/>
      <c r="ED13" s="224"/>
      <c r="EE13" s="224"/>
      <c r="EF13" s="224"/>
      <c r="EG13" s="224"/>
      <c r="EH13" s="224"/>
      <c r="EI13" s="224"/>
      <c r="EJ13" s="224"/>
      <c r="EK13" s="224"/>
      <c r="EL13" s="224"/>
      <c r="EM13" s="224"/>
      <c r="EN13" s="224"/>
    </row>
    <row r="16" spans="1:144" x14ac:dyDescent="0.25">
      <c r="D16" s="63">
        <f>'DIST _PHASE_1_V1'!D3</f>
        <v>0</v>
      </c>
      <c r="E16" s="63">
        <f>'DIST _PHASE_1_V1'!F3</f>
        <v>0</v>
      </c>
      <c r="F16" s="63">
        <f>'DIST _PHASE_1_V1'!K3</f>
        <v>0</v>
      </c>
      <c r="G16" s="63">
        <f>'DIST _PHASE_1_V1'!L3</f>
        <v>0</v>
      </c>
      <c r="H16" s="63">
        <f>'DIST _PHASE_1_V1'!M3</f>
        <v>0</v>
      </c>
      <c r="I16" s="63" t="e">
        <f xml:space="preserve"> (10.679 * H16) / ((F16/1000)^4.871 * G16^1.852)</f>
        <v>#DIV/0!</v>
      </c>
      <c r="J16" s="63" t="str">
        <f>IF(C16="positif",E16,IF(C16="negatif",-E16,""))</f>
        <v/>
      </c>
      <c r="K16" s="63" t="e">
        <f>IF(J16&gt;0,I16*E16^1.852,-I16*E16^1.852)</f>
        <v>#DIV/0!</v>
      </c>
      <c r="L16" s="63" t="e">
        <f>1.852*I16*E16^(1.852-1)</f>
        <v>#DIV/0!</v>
      </c>
      <c r="M16" s="63" t="e">
        <f>J16+$F$83</f>
        <v>#VALUE!</v>
      </c>
      <c r="AJ16">
        <f>IFERROR(MATCH(AM16,$S$22:$S$91,0),0)</f>
        <v>0</v>
      </c>
      <c r="AK16">
        <v>1</v>
      </c>
      <c r="AL16" s="78">
        <f>DIST_PHASE_1_v2!AI5</f>
        <v>0</v>
      </c>
      <c r="AM16" s="78">
        <f>DIST_PHASE_1_v2!AJ5</f>
        <v>0</v>
      </c>
      <c r="AN16" s="78">
        <f>DIST_PHASE_1_v2!AL5</f>
        <v>0</v>
      </c>
      <c r="AO16">
        <f>DIST_PHASE_1_v2!AQ5</f>
        <v>0</v>
      </c>
      <c r="AP16">
        <v>150</v>
      </c>
      <c r="AQ16">
        <f>DIST_PHASE_1_v2!AS5</f>
        <v>0</v>
      </c>
      <c r="AR16" s="63" t="e">
        <f xml:space="preserve"> (10.679 * AQ16) / ((AO16/1000)^4.871 * AP16^1.852)</f>
        <v>#DIV/0!</v>
      </c>
      <c r="AS16" s="63" t="str">
        <f>IF(AL16="positif",AN16,IF(AL16="negatif",-AN16,""))</f>
        <v/>
      </c>
      <c r="AT16" s="63" t="e">
        <f>IF(AS16&gt;0,AR16*AN16^1.852,-AR16*AN16^1.852)</f>
        <v>#DIV/0!</v>
      </c>
      <c r="AU16" s="63" t="e">
        <f>1.852*AR16*AN16^(1.852-1)</f>
        <v>#DIV/0!</v>
      </c>
      <c r="AV16" s="63" t="e">
        <f>AS16+$S$93</f>
        <v>#VALUE!</v>
      </c>
      <c r="AZ16">
        <f>IFERROR(MATCH(BC16,$S$22:$S$91,0),0)</f>
        <v>0</v>
      </c>
      <c r="BA16">
        <v>1</v>
      </c>
      <c r="BB16" s="78">
        <f>DIST_PHASE_1_v2!BL5</f>
        <v>0</v>
      </c>
      <c r="BC16" s="78">
        <f>DIST_PHASE_1_v2!BM5</f>
        <v>0</v>
      </c>
      <c r="BD16" s="78">
        <f>DIST_PHASE_1_v2!BO5</f>
        <v>0</v>
      </c>
      <c r="BE16">
        <f>DIST_PHASE_1_v2!BT5</f>
        <v>0</v>
      </c>
      <c r="BF16">
        <v>150</v>
      </c>
      <c r="BG16">
        <f>DIST_PHASE_1_v2!BV5</f>
        <v>0</v>
      </c>
      <c r="BH16" s="63" t="e">
        <f xml:space="preserve"> (10.679 * BG16) / ((BE16/1000)^4.871 * BF16^1.852)</f>
        <v>#DIV/0!</v>
      </c>
      <c r="BI16" s="63" t="str">
        <f>IF(BB16="positif",BD16,IF(BB16="negatif",-BD16,""))</f>
        <v/>
      </c>
      <c r="BJ16" s="63" t="e">
        <f>IF(AZ16&gt;0,
        IF(BI16&gt;0, BH16*BI16^1.852,-BH16*ABS(BI16)^1.852),
        IF(BI16&gt;0, BH16*BD16^1.852, -BH16*BD16^1.852))</f>
        <v>#DIV/0!</v>
      </c>
      <c r="BK16" s="63" t="e">
        <f>1.852*BH16*BD16^(1.852-1)</f>
        <v>#DIV/0!</v>
      </c>
      <c r="BL16" s="63" t="e">
        <f>BI16+$S$93</f>
        <v>#VALUE!</v>
      </c>
      <c r="BP16" s="63">
        <f>IFERROR(MATCH(BS16,$AM$22:$AM$57,0),0)</f>
        <v>0</v>
      </c>
      <c r="BQ16" s="63">
        <v>1</v>
      </c>
      <c r="BR16" s="63">
        <f>DIST_PHASE_1_v2!BG5</f>
        <v>0</v>
      </c>
      <c r="BS16" s="63">
        <f>DIST_PHASE_1_v2!BH5</f>
        <v>0</v>
      </c>
      <c r="BT16" s="63">
        <f>DIST_PHASE_1_v2!BJ5</f>
        <v>0</v>
      </c>
      <c r="BU16" s="63">
        <f>DIST_PHASE_1_v2!BO5</f>
        <v>0</v>
      </c>
      <c r="BV16" s="63">
        <f>DIST_PHASE_1_v2!BP5</f>
        <v>0</v>
      </c>
      <c r="BW16" s="63">
        <f>DIST_PHASE_1_v2!BQ5</f>
        <v>0</v>
      </c>
      <c r="BX16" s="63" t="e">
        <f xml:space="preserve"> (10.679 * BW16) / ((BU16/1000)^4.871 * BV16^1.852)</f>
        <v>#DIV/0!</v>
      </c>
      <c r="BY16" s="63" t="str">
        <f>IF(BR16="positif",BT16,IF(BR16="negatif",-BT16,""))</f>
        <v/>
      </c>
      <c r="BZ16" s="63" t="e">
        <f>IF(BP16&gt;0,
        IF(BY16&gt;0, BX16*BY16^1.852,-BX16*ABS(BY16)^1.852),
        IF(BY16&gt;0, BX16*BT16^1.852, -BX16*BT16^1.852))</f>
        <v>#DIV/0!</v>
      </c>
      <c r="CA16" s="63" t="e">
        <f>1.852*BX16*ABS(BY16)^(1.852-1)</f>
        <v>#DIV/0!</v>
      </c>
      <c r="CB16" s="63" t="e">
        <f>BY16+$BT$64</f>
        <v>#VALUE!</v>
      </c>
      <c r="CF16" s="63">
        <f>IFERROR(MATCH(CI16,$BS$22:$BS$62,0),0)</f>
        <v>0</v>
      </c>
      <c r="CG16" s="63">
        <v>1</v>
      </c>
      <c r="CH16" s="63">
        <f>DIST_PHASE_1_v2!BW5</f>
        <v>0</v>
      </c>
      <c r="CI16" s="63">
        <f>DIST_PHASE_1_v2!BX5</f>
        <v>0</v>
      </c>
      <c r="CJ16" s="63">
        <f>DIST_PHASE_1_v2!BZ5</f>
        <v>0</v>
      </c>
      <c r="CK16" s="63">
        <f>DIST_PHASE_1_v2!CE5</f>
        <v>0</v>
      </c>
      <c r="CL16" s="63">
        <f>DIST_PHASE_1_v2!CF5</f>
        <v>0</v>
      </c>
      <c r="CM16" s="63">
        <f>DIST_PHASE_1_v2!CG5</f>
        <v>0</v>
      </c>
      <c r="CN16" s="63" t="e">
        <f xml:space="preserve"> (10.679 * CM16) / ((CK16/1000)^4.871 * CL16^1.852)</f>
        <v>#DIV/0!</v>
      </c>
      <c r="CO16" s="63" t="str">
        <f>IF(CH16="positif",CJ16,IF(CH16="negatif",-CJ16,""))</f>
        <v/>
      </c>
      <c r="CP16" s="63" t="e">
        <f>IF(CF16&gt;0,
        IF(CO16&gt;0, CN16*CO16^1.852,-CN16*ABS(CO16)^1.852),
        IF(CO16&gt;0, CN16*CJ16^1.852, -CN16*CJ16^1.852))</f>
        <v>#DIV/0!</v>
      </c>
      <c r="CQ16" s="63" t="e">
        <f>1.852*CN16*ABS(CO16)^(1.852-1)</f>
        <v>#DIV/0!</v>
      </c>
      <c r="CR16" s="63" t="e">
        <f>CO16+$BT$64</f>
        <v>#VALUE!</v>
      </c>
      <c r="CV16" s="63">
        <f>IFERROR(MATCH(CY16,$BS$22:$BS$62,0),0)</f>
        <v>0</v>
      </c>
      <c r="CW16" s="63">
        <v>1</v>
      </c>
      <c r="CX16" s="63">
        <f>DIST_PHASE_1_v2!CM5</f>
        <v>0</v>
      </c>
      <c r="CY16" s="63">
        <f>DIST_PHASE_1_v2!CN5</f>
        <v>0</v>
      </c>
      <c r="CZ16" s="63">
        <f>DIST_PHASE_1_v2!CP5</f>
        <v>0</v>
      </c>
      <c r="DA16" s="63">
        <f>DIST_PHASE_1_v2!CU5</f>
        <v>0</v>
      </c>
      <c r="DB16" s="63">
        <f>DIST_PHASE_1_v2!CV5</f>
        <v>0</v>
      </c>
      <c r="DC16" s="63">
        <f>DIST_PHASE_1_v2!CW5</f>
        <v>0</v>
      </c>
      <c r="DD16" s="63" t="e">
        <f xml:space="preserve"> (10.679 * DC16) / ((DA16/1000)^4.871 * DB16^1.852)</f>
        <v>#DIV/0!</v>
      </c>
      <c r="DE16" s="63" t="str">
        <f>IF(CX16="positif",CZ16,IF(CX16="negatif",-CZ16,""))</f>
        <v/>
      </c>
      <c r="DF16" s="63" t="e">
        <f>IF(CV16&gt;0,
        IF(DE16&gt;0, DD16*DE16^1.852,-DD16*ABS(DE16)^1.852),
        IF(DE16&gt;0, DD16*CZ16^1.852, -DD16*CZ16^1.852))</f>
        <v>#DIV/0!</v>
      </c>
      <c r="DG16" s="63" t="e">
        <f>1.852*DD16*ABS(DE16)^(1.852-1)</f>
        <v>#DIV/0!</v>
      </c>
      <c r="DH16" s="63" t="e">
        <f>DE16+$BT$64</f>
        <v>#VALUE!</v>
      </c>
    </row>
    <row r="20" spans="2:112" x14ac:dyDescent="0.25">
      <c r="C20" s="239" t="s">
        <v>111</v>
      </c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P20" s="63"/>
      <c r="Q20" s="63"/>
      <c r="R20" s="241" t="s">
        <v>203</v>
      </c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J20" s="63"/>
      <c r="AK20" s="63"/>
      <c r="AL20" s="239" t="s">
        <v>233</v>
      </c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Z20" s="63"/>
      <c r="BA20" s="63"/>
      <c r="BB20" s="239" t="s">
        <v>255</v>
      </c>
      <c r="BC20" s="239"/>
      <c r="BD20" s="239"/>
      <c r="BE20" s="239"/>
      <c r="BF20" s="239"/>
      <c r="BG20" s="239"/>
      <c r="BH20" s="239"/>
      <c r="BI20" s="239"/>
      <c r="BJ20" s="239"/>
      <c r="BK20" s="239"/>
      <c r="BL20" s="239"/>
      <c r="BP20" s="63"/>
      <c r="BQ20" s="63"/>
      <c r="BR20" s="239" t="s">
        <v>279</v>
      </c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F20" s="63"/>
      <c r="CG20" s="63"/>
      <c r="CH20" s="239" t="s">
        <v>305</v>
      </c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V20" s="63"/>
      <c r="CW20" s="63"/>
      <c r="CX20" s="239" t="s">
        <v>305</v>
      </c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</row>
    <row r="21" spans="2:112" x14ac:dyDescent="0.25">
      <c r="C21" s="69" t="s">
        <v>542</v>
      </c>
      <c r="D21" s="63" t="s">
        <v>102</v>
      </c>
      <c r="E21" s="90" t="s">
        <v>384</v>
      </c>
      <c r="F21" s="63" t="s">
        <v>440</v>
      </c>
      <c r="G21" s="63" t="s">
        <v>106</v>
      </c>
      <c r="H21" s="63" t="s">
        <v>107</v>
      </c>
      <c r="I21" s="63" t="s">
        <v>379</v>
      </c>
      <c r="J21" s="63" t="s">
        <v>385</v>
      </c>
      <c r="K21" s="82" t="s">
        <v>387</v>
      </c>
      <c r="L21" s="63" t="s">
        <v>388</v>
      </c>
      <c r="M21" s="63" t="s">
        <v>386</v>
      </c>
      <c r="P21" s="63" t="s">
        <v>544</v>
      </c>
      <c r="Q21" s="63" t="s">
        <v>545</v>
      </c>
      <c r="R21" s="69" t="s">
        <v>542</v>
      </c>
      <c r="S21" s="63" t="s">
        <v>102</v>
      </c>
      <c r="T21" s="90" t="s">
        <v>384</v>
      </c>
      <c r="U21" s="63" t="s">
        <v>440</v>
      </c>
      <c r="V21" s="63" t="s">
        <v>106</v>
      </c>
      <c r="W21" s="63" t="s">
        <v>107</v>
      </c>
      <c r="X21" s="63" t="s">
        <v>379</v>
      </c>
      <c r="Y21" s="63" t="s">
        <v>385</v>
      </c>
      <c r="Z21" s="63" t="s">
        <v>550</v>
      </c>
      <c r="AA21" s="63" t="s">
        <v>551</v>
      </c>
      <c r="AB21" s="63" t="s">
        <v>387</v>
      </c>
      <c r="AC21" s="63" t="s">
        <v>388</v>
      </c>
      <c r="AD21" s="63" t="s">
        <v>386</v>
      </c>
      <c r="AJ21" s="63" t="s">
        <v>544</v>
      </c>
      <c r="AK21" s="63" t="s">
        <v>545</v>
      </c>
      <c r="AL21" s="69" t="s">
        <v>542</v>
      </c>
      <c r="AM21" s="63" t="s">
        <v>102</v>
      </c>
      <c r="AN21" s="90" t="s">
        <v>384</v>
      </c>
      <c r="AO21" s="63" t="s">
        <v>440</v>
      </c>
      <c r="AP21" s="63" t="s">
        <v>106</v>
      </c>
      <c r="AQ21" s="63" t="s">
        <v>107</v>
      </c>
      <c r="AR21" s="63" t="s">
        <v>379</v>
      </c>
      <c r="AS21" s="63" t="s">
        <v>385</v>
      </c>
      <c r="AT21" s="82" t="s">
        <v>387</v>
      </c>
      <c r="AU21" s="63" t="s">
        <v>388</v>
      </c>
      <c r="AV21" s="63" t="s">
        <v>386</v>
      </c>
      <c r="AZ21" s="63" t="s">
        <v>544</v>
      </c>
      <c r="BA21" s="63" t="s">
        <v>545</v>
      </c>
      <c r="BB21" s="69" t="s">
        <v>542</v>
      </c>
      <c r="BC21" s="63" t="s">
        <v>102</v>
      </c>
      <c r="BD21" s="90" t="s">
        <v>384</v>
      </c>
      <c r="BE21" s="63" t="s">
        <v>440</v>
      </c>
      <c r="BF21" s="63" t="s">
        <v>106</v>
      </c>
      <c r="BG21" s="63" t="s">
        <v>107</v>
      </c>
      <c r="BH21" s="63" t="s">
        <v>379</v>
      </c>
      <c r="BI21" s="63" t="s">
        <v>385</v>
      </c>
      <c r="BJ21" s="82" t="s">
        <v>387</v>
      </c>
      <c r="BK21" s="63" t="s">
        <v>388</v>
      </c>
      <c r="BL21" s="63" t="s">
        <v>386</v>
      </c>
      <c r="BP21" s="63" t="s">
        <v>544</v>
      </c>
      <c r="BQ21" s="63" t="s">
        <v>545</v>
      </c>
      <c r="BR21" s="69" t="s">
        <v>542</v>
      </c>
      <c r="BS21" s="63" t="s">
        <v>102</v>
      </c>
      <c r="BT21" s="90" t="s">
        <v>384</v>
      </c>
      <c r="BU21" s="63" t="s">
        <v>440</v>
      </c>
      <c r="BV21" s="63" t="s">
        <v>106</v>
      </c>
      <c r="BW21" s="63" t="s">
        <v>107</v>
      </c>
      <c r="BX21" s="63" t="s">
        <v>379</v>
      </c>
      <c r="BY21" s="63" t="s">
        <v>385</v>
      </c>
      <c r="BZ21" s="82" t="s">
        <v>387</v>
      </c>
      <c r="CA21" s="63" t="s">
        <v>388</v>
      </c>
      <c r="CB21" s="63" t="s">
        <v>386</v>
      </c>
      <c r="CF21" s="63" t="s">
        <v>544</v>
      </c>
      <c r="CG21" s="63" t="s">
        <v>545</v>
      </c>
      <c r="CH21" s="69" t="s">
        <v>542</v>
      </c>
      <c r="CI21" s="63" t="s">
        <v>102</v>
      </c>
      <c r="CJ21" s="90" t="s">
        <v>384</v>
      </c>
      <c r="CK21" s="63" t="s">
        <v>440</v>
      </c>
      <c r="CL21" s="63" t="s">
        <v>106</v>
      </c>
      <c r="CM21" s="63" t="s">
        <v>107</v>
      </c>
      <c r="CN21" s="63" t="s">
        <v>379</v>
      </c>
      <c r="CO21" s="63" t="s">
        <v>385</v>
      </c>
      <c r="CP21" s="82" t="s">
        <v>387</v>
      </c>
      <c r="CQ21" s="63" t="s">
        <v>388</v>
      </c>
      <c r="CR21" s="63" t="s">
        <v>386</v>
      </c>
      <c r="CV21" s="63" t="s">
        <v>544</v>
      </c>
      <c r="CW21" s="63" t="s">
        <v>545</v>
      </c>
      <c r="CX21" s="69" t="s">
        <v>542</v>
      </c>
      <c r="CY21" s="63" t="s">
        <v>102</v>
      </c>
      <c r="CZ21" s="90" t="s">
        <v>384</v>
      </c>
      <c r="DA21" s="63" t="s">
        <v>440</v>
      </c>
      <c r="DB21" s="63" t="s">
        <v>106</v>
      </c>
      <c r="DC21" s="63" t="s">
        <v>107</v>
      </c>
      <c r="DD21" s="63" t="s">
        <v>379</v>
      </c>
      <c r="DE21" s="63" t="s">
        <v>385</v>
      </c>
      <c r="DF21" s="82" t="s">
        <v>387</v>
      </c>
      <c r="DG21" s="63" t="s">
        <v>388</v>
      </c>
      <c r="DH21" s="63" t="s">
        <v>386</v>
      </c>
    </row>
    <row r="22" spans="2:112" x14ac:dyDescent="0.25">
      <c r="B22">
        <v>1</v>
      </c>
      <c r="C22" s="69" t="s">
        <v>539</v>
      </c>
      <c r="D22" s="106" t="s">
        <v>884</v>
      </c>
      <c r="E22" s="63">
        <f>DIST_PHASE_1_v2!G11</f>
        <v>9.6000000000000002E-2</v>
      </c>
      <c r="F22" s="63">
        <f>DIST_PHASE_1_v2!L11</f>
        <v>350</v>
      </c>
      <c r="G22" s="63">
        <f>DIST_PHASE_1_v2!M11</f>
        <v>150</v>
      </c>
      <c r="H22" s="63">
        <f>DIST_PHASE_1_v2!N11</f>
        <v>96</v>
      </c>
      <c r="I22" s="63">
        <f xml:space="preserve"> (10.679 * H22) / ((F22/1000)^4.871 * G22^1.852)</f>
        <v>15.904695680187142</v>
      </c>
      <c r="J22" s="63">
        <f>IF(C22="positif",E22,IF(C22="negatif",-E22,""))</f>
        <v>9.6000000000000002E-2</v>
      </c>
      <c r="K22" s="63">
        <f>IF(J22&gt;0,I22*E22^1.852,-I22*E22^1.852)</f>
        <v>0.20734410255996347</v>
      </c>
      <c r="L22" s="63">
        <f>1.852*I22*ABS(E22)^(1.852-1)</f>
        <v>4.0000133118859607</v>
      </c>
      <c r="M22" s="63">
        <f>J22+$D$93</f>
        <v>0.10259693507618356</v>
      </c>
      <c r="P22" s="63">
        <f>IFERROR(MATCH(S22,$D$22:$D$91,0),0)</f>
        <v>0</v>
      </c>
      <c r="Q22" s="63">
        <v>1</v>
      </c>
      <c r="R22" s="69" t="str">
        <f>DIST_PHASE_1_v2!Q11</f>
        <v>+</v>
      </c>
      <c r="S22" s="69" t="str">
        <f>DIST_PHASE_1_v2!R11</f>
        <v>N81_N82</v>
      </c>
      <c r="T22" s="69">
        <f>DIST_PHASE_1_v2!T11</f>
        <v>9.0894000000000003E-2</v>
      </c>
      <c r="U22" s="63">
        <f>DIST_PHASE_1_v2!Y11</f>
        <v>350</v>
      </c>
      <c r="V22" s="63">
        <v>150</v>
      </c>
      <c r="W22" s="63">
        <f>DIST_PHASE_1_v2!AA11</f>
        <v>68</v>
      </c>
      <c r="X22" s="63">
        <f xml:space="preserve"> (10.679 * W22) / ((U22/1000)^4.871 * V22^1.852)</f>
        <v>11.265826106799226</v>
      </c>
      <c r="Y22" s="63" t="str">
        <f>IF(R22="positif",T22,IF(R22="negatif",-T22,""))</f>
        <v/>
      </c>
      <c r="Z22" s="63" cm="1">
        <f t="array" ref="Z22">IF(P22&gt;0,
IF(INDEX($C$22:$C$91,P22,1)="positif",1,-1),0)</f>
        <v>0</v>
      </c>
      <c r="AA22" s="63">
        <f>IF(P22&gt;0,
        IF(R22="positif",1,-1),
        0)</f>
        <v>0</v>
      </c>
      <c r="AB22" s="63" t="e">
        <f t="shared" ref="AB22:AB53" si="0">X22*SIGN(Y22)*ABS(Y22)^1.852</f>
        <v>#VALUE!</v>
      </c>
      <c r="AC22" s="63" t="e">
        <f t="shared" ref="AC22:AC53" si="1">1.852*X22*ABS(Y22)^(1.852-1)</f>
        <v>#VALUE!</v>
      </c>
      <c r="AD22" s="63" t="e">
        <f>IF(P22&gt;0,
Y22+($D$93*Z22)+(AA22*$S$93),
Y22+$S$93)</f>
        <v>#VALUE!</v>
      </c>
      <c r="AF22" s="63" t="e">
        <f>ABS(AD22)-ABS(Y22)</f>
        <v>#VALUE!</v>
      </c>
      <c r="AJ22" s="63">
        <f>IFERROR(MATCH(AM22,$S$22:$S$91,0),0)</f>
        <v>0</v>
      </c>
      <c r="AK22" s="63">
        <v>1</v>
      </c>
      <c r="AL22" s="63" t="str">
        <f>TRONCONS_V2!AI9</f>
        <v>positif</v>
      </c>
      <c r="AM22" s="63" t="str">
        <f>TRONCONS_V2!AE9</f>
        <v>N42_N72</v>
      </c>
      <c r="AN22" s="63">
        <f>DIST_PHASE_1_v2!AG11</f>
        <v>3.2835999999999997E-2</v>
      </c>
      <c r="AO22" s="63">
        <f>DIST_PHASE_1_v2!AL11</f>
        <v>250</v>
      </c>
      <c r="AP22" s="63">
        <v>150</v>
      </c>
      <c r="AQ22" s="63">
        <f>TRONCONS_V2!AG9</f>
        <v>42</v>
      </c>
      <c r="AR22" s="63">
        <f xml:space="preserve"> (10.679 * AQ22) / ((AO22/1000)^4.871 * AP22^1.852)</f>
        <v>35.833817943811347</v>
      </c>
      <c r="AS22" s="63">
        <f>IF(AL22="positif",AN22,IF(AL22="negatif",-AN22,""))</f>
        <v>3.2835999999999997E-2</v>
      </c>
      <c r="AT22" s="63">
        <f>IF(AJ22&gt;0,
        IF(AS22&gt;0, AR22*AS22^1.852,-AR22*ABS(AS22)^1.852),
        IF(AS22&gt;0, AR22*AN22^1.852, -AR22*AN22^1.852))</f>
        <v>6.405805386727606E-2</v>
      </c>
      <c r="AU22" s="63">
        <f>1.852*AR22*ABS(AS22)^(1.852-1)</f>
        <v>3.6129710001886743</v>
      </c>
      <c r="AV22" s="63" t="e">
        <f t="shared" ref="AV22:AV58" si="2">AS22+$AN$60</f>
        <v>#VALUE!</v>
      </c>
      <c r="AZ22" s="63">
        <f t="shared" ref="AZ22:AZ53" si="3">IFERROR(MATCH(BC22,$AM$22:$AM$57,0),0)</f>
        <v>0</v>
      </c>
      <c r="BA22" s="63">
        <v>1</v>
      </c>
      <c r="BB22" s="63" t="str">
        <f>DIST_PHASE_1_v2!AQ11</f>
        <v>+</v>
      </c>
      <c r="BC22" s="63" t="str">
        <f>DIST_PHASE_1_v2!AR11</f>
        <v>N42_N52</v>
      </c>
      <c r="BD22" s="63">
        <f>DIST_PHASE_1_v2!AT11</f>
        <v>3.2835999999999997E-2</v>
      </c>
      <c r="BE22" s="63">
        <f>DIST_PHASE_1_v2!AY11</f>
        <v>250</v>
      </c>
      <c r="BF22" s="63">
        <f>DIST_PHASE_1_v2!AZ11</f>
        <v>150</v>
      </c>
      <c r="BG22" s="63">
        <f>DIST_PHASE_1_v2!BA11</f>
        <v>223</v>
      </c>
      <c r="BH22" s="63">
        <f xml:space="preserve"> (10.679 * BG22) / ((BE22/1000)^4.871 * BF22^1.852)</f>
        <v>190.26050955880785</v>
      </c>
      <c r="BI22" s="63" t="str">
        <f>IF(BB22="positif",BD22,IF(BB22="negatif",-BD22,""))</f>
        <v/>
      </c>
      <c r="BJ22" s="63">
        <f>IF(AZ22&gt;0,
        IF(BI22&gt;0, BH22*BI22^1.852,-BH22*ABS(BI22)^1.852),
        IF(BI22&gt;0, BH22*BD22^1.852, -BH22*BD22^1.852))</f>
        <v>0.34011776220006096</v>
      </c>
      <c r="BK22" s="63" t="e">
        <f>1.852*BH22*ABS(BI22)^(1.852-1)</f>
        <v>#VALUE!</v>
      </c>
      <c r="BL22" s="63" t="e">
        <f t="shared" ref="BL22:BL53" si="4">BI22+$BD$75</f>
        <v>#VALUE!</v>
      </c>
      <c r="BN22" s="63"/>
      <c r="BP22" s="63">
        <f t="shared" ref="BP22:BP62" si="5">IFERROR(MATCH(BS22,$BC$22:$BC$73,0),0)</f>
        <v>0</v>
      </c>
      <c r="BQ22" s="63">
        <v>1</v>
      </c>
      <c r="BR22" s="63" t="str">
        <f>DIST_PHASE_1_v2!BF11</f>
        <v>-</v>
      </c>
      <c r="BS22" s="63" t="str">
        <f>DIST_PHASE_1_v2!BG11</f>
        <v>N31_N17</v>
      </c>
      <c r="BT22" s="63">
        <f>DIST_PHASE_1_v2!BI11</f>
        <v>0.16656000000000001</v>
      </c>
      <c r="BU22" s="63">
        <f>DIST_PHASE_1_v2!BN11</f>
        <v>466</v>
      </c>
      <c r="BV22" s="63">
        <f>DIST_PHASE_1_v2!BO11</f>
        <v>150</v>
      </c>
      <c r="BW22" s="63">
        <f>DIST_PHASE_1_v2!BP11</f>
        <v>211</v>
      </c>
      <c r="BX22" s="63">
        <f xml:space="preserve"> (10.679 * BW22) / ((BU22/1000)^4.871 * BV22^1.852)</f>
        <v>8.6693039509464178</v>
      </c>
      <c r="BY22" s="63" t="str">
        <f>IF(BR22="positif",BT22,IF(BR22="negatif",-BT22,""))</f>
        <v/>
      </c>
      <c r="BZ22" s="63">
        <f>IF(BP22&gt;0,
        IF(BY22&gt;0, BX22*BY22^1.852,-BX22*ABS(BY22)^1.852),
        IF(BY22&gt;0, BX22*BT22^1.852, -BX22*BT22^1.852))</f>
        <v>0.31356904893752557</v>
      </c>
      <c r="CA22" s="63" t="e">
        <f>1.852*BX22*ABS(BY22)^(1.852-1)</f>
        <v>#VALUE!</v>
      </c>
      <c r="CB22" s="63" t="e">
        <f t="shared" ref="CB22:CB62" si="6">BY22+$BT$64</f>
        <v>#VALUE!</v>
      </c>
      <c r="CF22" s="63">
        <f t="shared" ref="CF22:CF69" si="7">IFERROR(MATCH(CI22,$BS$22:$BS$62,0),0)</f>
        <v>0</v>
      </c>
      <c r="CG22" s="63">
        <v>1</v>
      </c>
      <c r="CH22" s="63" t="str">
        <f>DIST_PHASE_1_v2!BS11</f>
        <v>+</v>
      </c>
      <c r="CI22" s="63" t="str">
        <f>DIST_PHASE_1_v2!BT11</f>
        <v>N3_N18</v>
      </c>
      <c r="CJ22" s="63">
        <f>DIST_PHASE_1_v2!BV11</f>
        <v>0.16656000000000001</v>
      </c>
      <c r="CK22" s="63">
        <f>DIST_PHASE_1_v2!CA11</f>
        <v>466</v>
      </c>
      <c r="CL22" s="63">
        <v>150</v>
      </c>
      <c r="CM22" s="63">
        <f>DIST_PHASE_1_v2!CC11</f>
        <v>93</v>
      </c>
      <c r="CN22" s="63">
        <f xml:space="preserve"> (10.679 * CM22) / ((CK22/1000)^4.871 * CL22^1.852)</f>
        <v>3.821067618189653</v>
      </c>
      <c r="CO22" s="63" t="str">
        <f>IF(CH22="positif",CJ22,IF(CH22="negatif",-CJ22,""))</f>
        <v/>
      </c>
      <c r="CP22" s="63">
        <f>IF(CF22&gt;0,
        IF(CO22&gt;0, CN22*CO22^1.852,-CN22*ABS(CO22)^1.852),
        IF(CO22&gt;0, CN22*CJ22^1.852, -CN22*CJ22^1.852))</f>
        <v>0.13820815901037856</v>
      </c>
      <c r="CQ22" s="63" t="e">
        <f>1.852*CN22*ABS(CO22)^(1.852-1)</f>
        <v>#VALUE!</v>
      </c>
      <c r="CR22" s="63" t="e">
        <f t="shared" ref="CR22:CR69" si="8">CO22+$CJ$71</f>
        <v>#VALUE!</v>
      </c>
      <c r="CV22" s="63">
        <f t="shared" ref="CV22:CV54" si="9">IFERROR(MATCH(CY22,$CI$22:$CI$69,0),0)</f>
        <v>0</v>
      </c>
      <c r="CW22" s="63">
        <v>1</v>
      </c>
      <c r="CX22" s="63" t="str">
        <f>DIST_PHASE_1_v2!CF11</f>
        <v>+</v>
      </c>
      <c r="CY22" s="63" t="str">
        <f>DIST_PHASE_1_v2!CG11</f>
        <v>R3_N1</v>
      </c>
      <c r="CZ22" s="63">
        <f>DIST_PHASE_1_v2!CI11</f>
        <v>0.33212000000000003</v>
      </c>
      <c r="DA22" s="63">
        <f>DIST_PHASE_1_v2!CN11</f>
        <v>700</v>
      </c>
      <c r="DB22" s="63">
        <f>DIST_PHASE_1_v2!CO11</f>
        <v>150</v>
      </c>
      <c r="DC22" s="63">
        <f>DIST_PHASE_1_v2!CP11</f>
        <v>47</v>
      </c>
      <c r="DD22" s="63">
        <f xml:space="preserve"> (10.679 * DC22) / ((DA22/1000)^4.871 * DB22^1.852)</f>
        <v>0.26609387608691482</v>
      </c>
      <c r="DE22" s="63" t="str">
        <f>IF(CX22="positif",CZ22,IF(CX22="negatif",-CZ22,""))</f>
        <v/>
      </c>
      <c r="DF22" s="63">
        <f>IF(CV22&gt;0,
        IF(DE22&gt;0, DD22*DE22^1.852,-DD22*ABS(DE22)^1.852),
        IF(DE22&gt;0, DD22*CZ22^1.852, -DD22*CZ22^1.852))</f>
        <v>3.4552006595457756E-2</v>
      </c>
      <c r="DG22" s="63" t="e">
        <f>1.852*DD22*ABS(DE22)^(1.852-1)</f>
        <v>#VALUE!</v>
      </c>
      <c r="DH22" s="63" t="e">
        <f>DE22+CZ56</f>
        <v>#VALUE!</v>
      </c>
    </row>
    <row r="23" spans="2:112" ht="18" customHeight="1" x14ac:dyDescent="0.25">
      <c r="B23">
        <v>2</v>
      </c>
      <c r="C23" s="69" t="s">
        <v>539</v>
      </c>
      <c r="D23" s="63" t="str">
        <f>DIST_PHASE_1_v2!E12</f>
        <v>N84_N85</v>
      </c>
      <c r="E23" s="63">
        <f>DIST_PHASE_1_v2!G12</f>
        <v>9.5000000000000001E-2</v>
      </c>
      <c r="F23" s="63">
        <f>DIST_PHASE_1_v2!L12</f>
        <v>350</v>
      </c>
      <c r="G23" s="63">
        <f>DIST_PHASE_1_v2!M12</f>
        <v>150</v>
      </c>
      <c r="H23" s="63">
        <f>DIST_PHASE_1_v2!N12</f>
        <v>95</v>
      </c>
      <c r="I23" s="63">
        <f t="shared" ref="I23:I86" si="10" xml:space="preserve"> (10.679 * H23) / ((F23/1000)^4.871 * G23^1.852)</f>
        <v>15.739021766851859</v>
      </c>
      <c r="J23" s="63">
        <f t="shared" ref="J23:J86" si="11">IF(C23="positif",E23,IF(C23="negatif",-E23,""))</f>
        <v>9.5000000000000001E-2</v>
      </c>
      <c r="K23" s="63">
        <f t="shared" ref="K23:K86" si="12">IF(J23&gt;0,I23*E23^1.852,-I23*E23^1.852)</f>
        <v>0.2012434958680151</v>
      </c>
      <c r="L23" s="63">
        <f>1.852*I23*ABS(E23)^(1.852-1)</f>
        <v>3.9231889931322512</v>
      </c>
      <c r="M23" s="63">
        <f t="shared" ref="M23:M86" si="13">J23+$D$93</f>
        <v>0.10159693507618356</v>
      </c>
      <c r="P23" s="63">
        <f t="shared" ref="P23:P86" si="14">IFERROR(MATCH(S23,$D$22:$D$91,0),0)</f>
        <v>0</v>
      </c>
      <c r="Q23" s="63">
        <v>2</v>
      </c>
      <c r="R23" s="69" t="str">
        <f>DIST_PHASE_1_v2!Q12</f>
        <v>+</v>
      </c>
      <c r="S23" s="69" t="str">
        <f>DIST_PHASE_1_v2!R12</f>
        <v>N81_N135</v>
      </c>
      <c r="T23" s="69">
        <f>DIST_PHASE_1_v2!T12</f>
        <v>5.8057999999999998E-2</v>
      </c>
      <c r="U23" s="63">
        <f>DIST_PHASE_1_v2!Y12</f>
        <v>300</v>
      </c>
      <c r="V23" s="63">
        <v>150</v>
      </c>
      <c r="W23" s="63">
        <f>DIST_PHASE_1_v2!AA12</f>
        <v>88</v>
      </c>
      <c r="X23" s="63">
        <f t="shared" ref="X23:X86" si="15" xml:space="preserve"> (10.679 * W23) / ((U23/1000)^4.871 * V23^1.852)</f>
        <v>30.891188328490372</v>
      </c>
      <c r="Y23" s="63" t="str">
        <f t="shared" ref="Y23:Y47" si="16">IF(R23="positif",T23,IF(R23="negatif",-T23,""))</f>
        <v/>
      </c>
      <c r="Z23" s="63" cm="1">
        <f t="array" ref="Z23">IF(P23&gt;0,
IF(INDEX($C$22:$C$91,P23,1)="positif",1,-1),0)</f>
        <v>0</v>
      </c>
      <c r="AA23" s="63">
        <f t="shared" ref="AA23:AA86" si="17">IF(P23&gt;0,
        IF(R23="positif",1,-1),
        0)</f>
        <v>0</v>
      </c>
      <c r="AB23" s="63" t="e">
        <f t="shared" si="0"/>
        <v>#VALUE!</v>
      </c>
      <c r="AC23" s="63" t="e">
        <f t="shared" si="1"/>
        <v>#VALUE!</v>
      </c>
      <c r="AD23" s="63" t="e">
        <f>IF(P23&gt;0,
Y23+($D$93*Z23)+(AA23*$S$93),
Y23+$S$93)</f>
        <v>#VALUE!</v>
      </c>
      <c r="AF23" s="63" t="e">
        <f t="shared" ref="AF23:AF86" si="18">ABS(AD23)-ABS(Y23)</f>
        <v>#VALUE!</v>
      </c>
      <c r="AJ23" s="63">
        <f t="shared" ref="AJ23:AJ58" si="19">IFERROR(MATCH(AM23,$S$22:$S$91,0),0)</f>
        <v>0</v>
      </c>
      <c r="AK23" s="63">
        <v>2</v>
      </c>
      <c r="AL23" s="63" t="str">
        <f>TRONCONS_V2!AI10</f>
        <v>negatif</v>
      </c>
      <c r="AM23" s="63" t="str">
        <f>TRONCONS_V2!AE10</f>
        <v>N42_N111</v>
      </c>
      <c r="AN23" s="63">
        <f>DIST_PHASE_1_v2!AG12</f>
        <v>3.2835999999999997E-2</v>
      </c>
      <c r="AO23" s="63">
        <f>DIST_PHASE_1_v2!AL12</f>
        <v>250</v>
      </c>
      <c r="AP23" s="63">
        <v>150</v>
      </c>
      <c r="AQ23" s="63">
        <f>TRONCONS_V2!AG10</f>
        <v>42</v>
      </c>
      <c r="AR23" s="63">
        <f t="shared" ref="AR23:AR58" si="20" xml:space="preserve"> (10.679 * AQ23) / ((AO23/1000)^4.871 * AP23^1.852)</f>
        <v>35.833817943811347</v>
      </c>
      <c r="AS23" s="63">
        <f t="shared" ref="AS23:AS50" si="21">IF(AL23="positif",AN23,IF(AL23="negatif",-AN23,""))</f>
        <v>-3.2835999999999997E-2</v>
      </c>
      <c r="AT23" s="63">
        <f>IF(AJ23&gt;0,
        IF(AS23&gt;0, AR23*AS23^1.852,-AR23*ABS(AS23)^1.852),
        IF(AS23&gt;0, AR23*AN23^1.852, -AR23*AN23^1.852))</f>
        <v>-6.405805386727606E-2</v>
      </c>
      <c r="AU23" s="63">
        <f t="shared" ref="AU23:AU58" si="22">1.852*AR23*ABS(AS23)^(1.852-1)</f>
        <v>3.6129710001886743</v>
      </c>
      <c r="AV23" s="63" t="e">
        <f t="shared" si="2"/>
        <v>#VALUE!</v>
      </c>
      <c r="AZ23" s="63">
        <f t="shared" si="3"/>
        <v>1</v>
      </c>
      <c r="BA23" s="63">
        <v>2</v>
      </c>
      <c r="BB23" s="63" t="str">
        <f>DIST_PHASE_1_v2!AQ12</f>
        <v>-</v>
      </c>
      <c r="BC23" s="63" t="str">
        <f>DIST_PHASE_1_v2!AR12</f>
        <v>N42_N72</v>
      </c>
      <c r="BD23" s="63">
        <f>DIST_PHASE_1_v2!AT12</f>
        <v>3.2835999999999997E-2</v>
      </c>
      <c r="BE23" s="63">
        <f>DIST_PHASE_1_v2!AY12</f>
        <v>250</v>
      </c>
      <c r="BF23" s="63">
        <f>DIST_PHASE_1_v2!AZ12</f>
        <v>150</v>
      </c>
      <c r="BG23" s="63">
        <f>DIST_PHASE_1_v2!BA12</f>
        <v>91</v>
      </c>
      <c r="BH23" s="63">
        <f t="shared" ref="BH23:BH73" si="23" xml:space="preserve"> (10.679 * BG23) / ((BE23/1000)^4.871 * BF23^1.852)</f>
        <v>77.639938878257922</v>
      </c>
      <c r="BI23" s="63" t="e" cm="1">
        <f t="array" ref="BI23">INDEX($AV$22:$AV$58,AZ23,1)</f>
        <v>#VALUE!</v>
      </c>
      <c r="BJ23" s="63" t="e">
        <f>IF(AZ23&gt;0,
        IF(BI23&gt;0, BH23*BI23^1.852,-BH23*ABS(BI23)^1.852),
        IF(BI23&gt;0, BH23*BD23^1.852, -BH23*BD23^1.852))</f>
        <v>#VALUE!</v>
      </c>
      <c r="BK23" s="63" t="e">
        <f t="shared" ref="BK23:BK73" si="24">1.852*BH23*ABS(BI23)^(1.852-1)</f>
        <v>#VALUE!</v>
      </c>
      <c r="BL23" s="63" t="e">
        <f t="shared" si="4"/>
        <v>#VALUE!</v>
      </c>
      <c r="BP23" s="63">
        <f t="shared" si="5"/>
        <v>0</v>
      </c>
      <c r="BQ23" s="63">
        <v>2</v>
      </c>
      <c r="BR23" s="63" t="str">
        <f>DIST_PHASE_1_v2!BF12</f>
        <v>+</v>
      </c>
      <c r="BS23" s="63" t="str">
        <f>DIST_PHASE_1_v2!BG12</f>
        <v>N17_N43</v>
      </c>
      <c r="BT23" s="63">
        <f>DIST_PHASE_1_v2!BI12</f>
        <v>0.16656000000000001</v>
      </c>
      <c r="BU23" s="63">
        <f>DIST_PHASE_1_v2!BN12</f>
        <v>466</v>
      </c>
      <c r="BV23" s="63">
        <f>DIST_PHASE_1_v2!BO12</f>
        <v>150</v>
      </c>
      <c r="BW23" s="63">
        <f>DIST_PHASE_1_v2!BP12</f>
        <v>232</v>
      </c>
      <c r="BX23" s="63">
        <f t="shared" ref="BX23:BX62" si="25" xml:space="preserve"> (10.679 * BW23) / ((BU23/1000)^4.871 * BV23^1.852)</f>
        <v>9.5321256711827917</v>
      </c>
      <c r="BY23" s="63" t="str">
        <f t="shared" ref="BY23:BY62" si="26">IF(BR23="positif",BT23,IF(BR23="negatif",-BT23,""))</f>
        <v/>
      </c>
      <c r="BZ23" s="63">
        <f t="shared" ref="BZ23:BZ62" si="27">IF(BP23&gt;0,
        IF(BY23&gt;0, BX23*BY23^1.852,-BX23*ABS(BY23)^1.852),
        IF(BY23&gt;0, BX23*BT23^1.852, -BX23*BT23^1.852))</f>
        <v>0.34477734290761108</v>
      </c>
      <c r="CA23" s="63" t="e">
        <f t="shared" ref="CA23:CA62" si="28">1.852*BX23*ABS(BY23)^(1.852-1)</f>
        <v>#VALUE!</v>
      </c>
      <c r="CB23" s="63" t="e">
        <f t="shared" si="6"/>
        <v>#VALUE!</v>
      </c>
      <c r="CF23" s="63">
        <f t="shared" si="7"/>
        <v>0</v>
      </c>
      <c r="CG23" s="63">
        <v>2</v>
      </c>
      <c r="CH23" s="63" t="str">
        <f>DIST_PHASE_1_v2!BS12</f>
        <v>-</v>
      </c>
      <c r="CI23" s="63" t="str">
        <f>DIST_PHASE_1_v2!BT12</f>
        <v>N3_N4</v>
      </c>
      <c r="CJ23" s="63">
        <f>DIST_PHASE_1_v2!BV12</f>
        <v>0.16656000000000001</v>
      </c>
      <c r="CK23" s="63">
        <f>DIST_PHASE_1_v2!CA12</f>
        <v>466</v>
      </c>
      <c r="CL23" s="63">
        <v>150</v>
      </c>
      <c r="CM23" s="63">
        <f>DIST_PHASE_1_v2!CC12</f>
        <v>181</v>
      </c>
      <c r="CN23" s="63">
        <f t="shared" ref="CN23:CN69" si="29" xml:space="preserve"> (10.679 * CM23) / ((CK23/1000)^4.871 * CL23^1.852)</f>
        <v>7.4367014934658844</v>
      </c>
      <c r="CO23" s="63" t="str">
        <f t="shared" ref="CO23:CO69" si="30">IF(CH23="positif",CJ23,IF(CH23="negatif",-CJ23,""))</f>
        <v/>
      </c>
      <c r="CP23" s="63">
        <f t="shared" ref="CP23:CP69" si="31">IF(CF23&gt;0,
        IF(CO23&gt;0, CN23*CO23^1.852,-CN23*ABS(CO23)^1.852),
        IF(CO23&gt;0, CN23*CJ23^1.852, -CN23*CJ23^1.852))</f>
        <v>0.26898577183740346</v>
      </c>
      <c r="CQ23" s="63" t="e">
        <f t="shared" ref="CQ23:CQ69" si="32">1.852*CN23*ABS(CO23)^(1.852-1)</f>
        <v>#VALUE!</v>
      </c>
      <c r="CR23" s="63" t="e">
        <f t="shared" si="8"/>
        <v>#VALUE!</v>
      </c>
      <c r="CV23" s="63">
        <f t="shared" si="9"/>
        <v>0</v>
      </c>
      <c r="CW23" s="63">
        <v>2</v>
      </c>
      <c r="CX23" s="63" t="str">
        <f>DIST_PHASE_1_v2!CF12</f>
        <v>+</v>
      </c>
      <c r="CY23" s="63" t="str">
        <f>DIST_PHASE_1_v2!CG12</f>
        <v>N1_N2</v>
      </c>
      <c r="CZ23" s="63">
        <f>DIST_PHASE_1_v2!CI12</f>
        <v>0.33212000000000003</v>
      </c>
      <c r="DA23" s="63">
        <f>DIST_PHASE_1_v2!CN12</f>
        <v>700</v>
      </c>
      <c r="DB23" s="63">
        <f>DIST_PHASE_1_v2!CO12</f>
        <v>150</v>
      </c>
      <c r="DC23" s="63">
        <f>DIST_PHASE_1_v2!CP12</f>
        <v>117</v>
      </c>
      <c r="DD23" s="63">
        <f t="shared" ref="DD23:DD54" si="33" xml:space="preserve"> (10.679 * DC23) / ((DA23/1000)^4.871 * DB23^1.852)</f>
        <v>0.66240390430146878</v>
      </c>
      <c r="DE23" s="63" t="str">
        <f t="shared" ref="DE23:DE40" si="34">IF(CX23="positif",CZ23,IF(CX23="negatif",-CZ23,""))</f>
        <v/>
      </c>
      <c r="DF23" s="63">
        <f t="shared" ref="DF23:DF54" si="35">IF(CV23&gt;0,
        IF(DE23&gt;0, DD23*DE23^1.852,-DD23*ABS(DE23)^1.852),
        IF(DE23&gt;0, DD23*CZ23^1.852, -DD23*CZ23^1.852))</f>
        <v>8.6012441950394827E-2</v>
      </c>
      <c r="DG23" s="63" t="e">
        <f t="shared" ref="DG23:DG54" si="36">1.852*DD23*ABS(DE23)^(1.852-1)</f>
        <v>#VALUE!</v>
      </c>
      <c r="DH23" s="63" t="e">
        <f t="shared" ref="DH23:DH54" si="37">DE23+CZ57</f>
        <v>#VALUE!</v>
      </c>
    </row>
    <row r="24" spans="2:112" x14ac:dyDescent="0.25">
      <c r="B24">
        <v>3</v>
      </c>
      <c r="C24" s="69" t="s">
        <v>539</v>
      </c>
      <c r="D24" s="63" t="str">
        <f>DIST_PHASE_1_v2!E13</f>
        <v>N85_N86</v>
      </c>
      <c r="E24" s="63">
        <f>DIST_PHASE_1_v2!G13</f>
        <v>7.2999999999999995E-2</v>
      </c>
      <c r="F24" s="63">
        <f>DIST_PHASE_1_v2!L13</f>
        <v>350</v>
      </c>
      <c r="G24" s="63">
        <f>DIST_PHASE_1_v2!M13</f>
        <v>150</v>
      </c>
      <c r="H24" s="63">
        <f>DIST_PHASE_1_v2!N13</f>
        <v>73</v>
      </c>
      <c r="I24" s="63">
        <f t="shared" si="10"/>
        <v>12.094195673475639</v>
      </c>
      <c r="J24" s="63">
        <f t="shared" si="11"/>
        <v>7.2999999999999995E-2</v>
      </c>
      <c r="K24" s="63">
        <f t="shared" si="12"/>
        <v>9.4940371718878883E-2</v>
      </c>
      <c r="L24" s="63">
        <f t="shared" ref="L24:L87" si="38">1.852*I24*ABS(E24)^(1.852-1)</f>
        <v>2.4086242249775851</v>
      </c>
      <c r="M24" s="63">
        <f t="shared" si="13"/>
        <v>7.9596935076183553E-2</v>
      </c>
      <c r="P24" s="63">
        <f t="shared" si="14"/>
        <v>0</v>
      </c>
      <c r="Q24" s="63">
        <v>3</v>
      </c>
      <c r="R24" s="69" t="str">
        <f>DIST_PHASE_1_v2!Q13</f>
        <v>+</v>
      </c>
      <c r="S24" s="69" t="str">
        <f>DIST_PHASE_1_v2!R13</f>
        <v>N82_N83</v>
      </c>
      <c r="T24" s="69">
        <f>DIST_PHASE_1_v2!T13</f>
        <v>9.0894000000000003E-2</v>
      </c>
      <c r="U24" s="63">
        <f>DIST_PHASE_1_v2!Y13</f>
        <v>350</v>
      </c>
      <c r="V24" s="63">
        <v>150</v>
      </c>
      <c r="W24" s="63">
        <f>DIST_PHASE_1_v2!AA13</f>
        <v>152</v>
      </c>
      <c r="X24" s="63">
        <f t="shared" si="15"/>
        <v>25.182434826962975</v>
      </c>
      <c r="Y24" s="63" t="str">
        <f t="shared" si="16"/>
        <v/>
      </c>
      <c r="Z24" s="63" cm="1">
        <f t="array" ref="Z24">IF(P24&gt;0,
IF(INDEX($C$22:$C$91,P24,1)="positif",1,-1),0)</f>
        <v>0</v>
      </c>
      <c r="AA24" s="63">
        <f t="shared" si="17"/>
        <v>0</v>
      </c>
      <c r="AB24" s="63" t="e">
        <f t="shared" si="0"/>
        <v>#VALUE!</v>
      </c>
      <c r="AC24" s="63" t="e">
        <f t="shared" si="1"/>
        <v>#VALUE!</v>
      </c>
      <c r="AD24" s="63" t="e">
        <f t="shared" ref="AD24:AD30" si="39">IF(P24&gt;0,
Y24+($D$93*Z24)+(AA24*$S$93),
Y24+$S$93)</f>
        <v>#VALUE!</v>
      </c>
      <c r="AF24" s="63" t="e">
        <f t="shared" si="18"/>
        <v>#VALUE!</v>
      </c>
      <c r="AJ24" s="63">
        <f t="shared" si="19"/>
        <v>0</v>
      </c>
      <c r="AK24" s="63">
        <v>3</v>
      </c>
      <c r="AL24" s="63" t="str">
        <f>TRONCONS_V2!AI11</f>
        <v>positif</v>
      </c>
      <c r="AM24" s="63" t="str">
        <f>TRONCONS_V2!AE11</f>
        <v>N72_N73</v>
      </c>
      <c r="AN24" s="63">
        <f>DIST_PHASE_1_v2!AG13</f>
        <v>3.2837000000000005E-2</v>
      </c>
      <c r="AO24" s="63">
        <f>DIST_PHASE_1_v2!AL13</f>
        <v>250</v>
      </c>
      <c r="AP24" s="63">
        <v>150</v>
      </c>
      <c r="AQ24" s="63">
        <f>TRONCONS_V2!AG11</f>
        <v>72</v>
      </c>
      <c r="AR24" s="63">
        <f t="shared" si="20"/>
        <v>61.429402189390885</v>
      </c>
      <c r="AS24" s="63">
        <f t="shared" si="21"/>
        <v>3.2837000000000005E-2</v>
      </c>
      <c r="AT24" s="63">
        <f>IF(AJ24&gt;0,
        IF(AS24&gt;0, AR24*AS24^1.852,-AR24*ABS(AS24)^1.852),
        IF(AS24&gt;0, AR24*AN24^1.852, -AR24*AN24^1.852))</f>
        <v>0.10982000037454172</v>
      </c>
      <c r="AU24" s="63">
        <f t="shared" si="22"/>
        <v>6.19382527921708</v>
      </c>
      <c r="AV24" s="63" t="e">
        <f t="shared" si="2"/>
        <v>#VALUE!</v>
      </c>
      <c r="AZ24" s="63">
        <f t="shared" si="3"/>
        <v>0</v>
      </c>
      <c r="BA24" s="63">
        <v>3</v>
      </c>
      <c r="BB24" s="63" t="str">
        <f>DIST_PHASE_1_v2!AQ13</f>
        <v>+</v>
      </c>
      <c r="BC24" s="63" t="str">
        <f>DIST_PHASE_1_v2!AR13</f>
        <v>N52_N53</v>
      </c>
      <c r="BD24" s="63">
        <f>DIST_PHASE_1_v2!AT13</f>
        <v>3.2837000000000005E-2</v>
      </c>
      <c r="BE24" s="63">
        <f>DIST_PHASE_1_v2!AY13</f>
        <v>250</v>
      </c>
      <c r="BF24" s="63">
        <f>DIST_PHASE_1_v2!AZ13</f>
        <v>150</v>
      </c>
      <c r="BG24" s="63">
        <f>DIST_PHASE_1_v2!BA13</f>
        <v>94</v>
      </c>
      <c r="BH24" s="63">
        <f t="shared" si="23"/>
        <v>80.199497302815871</v>
      </c>
      <c r="BI24" s="63" t="str">
        <f t="shared" ref="BI24:BI73" si="40">IF(BB24="positif",BD24,IF(BB24="negatif",-BD24,""))</f>
        <v/>
      </c>
      <c r="BJ24" s="63">
        <f t="shared" ref="BJ24:BJ53" si="41">IF(AZ24&gt;0,
        IF(BI24&gt;0, BH24*BI24^1.852,-BH24*ABS(BI24)^1.852),
        IF(BI24&gt;0, BH24*BD24^1.852, -BH24*BD24^1.852))</f>
        <v>0.14337611160009611</v>
      </c>
      <c r="BK24" s="63" t="e">
        <f t="shared" si="24"/>
        <v>#VALUE!</v>
      </c>
      <c r="BL24" s="63" t="e">
        <f t="shared" si="4"/>
        <v>#VALUE!</v>
      </c>
      <c r="BP24" s="63">
        <f t="shared" si="5"/>
        <v>0</v>
      </c>
      <c r="BQ24" s="63">
        <v>3</v>
      </c>
      <c r="BR24" s="63" t="str">
        <f>DIST_PHASE_1_v2!BF13</f>
        <v>-</v>
      </c>
      <c r="BS24" s="63" t="str">
        <f>DIST_PHASE_1_v2!BG13</f>
        <v>N31_N32</v>
      </c>
      <c r="BT24" s="63">
        <f>DIST_PHASE_1_v2!BI13</f>
        <v>8.3280000000000007E-2</v>
      </c>
      <c r="BU24" s="63">
        <f>DIST_PHASE_1_v2!BN13</f>
        <v>350</v>
      </c>
      <c r="BV24" s="63">
        <f>DIST_PHASE_1_v2!BO13</f>
        <v>150</v>
      </c>
      <c r="BW24" s="63">
        <f>DIST_PHASE_1_v2!BP13</f>
        <v>129</v>
      </c>
      <c r="BX24" s="63">
        <f t="shared" si="25"/>
        <v>21.371934820251475</v>
      </c>
      <c r="BY24" s="63" t="str">
        <f t="shared" si="26"/>
        <v/>
      </c>
      <c r="BZ24" s="63">
        <f t="shared" si="27"/>
        <v>0.21413381180980889</v>
      </c>
      <c r="CA24" s="63" t="e">
        <f t="shared" si="28"/>
        <v>#VALUE!</v>
      </c>
      <c r="CB24" s="63" t="e">
        <f t="shared" si="6"/>
        <v>#VALUE!</v>
      </c>
      <c r="CF24" s="63">
        <f t="shared" si="7"/>
        <v>0</v>
      </c>
      <c r="CG24" s="63">
        <v>3</v>
      </c>
      <c r="CH24" s="63" t="str">
        <f>DIST_PHASE_1_v2!BS13</f>
        <v>-</v>
      </c>
      <c r="CI24" s="63" t="str">
        <f>DIST_PHASE_1_v2!BT13</f>
        <v>N4_N5</v>
      </c>
      <c r="CJ24" s="63">
        <f>DIST_PHASE_1_v2!BV13</f>
        <v>0.16656000000000001</v>
      </c>
      <c r="CK24" s="63">
        <f>DIST_PHASE_1_v2!CA13</f>
        <v>466</v>
      </c>
      <c r="CL24" s="63">
        <v>150</v>
      </c>
      <c r="CM24" s="63">
        <f>DIST_PHASE_1_v2!CC13</f>
        <v>133</v>
      </c>
      <c r="CN24" s="63">
        <f t="shared" si="29"/>
        <v>5.4645375614970311</v>
      </c>
      <c r="CO24" s="63" t="str">
        <f t="shared" si="30"/>
        <v/>
      </c>
      <c r="CP24" s="63">
        <f t="shared" si="31"/>
        <v>0.19765252847720807</v>
      </c>
      <c r="CQ24" s="63" t="e">
        <f t="shared" si="32"/>
        <v>#VALUE!</v>
      </c>
      <c r="CR24" s="63" t="e">
        <f t="shared" si="8"/>
        <v>#VALUE!</v>
      </c>
      <c r="CV24" s="63">
        <f t="shared" si="9"/>
        <v>0</v>
      </c>
      <c r="CW24" s="63">
        <v>3</v>
      </c>
      <c r="CX24" s="63" t="str">
        <f>DIST_PHASE_1_v2!CF13</f>
        <v>+</v>
      </c>
      <c r="CY24" s="63" t="str">
        <f>DIST_PHASE_1_v2!CG13</f>
        <v>N2_N3</v>
      </c>
      <c r="CZ24" s="63">
        <f>DIST_PHASE_1_v2!CI13</f>
        <v>0.33212000000000003</v>
      </c>
      <c r="DA24" s="63">
        <f>DIST_PHASE_1_v2!CN13</f>
        <v>700</v>
      </c>
      <c r="DB24" s="63">
        <f>DIST_PHASE_1_v2!CO13</f>
        <v>150</v>
      </c>
      <c r="DC24" s="63">
        <f>DIST_PHASE_1_v2!CP13</f>
        <v>167</v>
      </c>
      <c r="DD24" s="63">
        <f t="shared" si="33"/>
        <v>0.94548249588329314</v>
      </c>
      <c r="DE24" s="63" t="str">
        <f t="shared" si="34"/>
        <v/>
      </c>
      <c r="DF24" s="63">
        <f t="shared" si="35"/>
        <v>0.1227698957753499</v>
      </c>
      <c r="DG24" s="63" t="e">
        <f t="shared" si="36"/>
        <v>#VALUE!</v>
      </c>
      <c r="DH24" s="63" t="e">
        <f t="shared" si="37"/>
        <v>#VALUE!</v>
      </c>
    </row>
    <row r="25" spans="2:112" x14ac:dyDescent="0.25">
      <c r="B25">
        <v>4</v>
      </c>
      <c r="C25" s="69" t="s">
        <v>539</v>
      </c>
      <c r="D25" s="63" t="str">
        <f>DIST_PHASE_1_v2!E14</f>
        <v>N86_N87</v>
      </c>
      <c r="E25" s="63">
        <f>DIST_PHASE_1_v2!G14</f>
        <v>7.6999999999999999E-2</v>
      </c>
      <c r="F25" s="63">
        <f>DIST_PHASE_1_v2!L14</f>
        <v>350</v>
      </c>
      <c r="G25" s="63">
        <f>DIST_PHASE_1_v2!M14</f>
        <v>150</v>
      </c>
      <c r="H25" s="63">
        <f>DIST_PHASE_1_v2!N14</f>
        <v>77</v>
      </c>
      <c r="I25" s="63">
        <f t="shared" si="10"/>
        <v>12.756891326816771</v>
      </c>
      <c r="J25" s="63">
        <f t="shared" si="11"/>
        <v>7.6999999999999999E-2</v>
      </c>
      <c r="K25" s="63">
        <f t="shared" si="12"/>
        <v>0.11054158283193545</v>
      </c>
      <c r="L25" s="63">
        <f t="shared" si="38"/>
        <v>2.6587404078538244</v>
      </c>
      <c r="M25" s="63">
        <f t="shared" si="13"/>
        <v>8.3596935076183557E-2</v>
      </c>
      <c r="P25" s="63">
        <f t="shared" si="14"/>
        <v>0</v>
      </c>
      <c r="Q25" s="63">
        <v>4</v>
      </c>
      <c r="R25" s="69" t="str">
        <f>DIST_PHASE_1_v2!Q14</f>
        <v>+</v>
      </c>
      <c r="S25" s="69" t="str">
        <f>DIST_PHASE_1_v2!R14</f>
        <v>N83_N84</v>
      </c>
      <c r="T25" s="69">
        <f>DIST_PHASE_1_v2!T14</f>
        <v>9.0894000000000003E-2</v>
      </c>
      <c r="U25" s="63">
        <f>DIST_PHASE_1_v2!Y14</f>
        <v>350</v>
      </c>
      <c r="V25" s="63">
        <v>150</v>
      </c>
      <c r="W25" s="63">
        <f>DIST_PHASE_1_v2!AA14</f>
        <v>75</v>
      </c>
      <c r="X25" s="63">
        <f t="shared" si="15"/>
        <v>12.425543500146206</v>
      </c>
      <c r="Y25" s="63" t="str">
        <f t="shared" si="16"/>
        <v/>
      </c>
      <c r="Z25" s="63" cm="1">
        <f t="array" ref="Z25">IF(P25&gt;0,
IF(INDEX($C$22:$C$91,P25,1)="positif",1,-1),0)</f>
        <v>0</v>
      </c>
      <c r="AA25" s="63">
        <f t="shared" si="17"/>
        <v>0</v>
      </c>
      <c r="AB25" s="63" t="e">
        <f t="shared" si="0"/>
        <v>#VALUE!</v>
      </c>
      <c r="AC25" s="63" t="e">
        <f t="shared" si="1"/>
        <v>#VALUE!</v>
      </c>
      <c r="AD25" s="63" t="e">
        <f t="shared" si="39"/>
        <v>#VALUE!</v>
      </c>
      <c r="AF25" s="63" t="e">
        <f t="shared" si="18"/>
        <v>#VALUE!</v>
      </c>
      <c r="AJ25" s="63">
        <f t="shared" si="19"/>
        <v>0</v>
      </c>
      <c r="AK25" s="63">
        <v>4</v>
      </c>
      <c r="AL25" s="63" t="str">
        <f>TRONCONS_V2!AI12</f>
        <v>positif</v>
      </c>
      <c r="AM25" s="63" t="str">
        <f>TRONCONS_V2!AE12</f>
        <v>N73_N74</v>
      </c>
      <c r="AN25" s="63">
        <f>DIST_PHASE_1_v2!AG14</f>
        <v>3.2837000000000005E-2</v>
      </c>
      <c r="AO25" s="63">
        <f>DIST_PHASE_1_v2!AL14</f>
        <v>250</v>
      </c>
      <c r="AP25" s="63">
        <v>150</v>
      </c>
      <c r="AQ25" s="63">
        <f>TRONCONS_V2!AG12</f>
        <v>73</v>
      </c>
      <c r="AR25" s="63">
        <f t="shared" si="20"/>
        <v>62.282588330910201</v>
      </c>
      <c r="AS25" s="63">
        <f t="shared" si="21"/>
        <v>3.2837000000000005E-2</v>
      </c>
      <c r="AT25" s="63">
        <f t="shared" ref="AT25:AT49" si="42">IF(AJ25&gt;0,
        IF(AS25&gt;0, AR25*AS25^1.852,-AR25*ABS(AS25)^1.852),
        IF(AS25&gt;0, AR25*AN25^1.852, -AR25*AN25^1.852))</f>
        <v>0.11134527815752146</v>
      </c>
      <c r="AU25" s="63">
        <f t="shared" si="22"/>
        <v>6.2798506303173163</v>
      </c>
      <c r="AV25" s="63" t="e">
        <f t="shared" si="2"/>
        <v>#VALUE!</v>
      </c>
      <c r="AZ25" s="63">
        <f t="shared" si="3"/>
        <v>0</v>
      </c>
      <c r="BA25" s="63">
        <v>4</v>
      </c>
      <c r="BB25" s="63" t="str">
        <f>DIST_PHASE_1_v2!AQ14</f>
        <v>+</v>
      </c>
      <c r="BC25" s="63" t="str">
        <f>DIST_PHASE_1_v2!AR14</f>
        <v>N53_N54</v>
      </c>
      <c r="BD25" s="63">
        <f>DIST_PHASE_1_v2!AT14</f>
        <v>3.2837000000000005E-2</v>
      </c>
      <c r="BE25" s="63">
        <f>DIST_PHASE_1_v2!AY14</f>
        <v>250</v>
      </c>
      <c r="BF25" s="63">
        <f>DIST_PHASE_1_v2!AZ14</f>
        <v>150</v>
      </c>
      <c r="BG25" s="63">
        <f>DIST_PHASE_1_v2!BA14</f>
        <v>191</v>
      </c>
      <c r="BH25" s="63">
        <f t="shared" si="23"/>
        <v>162.95855303018971</v>
      </c>
      <c r="BI25" s="63" t="str">
        <f t="shared" si="40"/>
        <v/>
      </c>
      <c r="BJ25" s="63">
        <f t="shared" si="41"/>
        <v>0.29132805654913152</v>
      </c>
      <c r="BK25" s="63" t="e">
        <f t="shared" si="24"/>
        <v>#VALUE!</v>
      </c>
      <c r="BL25" s="63" t="e">
        <f t="shared" si="4"/>
        <v>#VALUE!</v>
      </c>
      <c r="BP25" s="63">
        <f t="shared" si="5"/>
        <v>0</v>
      </c>
      <c r="BQ25" s="63">
        <v>4</v>
      </c>
      <c r="BR25" s="63" t="str">
        <f>DIST_PHASE_1_v2!BF14</f>
        <v>-</v>
      </c>
      <c r="BS25" s="63" t="str">
        <f>DIST_PHASE_1_v2!BG14</f>
        <v>N32_N33</v>
      </c>
      <c r="BT25" s="63">
        <f>DIST_PHASE_1_v2!BI14</f>
        <v>8.3280000000000007E-2</v>
      </c>
      <c r="BU25" s="63">
        <f>DIST_PHASE_1_v2!BN14</f>
        <v>350</v>
      </c>
      <c r="BV25" s="63">
        <f>DIST_PHASE_1_v2!BO14</f>
        <v>150</v>
      </c>
      <c r="BW25" s="63">
        <f>DIST_PHASE_1_v2!BP14</f>
        <v>157</v>
      </c>
      <c r="BX25" s="63">
        <f t="shared" si="25"/>
        <v>26.01080439363939</v>
      </c>
      <c r="BY25" s="63" t="str">
        <f t="shared" si="26"/>
        <v/>
      </c>
      <c r="BZ25" s="63">
        <f t="shared" si="27"/>
        <v>0.26061246863674414</v>
      </c>
      <c r="CA25" s="63" t="e">
        <f t="shared" si="28"/>
        <v>#VALUE!</v>
      </c>
      <c r="CB25" s="63" t="e">
        <f t="shared" si="6"/>
        <v>#VALUE!</v>
      </c>
      <c r="CF25" s="63">
        <f t="shared" si="7"/>
        <v>0</v>
      </c>
      <c r="CG25" s="63">
        <v>4</v>
      </c>
      <c r="CH25" s="63" t="str">
        <f>DIST_PHASE_1_v2!BS14</f>
        <v>-</v>
      </c>
      <c r="CI25" s="63" t="str">
        <f>DIST_PHASE_1_v2!BT14</f>
        <v>N5_N6</v>
      </c>
      <c r="CJ25" s="63">
        <f>DIST_PHASE_1_v2!BV14</f>
        <v>0.16656000000000001</v>
      </c>
      <c r="CK25" s="63">
        <f>DIST_PHASE_1_v2!CA14</f>
        <v>466</v>
      </c>
      <c r="CL25" s="63">
        <v>150</v>
      </c>
      <c r="CM25" s="63">
        <f>DIST_PHASE_1_v2!CC14</f>
        <v>75</v>
      </c>
      <c r="CN25" s="63">
        <f t="shared" si="29"/>
        <v>3.0815061437013331</v>
      </c>
      <c r="CO25" s="63" t="str">
        <f t="shared" si="30"/>
        <v/>
      </c>
      <c r="CP25" s="63">
        <f t="shared" si="31"/>
        <v>0.11145819275030529</v>
      </c>
      <c r="CQ25" s="63" t="e">
        <f t="shared" si="32"/>
        <v>#VALUE!</v>
      </c>
      <c r="CR25" s="63" t="e">
        <f t="shared" si="8"/>
        <v>#VALUE!</v>
      </c>
      <c r="CV25" s="63">
        <f t="shared" si="9"/>
        <v>1</v>
      </c>
      <c r="CW25" s="63">
        <v>4</v>
      </c>
      <c r="CX25" s="63" t="str">
        <f>DIST_PHASE_1_v2!CF14</f>
        <v>-</v>
      </c>
      <c r="CY25" s="63" t="str">
        <f>DIST_PHASE_1_v2!CG14</f>
        <v>N3_N18</v>
      </c>
      <c r="CZ25" s="63">
        <f>DIST_PHASE_1_v2!CI14</f>
        <v>0.16656000000000001</v>
      </c>
      <c r="DA25" s="63">
        <f>DIST_PHASE_1_v2!CN14</f>
        <v>466</v>
      </c>
      <c r="DB25" s="63">
        <f>DIST_PHASE_1_v2!CO14</f>
        <v>150</v>
      </c>
      <c r="DC25" s="63">
        <f>DIST_PHASE_1_v2!CP14</f>
        <v>93</v>
      </c>
      <c r="DD25" s="63">
        <f t="shared" si="33"/>
        <v>3.821067618189653</v>
      </c>
      <c r="DE25" s="63" t="e" cm="1">
        <f t="array" ref="DE25">INDEX($CB$22:$CB$62,CV25,1)</f>
        <v>#VALUE!</v>
      </c>
      <c r="DF25" s="63" t="e">
        <f t="shared" si="35"/>
        <v>#VALUE!</v>
      </c>
      <c r="DG25" s="63" t="e">
        <f t="shared" si="36"/>
        <v>#VALUE!</v>
      </c>
      <c r="DH25" s="63" t="e">
        <f t="shared" si="37"/>
        <v>#VALUE!</v>
      </c>
    </row>
    <row r="26" spans="2:112" x14ac:dyDescent="0.25">
      <c r="B26">
        <v>5</v>
      </c>
      <c r="C26" s="69" t="s">
        <v>539</v>
      </c>
      <c r="D26" s="63" t="str">
        <f>DIST_PHASE_1_v2!E15</f>
        <v>N87_N88</v>
      </c>
      <c r="E26" s="63">
        <f>DIST_PHASE_1_v2!G15</f>
        <v>0.25</v>
      </c>
      <c r="F26" s="63">
        <f>DIST_PHASE_1_v2!L15</f>
        <v>565</v>
      </c>
      <c r="G26" s="63">
        <f>DIST_PHASE_1_v2!M15</f>
        <v>150</v>
      </c>
      <c r="H26" s="63">
        <f>DIST_PHASE_1_v2!N15</f>
        <v>250</v>
      </c>
      <c r="I26" s="63">
        <f t="shared" si="10"/>
        <v>4.0190332028082514</v>
      </c>
      <c r="J26" s="63">
        <f t="shared" si="11"/>
        <v>0.25</v>
      </c>
      <c r="K26" s="63">
        <f t="shared" si="12"/>
        <v>0.30839440487044523</v>
      </c>
      <c r="L26" s="63">
        <f t="shared" si="38"/>
        <v>2.2845857512802583</v>
      </c>
      <c r="M26" s="63">
        <f t="shared" si="13"/>
        <v>0.25659693507618353</v>
      </c>
      <c r="P26" s="63">
        <f t="shared" si="14"/>
        <v>0</v>
      </c>
      <c r="Q26" s="63">
        <v>5</v>
      </c>
      <c r="R26" s="69" t="str">
        <f>DIST_PHASE_1_v2!Q15</f>
        <v>-</v>
      </c>
      <c r="S26" s="69" t="str">
        <f>DIST_PHASE_1_v2!R15</f>
        <v>N84_N165</v>
      </c>
      <c r="T26" s="69">
        <f>DIST_PHASE_1_v2!T15</f>
        <v>2.9028999999999999E-2</v>
      </c>
      <c r="U26" s="63">
        <f>DIST_PHASE_1_v2!Y15</f>
        <v>200</v>
      </c>
      <c r="V26" s="63">
        <v>150</v>
      </c>
      <c r="W26" s="63">
        <f>DIST_PHASE_1_v2!AA15</f>
        <v>96</v>
      </c>
      <c r="X26" s="63">
        <f t="shared" si="15"/>
        <v>242.86431051954654</v>
      </c>
      <c r="Y26" s="63" t="str">
        <f t="shared" si="16"/>
        <v/>
      </c>
      <c r="Z26" s="63" cm="1">
        <f t="array" ref="Z26">IF(P26&gt;0,
IF(INDEX($C$22:$C$91,P26,1)="positif",1,-1),0)</f>
        <v>0</v>
      </c>
      <c r="AA26" s="63">
        <f t="shared" si="17"/>
        <v>0</v>
      </c>
      <c r="AB26" s="63" t="e">
        <f t="shared" si="0"/>
        <v>#VALUE!</v>
      </c>
      <c r="AC26" s="63" t="e">
        <f t="shared" si="1"/>
        <v>#VALUE!</v>
      </c>
      <c r="AD26" s="63" t="e">
        <f t="shared" si="39"/>
        <v>#VALUE!</v>
      </c>
      <c r="AF26" s="63" t="e">
        <f t="shared" si="18"/>
        <v>#VALUE!</v>
      </c>
      <c r="AJ26" s="63">
        <f t="shared" si="19"/>
        <v>0</v>
      </c>
      <c r="AK26" s="63">
        <v>5</v>
      </c>
      <c r="AL26" s="63" t="str">
        <f>TRONCONS_V2!AI13</f>
        <v>positif</v>
      </c>
      <c r="AM26" s="63" t="str">
        <f>TRONCONS_V2!AE13</f>
        <v>N74_N75</v>
      </c>
      <c r="AN26" s="63">
        <f>DIST_PHASE_1_v2!AG15</f>
        <v>3.2837000000000005E-2</v>
      </c>
      <c r="AO26" s="63">
        <f>DIST_PHASE_1_v2!AL15</f>
        <v>250</v>
      </c>
      <c r="AP26" s="63">
        <v>150</v>
      </c>
      <c r="AQ26" s="63">
        <f>TRONCONS_V2!AG13</f>
        <v>74</v>
      </c>
      <c r="AR26" s="63">
        <f t="shared" si="20"/>
        <v>63.135774472429517</v>
      </c>
      <c r="AS26" s="63">
        <f t="shared" si="21"/>
        <v>3.2837000000000005E-2</v>
      </c>
      <c r="AT26" s="63">
        <f t="shared" si="42"/>
        <v>0.1128705559405012</v>
      </c>
      <c r="AU26" s="63">
        <f t="shared" si="22"/>
        <v>6.3658759814175534</v>
      </c>
      <c r="AV26" s="63" t="e">
        <f t="shared" si="2"/>
        <v>#VALUE!</v>
      </c>
      <c r="AZ26" s="63">
        <f t="shared" si="3"/>
        <v>0</v>
      </c>
      <c r="BA26" s="63">
        <v>5</v>
      </c>
      <c r="BB26" s="63" t="str">
        <f>DIST_PHASE_1_v2!AQ15</f>
        <v>+</v>
      </c>
      <c r="BC26" s="63" t="str">
        <f>DIST_PHASE_1_v2!AR15</f>
        <v>N54_N55</v>
      </c>
      <c r="BD26" s="63">
        <f>DIST_PHASE_1_v2!AT15</f>
        <v>3.2837000000000005E-2</v>
      </c>
      <c r="BE26" s="63">
        <f>DIST_PHASE_1_v2!AY15</f>
        <v>250</v>
      </c>
      <c r="BF26" s="63">
        <f>DIST_PHASE_1_v2!AZ15</f>
        <v>150</v>
      </c>
      <c r="BG26" s="63">
        <f>DIST_PHASE_1_v2!BA15</f>
        <v>77</v>
      </c>
      <c r="BH26" s="63">
        <f t="shared" si="23"/>
        <v>65.695332896987466</v>
      </c>
      <c r="BI26" s="63" t="str">
        <f t="shared" si="40"/>
        <v/>
      </c>
      <c r="BJ26" s="63">
        <f t="shared" si="41"/>
        <v>0.11744638928944044</v>
      </c>
      <c r="BK26" s="63" t="e">
        <f t="shared" si="24"/>
        <v>#VALUE!</v>
      </c>
      <c r="BL26" s="63" t="e">
        <f t="shared" si="4"/>
        <v>#VALUE!</v>
      </c>
      <c r="BP26" s="63">
        <f t="shared" si="5"/>
        <v>0</v>
      </c>
      <c r="BQ26" s="63">
        <v>5</v>
      </c>
      <c r="BR26" s="63" t="str">
        <f>DIST_PHASE_1_v2!BF15</f>
        <v>-</v>
      </c>
      <c r="BS26" s="63" t="str">
        <f>DIST_PHASE_1_v2!BG15</f>
        <v>N33_N34</v>
      </c>
      <c r="BT26" s="63">
        <f>DIST_PHASE_1_v2!BI15</f>
        <v>8.3280000000000007E-2</v>
      </c>
      <c r="BU26" s="63">
        <f>DIST_PHASE_1_v2!BN15</f>
        <v>350</v>
      </c>
      <c r="BV26" s="63">
        <f>DIST_PHASE_1_v2!BO15</f>
        <v>150</v>
      </c>
      <c r="BW26" s="63">
        <f>DIST_PHASE_1_v2!BP15</f>
        <v>82</v>
      </c>
      <c r="BX26" s="63">
        <f t="shared" si="25"/>
        <v>13.585260893493183</v>
      </c>
      <c r="BY26" s="63" t="str">
        <f t="shared" si="26"/>
        <v/>
      </c>
      <c r="BZ26" s="63">
        <f t="shared" si="27"/>
        <v>0.13611606642173896</v>
      </c>
      <c r="CA26" s="63" t="e">
        <f t="shared" si="28"/>
        <v>#VALUE!</v>
      </c>
      <c r="CB26" s="63" t="e">
        <f t="shared" si="6"/>
        <v>#VALUE!</v>
      </c>
      <c r="CF26" s="63">
        <f t="shared" si="7"/>
        <v>0</v>
      </c>
      <c r="CG26" s="63">
        <v>5</v>
      </c>
      <c r="CH26" s="63" t="str">
        <f>DIST_PHASE_1_v2!BS15</f>
        <v>-</v>
      </c>
      <c r="CI26" s="63" t="str">
        <f>DIST_PHASE_1_v2!BT15</f>
        <v>N6_N7</v>
      </c>
      <c r="CJ26" s="63">
        <f>DIST_PHASE_1_v2!BV15</f>
        <v>0.16656000000000001</v>
      </c>
      <c r="CK26" s="63">
        <f>DIST_PHASE_1_v2!CA15</f>
        <v>466</v>
      </c>
      <c r="CL26" s="63">
        <v>150</v>
      </c>
      <c r="CM26" s="63">
        <f>DIST_PHASE_1_v2!CC15</f>
        <v>94</v>
      </c>
      <c r="CN26" s="63">
        <f t="shared" si="29"/>
        <v>3.8621543667723377</v>
      </c>
      <c r="CO26" s="63" t="str">
        <f t="shared" si="30"/>
        <v/>
      </c>
      <c r="CP26" s="63">
        <f t="shared" si="31"/>
        <v>0.13969426824704931</v>
      </c>
      <c r="CQ26" s="63" t="e">
        <f t="shared" si="32"/>
        <v>#VALUE!</v>
      </c>
      <c r="CR26" s="63" t="e">
        <f t="shared" si="8"/>
        <v>#VALUE!</v>
      </c>
      <c r="CV26" s="63">
        <f t="shared" si="9"/>
        <v>2</v>
      </c>
      <c r="CW26" s="63">
        <v>5</v>
      </c>
      <c r="CX26" s="63" t="str">
        <f>DIST_PHASE_1_v2!CF15</f>
        <v>+</v>
      </c>
      <c r="CY26" s="63" t="str">
        <f>DIST_PHASE_1_v2!CG15</f>
        <v>N3_N4</v>
      </c>
      <c r="CZ26" s="63">
        <f>DIST_PHASE_1_v2!CI15</f>
        <v>0.16656000000000001</v>
      </c>
      <c r="DA26" s="63">
        <f>DIST_PHASE_1_v2!CN15</f>
        <v>466</v>
      </c>
      <c r="DB26" s="63">
        <f>DIST_PHASE_1_v2!CO15</f>
        <v>150</v>
      </c>
      <c r="DC26" s="63">
        <f>DIST_PHASE_1_v2!CP15</f>
        <v>181</v>
      </c>
      <c r="DD26" s="63">
        <f t="shared" si="33"/>
        <v>7.4367014934658844</v>
      </c>
      <c r="DE26" s="63" t="e" cm="1">
        <f t="array" ref="DE26">INDEX($CB$22:$CB$62,CV26,1)</f>
        <v>#VALUE!</v>
      </c>
      <c r="DF26" s="63" t="e">
        <f t="shared" si="35"/>
        <v>#VALUE!</v>
      </c>
      <c r="DG26" s="63" t="e">
        <f t="shared" si="36"/>
        <v>#VALUE!</v>
      </c>
      <c r="DH26" s="63" t="e">
        <f t="shared" si="37"/>
        <v>#VALUE!</v>
      </c>
    </row>
    <row r="27" spans="2:112" x14ac:dyDescent="0.25">
      <c r="B27">
        <v>6</v>
      </c>
      <c r="C27" s="69" t="s">
        <v>539</v>
      </c>
      <c r="D27" s="63" t="str">
        <f>DIST_PHASE_1_v2!E16</f>
        <v>N88_N89</v>
      </c>
      <c r="E27" s="63">
        <f>DIST_PHASE_1_v2!G16</f>
        <v>6.3E-2</v>
      </c>
      <c r="F27" s="63">
        <f>DIST_PHASE_1_v2!L16</f>
        <v>300</v>
      </c>
      <c r="G27" s="63">
        <f>DIST_PHASE_1_v2!M16</f>
        <v>150</v>
      </c>
      <c r="H27" s="63">
        <f>DIST_PHASE_1_v2!N16</f>
        <v>63</v>
      </c>
      <c r="I27" s="63">
        <f t="shared" si="10"/>
        <v>22.115282553351062</v>
      </c>
      <c r="J27" s="63">
        <f t="shared" si="11"/>
        <v>6.3E-2</v>
      </c>
      <c r="K27" s="63">
        <f t="shared" si="12"/>
        <v>0.132151224021303</v>
      </c>
      <c r="L27" s="63">
        <f t="shared" si="38"/>
        <v>3.8848264585309997</v>
      </c>
      <c r="M27" s="63">
        <f t="shared" si="13"/>
        <v>6.9596935076183558E-2</v>
      </c>
      <c r="P27" s="63">
        <f t="shared" si="14"/>
        <v>0</v>
      </c>
      <c r="Q27" s="63">
        <v>6</v>
      </c>
      <c r="R27" s="69" t="str">
        <f>DIST_PHASE_1_v2!Q16</f>
        <v>-</v>
      </c>
      <c r="S27" s="69" t="str">
        <f>DIST_PHASE_1_v2!R16</f>
        <v>N127_N136</v>
      </c>
      <c r="T27" s="69">
        <f>DIST_PHASE_1_v2!T16</f>
        <v>5.8057999999999998E-2</v>
      </c>
      <c r="U27" s="63">
        <f>DIST_PHASE_1_v2!Y16</f>
        <v>300</v>
      </c>
      <c r="V27" s="63">
        <v>150</v>
      </c>
      <c r="W27" s="63">
        <f>DIST_PHASE_1_v2!AA16</f>
        <v>222</v>
      </c>
      <c r="X27" s="63">
        <f t="shared" si="15"/>
        <v>77.930043283237083</v>
      </c>
      <c r="Y27" s="63" t="str">
        <f t="shared" si="16"/>
        <v/>
      </c>
      <c r="Z27" s="63" cm="1">
        <f t="array" ref="Z27">IF(P27&gt;0,
IF(INDEX($C$22:$C$91,P27,1)="positif",1,-1),0)</f>
        <v>0</v>
      </c>
      <c r="AA27" s="63">
        <f t="shared" si="17"/>
        <v>0</v>
      </c>
      <c r="AB27" s="63" t="e">
        <f t="shared" si="0"/>
        <v>#VALUE!</v>
      </c>
      <c r="AC27" s="63" t="e">
        <f t="shared" si="1"/>
        <v>#VALUE!</v>
      </c>
      <c r="AD27" s="63" t="e">
        <f t="shared" si="39"/>
        <v>#VALUE!</v>
      </c>
      <c r="AF27" s="63" t="e">
        <f t="shared" si="18"/>
        <v>#VALUE!</v>
      </c>
      <c r="AJ27" s="63">
        <f t="shared" si="19"/>
        <v>0</v>
      </c>
      <c r="AK27" s="63">
        <v>6</v>
      </c>
      <c r="AL27" s="63" t="str">
        <f>TRONCONS_V2!AI14</f>
        <v>positif</v>
      </c>
      <c r="AM27" s="63" t="str">
        <f>TRONCONS_V2!AE14</f>
        <v>N75_N76</v>
      </c>
      <c r="AN27" s="63">
        <f>DIST_PHASE_1_v2!AG16</f>
        <v>3.2837000000000005E-2</v>
      </c>
      <c r="AO27" s="63">
        <f>DIST_PHASE_1_v2!AL16</f>
        <v>250</v>
      </c>
      <c r="AP27" s="63">
        <v>150</v>
      </c>
      <c r="AQ27" s="63">
        <f>TRONCONS_V2!AG14</f>
        <v>75</v>
      </c>
      <c r="AR27" s="63">
        <f t="shared" si="20"/>
        <v>63.988960613948841</v>
      </c>
      <c r="AS27" s="63">
        <f t="shared" si="21"/>
        <v>3.2837000000000005E-2</v>
      </c>
      <c r="AT27" s="63">
        <f t="shared" si="42"/>
        <v>0.11439583372348096</v>
      </c>
      <c r="AU27" s="63">
        <f t="shared" si="22"/>
        <v>6.4519013325177914</v>
      </c>
      <c r="AV27" s="63" t="e">
        <f t="shared" si="2"/>
        <v>#VALUE!</v>
      </c>
      <c r="AZ27" s="63">
        <f t="shared" si="3"/>
        <v>0</v>
      </c>
      <c r="BA27" s="63">
        <v>6</v>
      </c>
      <c r="BB27" s="63" t="str">
        <f>DIST_PHASE_1_v2!AQ16</f>
        <v>+</v>
      </c>
      <c r="BC27" s="63" t="str">
        <f>DIST_PHASE_1_v2!AR16</f>
        <v>N55_N56</v>
      </c>
      <c r="BD27" s="63">
        <f>DIST_PHASE_1_v2!AT16</f>
        <v>3.2837000000000005E-2</v>
      </c>
      <c r="BE27" s="63">
        <f>DIST_PHASE_1_v2!AY16</f>
        <v>250</v>
      </c>
      <c r="BF27" s="63">
        <f>DIST_PHASE_1_v2!AZ16</f>
        <v>150</v>
      </c>
      <c r="BG27" s="63">
        <f>DIST_PHASE_1_v2!BA16</f>
        <v>77</v>
      </c>
      <c r="BH27" s="63">
        <f t="shared" si="23"/>
        <v>65.695332896987466</v>
      </c>
      <c r="BI27" s="63" t="str">
        <f t="shared" si="40"/>
        <v/>
      </c>
      <c r="BJ27" s="63">
        <f t="shared" si="41"/>
        <v>0.11744638928944044</v>
      </c>
      <c r="BK27" s="63" t="e">
        <f t="shared" si="24"/>
        <v>#VALUE!</v>
      </c>
      <c r="BL27" s="63" t="e">
        <f t="shared" si="4"/>
        <v>#VALUE!</v>
      </c>
      <c r="BP27" s="63">
        <f t="shared" si="5"/>
        <v>0</v>
      </c>
      <c r="BQ27" s="63">
        <v>6</v>
      </c>
      <c r="BR27" s="63" t="str">
        <f>DIST_PHASE_1_v2!BF16</f>
        <v>-</v>
      </c>
      <c r="BS27" s="63" t="str">
        <f>DIST_PHASE_1_v2!BG16</f>
        <v>N34_N35</v>
      </c>
      <c r="BT27" s="63">
        <f>DIST_PHASE_1_v2!BI16</f>
        <v>8.3280000000000007E-2</v>
      </c>
      <c r="BU27" s="63">
        <f>DIST_PHASE_1_v2!BN16</f>
        <v>350</v>
      </c>
      <c r="BV27" s="63">
        <f>DIST_PHASE_1_v2!BO16</f>
        <v>150</v>
      </c>
      <c r="BW27" s="63">
        <f>DIST_PHASE_1_v2!BP16</f>
        <v>69</v>
      </c>
      <c r="BX27" s="63">
        <f t="shared" si="25"/>
        <v>11.431500020134509</v>
      </c>
      <c r="BY27" s="63" t="str">
        <f t="shared" si="26"/>
        <v/>
      </c>
      <c r="BZ27" s="63">
        <f t="shared" si="27"/>
        <v>0.11453669003780474</v>
      </c>
      <c r="CA27" s="63" t="e">
        <f t="shared" si="28"/>
        <v>#VALUE!</v>
      </c>
      <c r="CB27" s="63" t="e">
        <f t="shared" si="6"/>
        <v>#VALUE!</v>
      </c>
      <c r="CF27" s="63">
        <f t="shared" si="7"/>
        <v>0</v>
      </c>
      <c r="CG27" s="63">
        <v>6</v>
      </c>
      <c r="CH27" s="63" t="str">
        <f>DIST_PHASE_1_v2!BS16</f>
        <v>-</v>
      </c>
      <c r="CI27" s="63" t="str">
        <f>DIST_PHASE_1_v2!BT16</f>
        <v>N7_N106</v>
      </c>
      <c r="CJ27" s="63">
        <f>DIST_PHASE_1_v2!BV16</f>
        <v>8.3280000000000007E-2</v>
      </c>
      <c r="CK27" s="63">
        <f>DIST_PHASE_1_v2!CA16</f>
        <v>350</v>
      </c>
      <c r="CL27" s="63">
        <v>150</v>
      </c>
      <c r="CM27" s="63">
        <f>DIST_PHASE_1_v2!CC16</f>
        <v>322</v>
      </c>
      <c r="CN27" s="63">
        <f t="shared" si="29"/>
        <v>53.347000093961036</v>
      </c>
      <c r="CO27" s="63" t="str">
        <f t="shared" si="30"/>
        <v/>
      </c>
      <c r="CP27" s="63">
        <f t="shared" si="31"/>
        <v>0.53450455350975545</v>
      </c>
      <c r="CQ27" s="63" t="e">
        <f t="shared" si="32"/>
        <v>#VALUE!</v>
      </c>
      <c r="CR27" s="63" t="e">
        <f t="shared" si="8"/>
        <v>#VALUE!</v>
      </c>
      <c r="CV27" s="63">
        <f t="shared" si="9"/>
        <v>3</v>
      </c>
      <c r="CW27" s="63">
        <v>6</v>
      </c>
      <c r="CX27" s="63" t="str">
        <f>DIST_PHASE_1_v2!CF16</f>
        <v>+</v>
      </c>
      <c r="CY27" s="63" t="str">
        <f>DIST_PHASE_1_v2!CG16</f>
        <v>N4_N5</v>
      </c>
      <c r="CZ27" s="63">
        <f>DIST_PHASE_1_v2!CI16</f>
        <v>0.16656000000000001</v>
      </c>
      <c r="DA27" s="63">
        <f>DIST_PHASE_1_v2!CN16</f>
        <v>466</v>
      </c>
      <c r="DB27" s="63">
        <f>DIST_PHASE_1_v2!CO16</f>
        <v>150</v>
      </c>
      <c r="DC27" s="63">
        <f>DIST_PHASE_1_v2!CP16</f>
        <v>133</v>
      </c>
      <c r="DD27" s="63">
        <f t="shared" si="33"/>
        <v>5.4645375614970311</v>
      </c>
      <c r="DE27" s="63" t="e" cm="1">
        <f t="array" ref="DE27">INDEX($CB$22:$CB$62,CV27,1)</f>
        <v>#VALUE!</v>
      </c>
      <c r="DF27" s="63" t="e">
        <f t="shared" si="35"/>
        <v>#VALUE!</v>
      </c>
      <c r="DG27" s="63" t="e">
        <f t="shared" si="36"/>
        <v>#VALUE!</v>
      </c>
      <c r="DH27" s="63" t="e">
        <f t="shared" si="37"/>
        <v>#VALUE!</v>
      </c>
    </row>
    <row r="28" spans="2:112" x14ac:dyDescent="0.25">
      <c r="B28">
        <v>7</v>
      </c>
      <c r="C28" s="69" t="s">
        <v>539</v>
      </c>
      <c r="D28" s="63" t="str">
        <f>DIST_PHASE_1_v2!E17</f>
        <v>N89_N90</v>
      </c>
      <c r="E28" s="63">
        <f>DIST_PHASE_1_v2!G17</f>
        <v>4.1000000000000002E-2</v>
      </c>
      <c r="F28" s="63">
        <f>DIST_PHASE_1_v2!L17</f>
        <v>250</v>
      </c>
      <c r="G28" s="63">
        <f>DIST_PHASE_1_v2!M17</f>
        <v>150</v>
      </c>
      <c r="H28" s="63">
        <f>DIST_PHASE_1_v2!N17</f>
        <v>41</v>
      </c>
      <c r="I28" s="63">
        <f t="shared" si="10"/>
        <v>34.980631802292031</v>
      </c>
      <c r="J28" s="63">
        <f t="shared" si="11"/>
        <v>4.1000000000000002E-2</v>
      </c>
      <c r="K28" s="63">
        <f t="shared" si="12"/>
        <v>9.4341624853503211E-2</v>
      </c>
      <c r="L28" s="63">
        <f t="shared" si="38"/>
        <v>4.2614802250899499</v>
      </c>
      <c r="M28" s="63">
        <f t="shared" si="13"/>
        <v>4.7596935076183552E-2</v>
      </c>
      <c r="P28" s="63">
        <f t="shared" si="14"/>
        <v>0</v>
      </c>
      <c r="Q28" s="63">
        <v>7</v>
      </c>
      <c r="R28" s="69" t="str">
        <f>DIST_PHASE_1_v2!Q17</f>
        <v>+</v>
      </c>
      <c r="S28" s="69" t="str">
        <f>DIST_PHASE_1_v2!R17</f>
        <v>N127_N128</v>
      </c>
      <c r="T28" s="69">
        <f>DIST_PHASE_1_v2!T17</f>
        <v>5.8057999999999998E-2</v>
      </c>
      <c r="U28" s="63">
        <f>DIST_PHASE_1_v2!Y17</f>
        <v>300</v>
      </c>
      <c r="V28" s="63">
        <v>150</v>
      </c>
      <c r="W28" s="63">
        <f>DIST_PHASE_1_v2!AA17</f>
        <v>190</v>
      </c>
      <c r="X28" s="63">
        <f t="shared" si="15"/>
        <v>66.696883891058746</v>
      </c>
      <c r="Y28" s="63" t="str">
        <f t="shared" si="16"/>
        <v/>
      </c>
      <c r="Z28" s="63" cm="1">
        <f t="array" ref="Z28">IF(P28&gt;0,
IF(INDEX($C$22:$C$91,P28,1)="positif",1,-1),0)</f>
        <v>0</v>
      </c>
      <c r="AA28" s="63">
        <f t="shared" si="17"/>
        <v>0</v>
      </c>
      <c r="AB28" s="63" t="e">
        <f t="shared" si="0"/>
        <v>#VALUE!</v>
      </c>
      <c r="AC28" s="63" t="e">
        <f t="shared" si="1"/>
        <v>#VALUE!</v>
      </c>
      <c r="AD28" s="63" t="e">
        <f t="shared" si="39"/>
        <v>#VALUE!</v>
      </c>
      <c r="AF28" s="63" t="e">
        <f t="shared" si="18"/>
        <v>#VALUE!</v>
      </c>
      <c r="AJ28" s="63">
        <f t="shared" si="19"/>
        <v>0</v>
      </c>
      <c r="AK28" s="63">
        <v>7</v>
      </c>
      <c r="AL28" s="63" t="str">
        <f>TRONCONS_V2!AI15</f>
        <v>positif</v>
      </c>
      <c r="AM28" s="63" t="str">
        <f>TRONCONS_V2!AE15</f>
        <v>N76_N77</v>
      </c>
      <c r="AN28" s="63">
        <f>DIST_PHASE_1_v2!AG17</f>
        <v>3.2837000000000005E-2</v>
      </c>
      <c r="AO28" s="63">
        <f>DIST_PHASE_1_v2!AL17</f>
        <v>250</v>
      </c>
      <c r="AP28" s="63">
        <v>150</v>
      </c>
      <c r="AQ28" s="63">
        <f>TRONCONS_V2!AG15</f>
        <v>76</v>
      </c>
      <c r="AR28" s="63">
        <f t="shared" si="20"/>
        <v>64.84214675546815</v>
      </c>
      <c r="AS28" s="63">
        <f t="shared" si="21"/>
        <v>3.2837000000000005E-2</v>
      </c>
      <c r="AT28" s="63">
        <f t="shared" si="42"/>
        <v>0.1159211115064607</v>
      </c>
      <c r="AU28" s="63">
        <f t="shared" si="22"/>
        <v>6.5379266836180276</v>
      </c>
      <c r="AV28" s="63" t="e">
        <f t="shared" si="2"/>
        <v>#VALUE!</v>
      </c>
      <c r="AZ28" s="63">
        <f t="shared" si="3"/>
        <v>0</v>
      </c>
      <c r="BA28" s="63">
        <v>7</v>
      </c>
      <c r="BB28" s="63" t="str">
        <f>DIST_PHASE_1_v2!AQ17</f>
        <v>+</v>
      </c>
      <c r="BC28" s="63" t="str">
        <f>DIST_PHASE_1_v2!AR17</f>
        <v>N56_N57</v>
      </c>
      <c r="BD28" s="63">
        <f>DIST_PHASE_1_v2!AT17</f>
        <v>3.2837000000000005E-2</v>
      </c>
      <c r="BE28" s="63">
        <f>DIST_PHASE_1_v2!AY17</f>
        <v>250</v>
      </c>
      <c r="BF28" s="63">
        <f>DIST_PHASE_1_v2!AZ17</f>
        <v>150</v>
      </c>
      <c r="BG28" s="63">
        <f>DIST_PHASE_1_v2!BA17</f>
        <v>76</v>
      </c>
      <c r="BH28" s="63">
        <f t="shared" si="23"/>
        <v>64.84214675546815</v>
      </c>
      <c r="BI28" s="63" t="str">
        <f t="shared" si="40"/>
        <v/>
      </c>
      <c r="BJ28" s="63">
        <f t="shared" si="41"/>
        <v>0.1159211115064607</v>
      </c>
      <c r="BK28" s="63" t="e">
        <f t="shared" si="24"/>
        <v>#VALUE!</v>
      </c>
      <c r="BL28" s="63" t="e">
        <f t="shared" si="4"/>
        <v>#VALUE!</v>
      </c>
      <c r="BP28" s="63">
        <f t="shared" si="5"/>
        <v>0</v>
      </c>
      <c r="BQ28" s="63">
        <v>7</v>
      </c>
      <c r="BR28" s="63" t="str">
        <f>DIST_PHASE_1_v2!BF17</f>
        <v>-</v>
      </c>
      <c r="BS28" s="63" t="str">
        <f>DIST_PHASE_1_v2!BG17</f>
        <v>N35_N36</v>
      </c>
      <c r="BT28" s="63">
        <f>DIST_PHASE_1_v2!BI17</f>
        <v>8.3280000000000007E-2</v>
      </c>
      <c r="BU28" s="63">
        <f>DIST_PHASE_1_v2!BN17</f>
        <v>350</v>
      </c>
      <c r="BV28" s="63">
        <f>DIST_PHASE_1_v2!BO17</f>
        <v>150</v>
      </c>
      <c r="BW28" s="63">
        <f>DIST_PHASE_1_v2!BP17</f>
        <v>73</v>
      </c>
      <c r="BX28" s="63">
        <f t="shared" si="25"/>
        <v>12.094195673475639</v>
      </c>
      <c r="BY28" s="63" t="str">
        <f t="shared" si="26"/>
        <v/>
      </c>
      <c r="BZ28" s="63">
        <f t="shared" si="27"/>
        <v>0.12117649815593834</v>
      </c>
      <c r="CA28" s="63" t="e">
        <f t="shared" si="28"/>
        <v>#VALUE!</v>
      </c>
      <c r="CB28" s="63" t="e">
        <f t="shared" si="6"/>
        <v>#VALUE!</v>
      </c>
      <c r="CF28" s="63">
        <f t="shared" si="7"/>
        <v>0</v>
      </c>
      <c r="CG28" s="63">
        <v>7</v>
      </c>
      <c r="CH28" s="63" t="str">
        <f>DIST_PHASE_1_v2!BS17</f>
        <v>+</v>
      </c>
      <c r="CI28" s="63" t="str">
        <f>DIST_PHASE_1_v2!BT17</f>
        <v>N18_N19</v>
      </c>
      <c r="CJ28" s="63">
        <f>DIST_PHASE_1_v2!BV17</f>
        <v>0.16656000000000001</v>
      </c>
      <c r="CK28" s="63">
        <f>DIST_PHASE_1_v2!CA17</f>
        <v>466</v>
      </c>
      <c r="CL28" s="63">
        <v>150</v>
      </c>
      <c r="CM28" s="63">
        <f>DIST_PHASE_1_v2!CC17</f>
        <v>56</v>
      </c>
      <c r="CN28" s="63">
        <f t="shared" si="29"/>
        <v>2.3008579206303286</v>
      </c>
      <c r="CO28" s="63" t="str">
        <f t="shared" si="30"/>
        <v/>
      </c>
      <c r="CP28" s="63">
        <f t="shared" si="31"/>
        <v>8.3222117253561281E-2</v>
      </c>
      <c r="CQ28" s="63" t="e">
        <f t="shared" si="32"/>
        <v>#VALUE!</v>
      </c>
      <c r="CR28" s="63" t="e">
        <f t="shared" si="8"/>
        <v>#VALUE!</v>
      </c>
      <c r="CV28" s="63">
        <f t="shared" si="9"/>
        <v>4</v>
      </c>
      <c r="CW28" s="63">
        <v>7</v>
      </c>
      <c r="CX28" s="63" t="str">
        <f>DIST_PHASE_1_v2!CF17</f>
        <v>+</v>
      </c>
      <c r="CY28" s="63" t="str">
        <f>DIST_PHASE_1_v2!CG17</f>
        <v>N5_N6</v>
      </c>
      <c r="CZ28" s="63">
        <f>DIST_PHASE_1_v2!CI17</f>
        <v>0.16656000000000001</v>
      </c>
      <c r="DA28" s="63">
        <f>DIST_PHASE_1_v2!CN17</f>
        <v>466</v>
      </c>
      <c r="DB28" s="63">
        <f>DIST_PHASE_1_v2!CO17</f>
        <v>150</v>
      </c>
      <c r="DC28" s="63">
        <f>DIST_PHASE_1_v2!CP17</f>
        <v>75</v>
      </c>
      <c r="DD28" s="63">
        <f t="shared" si="33"/>
        <v>3.0815061437013331</v>
      </c>
      <c r="DE28" s="63" t="e" cm="1">
        <f t="array" ref="DE28">INDEX($CB$22:$CB$62,CV28,1)</f>
        <v>#VALUE!</v>
      </c>
      <c r="DF28" s="63" t="e">
        <f t="shared" si="35"/>
        <v>#VALUE!</v>
      </c>
      <c r="DG28" s="63" t="e">
        <f t="shared" si="36"/>
        <v>#VALUE!</v>
      </c>
      <c r="DH28" s="63" t="e">
        <f t="shared" si="37"/>
        <v>#VALUE!</v>
      </c>
    </row>
    <row r="29" spans="2:112" x14ac:dyDescent="0.25">
      <c r="B29">
        <v>8</v>
      </c>
      <c r="C29" s="69" t="s">
        <v>539</v>
      </c>
      <c r="D29" s="63" t="str">
        <f>DIST_PHASE_1_v2!E18</f>
        <v>N90_N91</v>
      </c>
      <c r="E29" s="63">
        <f>DIST_PHASE_1_v2!G18</f>
        <v>0.20100000000000001</v>
      </c>
      <c r="F29" s="63">
        <f>DIST_PHASE_1_v2!L18</f>
        <v>565</v>
      </c>
      <c r="G29" s="63">
        <f>DIST_PHASE_1_v2!M18</f>
        <v>150</v>
      </c>
      <c r="H29" s="63">
        <f>DIST_PHASE_1_v2!N18</f>
        <v>201</v>
      </c>
      <c r="I29" s="63">
        <f t="shared" si="10"/>
        <v>3.2313026950578347</v>
      </c>
      <c r="J29" s="63">
        <f t="shared" si="11"/>
        <v>0.20100000000000001</v>
      </c>
      <c r="K29" s="63">
        <f t="shared" si="12"/>
        <v>0.16553763307059088</v>
      </c>
      <c r="L29" s="63">
        <f t="shared" si="38"/>
        <v>1.5252522211280313</v>
      </c>
      <c r="M29" s="63">
        <f t="shared" si="13"/>
        <v>0.20759693507618357</v>
      </c>
      <c r="P29" s="63">
        <f t="shared" si="14"/>
        <v>0</v>
      </c>
      <c r="Q29" s="63">
        <v>8</v>
      </c>
      <c r="R29" s="69" t="str">
        <f>DIST_PHASE_1_v2!Q18</f>
        <v>+</v>
      </c>
      <c r="S29" s="69" t="str">
        <f>DIST_PHASE_1_v2!R18</f>
        <v>N128_N129</v>
      </c>
      <c r="T29" s="69">
        <f>DIST_PHASE_1_v2!T18</f>
        <v>5.8057999999999998E-2</v>
      </c>
      <c r="U29" s="63">
        <f>DIST_PHASE_1_v2!Y18</f>
        <v>300</v>
      </c>
      <c r="V29" s="63">
        <v>150</v>
      </c>
      <c r="W29" s="63">
        <f>DIST_PHASE_1_v2!AA18</f>
        <v>290</v>
      </c>
      <c r="X29" s="63">
        <f t="shared" si="15"/>
        <v>101.80050699161599</v>
      </c>
      <c r="Y29" s="63" t="str">
        <f t="shared" si="16"/>
        <v/>
      </c>
      <c r="Z29" s="63" cm="1">
        <f t="array" ref="Z29">IF(P29&gt;0,
IF(INDEX($C$22:$C$91,P29,1)="positif",1,-1),0)</f>
        <v>0</v>
      </c>
      <c r="AA29" s="63">
        <f t="shared" si="17"/>
        <v>0</v>
      </c>
      <c r="AB29" s="63" t="e">
        <f t="shared" si="0"/>
        <v>#VALUE!</v>
      </c>
      <c r="AC29" s="63" t="e">
        <f t="shared" si="1"/>
        <v>#VALUE!</v>
      </c>
      <c r="AD29" s="63" t="e">
        <f t="shared" si="39"/>
        <v>#VALUE!</v>
      </c>
      <c r="AF29" s="63" t="e">
        <f t="shared" si="18"/>
        <v>#VALUE!</v>
      </c>
      <c r="AJ29" s="63">
        <f t="shared" si="19"/>
        <v>0</v>
      </c>
      <c r="AK29" s="63">
        <v>8</v>
      </c>
      <c r="AL29" s="63" t="str">
        <f>TRONCONS_V2!AI16</f>
        <v>positif</v>
      </c>
      <c r="AM29" s="63" t="str">
        <f>TRONCONS_V2!AE16</f>
        <v>N77_N78</v>
      </c>
      <c r="AN29" s="63">
        <f>DIST_PHASE_1_v2!AG18</f>
        <v>3.2837000000000005E-2</v>
      </c>
      <c r="AO29" s="63">
        <f>DIST_PHASE_1_v2!AL18</f>
        <v>250</v>
      </c>
      <c r="AP29" s="63">
        <v>150</v>
      </c>
      <c r="AQ29" s="63">
        <f>TRONCONS_V2!AG16</f>
        <v>77</v>
      </c>
      <c r="AR29" s="63">
        <f t="shared" si="20"/>
        <v>65.695332896987466</v>
      </c>
      <c r="AS29" s="63">
        <f t="shared" si="21"/>
        <v>3.2837000000000005E-2</v>
      </c>
      <c r="AT29" s="63">
        <f t="shared" si="42"/>
        <v>0.11744638928944044</v>
      </c>
      <c r="AU29" s="63">
        <f t="shared" si="22"/>
        <v>6.6239520347182648</v>
      </c>
      <c r="AV29" s="63" t="e">
        <f t="shared" si="2"/>
        <v>#VALUE!</v>
      </c>
      <c r="AZ29" s="63">
        <f t="shared" si="3"/>
        <v>0</v>
      </c>
      <c r="BA29" s="63">
        <v>8</v>
      </c>
      <c r="BB29" s="63" t="str">
        <f>DIST_PHASE_1_v2!AQ18</f>
        <v>+</v>
      </c>
      <c r="BC29" s="63" t="str">
        <f>DIST_PHASE_1_v2!AR18</f>
        <v>N57_N58</v>
      </c>
      <c r="BD29" s="63">
        <f>DIST_PHASE_1_v2!AT18</f>
        <v>3.2837000000000005E-2</v>
      </c>
      <c r="BE29" s="63">
        <f>DIST_PHASE_1_v2!AY18</f>
        <v>250</v>
      </c>
      <c r="BF29" s="63">
        <f>DIST_PHASE_1_v2!AZ18</f>
        <v>150</v>
      </c>
      <c r="BG29" s="63">
        <f>DIST_PHASE_1_v2!BA18</f>
        <v>36</v>
      </c>
      <c r="BH29" s="63">
        <f t="shared" si="23"/>
        <v>30.714701094695442</v>
      </c>
      <c r="BI29" s="63" t="str">
        <f t="shared" si="40"/>
        <v/>
      </c>
      <c r="BJ29" s="63">
        <f t="shared" si="41"/>
        <v>5.4910000187270859E-2</v>
      </c>
      <c r="BK29" s="63" t="e">
        <f t="shared" si="24"/>
        <v>#VALUE!</v>
      </c>
      <c r="BL29" s="63" t="e">
        <f t="shared" si="4"/>
        <v>#VALUE!</v>
      </c>
      <c r="BP29" s="63">
        <f t="shared" si="5"/>
        <v>0</v>
      </c>
      <c r="BQ29" s="63">
        <v>8</v>
      </c>
      <c r="BR29" s="63" t="str">
        <f>DIST_PHASE_1_v2!BF18</f>
        <v>-</v>
      </c>
      <c r="BS29" s="63" t="str">
        <f>DIST_PHASE_1_v2!BG18</f>
        <v>N36_N37</v>
      </c>
      <c r="BT29" s="63">
        <f>DIST_PHASE_1_v2!BI18</f>
        <v>8.3280000000000007E-2</v>
      </c>
      <c r="BU29" s="63">
        <f>DIST_PHASE_1_v2!BN18</f>
        <v>350</v>
      </c>
      <c r="BV29" s="63">
        <f>DIST_PHASE_1_v2!BO18</f>
        <v>150</v>
      </c>
      <c r="BW29" s="63">
        <f>DIST_PHASE_1_v2!BP18</f>
        <v>81</v>
      </c>
      <c r="BX29" s="63">
        <f t="shared" si="25"/>
        <v>13.419586980157902</v>
      </c>
      <c r="BY29" s="63" t="str">
        <f t="shared" si="26"/>
        <v/>
      </c>
      <c r="BZ29" s="63">
        <f t="shared" si="27"/>
        <v>0.13445611439220556</v>
      </c>
      <c r="CA29" s="63" t="e">
        <f t="shared" si="28"/>
        <v>#VALUE!</v>
      </c>
      <c r="CB29" s="63" t="e">
        <f t="shared" si="6"/>
        <v>#VALUE!</v>
      </c>
      <c r="CF29" s="63">
        <f t="shared" si="7"/>
        <v>0</v>
      </c>
      <c r="CG29" s="63">
        <v>8</v>
      </c>
      <c r="CH29" s="63" t="str">
        <f>DIST_PHASE_1_v2!BS18</f>
        <v>+</v>
      </c>
      <c r="CI29" s="63" t="str">
        <f>DIST_PHASE_1_v2!BT18</f>
        <v>N19_N20</v>
      </c>
      <c r="CJ29" s="63">
        <f>DIST_PHASE_1_v2!BV18</f>
        <v>0.16656000000000001</v>
      </c>
      <c r="CK29" s="63">
        <f>DIST_PHASE_1_v2!CA18</f>
        <v>466</v>
      </c>
      <c r="CL29" s="63">
        <v>150</v>
      </c>
      <c r="CM29" s="63">
        <f>DIST_PHASE_1_v2!CC18</f>
        <v>60</v>
      </c>
      <c r="CN29" s="63">
        <f t="shared" si="29"/>
        <v>2.4652049149610664</v>
      </c>
      <c r="CO29" s="63" t="str">
        <f t="shared" si="30"/>
        <v/>
      </c>
      <c r="CP29" s="63">
        <f t="shared" si="31"/>
        <v>8.9166554200244233E-2</v>
      </c>
      <c r="CQ29" s="63" t="e">
        <f t="shared" si="32"/>
        <v>#VALUE!</v>
      </c>
      <c r="CR29" s="63" t="e">
        <f t="shared" si="8"/>
        <v>#VALUE!</v>
      </c>
      <c r="CV29" s="63">
        <f t="shared" si="9"/>
        <v>5</v>
      </c>
      <c r="CW29" s="63">
        <v>8</v>
      </c>
      <c r="CX29" s="63" t="str">
        <f>DIST_PHASE_1_v2!CF18</f>
        <v>+</v>
      </c>
      <c r="CY29" s="63" t="str">
        <f>DIST_PHASE_1_v2!CG18</f>
        <v>N6_N7</v>
      </c>
      <c r="CZ29" s="63">
        <f>DIST_PHASE_1_v2!CI18</f>
        <v>0.16656000000000001</v>
      </c>
      <c r="DA29" s="63">
        <f>DIST_PHASE_1_v2!CN18</f>
        <v>466</v>
      </c>
      <c r="DB29" s="63">
        <f>DIST_PHASE_1_v2!CO18</f>
        <v>150</v>
      </c>
      <c r="DC29" s="63">
        <f>DIST_PHASE_1_v2!CP18</f>
        <v>94</v>
      </c>
      <c r="DD29" s="63">
        <f t="shared" si="33"/>
        <v>3.8621543667723377</v>
      </c>
      <c r="DE29" s="63" t="e" cm="1">
        <f t="array" ref="DE29">INDEX($CB$22:$CB$62,CV29,1)</f>
        <v>#VALUE!</v>
      </c>
      <c r="DF29" s="63" t="e">
        <f t="shared" si="35"/>
        <v>#VALUE!</v>
      </c>
      <c r="DG29" s="63" t="e">
        <f t="shared" si="36"/>
        <v>#VALUE!</v>
      </c>
      <c r="DH29" s="63" t="e">
        <f t="shared" si="37"/>
        <v>#VALUE!</v>
      </c>
    </row>
    <row r="30" spans="2:112" x14ac:dyDescent="0.25">
      <c r="B30">
        <v>9</v>
      </c>
      <c r="C30" s="69" t="s">
        <v>539</v>
      </c>
      <c r="D30" s="63" t="str">
        <f>DIST_PHASE_1_v2!E19</f>
        <v>N91_N92</v>
      </c>
      <c r="E30" s="63">
        <f>DIST_PHASE_1_v2!G19</f>
        <v>0.129</v>
      </c>
      <c r="F30" s="63">
        <f>DIST_PHASE_1_v2!L19</f>
        <v>421</v>
      </c>
      <c r="G30" s="63">
        <f>DIST_PHASE_1_v2!M19</f>
        <v>150</v>
      </c>
      <c r="H30" s="63">
        <f>DIST_PHASE_1_v2!N19</f>
        <v>129</v>
      </c>
      <c r="I30" s="63">
        <f t="shared" si="10"/>
        <v>8.6920295923619637</v>
      </c>
      <c r="J30" s="63">
        <f t="shared" si="11"/>
        <v>0.129</v>
      </c>
      <c r="K30" s="63">
        <f t="shared" si="12"/>
        <v>0.19585440315176539</v>
      </c>
      <c r="L30" s="63">
        <f t="shared" si="38"/>
        <v>2.8118011987369731</v>
      </c>
      <c r="M30" s="63">
        <f t="shared" si="13"/>
        <v>0.13559693507618356</v>
      </c>
      <c r="P30" s="63">
        <f t="shared" si="14"/>
        <v>0</v>
      </c>
      <c r="Q30" s="63">
        <v>9</v>
      </c>
      <c r="R30" s="69" t="str">
        <f>DIST_PHASE_1_v2!Q19</f>
        <v>+</v>
      </c>
      <c r="S30" s="69" t="str">
        <f>DIST_PHASE_1_v2!R19</f>
        <v>N129_N130</v>
      </c>
      <c r="T30" s="69">
        <f>DIST_PHASE_1_v2!T19</f>
        <v>5.8057999999999998E-2</v>
      </c>
      <c r="U30" s="63">
        <f>DIST_PHASE_1_v2!Y19</f>
        <v>300</v>
      </c>
      <c r="V30" s="63">
        <v>150</v>
      </c>
      <c r="W30" s="63">
        <f>DIST_PHASE_1_v2!AA19</f>
        <v>82</v>
      </c>
      <c r="X30" s="63">
        <f t="shared" si="15"/>
        <v>28.784970942456937</v>
      </c>
      <c r="Y30" s="63" t="str">
        <f t="shared" si="16"/>
        <v/>
      </c>
      <c r="Z30" s="63" cm="1">
        <f t="array" ref="Z30">IF(P30&gt;0,
IF(INDEX($C$22:$C$91,P30,1)="positif",1,-1),0)</f>
        <v>0</v>
      </c>
      <c r="AA30" s="63">
        <f t="shared" si="17"/>
        <v>0</v>
      </c>
      <c r="AB30" s="63" t="e">
        <f t="shared" si="0"/>
        <v>#VALUE!</v>
      </c>
      <c r="AC30" s="63" t="e">
        <f t="shared" si="1"/>
        <v>#VALUE!</v>
      </c>
      <c r="AD30" s="63" t="e">
        <f t="shared" si="39"/>
        <v>#VALUE!</v>
      </c>
      <c r="AF30" s="63" t="e">
        <f t="shared" si="18"/>
        <v>#VALUE!</v>
      </c>
      <c r="AJ30" s="63">
        <f t="shared" si="19"/>
        <v>0</v>
      </c>
      <c r="AK30" s="63">
        <v>9</v>
      </c>
      <c r="AL30" s="63" t="str">
        <f>TRONCONS_V2!AI17</f>
        <v>positif</v>
      </c>
      <c r="AM30" s="63" t="str">
        <f>TRONCONS_V2!AE17</f>
        <v>N78_N79</v>
      </c>
      <c r="AN30" s="63">
        <f>DIST_PHASE_1_v2!AG19</f>
        <v>3.2837000000000005E-2</v>
      </c>
      <c r="AO30" s="63">
        <f>DIST_PHASE_1_v2!AL19</f>
        <v>250</v>
      </c>
      <c r="AP30" s="63">
        <v>150</v>
      </c>
      <c r="AQ30" s="63">
        <f>TRONCONS_V2!AG17</f>
        <v>78</v>
      </c>
      <c r="AR30" s="63">
        <f t="shared" si="20"/>
        <v>66.548519038506782</v>
      </c>
      <c r="AS30" s="63">
        <f t="shared" si="21"/>
        <v>3.2837000000000005E-2</v>
      </c>
      <c r="AT30" s="63">
        <f t="shared" si="42"/>
        <v>0.11897166707242018</v>
      </c>
      <c r="AU30" s="63">
        <f t="shared" si="22"/>
        <v>6.7099773858185019</v>
      </c>
      <c r="AV30" s="63" t="e">
        <f t="shared" si="2"/>
        <v>#VALUE!</v>
      </c>
      <c r="AZ30" s="63">
        <f t="shared" si="3"/>
        <v>0</v>
      </c>
      <c r="BA30" s="63">
        <v>9</v>
      </c>
      <c r="BB30" s="63" t="str">
        <f>DIST_PHASE_1_v2!AQ19</f>
        <v>+</v>
      </c>
      <c r="BC30" s="63" t="str">
        <f>DIST_PHASE_1_v2!AR19</f>
        <v>N58_N59</v>
      </c>
      <c r="BD30" s="63">
        <f>DIST_PHASE_1_v2!AT19</f>
        <v>3.2837000000000005E-2</v>
      </c>
      <c r="BE30" s="63">
        <f>DIST_PHASE_1_v2!AY19</f>
        <v>250</v>
      </c>
      <c r="BF30" s="63">
        <f>DIST_PHASE_1_v2!AZ19</f>
        <v>150</v>
      </c>
      <c r="BG30" s="63">
        <f>DIST_PHASE_1_v2!BA19</f>
        <v>32</v>
      </c>
      <c r="BH30" s="63">
        <f t="shared" si="23"/>
        <v>27.30195652861817</v>
      </c>
      <c r="BI30" s="63" t="str">
        <f t="shared" si="40"/>
        <v/>
      </c>
      <c r="BJ30" s="63">
        <f t="shared" si="41"/>
        <v>4.8808889055351877E-2</v>
      </c>
      <c r="BK30" s="63" t="e">
        <f t="shared" si="24"/>
        <v>#VALUE!</v>
      </c>
      <c r="BL30" s="63" t="e">
        <f t="shared" si="4"/>
        <v>#VALUE!</v>
      </c>
      <c r="BP30" s="63">
        <f t="shared" si="5"/>
        <v>0</v>
      </c>
      <c r="BQ30" s="63">
        <v>9</v>
      </c>
      <c r="BR30" s="63" t="str">
        <f>DIST_PHASE_1_v2!BF19</f>
        <v>-</v>
      </c>
      <c r="BS30" s="63" t="str">
        <f>DIST_PHASE_1_v2!BG19</f>
        <v>N37_N38</v>
      </c>
      <c r="BT30" s="63">
        <f>DIST_PHASE_1_v2!BI19</f>
        <v>8.3280000000000007E-2</v>
      </c>
      <c r="BU30" s="63">
        <f>DIST_PHASE_1_v2!BN19</f>
        <v>350</v>
      </c>
      <c r="BV30" s="63">
        <f>DIST_PHASE_1_v2!BO19</f>
        <v>150</v>
      </c>
      <c r="BW30" s="63">
        <f>DIST_PHASE_1_v2!BP19</f>
        <v>101</v>
      </c>
      <c r="BX30" s="63">
        <f t="shared" si="25"/>
        <v>16.733065246863553</v>
      </c>
      <c r="BY30" s="63" t="str">
        <f t="shared" si="26"/>
        <v/>
      </c>
      <c r="BZ30" s="63">
        <f t="shared" si="27"/>
        <v>0.16765515498287359</v>
      </c>
      <c r="CA30" s="63" t="e">
        <f t="shared" si="28"/>
        <v>#VALUE!</v>
      </c>
      <c r="CB30" s="63" t="e">
        <f t="shared" si="6"/>
        <v>#VALUE!</v>
      </c>
      <c r="CF30" s="63">
        <f t="shared" si="7"/>
        <v>0</v>
      </c>
      <c r="CG30" s="63">
        <v>9</v>
      </c>
      <c r="CH30" s="63" t="str">
        <f>DIST_PHASE_1_v2!BS19</f>
        <v>+</v>
      </c>
      <c r="CI30" s="63" t="str">
        <f>DIST_PHASE_1_v2!BT19</f>
        <v>N20_N21</v>
      </c>
      <c r="CJ30" s="63">
        <f>DIST_PHASE_1_v2!BV19</f>
        <v>0.16656000000000001</v>
      </c>
      <c r="CK30" s="63">
        <f>DIST_PHASE_1_v2!CA19</f>
        <v>466</v>
      </c>
      <c r="CL30" s="63">
        <v>150</v>
      </c>
      <c r="CM30" s="63">
        <f>DIST_PHASE_1_v2!CC19</f>
        <v>67</v>
      </c>
      <c r="CN30" s="63">
        <f t="shared" si="29"/>
        <v>2.7528121550398579</v>
      </c>
      <c r="CO30" s="63" t="str">
        <f t="shared" si="30"/>
        <v/>
      </c>
      <c r="CP30" s="63">
        <f t="shared" si="31"/>
        <v>9.9569318856939398E-2</v>
      </c>
      <c r="CQ30" s="63" t="e">
        <f t="shared" si="32"/>
        <v>#VALUE!</v>
      </c>
      <c r="CR30" s="63" t="e">
        <f t="shared" si="8"/>
        <v>#VALUE!</v>
      </c>
      <c r="CV30" s="63">
        <f t="shared" si="9"/>
        <v>0</v>
      </c>
      <c r="CW30" s="63">
        <v>9</v>
      </c>
      <c r="CX30" s="63" t="str">
        <f>DIST_PHASE_1_v2!CF19</f>
        <v>+</v>
      </c>
      <c r="CY30" s="63" t="str">
        <f>DIST_PHASE_1_v2!CG19</f>
        <v>N7_N8</v>
      </c>
      <c r="CZ30" s="63">
        <f>DIST_PHASE_1_v2!CI19</f>
        <v>8.3280000000000007E-2</v>
      </c>
      <c r="DA30" s="63">
        <f>DIST_PHASE_1_v2!CN19</f>
        <v>350</v>
      </c>
      <c r="DB30" s="63">
        <f>DIST_PHASE_1_v2!CO19</f>
        <v>150</v>
      </c>
      <c r="DC30" s="63">
        <f>DIST_PHASE_1_v2!CP19</f>
        <v>133</v>
      </c>
      <c r="DD30" s="63">
        <f t="shared" si="33"/>
        <v>22.034630473592603</v>
      </c>
      <c r="DE30" s="63" t="str">
        <f t="shared" si="34"/>
        <v/>
      </c>
      <c r="DF30" s="63">
        <f t="shared" si="35"/>
        <v>0.22077361992794248</v>
      </c>
      <c r="DG30" s="63" t="e">
        <f t="shared" si="36"/>
        <v>#VALUE!</v>
      </c>
      <c r="DH30" s="63" t="e">
        <f t="shared" si="37"/>
        <v>#VALUE!</v>
      </c>
    </row>
    <row r="31" spans="2:112" x14ac:dyDescent="0.25">
      <c r="B31">
        <v>10</v>
      </c>
      <c r="C31" s="69" t="s">
        <v>539</v>
      </c>
      <c r="D31" s="63" t="str">
        <f>DIST_PHASE_1_v2!E20</f>
        <v>N92_N93</v>
      </c>
      <c r="E31" s="63">
        <f>DIST_PHASE_1_v2!G20</f>
        <v>0.111</v>
      </c>
      <c r="F31" s="63">
        <f>DIST_PHASE_1_v2!L20</f>
        <v>400</v>
      </c>
      <c r="G31" s="63">
        <f>DIST_PHASE_1_v2!M20</f>
        <v>150</v>
      </c>
      <c r="H31" s="63">
        <f>DIST_PHASE_1_v2!N20</f>
        <v>111</v>
      </c>
      <c r="I31" s="63">
        <f t="shared" si="10"/>
        <v>9.5961788981398755</v>
      </c>
      <c r="J31" s="63">
        <f t="shared" si="11"/>
        <v>0.111</v>
      </c>
      <c r="K31" s="63">
        <f t="shared" si="12"/>
        <v>0.16369540640591485</v>
      </c>
      <c r="L31" s="63">
        <f t="shared" si="38"/>
        <v>2.7312062402140032</v>
      </c>
      <c r="M31" s="63">
        <f t="shared" si="13"/>
        <v>0.11759693507618356</v>
      </c>
      <c r="P31" s="63">
        <f t="shared" si="14"/>
        <v>0</v>
      </c>
      <c r="Q31" s="63">
        <v>10</v>
      </c>
      <c r="R31" s="69" t="str">
        <f>DIST_PHASE_1_v2!Q20</f>
        <v>+</v>
      </c>
      <c r="S31" s="69" t="str">
        <f>DIST_PHASE_1_v2!R20</f>
        <v>N130_N131</v>
      </c>
      <c r="T31" s="69">
        <f>DIST_PHASE_1_v2!T20</f>
        <v>5.8057999999999998E-2</v>
      </c>
      <c r="U31" s="63">
        <f>DIST_PHASE_1_v2!Y20</f>
        <v>300</v>
      </c>
      <c r="V31" s="63">
        <v>150</v>
      </c>
      <c r="W31" s="63">
        <f>DIST_PHASE_1_v2!AA20</f>
        <v>75</v>
      </c>
      <c r="X31" s="63">
        <f t="shared" si="15"/>
        <v>26.327717325417932</v>
      </c>
      <c r="Y31" s="63" t="str">
        <f t="shared" si="16"/>
        <v/>
      </c>
      <c r="Z31" s="63" cm="1">
        <f t="array" ref="Z31">IF(P31&gt;0,
IF(INDEX($C$22:$C$91,P31,1)="positif",1,-1),0)</f>
        <v>0</v>
      </c>
      <c r="AA31" s="63">
        <f t="shared" si="17"/>
        <v>0</v>
      </c>
      <c r="AB31" s="63" t="e">
        <f t="shared" si="0"/>
        <v>#VALUE!</v>
      </c>
      <c r="AC31" s="63" t="e">
        <f t="shared" si="1"/>
        <v>#VALUE!</v>
      </c>
      <c r="AD31" s="63" t="e">
        <f>IF(P31&gt;0,
Y31+($D$93*Z31)+(AA31*$S$93),
Y31+$S$93)</f>
        <v>#VALUE!</v>
      </c>
      <c r="AF31" s="63" t="e">
        <f t="shared" si="18"/>
        <v>#VALUE!</v>
      </c>
      <c r="AJ31" s="63">
        <f t="shared" si="19"/>
        <v>0</v>
      </c>
      <c r="AK31" s="63">
        <v>10</v>
      </c>
      <c r="AL31" s="63" t="str">
        <f>TRONCONS_V2!AI18</f>
        <v>positif</v>
      </c>
      <c r="AM31" s="63" t="str">
        <f>TRONCONS_V2!AE18</f>
        <v>N79_N80</v>
      </c>
      <c r="AN31" s="63">
        <f>DIST_PHASE_1_v2!AG20</f>
        <v>3.2837000000000005E-2</v>
      </c>
      <c r="AO31" s="63">
        <f>DIST_PHASE_1_v2!AL20</f>
        <v>250</v>
      </c>
      <c r="AP31" s="63">
        <v>150</v>
      </c>
      <c r="AQ31" s="63">
        <f>TRONCONS_V2!AG18</f>
        <v>79</v>
      </c>
      <c r="AR31" s="63">
        <f t="shared" si="20"/>
        <v>67.401705180026113</v>
      </c>
      <c r="AS31" s="63">
        <f t="shared" si="21"/>
        <v>3.2837000000000005E-2</v>
      </c>
      <c r="AT31" s="63">
        <f t="shared" si="42"/>
        <v>0.12049694485539995</v>
      </c>
      <c r="AU31" s="63">
        <f t="shared" si="22"/>
        <v>6.7960027369187399</v>
      </c>
      <c r="AV31" s="63" t="e">
        <f t="shared" si="2"/>
        <v>#VALUE!</v>
      </c>
      <c r="AZ31" s="63">
        <f t="shared" si="3"/>
        <v>0</v>
      </c>
      <c r="BA31" s="63">
        <v>10</v>
      </c>
      <c r="BB31" s="63" t="str">
        <f>DIST_PHASE_1_v2!AQ20</f>
        <v>+</v>
      </c>
      <c r="BC31" s="63" t="str">
        <f>DIST_PHASE_1_v2!AR20</f>
        <v>N59_N60</v>
      </c>
      <c r="BD31" s="63">
        <f>DIST_PHASE_1_v2!AT20</f>
        <v>3.2837000000000005E-2</v>
      </c>
      <c r="BE31" s="63">
        <f>DIST_PHASE_1_v2!AY20</f>
        <v>250</v>
      </c>
      <c r="BF31" s="63">
        <f>DIST_PHASE_1_v2!AZ20</f>
        <v>150</v>
      </c>
      <c r="BG31" s="63">
        <f>DIST_PHASE_1_v2!BA20</f>
        <v>79</v>
      </c>
      <c r="BH31" s="63">
        <f t="shared" si="23"/>
        <v>67.401705180026113</v>
      </c>
      <c r="BI31" s="63" t="str">
        <f t="shared" si="40"/>
        <v/>
      </c>
      <c r="BJ31" s="63">
        <f t="shared" si="41"/>
        <v>0.12049694485539995</v>
      </c>
      <c r="BK31" s="63" t="e">
        <f t="shared" si="24"/>
        <v>#VALUE!</v>
      </c>
      <c r="BL31" s="63" t="e">
        <f t="shared" si="4"/>
        <v>#VALUE!</v>
      </c>
      <c r="BP31" s="63">
        <f t="shared" si="5"/>
        <v>0</v>
      </c>
      <c r="BQ31" s="63">
        <v>10</v>
      </c>
      <c r="BR31" s="63" t="str">
        <f>DIST_PHASE_1_v2!BF20</f>
        <v>-</v>
      </c>
      <c r="BS31" s="63" t="str">
        <f>DIST_PHASE_1_v2!BG20</f>
        <v>N38_N39</v>
      </c>
      <c r="BT31" s="63">
        <f>DIST_PHASE_1_v2!BI20</f>
        <v>8.3280000000000007E-2</v>
      </c>
      <c r="BU31" s="63">
        <f>DIST_PHASE_1_v2!BN20</f>
        <v>350</v>
      </c>
      <c r="BV31" s="63">
        <f>DIST_PHASE_1_v2!BO20</f>
        <v>150</v>
      </c>
      <c r="BW31" s="63">
        <f>DIST_PHASE_1_v2!BP20</f>
        <v>91</v>
      </c>
      <c r="BX31" s="63">
        <f t="shared" si="25"/>
        <v>15.076326113510728</v>
      </c>
      <c r="BY31" s="63" t="str">
        <f t="shared" si="26"/>
        <v/>
      </c>
      <c r="BZ31" s="63">
        <f t="shared" si="27"/>
        <v>0.15105563468753958</v>
      </c>
      <c r="CA31" s="63" t="e">
        <f t="shared" si="28"/>
        <v>#VALUE!</v>
      </c>
      <c r="CB31" s="63" t="e">
        <f t="shared" si="6"/>
        <v>#VALUE!</v>
      </c>
      <c r="CF31" s="63">
        <f t="shared" si="7"/>
        <v>0</v>
      </c>
      <c r="CG31" s="63">
        <v>10</v>
      </c>
      <c r="CH31" s="63" t="str">
        <f>DIST_PHASE_1_v2!BS20</f>
        <v>+</v>
      </c>
      <c r="CI31" s="63" t="str">
        <f>DIST_PHASE_1_v2!BT20</f>
        <v>N21_N22</v>
      </c>
      <c r="CJ31" s="63">
        <f>DIST_PHASE_1_v2!BV20</f>
        <v>0.16656000000000001</v>
      </c>
      <c r="CK31" s="63">
        <f>DIST_PHASE_1_v2!CA20</f>
        <v>466</v>
      </c>
      <c r="CL31" s="63">
        <v>150</v>
      </c>
      <c r="CM31" s="63">
        <f>DIST_PHASE_1_v2!CC20</f>
        <v>194</v>
      </c>
      <c r="CN31" s="63">
        <f t="shared" si="29"/>
        <v>7.9708292250407817</v>
      </c>
      <c r="CO31" s="63" t="str">
        <f t="shared" si="30"/>
        <v/>
      </c>
      <c r="CP31" s="63">
        <f t="shared" si="31"/>
        <v>0.28830519191412302</v>
      </c>
      <c r="CQ31" s="63" t="e">
        <f t="shared" si="32"/>
        <v>#VALUE!</v>
      </c>
      <c r="CR31" s="63" t="e">
        <f t="shared" si="8"/>
        <v>#VALUE!</v>
      </c>
      <c r="CV31" s="63">
        <f t="shared" si="9"/>
        <v>0</v>
      </c>
      <c r="CW31" s="63">
        <v>10</v>
      </c>
      <c r="CX31" s="63" t="str">
        <f>DIST_PHASE_1_v2!CF20</f>
        <v>+</v>
      </c>
      <c r="CY31" s="63" t="str">
        <f>DIST_PHASE_1_v2!CG20</f>
        <v>N8_N9</v>
      </c>
      <c r="CZ31" s="63">
        <f>DIST_PHASE_1_v2!CI20</f>
        <v>8.3280000000000007E-2</v>
      </c>
      <c r="DA31" s="63">
        <f>DIST_PHASE_1_v2!CN20</f>
        <v>350</v>
      </c>
      <c r="DB31" s="63">
        <f>DIST_PHASE_1_v2!CO20</f>
        <v>150</v>
      </c>
      <c r="DC31" s="63">
        <f>DIST_PHASE_1_v2!CP20</f>
        <v>178</v>
      </c>
      <c r="DD31" s="63">
        <f t="shared" si="33"/>
        <v>29.489956573680328</v>
      </c>
      <c r="DE31" s="63" t="str">
        <f t="shared" si="34"/>
        <v/>
      </c>
      <c r="DF31" s="63">
        <f t="shared" si="35"/>
        <v>0.29547146125694557</v>
      </c>
      <c r="DG31" s="63" t="e">
        <f t="shared" si="36"/>
        <v>#VALUE!</v>
      </c>
      <c r="DH31" s="63" t="e">
        <f t="shared" si="37"/>
        <v>#VALUE!</v>
      </c>
    </row>
    <row r="32" spans="2:112" x14ac:dyDescent="0.25">
      <c r="B32">
        <v>11</v>
      </c>
      <c r="C32" s="69" t="s">
        <v>539</v>
      </c>
      <c r="D32" s="63" t="str">
        <f>DIST_PHASE_1_v2!E21</f>
        <v>N93_N94</v>
      </c>
      <c r="E32" s="63">
        <f>DIST_PHASE_1_v2!G21</f>
        <v>8.7999999999999995E-2</v>
      </c>
      <c r="F32" s="63">
        <f>DIST_PHASE_1_v2!L21</f>
        <v>350</v>
      </c>
      <c r="G32" s="63">
        <f>DIST_PHASE_1_v2!M21</f>
        <v>150</v>
      </c>
      <c r="H32" s="63">
        <f>DIST_PHASE_1_v2!N21</f>
        <v>88</v>
      </c>
      <c r="I32" s="63">
        <f t="shared" si="10"/>
        <v>14.579304373504881</v>
      </c>
      <c r="J32" s="63">
        <f t="shared" si="11"/>
        <v>8.7999999999999995E-2</v>
      </c>
      <c r="K32" s="63">
        <f t="shared" si="12"/>
        <v>0.16177772046556005</v>
      </c>
      <c r="L32" s="63">
        <f t="shared" si="38"/>
        <v>3.4046856625251967</v>
      </c>
      <c r="M32" s="63">
        <f t="shared" si="13"/>
        <v>9.4596935076183553E-2</v>
      </c>
      <c r="P32" s="63">
        <f t="shared" si="14"/>
        <v>0</v>
      </c>
      <c r="Q32" s="63">
        <v>11</v>
      </c>
      <c r="R32" s="69" t="str">
        <f>DIST_PHASE_1_v2!Q21</f>
        <v>+</v>
      </c>
      <c r="S32" s="69" t="str">
        <f>DIST_PHASE_1_v2!R21</f>
        <v>N131_N132</v>
      </c>
      <c r="T32" s="69">
        <f>DIST_PHASE_1_v2!T21</f>
        <v>5.8057999999999998E-2</v>
      </c>
      <c r="U32" s="63">
        <f>DIST_PHASE_1_v2!Y21</f>
        <v>300</v>
      </c>
      <c r="V32" s="63">
        <v>150</v>
      </c>
      <c r="W32" s="63">
        <f>DIST_PHASE_1_v2!AA21</f>
        <v>108</v>
      </c>
      <c r="X32" s="63">
        <f t="shared" si="15"/>
        <v>37.911912948601824</v>
      </c>
      <c r="Y32" s="63" t="str">
        <f t="shared" si="16"/>
        <v/>
      </c>
      <c r="Z32" s="63" cm="1">
        <f t="array" ref="Z32">IF(P32&gt;0,
IF(INDEX($C$22:$C$91,P32,1)="positif",1,-1),0)</f>
        <v>0</v>
      </c>
      <c r="AA32" s="63">
        <f t="shared" si="17"/>
        <v>0</v>
      </c>
      <c r="AB32" s="63" t="e">
        <f t="shared" si="0"/>
        <v>#VALUE!</v>
      </c>
      <c r="AC32" s="63" t="e">
        <f t="shared" si="1"/>
        <v>#VALUE!</v>
      </c>
      <c r="AD32" s="63" t="e">
        <f>IF(P32&gt;0,
Y32+($D$93*Z32)+(AA32*$S$93),
Y32+$S$93)</f>
        <v>#VALUE!</v>
      </c>
      <c r="AF32" s="63" t="e">
        <f t="shared" si="18"/>
        <v>#VALUE!</v>
      </c>
      <c r="AJ32" s="63">
        <f t="shared" si="19"/>
        <v>0</v>
      </c>
      <c r="AK32" s="63">
        <v>11</v>
      </c>
      <c r="AL32" s="63" t="str">
        <f>TRONCONS_V2!AI19</f>
        <v>positif</v>
      </c>
      <c r="AM32" s="63" t="str">
        <f>TRONCONS_V2!AE19</f>
        <v>N80_N81</v>
      </c>
      <c r="AN32" s="63">
        <f>DIST_PHASE_1_v2!AG21</f>
        <v>3.2835999999999997E-2</v>
      </c>
      <c r="AO32" s="63">
        <f>DIST_PHASE_1_v2!AL21</f>
        <v>250</v>
      </c>
      <c r="AP32" s="63">
        <v>150</v>
      </c>
      <c r="AQ32" s="63">
        <f>TRONCONS_V2!AG19</f>
        <v>80</v>
      </c>
      <c r="AR32" s="63">
        <f t="shared" si="20"/>
        <v>68.254891321545429</v>
      </c>
      <c r="AS32" s="63">
        <f t="shared" si="21"/>
        <v>3.2835999999999997E-2</v>
      </c>
      <c r="AT32" s="63">
        <f t="shared" si="42"/>
        <v>0.12201534069957347</v>
      </c>
      <c r="AU32" s="63">
        <f t="shared" si="22"/>
        <v>6.8818495241689046</v>
      </c>
      <c r="AV32" s="63" t="e">
        <f t="shared" si="2"/>
        <v>#VALUE!</v>
      </c>
      <c r="AZ32" s="63">
        <f t="shared" si="3"/>
        <v>0</v>
      </c>
      <c r="BA32" s="63">
        <v>11</v>
      </c>
      <c r="BB32" s="63" t="str">
        <f>DIST_PHASE_1_v2!AQ21</f>
        <v>+</v>
      </c>
      <c r="BC32" s="63" t="str">
        <f>DIST_PHASE_1_v2!AR21</f>
        <v>N60_N61</v>
      </c>
      <c r="BD32" s="63">
        <f>DIST_PHASE_1_v2!AT21</f>
        <v>3.2837000000000005E-2</v>
      </c>
      <c r="BE32" s="63">
        <f>DIST_PHASE_1_v2!AY21</f>
        <v>250</v>
      </c>
      <c r="BF32" s="63">
        <f>DIST_PHASE_1_v2!AZ21</f>
        <v>150</v>
      </c>
      <c r="BG32" s="63">
        <f>DIST_PHASE_1_v2!BA21</f>
        <v>51</v>
      </c>
      <c r="BH32" s="63">
        <f t="shared" si="23"/>
        <v>43.512493217485208</v>
      </c>
      <c r="BI32" s="63" t="str">
        <f t="shared" si="40"/>
        <v/>
      </c>
      <c r="BJ32" s="63">
        <f t="shared" si="41"/>
        <v>7.7789166931967052E-2</v>
      </c>
      <c r="BK32" s="63" t="e">
        <f t="shared" si="24"/>
        <v>#VALUE!</v>
      </c>
      <c r="BL32" s="63" t="e">
        <f t="shared" si="4"/>
        <v>#VALUE!</v>
      </c>
      <c r="BP32" s="63">
        <f t="shared" si="5"/>
        <v>0</v>
      </c>
      <c r="BQ32" s="63">
        <v>11</v>
      </c>
      <c r="BR32" s="63" t="str">
        <f>DIST_PHASE_1_v2!BF21</f>
        <v>-</v>
      </c>
      <c r="BS32" s="63" t="str">
        <f>DIST_PHASE_1_v2!BG21</f>
        <v>N39_N40</v>
      </c>
      <c r="BT32" s="63">
        <f>DIST_PHASE_1_v2!BI21</f>
        <v>8.3280000000000007E-2</v>
      </c>
      <c r="BU32" s="63">
        <f>DIST_PHASE_1_v2!BN21</f>
        <v>350</v>
      </c>
      <c r="BV32" s="63">
        <f>DIST_PHASE_1_v2!BO21</f>
        <v>150</v>
      </c>
      <c r="BW32" s="63">
        <f>DIST_PHASE_1_v2!BP21</f>
        <v>87</v>
      </c>
      <c r="BX32" s="63">
        <f t="shared" si="25"/>
        <v>14.413630460169598</v>
      </c>
      <c r="BY32" s="63" t="str">
        <f t="shared" si="26"/>
        <v/>
      </c>
      <c r="BZ32" s="63">
        <f t="shared" si="27"/>
        <v>0.14441582656940599</v>
      </c>
      <c r="CA32" s="63" t="e">
        <f t="shared" si="28"/>
        <v>#VALUE!</v>
      </c>
      <c r="CB32" s="63" t="e">
        <f t="shared" si="6"/>
        <v>#VALUE!</v>
      </c>
      <c r="CF32" s="63">
        <f t="shared" si="7"/>
        <v>0</v>
      </c>
      <c r="CG32" s="63">
        <v>11</v>
      </c>
      <c r="CH32" s="63" t="str">
        <f>DIST_PHASE_1_v2!BS21</f>
        <v>+</v>
      </c>
      <c r="CI32" s="63" t="str">
        <f>DIST_PHASE_1_v2!BT21</f>
        <v>N22_N23</v>
      </c>
      <c r="CJ32" s="63">
        <f>DIST_PHASE_1_v2!BV21</f>
        <v>0.16656000000000001</v>
      </c>
      <c r="CK32" s="63">
        <f>DIST_PHASE_1_v2!CA21</f>
        <v>466</v>
      </c>
      <c r="CL32" s="63">
        <v>150</v>
      </c>
      <c r="CM32" s="63">
        <f>DIST_PHASE_1_v2!CC21</f>
        <v>74</v>
      </c>
      <c r="CN32" s="63">
        <f t="shared" si="29"/>
        <v>3.0404193951186484</v>
      </c>
      <c r="CO32" s="63" t="str">
        <f t="shared" si="30"/>
        <v/>
      </c>
      <c r="CP32" s="63">
        <f t="shared" si="31"/>
        <v>0.10997208351363455</v>
      </c>
      <c r="CQ32" s="63" t="e">
        <f t="shared" si="32"/>
        <v>#VALUE!</v>
      </c>
      <c r="CR32" s="63" t="e">
        <f t="shared" si="8"/>
        <v>#VALUE!</v>
      </c>
      <c r="CV32" s="63">
        <f t="shared" si="9"/>
        <v>0</v>
      </c>
      <c r="CW32" s="63">
        <v>11</v>
      </c>
      <c r="CX32" s="63" t="str">
        <f>DIST_PHASE_1_v2!CF21</f>
        <v>+</v>
      </c>
      <c r="CY32" s="63" t="str">
        <f>DIST_PHASE_1_v2!CG21</f>
        <v>N9_N10</v>
      </c>
      <c r="CZ32" s="63">
        <f>DIST_PHASE_1_v2!CI21</f>
        <v>8.3280000000000007E-2</v>
      </c>
      <c r="DA32" s="63">
        <f>DIST_PHASE_1_v2!CN21</f>
        <v>350</v>
      </c>
      <c r="DB32" s="63">
        <f>DIST_PHASE_1_v2!CO21</f>
        <v>150</v>
      </c>
      <c r="DC32" s="63">
        <f>DIST_PHASE_1_v2!CP21</f>
        <v>198</v>
      </c>
      <c r="DD32" s="63">
        <f t="shared" si="33"/>
        <v>32.803434840385982</v>
      </c>
      <c r="DE32" s="63" t="str">
        <f t="shared" si="34"/>
        <v/>
      </c>
      <c r="DF32" s="63">
        <f t="shared" si="35"/>
        <v>0.32867050184761359</v>
      </c>
      <c r="DG32" s="63" t="e">
        <f t="shared" si="36"/>
        <v>#VALUE!</v>
      </c>
      <c r="DH32" s="63" t="e">
        <f t="shared" si="37"/>
        <v>#VALUE!</v>
      </c>
    </row>
    <row r="33" spans="2:112" x14ac:dyDescent="0.25">
      <c r="B33">
        <v>12</v>
      </c>
      <c r="C33" s="69" t="s">
        <v>539</v>
      </c>
      <c r="D33" s="63" t="str">
        <f>DIST_PHASE_1_v2!E22</f>
        <v>N94_N95</v>
      </c>
      <c r="E33" s="63">
        <f>DIST_PHASE_1_v2!G22</f>
        <v>7.3999999999999996E-2</v>
      </c>
      <c r="F33" s="63">
        <f>DIST_PHASE_1_v2!L22</f>
        <v>350</v>
      </c>
      <c r="G33" s="63">
        <f>DIST_PHASE_1_v2!M22</f>
        <v>150</v>
      </c>
      <c r="H33" s="63">
        <f>DIST_PHASE_1_v2!N22</f>
        <v>74</v>
      </c>
      <c r="I33" s="63">
        <f t="shared" si="10"/>
        <v>12.259869586810922</v>
      </c>
      <c r="J33" s="63">
        <f t="shared" si="11"/>
        <v>7.3999999999999996E-2</v>
      </c>
      <c r="K33" s="63">
        <f t="shared" si="12"/>
        <v>9.8696782594534224E-2</v>
      </c>
      <c r="L33" s="63">
        <f t="shared" si="38"/>
        <v>2.4700870454740191</v>
      </c>
      <c r="M33" s="63">
        <f t="shared" si="13"/>
        <v>8.0596935076183554E-2</v>
      </c>
      <c r="P33" s="63">
        <f t="shared" si="14"/>
        <v>0</v>
      </c>
      <c r="Q33" s="63">
        <v>12</v>
      </c>
      <c r="R33" s="69" t="str">
        <f>DIST_PHASE_1_v2!Q22</f>
        <v>+</v>
      </c>
      <c r="S33" s="69" t="str">
        <f>DIST_PHASE_1_v2!R22</f>
        <v>N132_N133</v>
      </c>
      <c r="T33" s="69">
        <f>DIST_PHASE_1_v2!T22</f>
        <v>5.8057999999999998E-2</v>
      </c>
      <c r="U33" s="63">
        <f>DIST_PHASE_1_v2!Y22</f>
        <v>300</v>
      </c>
      <c r="V33" s="63">
        <v>150</v>
      </c>
      <c r="W33" s="63">
        <f>DIST_PHASE_1_v2!AA22</f>
        <v>150</v>
      </c>
      <c r="X33" s="63">
        <f t="shared" si="15"/>
        <v>52.655434650835865</v>
      </c>
      <c r="Y33" s="63" t="str">
        <f t="shared" si="16"/>
        <v/>
      </c>
      <c r="Z33" s="63" cm="1">
        <f t="array" ref="Z33">IF(P33&gt;0,
IF(INDEX($C$22:$C$91,P33,1)="positif",1,-1),0)</f>
        <v>0</v>
      </c>
      <c r="AA33" s="63">
        <f t="shared" si="17"/>
        <v>0</v>
      </c>
      <c r="AB33" s="63" t="e">
        <f t="shared" si="0"/>
        <v>#VALUE!</v>
      </c>
      <c r="AC33" s="63" t="e">
        <f t="shared" si="1"/>
        <v>#VALUE!</v>
      </c>
      <c r="AD33" s="63" t="e">
        <f t="shared" ref="AD33:AD36" si="43">IF(P33&gt;0,
Y33+($D$93*Z33)+(AA33*$S$93),
Y33+$S$93)</f>
        <v>#VALUE!</v>
      </c>
      <c r="AF33" s="63" t="e">
        <f t="shared" si="18"/>
        <v>#VALUE!</v>
      </c>
      <c r="AJ33" s="63">
        <f t="shared" si="19"/>
        <v>2</v>
      </c>
      <c r="AK33" s="63">
        <v>12</v>
      </c>
      <c r="AL33" s="63" t="str">
        <f>TRONCONS_V2!AI20</f>
        <v>negatif</v>
      </c>
      <c r="AM33" s="63" t="str">
        <f>TRONCONS_V2!AE20</f>
        <v>N81_N135</v>
      </c>
      <c r="AN33" s="63">
        <f>DIST_PHASE_1_v2!AG22</f>
        <v>5.8057999999999998E-2</v>
      </c>
      <c r="AO33" s="63">
        <f>DIST_PHASE_1_v2!AL22</f>
        <v>300</v>
      </c>
      <c r="AP33" s="63">
        <v>150</v>
      </c>
      <c r="AQ33" s="63">
        <f>TRONCONS_V2!AG20</f>
        <v>81</v>
      </c>
      <c r="AR33" s="63">
        <f t="shared" si="20"/>
        <v>28.433934711451364</v>
      </c>
      <c r="AS33" s="63" t="e" cm="1">
        <f t="array" ref="AS33">INDEX($AD$22:$AD$91,AJ33,1)</f>
        <v>#VALUE!</v>
      </c>
      <c r="AT33" s="63" t="e">
        <f t="shared" si="42"/>
        <v>#VALUE!</v>
      </c>
      <c r="AU33" s="63" t="e">
        <f t="shared" si="22"/>
        <v>#VALUE!</v>
      </c>
      <c r="AV33" s="63" t="e">
        <f t="shared" si="2"/>
        <v>#VALUE!</v>
      </c>
      <c r="AZ33" s="63">
        <f t="shared" si="3"/>
        <v>0</v>
      </c>
      <c r="BA33" s="63">
        <v>12</v>
      </c>
      <c r="BB33" s="63" t="str">
        <f>DIST_PHASE_1_v2!AQ22</f>
        <v>+</v>
      </c>
      <c r="BC33" s="63" t="str">
        <f>DIST_PHASE_1_v2!AR22</f>
        <v>N61_N62</v>
      </c>
      <c r="BD33" s="63">
        <f>DIST_PHASE_1_v2!AT22</f>
        <v>3.2837000000000005E-2</v>
      </c>
      <c r="BE33" s="63">
        <f>DIST_PHASE_1_v2!AY22</f>
        <v>250</v>
      </c>
      <c r="BF33" s="63">
        <f>DIST_PHASE_1_v2!AZ22</f>
        <v>150</v>
      </c>
      <c r="BG33" s="63">
        <f>DIST_PHASE_1_v2!BA22</f>
        <v>73</v>
      </c>
      <c r="BH33" s="63">
        <f t="shared" si="23"/>
        <v>62.282588330910201</v>
      </c>
      <c r="BI33" s="63" t="str">
        <f t="shared" si="40"/>
        <v/>
      </c>
      <c r="BJ33" s="63">
        <f t="shared" si="41"/>
        <v>0.11134527815752146</v>
      </c>
      <c r="BK33" s="63" t="e">
        <f t="shared" si="24"/>
        <v>#VALUE!</v>
      </c>
      <c r="BL33" s="63" t="e">
        <f t="shared" si="4"/>
        <v>#VALUE!</v>
      </c>
      <c r="BP33" s="63">
        <f t="shared" si="5"/>
        <v>0</v>
      </c>
      <c r="BQ33" s="63">
        <v>12</v>
      </c>
      <c r="BR33" s="63" t="str">
        <f>DIST_PHASE_1_v2!BF22</f>
        <v>-</v>
      </c>
      <c r="BS33" s="63" t="str">
        <f>DIST_PHASE_1_v2!BG22</f>
        <v>N40_N41</v>
      </c>
      <c r="BT33" s="63">
        <f>DIST_PHASE_1_v2!BI22</f>
        <v>8.3280000000000007E-2</v>
      </c>
      <c r="BU33" s="63">
        <f>DIST_PHASE_1_v2!BN22</f>
        <v>350</v>
      </c>
      <c r="BV33" s="63">
        <f>DIST_PHASE_1_v2!BO22</f>
        <v>150</v>
      </c>
      <c r="BW33" s="63">
        <f>DIST_PHASE_1_v2!BP22</f>
        <v>94</v>
      </c>
      <c r="BX33" s="63">
        <f t="shared" si="25"/>
        <v>15.573347853516577</v>
      </c>
      <c r="BY33" s="63" t="str">
        <f t="shared" si="26"/>
        <v/>
      </c>
      <c r="BZ33" s="63">
        <f t="shared" si="27"/>
        <v>0.15603549077613979</v>
      </c>
      <c r="CA33" s="63" t="e">
        <f t="shared" si="28"/>
        <v>#VALUE!</v>
      </c>
      <c r="CB33" s="63" t="e">
        <f t="shared" si="6"/>
        <v>#VALUE!</v>
      </c>
      <c r="CF33" s="63">
        <f t="shared" si="7"/>
        <v>0</v>
      </c>
      <c r="CG33" s="63">
        <v>12</v>
      </c>
      <c r="CH33" s="63" t="str">
        <f>DIST_PHASE_1_v2!BS22</f>
        <v>+</v>
      </c>
      <c r="CI33" s="63" t="str">
        <f>DIST_PHASE_1_v2!BT22</f>
        <v>N23_N24</v>
      </c>
      <c r="CJ33" s="63">
        <f>DIST_PHASE_1_v2!BV22</f>
        <v>0.16656000000000001</v>
      </c>
      <c r="CK33" s="63">
        <f>DIST_PHASE_1_v2!CA22</f>
        <v>466</v>
      </c>
      <c r="CL33" s="63">
        <v>150</v>
      </c>
      <c r="CM33" s="63">
        <f>DIST_PHASE_1_v2!CC22</f>
        <v>92</v>
      </c>
      <c r="CN33" s="63">
        <f t="shared" si="29"/>
        <v>3.7799808696069688</v>
      </c>
      <c r="CO33" s="63" t="str">
        <f t="shared" si="30"/>
        <v/>
      </c>
      <c r="CP33" s="63">
        <f t="shared" si="31"/>
        <v>0.13672204977370783</v>
      </c>
      <c r="CQ33" s="63" t="e">
        <f t="shared" si="32"/>
        <v>#VALUE!</v>
      </c>
      <c r="CR33" s="63" t="e">
        <f t="shared" si="8"/>
        <v>#VALUE!</v>
      </c>
      <c r="CV33" s="63">
        <f t="shared" si="9"/>
        <v>0</v>
      </c>
      <c r="CW33" s="63">
        <v>12</v>
      </c>
      <c r="CX33" s="63" t="str">
        <f>DIST_PHASE_1_v2!CF22</f>
        <v>+</v>
      </c>
      <c r="CY33" s="63" t="str">
        <f>DIST_PHASE_1_v2!CG22</f>
        <v>N10_N11</v>
      </c>
      <c r="CZ33" s="63">
        <f>DIST_PHASE_1_v2!CI22</f>
        <v>8.3280000000000007E-2</v>
      </c>
      <c r="DA33" s="63">
        <f>DIST_PHASE_1_v2!CN22</f>
        <v>350</v>
      </c>
      <c r="DB33" s="63">
        <f>DIST_PHASE_1_v2!CO22</f>
        <v>150</v>
      </c>
      <c r="DC33" s="63">
        <f>DIST_PHASE_1_v2!CP22</f>
        <v>174</v>
      </c>
      <c r="DD33" s="63">
        <f t="shared" si="33"/>
        <v>28.827260920339196</v>
      </c>
      <c r="DE33" s="63" t="str">
        <f t="shared" si="34"/>
        <v/>
      </c>
      <c r="DF33" s="63">
        <f t="shared" si="35"/>
        <v>0.28883165313881198</v>
      </c>
      <c r="DG33" s="63" t="e">
        <f t="shared" si="36"/>
        <v>#VALUE!</v>
      </c>
      <c r="DH33" s="63" t="e">
        <f t="shared" si="37"/>
        <v>#VALUE!</v>
      </c>
    </row>
    <row r="34" spans="2:112" x14ac:dyDescent="0.25">
      <c r="B34">
        <v>13</v>
      </c>
      <c r="C34" s="69" t="s">
        <v>539</v>
      </c>
      <c r="D34" s="63" t="str">
        <f>DIST_PHASE_1_v2!E23</f>
        <v>N95_N96</v>
      </c>
      <c r="E34" s="63">
        <f>DIST_PHASE_1_v2!G23</f>
        <v>0.248</v>
      </c>
      <c r="F34" s="63">
        <f>DIST_PHASE_1_v2!L23</f>
        <v>565</v>
      </c>
      <c r="G34" s="63">
        <f>DIST_PHASE_1_v2!M23</f>
        <v>150</v>
      </c>
      <c r="H34" s="63">
        <f>DIST_PHASE_1_v2!N23</f>
        <v>248</v>
      </c>
      <c r="I34" s="63">
        <f t="shared" si="10"/>
        <v>3.9868809371857856</v>
      </c>
      <c r="J34" s="63">
        <f t="shared" si="11"/>
        <v>0.248</v>
      </c>
      <c r="K34" s="63">
        <f t="shared" si="12"/>
        <v>0.30141008477405656</v>
      </c>
      <c r="L34" s="63">
        <f t="shared" si="38"/>
        <v>2.2508527298449703</v>
      </c>
      <c r="M34" s="63">
        <f t="shared" si="13"/>
        <v>0.25459693507618353</v>
      </c>
      <c r="P34" s="63">
        <f t="shared" si="14"/>
        <v>0</v>
      </c>
      <c r="Q34" s="63">
        <v>13</v>
      </c>
      <c r="R34" s="69" t="str">
        <f>DIST_PHASE_1_v2!Q23</f>
        <v>+</v>
      </c>
      <c r="S34" s="69" t="str">
        <f>DIST_PHASE_1_v2!R23</f>
        <v>N133_N134</v>
      </c>
      <c r="T34" s="69">
        <f>DIST_PHASE_1_v2!T23</f>
        <v>5.8057999999999998E-2</v>
      </c>
      <c r="U34" s="63">
        <f>DIST_PHASE_1_v2!Y23</f>
        <v>300</v>
      </c>
      <c r="V34" s="63">
        <v>150</v>
      </c>
      <c r="W34" s="63">
        <f>DIST_PHASE_1_v2!AA23</f>
        <v>54</v>
      </c>
      <c r="X34" s="63">
        <f t="shared" si="15"/>
        <v>18.955956474300912</v>
      </c>
      <c r="Y34" s="63" t="str">
        <f t="shared" si="16"/>
        <v/>
      </c>
      <c r="Z34" s="63" cm="1">
        <f t="array" ref="Z34">IF(P34&gt;0,
IF(INDEX($C$22:$C$91,P34,1)="positif",1,-1),0)</f>
        <v>0</v>
      </c>
      <c r="AA34" s="63">
        <f t="shared" si="17"/>
        <v>0</v>
      </c>
      <c r="AB34" s="63" t="e">
        <f t="shared" si="0"/>
        <v>#VALUE!</v>
      </c>
      <c r="AC34" s="63" t="e">
        <f t="shared" si="1"/>
        <v>#VALUE!</v>
      </c>
      <c r="AD34" s="63" t="e">
        <f t="shared" si="43"/>
        <v>#VALUE!</v>
      </c>
      <c r="AF34" s="63" t="e">
        <f t="shared" si="18"/>
        <v>#VALUE!</v>
      </c>
      <c r="AJ34" s="63">
        <f t="shared" si="19"/>
        <v>0</v>
      </c>
      <c r="AK34" s="63">
        <v>13</v>
      </c>
      <c r="AL34" s="63" t="str">
        <f>TRONCONS_V2!AI21</f>
        <v>negatif</v>
      </c>
      <c r="AM34" s="63" t="str">
        <f>TRONCONS_V2!AE21</f>
        <v>N111_N112</v>
      </c>
      <c r="AN34" s="63">
        <f>DIST_PHASE_1_v2!AG23</f>
        <v>3.2837000000000005E-2</v>
      </c>
      <c r="AO34" s="63">
        <f>DIST_PHASE_1_v2!AL23</f>
        <v>250</v>
      </c>
      <c r="AP34" s="63">
        <v>150</v>
      </c>
      <c r="AQ34" s="63">
        <f>TRONCONS_V2!AG21</f>
        <v>111</v>
      </c>
      <c r="AR34" s="63">
        <f t="shared" si="20"/>
        <v>94.70366170864429</v>
      </c>
      <c r="AS34" s="63">
        <f t="shared" si="21"/>
        <v>-3.2837000000000005E-2</v>
      </c>
      <c r="AT34" s="63">
        <f t="shared" si="42"/>
        <v>-0.16930583391075182</v>
      </c>
      <c r="AU34" s="63">
        <f t="shared" si="22"/>
        <v>9.5488139721263323</v>
      </c>
      <c r="AV34" s="63" t="e">
        <f t="shared" si="2"/>
        <v>#VALUE!</v>
      </c>
      <c r="AZ34" s="63">
        <f t="shared" si="3"/>
        <v>0</v>
      </c>
      <c r="BA34" s="63">
        <v>13</v>
      </c>
      <c r="BB34" s="63" t="str">
        <f>DIST_PHASE_1_v2!AQ23</f>
        <v>+</v>
      </c>
      <c r="BC34" s="63" t="str">
        <f>DIST_PHASE_1_v2!AR23</f>
        <v>N62_N63</v>
      </c>
      <c r="BD34" s="63">
        <f>DIST_PHASE_1_v2!AT23</f>
        <v>3.2837000000000005E-2</v>
      </c>
      <c r="BE34" s="63">
        <f>DIST_PHASE_1_v2!AY23</f>
        <v>250</v>
      </c>
      <c r="BF34" s="63">
        <f>DIST_PHASE_1_v2!AZ23</f>
        <v>150</v>
      </c>
      <c r="BG34" s="63">
        <f>DIST_PHASE_1_v2!BA23</f>
        <v>58</v>
      </c>
      <c r="BH34" s="63">
        <f t="shared" si="23"/>
        <v>49.484796208120436</v>
      </c>
      <c r="BI34" s="63" t="str">
        <f t="shared" si="40"/>
        <v/>
      </c>
      <c r="BJ34" s="63">
        <f t="shared" si="41"/>
        <v>8.8466111412825274E-2</v>
      </c>
      <c r="BK34" s="63" t="e">
        <f t="shared" si="24"/>
        <v>#VALUE!</v>
      </c>
      <c r="BL34" s="63" t="e">
        <f t="shared" si="4"/>
        <v>#VALUE!</v>
      </c>
      <c r="BP34" s="63">
        <f t="shared" si="5"/>
        <v>0</v>
      </c>
      <c r="BQ34" s="63">
        <v>13</v>
      </c>
      <c r="BR34" s="63" t="str">
        <f>DIST_PHASE_1_v2!BF23</f>
        <v>-</v>
      </c>
      <c r="BS34" s="63" t="str">
        <f>DIST_PHASE_1_v2!BG23</f>
        <v>N41_N42</v>
      </c>
      <c r="BT34" s="63">
        <f>DIST_PHASE_1_v2!BI23</f>
        <v>9.851E-2</v>
      </c>
      <c r="BU34" s="63">
        <f>DIST_PHASE_1_v2!BN23</f>
        <v>400</v>
      </c>
      <c r="BV34" s="63">
        <f>DIST_PHASE_1_v2!BO23</f>
        <v>150</v>
      </c>
      <c r="BW34" s="63">
        <f>DIST_PHASE_1_v2!BP23</f>
        <v>70</v>
      </c>
      <c r="BX34" s="63">
        <f t="shared" si="25"/>
        <v>6.0516443501782993</v>
      </c>
      <c r="BY34" s="63" t="str">
        <f t="shared" si="26"/>
        <v/>
      </c>
      <c r="BZ34" s="63">
        <f t="shared" si="27"/>
        <v>8.2755896525604014E-2</v>
      </c>
      <c r="CA34" s="63" t="e">
        <f t="shared" si="28"/>
        <v>#VALUE!</v>
      </c>
      <c r="CB34" s="63" t="e">
        <f t="shared" si="6"/>
        <v>#VALUE!</v>
      </c>
      <c r="CF34" s="63">
        <f t="shared" si="7"/>
        <v>0</v>
      </c>
      <c r="CG34" s="63">
        <v>13</v>
      </c>
      <c r="CH34" s="63" t="str">
        <f>DIST_PHASE_1_v2!BS23</f>
        <v>+</v>
      </c>
      <c r="CI34" s="63" t="str">
        <f>DIST_PHASE_1_v2!BT23</f>
        <v>N24_N25</v>
      </c>
      <c r="CJ34" s="63">
        <f>DIST_PHASE_1_v2!BV23</f>
        <v>0.16656000000000001</v>
      </c>
      <c r="CK34" s="63">
        <f>DIST_PHASE_1_v2!CA23</f>
        <v>466</v>
      </c>
      <c r="CL34" s="63">
        <v>150</v>
      </c>
      <c r="CM34" s="63">
        <f>DIST_PHASE_1_v2!CC23</f>
        <v>75</v>
      </c>
      <c r="CN34" s="63">
        <f t="shared" si="29"/>
        <v>3.0815061437013331</v>
      </c>
      <c r="CO34" s="63" t="str">
        <f t="shared" si="30"/>
        <v/>
      </c>
      <c r="CP34" s="63">
        <f t="shared" si="31"/>
        <v>0.11145819275030529</v>
      </c>
      <c r="CQ34" s="63" t="e">
        <f t="shared" si="32"/>
        <v>#VALUE!</v>
      </c>
      <c r="CR34" s="63" t="e">
        <f t="shared" si="8"/>
        <v>#VALUE!</v>
      </c>
      <c r="CV34" s="63">
        <f t="shared" si="9"/>
        <v>0</v>
      </c>
      <c r="CW34" s="63">
        <v>13</v>
      </c>
      <c r="CX34" s="63" t="str">
        <f>DIST_PHASE_1_v2!CF23</f>
        <v>+</v>
      </c>
      <c r="CY34" s="63" t="str">
        <f>DIST_PHASE_1_v2!CG23</f>
        <v>N11_N12</v>
      </c>
      <c r="CZ34" s="63">
        <f>DIST_PHASE_1_v2!CI23</f>
        <v>8.3280000000000007E-2</v>
      </c>
      <c r="DA34" s="63">
        <f>DIST_PHASE_1_v2!CN23</f>
        <v>350</v>
      </c>
      <c r="DB34" s="63">
        <f>DIST_PHASE_1_v2!CO23</f>
        <v>150</v>
      </c>
      <c r="DC34" s="63">
        <f>DIST_PHASE_1_v2!CP23</f>
        <v>227</v>
      </c>
      <c r="DD34" s="63">
        <f t="shared" si="33"/>
        <v>37.607978327109187</v>
      </c>
      <c r="DE34" s="63" t="str">
        <f t="shared" si="34"/>
        <v/>
      </c>
      <c r="DF34" s="63">
        <f t="shared" si="35"/>
        <v>0.37680911070408235</v>
      </c>
      <c r="DG34" s="63" t="e">
        <f t="shared" si="36"/>
        <v>#VALUE!</v>
      </c>
      <c r="DH34" s="63" t="e">
        <f t="shared" si="37"/>
        <v>#VALUE!</v>
      </c>
    </row>
    <row r="35" spans="2:112" x14ac:dyDescent="0.25">
      <c r="B35">
        <v>14</v>
      </c>
      <c r="C35" s="69" t="s">
        <v>539</v>
      </c>
      <c r="D35" s="63" t="str">
        <f>DIST_PHASE_1_v2!E24</f>
        <v>N96_N97</v>
      </c>
      <c r="E35" s="63">
        <f>DIST_PHASE_1_v2!G24</f>
        <v>0.11600000000000001</v>
      </c>
      <c r="F35" s="63">
        <f>DIST_PHASE_1_v2!L24</f>
        <v>400</v>
      </c>
      <c r="G35" s="63">
        <f>DIST_PHASE_1_v2!M24</f>
        <v>150</v>
      </c>
      <c r="H35" s="63">
        <f>DIST_PHASE_1_v2!N24</f>
        <v>116</v>
      </c>
      <c r="I35" s="63">
        <f t="shared" si="10"/>
        <v>10.028439208866896</v>
      </c>
      <c r="J35" s="63">
        <f t="shared" si="11"/>
        <v>0.11600000000000001</v>
      </c>
      <c r="K35" s="63">
        <f t="shared" si="12"/>
        <v>0.18561349239891756</v>
      </c>
      <c r="L35" s="63">
        <f t="shared" si="38"/>
        <v>2.963415413127545</v>
      </c>
      <c r="M35" s="63">
        <f t="shared" si="13"/>
        <v>0.12259693507618356</v>
      </c>
      <c r="P35" s="63">
        <f t="shared" si="14"/>
        <v>0</v>
      </c>
      <c r="Q35" s="63">
        <v>14</v>
      </c>
      <c r="R35" s="69" t="str">
        <f>DIST_PHASE_1_v2!Q24</f>
        <v>+</v>
      </c>
      <c r="S35" s="69" t="str">
        <f>DIST_PHASE_1_v2!R24</f>
        <v>N134_N135</v>
      </c>
      <c r="T35" s="69">
        <f>DIST_PHASE_1_v2!T24</f>
        <v>5.8057999999999998E-2</v>
      </c>
      <c r="U35" s="63">
        <f>DIST_PHASE_1_v2!Y24</f>
        <v>300</v>
      </c>
      <c r="V35" s="63">
        <v>150</v>
      </c>
      <c r="W35" s="63">
        <f>DIST_PHASE_1_v2!AA24</f>
        <v>93</v>
      </c>
      <c r="X35" s="63">
        <f t="shared" si="15"/>
        <v>32.646369483518235</v>
      </c>
      <c r="Y35" s="63" t="str">
        <f t="shared" si="16"/>
        <v/>
      </c>
      <c r="Z35" s="63" cm="1">
        <f t="array" ref="Z35">IF(P35&gt;0,
IF(INDEX($C$22:$C$91,P35,1)="positif",1,-1),0)</f>
        <v>0</v>
      </c>
      <c r="AA35" s="63">
        <f t="shared" si="17"/>
        <v>0</v>
      </c>
      <c r="AB35" s="63" t="e">
        <f t="shared" si="0"/>
        <v>#VALUE!</v>
      </c>
      <c r="AC35" s="63" t="e">
        <f t="shared" si="1"/>
        <v>#VALUE!</v>
      </c>
      <c r="AD35" s="63" t="e">
        <f t="shared" si="43"/>
        <v>#VALUE!</v>
      </c>
      <c r="AF35" s="63" t="e">
        <f t="shared" si="18"/>
        <v>#VALUE!</v>
      </c>
      <c r="AJ35" s="63">
        <f t="shared" si="19"/>
        <v>0</v>
      </c>
      <c r="AK35" s="63">
        <v>14</v>
      </c>
      <c r="AL35" s="63" t="str">
        <f>TRONCONS_V2!AI22</f>
        <v>negatif</v>
      </c>
      <c r="AM35" s="63" t="str">
        <f>TRONCONS_V2!AE22</f>
        <v>N112_N113</v>
      </c>
      <c r="AN35" s="63">
        <f>DIST_PHASE_1_v2!AG24</f>
        <v>3.2837000000000005E-2</v>
      </c>
      <c r="AO35" s="63">
        <f>DIST_PHASE_1_v2!AL24</f>
        <v>250</v>
      </c>
      <c r="AP35" s="63">
        <v>150</v>
      </c>
      <c r="AQ35" s="63">
        <f>TRONCONS_V2!AG22</f>
        <v>112</v>
      </c>
      <c r="AR35" s="63">
        <f t="shared" si="20"/>
        <v>95.556847850163592</v>
      </c>
      <c r="AS35" s="63">
        <f t="shared" si="21"/>
        <v>-3.2837000000000005E-2</v>
      </c>
      <c r="AT35" s="63">
        <f t="shared" si="42"/>
        <v>-0.17083111169373155</v>
      </c>
      <c r="AU35" s="63">
        <f t="shared" si="22"/>
        <v>9.6348393232265668</v>
      </c>
      <c r="AV35" s="63" t="e">
        <f t="shared" si="2"/>
        <v>#VALUE!</v>
      </c>
      <c r="AZ35" s="63">
        <f t="shared" si="3"/>
        <v>0</v>
      </c>
      <c r="BA35" s="63">
        <v>14</v>
      </c>
      <c r="BB35" s="63" t="str">
        <f>DIST_PHASE_1_v2!AQ24</f>
        <v>+</v>
      </c>
      <c r="BC35" s="63" t="str">
        <f>DIST_PHASE_1_v2!AR24</f>
        <v>N63_N64</v>
      </c>
      <c r="BD35" s="63">
        <f>DIST_PHASE_1_v2!AT24</f>
        <v>3.2837000000000005E-2</v>
      </c>
      <c r="BE35" s="63">
        <f>DIST_PHASE_1_v2!AY24</f>
        <v>250</v>
      </c>
      <c r="BF35" s="63">
        <f>DIST_PHASE_1_v2!AZ24</f>
        <v>150</v>
      </c>
      <c r="BG35" s="63">
        <f>DIST_PHASE_1_v2!BA24</f>
        <v>216</v>
      </c>
      <c r="BH35" s="63">
        <f t="shared" si="23"/>
        <v>184.28820656817265</v>
      </c>
      <c r="BI35" s="63" t="str">
        <f t="shared" si="40"/>
        <v/>
      </c>
      <c r="BJ35" s="63">
        <f t="shared" si="41"/>
        <v>0.32946000112362517</v>
      </c>
      <c r="BK35" s="63" t="e">
        <f t="shared" si="24"/>
        <v>#VALUE!</v>
      </c>
      <c r="BL35" s="63" t="e">
        <f t="shared" si="4"/>
        <v>#VALUE!</v>
      </c>
      <c r="BP35" s="63">
        <f t="shared" si="5"/>
        <v>1</v>
      </c>
      <c r="BQ35" s="63">
        <v>14</v>
      </c>
      <c r="BR35" s="63" t="str">
        <f>DIST_PHASE_1_v2!BF24</f>
        <v>-</v>
      </c>
      <c r="BS35" s="63" t="str">
        <f>DIST_PHASE_1_v2!BG24</f>
        <v>N42_N52</v>
      </c>
      <c r="BT35" s="63">
        <f>DIST_PHASE_1_v2!BI24</f>
        <v>3.2835999999999997E-2</v>
      </c>
      <c r="BU35" s="63">
        <f>DIST_PHASE_1_v2!BN24</f>
        <v>250</v>
      </c>
      <c r="BV35" s="63">
        <f>DIST_PHASE_1_v2!BO24</f>
        <v>150</v>
      </c>
      <c r="BW35" s="63">
        <f>DIST_PHASE_1_v2!BP24</f>
        <v>223</v>
      </c>
      <c r="BX35" s="63">
        <f t="shared" si="25"/>
        <v>190.26050955880785</v>
      </c>
      <c r="BY35" s="63" t="e" cm="1">
        <f t="array" ref="BY35">INDEX($BL$22:$BL$58,BP35,1)</f>
        <v>#VALUE!</v>
      </c>
      <c r="BZ35" s="63" t="e">
        <f t="shared" si="27"/>
        <v>#VALUE!</v>
      </c>
      <c r="CA35" s="63" t="e">
        <f t="shared" si="28"/>
        <v>#VALUE!</v>
      </c>
      <c r="CB35" s="63" t="e">
        <f t="shared" si="6"/>
        <v>#VALUE!</v>
      </c>
      <c r="CF35" s="63">
        <f t="shared" si="7"/>
        <v>0</v>
      </c>
      <c r="CG35" s="63">
        <v>14</v>
      </c>
      <c r="CH35" s="63" t="str">
        <f>DIST_PHASE_1_v2!BS24</f>
        <v>+</v>
      </c>
      <c r="CI35" s="63" t="str">
        <f>DIST_PHASE_1_v2!BT24</f>
        <v>N25_N26</v>
      </c>
      <c r="CJ35" s="63">
        <f>DIST_PHASE_1_v2!BV24</f>
        <v>0.16656000000000001</v>
      </c>
      <c r="CK35" s="63">
        <f>DIST_PHASE_1_v2!CA24</f>
        <v>466</v>
      </c>
      <c r="CL35" s="63">
        <v>150</v>
      </c>
      <c r="CM35" s="63">
        <f>DIST_PHASE_1_v2!CC24</f>
        <v>76</v>
      </c>
      <c r="CN35" s="63">
        <f t="shared" si="29"/>
        <v>3.1225928922840178</v>
      </c>
      <c r="CO35" s="63" t="str">
        <f t="shared" si="30"/>
        <v/>
      </c>
      <c r="CP35" s="63">
        <f t="shared" si="31"/>
        <v>0.11294430198697604</v>
      </c>
      <c r="CQ35" s="63" t="e">
        <f t="shared" si="32"/>
        <v>#VALUE!</v>
      </c>
      <c r="CR35" s="63" t="e">
        <f t="shared" si="8"/>
        <v>#VALUE!</v>
      </c>
      <c r="CV35" s="63">
        <f t="shared" si="9"/>
        <v>0</v>
      </c>
      <c r="CW35" s="63">
        <v>14</v>
      </c>
      <c r="CX35" s="63" t="str">
        <f>DIST_PHASE_1_v2!CF24</f>
        <v>+</v>
      </c>
      <c r="CY35" s="63" t="str">
        <f>DIST_PHASE_1_v2!CG24</f>
        <v>N12_N13</v>
      </c>
      <c r="CZ35" s="63">
        <f>DIST_PHASE_1_v2!CI24</f>
        <v>8.3280000000000007E-2</v>
      </c>
      <c r="DA35" s="63">
        <f>DIST_PHASE_1_v2!CN24</f>
        <v>350</v>
      </c>
      <c r="DB35" s="63">
        <f>DIST_PHASE_1_v2!CO24</f>
        <v>150</v>
      </c>
      <c r="DC35" s="63">
        <f>DIST_PHASE_1_v2!CP24</f>
        <v>533</v>
      </c>
      <c r="DD35" s="63">
        <f t="shared" si="33"/>
        <v>88.304195807705696</v>
      </c>
      <c r="DE35" s="63" t="str">
        <f t="shared" si="34"/>
        <v/>
      </c>
      <c r="DF35" s="63">
        <f t="shared" si="35"/>
        <v>0.8847544317413033</v>
      </c>
      <c r="DG35" s="63" t="e">
        <f t="shared" si="36"/>
        <v>#VALUE!</v>
      </c>
      <c r="DH35" s="63" t="e">
        <f t="shared" si="37"/>
        <v>#VALUE!</v>
      </c>
    </row>
    <row r="36" spans="2:112" x14ac:dyDescent="0.25">
      <c r="B36">
        <v>15</v>
      </c>
      <c r="C36" s="69" t="s">
        <v>539</v>
      </c>
      <c r="D36" s="63" t="str">
        <f>DIST_PHASE_1_v2!E25</f>
        <v>N97_N98</v>
      </c>
      <c r="E36" s="63">
        <f>DIST_PHASE_1_v2!G25</f>
        <v>0.128</v>
      </c>
      <c r="F36" s="63">
        <f>DIST_PHASE_1_v2!L25</f>
        <v>421</v>
      </c>
      <c r="G36" s="63">
        <f>DIST_PHASE_1_v2!M25</f>
        <v>150</v>
      </c>
      <c r="H36" s="63">
        <f>DIST_PHASE_1_v2!N25</f>
        <v>128</v>
      </c>
      <c r="I36" s="63">
        <f t="shared" si="10"/>
        <v>8.6246495180025686</v>
      </c>
      <c r="J36" s="63">
        <f t="shared" si="11"/>
        <v>0.128</v>
      </c>
      <c r="K36" s="63">
        <f t="shared" si="12"/>
        <v>0.19155536470823792</v>
      </c>
      <c r="L36" s="63">
        <f t="shared" si="38"/>
        <v>2.7715666831223169</v>
      </c>
      <c r="M36" s="63">
        <f t="shared" si="13"/>
        <v>0.13459693507618356</v>
      </c>
      <c r="P36" s="63">
        <f t="shared" si="14"/>
        <v>0</v>
      </c>
      <c r="Q36" s="63">
        <v>15</v>
      </c>
      <c r="R36" s="63" t="str">
        <f>DIST_PHASE_1_v2!Q25</f>
        <v>-</v>
      </c>
      <c r="S36" s="63" t="str">
        <f>DIST_PHASE_1_v2!R25</f>
        <v>N136_N137</v>
      </c>
      <c r="T36" s="63">
        <f>DIST_PHASE_1_v2!T25</f>
        <v>5.8057999999999998E-2</v>
      </c>
      <c r="U36" s="63">
        <f>DIST_PHASE_1_v2!Y25</f>
        <v>300</v>
      </c>
      <c r="V36" s="63">
        <v>150</v>
      </c>
      <c r="W36" s="63">
        <f>DIST_PHASE_1_v2!AA25</f>
        <v>360</v>
      </c>
      <c r="X36" s="63">
        <f t="shared" si="15"/>
        <v>126.37304316200606</v>
      </c>
      <c r="Y36" s="63" t="str">
        <f t="shared" si="16"/>
        <v/>
      </c>
      <c r="Z36" s="63" cm="1">
        <f t="array" ref="Z36">IF(P36&gt;0,
IF(INDEX($C$22:$C$91,P36,1)="positif",1,-1),0)</f>
        <v>0</v>
      </c>
      <c r="AA36" s="63">
        <f t="shared" si="17"/>
        <v>0</v>
      </c>
      <c r="AB36" s="63" t="e">
        <f t="shared" si="0"/>
        <v>#VALUE!</v>
      </c>
      <c r="AC36" s="63" t="e">
        <f t="shared" si="1"/>
        <v>#VALUE!</v>
      </c>
      <c r="AD36" s="63" t="e">
        <f t="shared" si="43"/>
        <v>#VALUE!</v>
      </c>
      <c r="AF36" s="63" t="e">
        <f t="shared" si="18"/>
        <v>#VALUE!</v>
      </c>
      <c r="AJ36" s="63">
        <f t="shared" si="19"/>
        <v>0</v>
      </c>
      <c r="AK36" s="63">
        <v>15</v>
      </c>
      <c r="AL36" s="63" t="str">
        <f>TRONCONS_V2!AI23</f>
        <v>negatif</v>
      </c>
      <c r="AM36" s="63" t="str">
        <f>TRONCONS_V2!AE23</f>
        <v>N113_N114</v>
      </c>
      <c r="AN36" s="63">
        <f>DIST_PHASE_1_v2!AG25</f>
        <v>3.2837000000000005E-2</v>
      </c>
      <c r="AO36" s="63">
        <f>DIST_PHASE_1_v2!AL25</f>
        <v>250</v>
      </c>
      <c r="AP36" s="63">
        <v>150</v>
      </c>
      <c r="AQ36" s="63">
        <f>TRONCONS_V2!AG23</f>
        <v>113</v>
      </c>
      <c r="AR36" s="63">
        <f t="shared" si="20"/>
        <v>96.410033991682923</v>
      </c>
      <c r="AS36" s="63">
        <f t="shared" si="21"/>
        <v>-3.2837000000000005E-2</v>
      </c>
      <c r="AT36" s="63">
        <f t="shared" si="42"/>
        <v>-0.17235638947671134</v>
      </c>
      <c r="AU36" s="63">
        <f t="shared" si="22"/>
        <v>9.7208646743268066</v>
      </c>
      <c r="AV36" s="63" t="e">
        <f t="shared" si="2"/>
        <v>#VALUE!</v>
      </c>
      <c r="AZ36" s="63">
        <f t="shared" si="3"/>
        <v>0</v>
      </c>
      <c r="BA36" s="63">
        <v>15</v>
      </c>
      <c r="BB36" s="63" t="str">
        <f>DIST_PHASE_1_v2!AQ25</f>
        <v>+</v>
      </c>
      <c r="BC36" s="63" t="str">
        <f>DIST_PHASE_1_v2!AR25</f>
        <v>N64_N65</v>
      </c>
      <c r="BD36" s="63">
        <f>DIST_PHASE_1_v2!AT25</f>
        <v>3.2837000000000005E-2</v>
      </c>
      <c r="BE36" s="63">
        <f>DIST_PHASE_1_v2!AY25</f>
        <v>250</v>
      </c>
      <c r="BF36" s="63">
        <f>DIST_PHASE_1_v2!AZ25</f>
        <v>150</v>
      </c>
      <c r="BG36" s="63">
        <f>DIST_PHASE_1_v2!BA25</f>
        <v>73</v>
      </c>
      <c r="BH36" s="63">
        <f t="shared" si="23"/>
        <v>62.282588330910201</v>
      </c>
      <c r="BI36" s="63" t="str">
        <f t="shared" si="40"/>
        <v/>
      </c>
      <c r="BJ36" s="63">
        <f t="shared" si="41"/>
        <v>0.11134527815752146</v>
      </c>
      <c r="BK36" s="63" t="e">
        <f t="shared" si="24"/>
        <v>#VALUE!</v>
      </c>
      <c r="BL36" s="63" t="e">
        <f t="shared" si="4"/>
        <v>#VALUE!</v>
      </c>
      <c r="BP36" s="63">
        <f t="shared" si="5"/>
        <v>0</v>
      </c>
      <c r="BQ36" s="63">
        <v>15</v>
      </c>
      <c r="BR36" s="63" t="str">
        <f>DIST_PHASE_1_v2!BF25</f>
        <v>-</v>
      </c>
      <c r="BS36" s="63" t="str">
        <f>DIST_PHASE_1_v2!BG25</f>
        <v>N43_N44</v>
      </c>
      <c r="BT36" s="63">
        <f>DIST_PHASE_1_v2!BI25</f>
        <v>0.16656000000000001</v>
      </c>
      <c r="BU36" s="63">
        <f>DIST_PHASE_1_v2!BN25</f>
        <v>466</v>
      </c>
      <c r="BV36" s="63">
        <f>DIST_PHASE_1_v2!BO25</f>
        <v>150</v>
      </c>
      <c r="BW36" s="63">
        <f>DIST_PHASE_1_v2!BP25</f>
        <v>340</v>
      </c>
      <c r="BX36" s="63">
        <f t="shared" si="25"/>
        <v>13.969494518112711</v>
      </c>
      <c r="BY36" s="63" t="str">
        <f t="shared" si="26"/>
        <v/>
      </c>
      <c r="BZ36" s="63">
        <f t="shared" si="27"/>
        <v>0.50527714046805072</v>
      </c>
      <c r="CA36" s="63" t="e">
        <f t="shared" si="28"/>
        <v>#VALUE!</v>
      </c>
      <c r="CB36" s="63" t="e">
        <f t="shared" si="6"/>
        <v>#VALUE!</v>
      </c>
      <c r="CF36" s="63">
        <f t="shared" si="7"/>
        <v>0</v>
      </c>
      <c r="CG36" s="63">
        <v>15</v>
      </c>
      <c r="CH36" s="63" t="str">
        <f>DIST_PHASE_1_v2!BS25</f>
        <v>+</v>
      </c>
      <c r="CI36" s="63" t="str">
        <f>DIST_PHASE_1_v2!BT25</f>
        <v>N26_N27</v>
      </c>
      <c r="CJ36" s="63">
        <f>DIST_PHASE_1_v2!BV25</f>
        <v>0.16656000000000001</v>
      </c>
      <c r="CK36" s="63">
        <f>DIST_PHASE_1_v2!CA25</f>
        <v>466</v>
      </c>
      <c r="CL36" s="63">
        <v>150</v>
      </c>
      <c r="CM36" s="63">
        <f>DIST_PHASE_1_v2!CC25</f>
        <v>76</v>
      </c>
      <c r="CN36" s="63">
        <f t="shared" si="29"/>
        <v>3.1225928922840178</v>
      </c>
      <c r="CO36" s="63" t="str">
        <f t="shared" si="30"/>
        <v/>
      </c>
      <c r="CP36" s="63">
        <f t="shared" si="31"/>
        <v>0.11294430198697604</v>
      </c>
      <c r="CQ36" s="63" t="e">
        <f t="shared" si="32"/>
        <v>#VALUE!</v>
      </c>
      <c r="CR36" s="63" t="e">
        <f t="shared" si="8"/>
        <v>#VALUE!</v>
      </c>
      <c r="CV36" s="63">
        <f t="shared" si="9"/>
        <v>0</v>
      </c>
      <c r="CW36" s="63">
        <v>15</v>
      </c>
      <c r="CX36" s="63" t="str">
        <f>DIST_PHASE_1_v2!CF25</f>
        <v>+</v>
      </c>
      <c r="CY36" s="63" t="str">
        <f>DIST_PHASE_1_v2!CG25</f>
        <v>N13_N14</v>
      </c>
      <c r="CZ36" s="63">
        <f>DIST_PHASE_1_v2!CI25</f>
        <v>8.3280000000000007E-2</v>
      </c>
      <c r="DA36" s="63">
        <f>DIST_PHASE_1_v2!CN25</f>
        <v>350</v>
      </c>
      <c r="DB36" s="63">
        <f>DIST_PHASE_1_v2!CO25</f>
        <v>150</v>
      </c>
      <c r="DC36" s="63">
        <f>DIST_PHASE_1_v2!CP25</f>
        <v>345</v>
      </c>
      <c r="DD36" s="63">
        <f t="shared" si="33"/>
        <v>57.157500100672543</v>
      </c>
      <c r="DE36" s="63" t="str">
        <f t="shared" si="34"/>
        <v/>
      </c>
      <c r="DF36" s="63">
        <f t="shared" si="35"/>
        <v>0.57268345018902367</v>
      </c>
      <c r="DG36" s="63" t="e">
        <f t="shared" si="36"/>
        <v>#VALUE!</v>
      </c>
      <c r="DH36" s="63" t="e">
        <f t="shared" si="37"/>
        <v>#VALUE!</v>
      </c>
    </row>
    <row r="37" spans="2:112" x14ac:dyDescent="0.25">
      <c r="B37">
        <v>16</v>
      </c>
      <c r="C37" s="69" t="s">
        <v>539</v>
      </c>
      <c r="D37" s="63" t="str">
        <f>DIST_PHASE_1_v2!E26</f>
        <v>N98_N99</v>
      </c>
      <c r="E37" s="63">
        <f>DIST_PHASE_1_v2!G26</f>
        <v>0.13800000000000001</v>
      </c>
      <c r="F37" s="63">
        <f>DIST_PHASE_1_v2!L26</f>
        <v>421</v>
      </c>
      <c r="G37" s="63">
        <f>DIST_PHASE_1_v2!M26</f>
        <v>150</v>
      </c>
      <c r="H37" s="63">
        <f>DIST_PHASE_1_v2!N26</f>
        <v>138</v>
      </c>
      <c r="I37" s="63">
        <f t="shared" si="10"/>
        <v>9.2984502615965194</v>
      </c>
      <c r="J37" s="63">
        <f t="shared" si="11"/>
        <v>0.13800000000000001</v>
      </c>
      <c r="K37" s="63">
        <f t="shared" si="12"/>
        <v>0.2373923066502179</v>
      </c>
      <c r="L37" s="63">
        <f t="shared" si="38"/>
        <v>3.1858735646101701</v>
      </c>
      <c r="M37" s="63">
        <f t="shared" si="13"/>
        <v>0.14459693507618357</v>
      </c>
      <c r="P37" s="63">
        <f t="shared" si="14"/>
        <v>0</v>
      </c>
      <c r="Q37" s="63">
        <v>16</v>
      </c>
      <c r="R37" s="63" t="str">
        <f>DIST_PHASE_1_v2!Q26</f>
        <v>-</v>
      </c>
      <c r="S37" s="63" t="str">
        <f>DIST_PHASE_1_v2!R26</f>
        <v>N137_N138</v>
      </c>
      <c r="T37" s="63">
        <f>DIST_PHASE_1_v2!T26</f>
        <v>5.8057999999999998E-2</v>
      </c>
      <c r="U37" s="63">
        <f>DIST_PHASE_1_v2!Y26</f>
        <v>300</v>
      </c>
      <c r="V37" s="63">
        <v>150</v>
      </c>
      <c r="W37" s="63">
        <f>DIST_PHASE_1_v2!AA26</f>
        <v>315</v>
      </c>
      <c r="X37" s="63">
        <f t="shared" si="15"/>
        <v>110.57641276675531</v>
      </c>
      <c r="Y37" s="63" t="str">
        <f t="shared" si="16"/>
        <v/>
      </c>
      <c r="Z37" s="63" cm="1">
        <f t="array" ref="Z37">IF(P37&gt;0,
IF(INDEX($C$22:$C$91,P37,1)="positif",1,-1),0)</f>
        <v>0</v>
      </c>
      <c r="AA37" s="63">
        <f t="shared" si="17"/>
        <v>0</v>
      </c>
      <c r="AB37" s="63" t="e">
        <f t="shared" si="0"/>
        <v>#VALUE!</v>
      </c>
      <c r="AC37" s="63" t="e">
        <f t="shared" si="1"/>
        <v>#VALUE!</v>
      </c>
      <c r="AD37" s="63" t="e">
        <f>IF(P37&gt;0,
Y37+($D$93*Z37)+(AA37*$S$93),
Y37+$S$93)</f>
        <v>#VALUE!</v>
      </c>
      <c r="AF37" s="63" t="e">
        <f t="shared" si="18"/>
        <v>#VALUE!</v>
      </c>
      <c r="AJ37" s="63">
        <f t="shared" si="19"/>
        <v>0</v>
      </c>
      <c r="AK37" s="63">
        <v>16</v>
      </c>
      <c r="AL37" s="63" t="str">
        <f>TRONCONS_V2!AI24</f>
        <v>negatif</v>
      </c>
      <c r="AM37" s="63" t="str">
        <f>TRONCONS_V2!AE24</f>
        <v>N114_N115</v>
      </c>
      <c r="AN37" s="63">
        <f>DIST_PHASE_1_v2!AG26</f>
        <v>3.2837000000000005E-2</v>
      </c>
      <c r="AO37" s="63">
        <f>DIST_PHASE_1_v2!AL26</f>
        <v>250</v>
      </c>
      <c r="AP37" s="63">
        <v>150</v>
      </c>
      <c r="AQ37" s="63">
        <f>TRONCONS_V2!AG24</f>
        <v>114</v>
      </c>
      <c r="AR37" s="63">
        <f t="shared" si="20"/>
        <v>97.263220133202225</v>
      </c>
      <c r="AS37" s="63">
        <f t="shared" si="21"/>
        <v>-3.2837000000000005E-2</v>
      </c>
      <c r="AT37" s="63">
        <f t="shared" si="42"/>
        <v>-0.17388166725969104</v>
      </c>
      <c r="AU37" s="63">
        <f t="shared" si="22"/>
        <v>9.8068900254270428</v>
      </c>
      <c r="AV37" s="63" t="e">
        <f t="shared" si="2"/>
        <v>#VALUE!</v>
      </c>
      <c r="AZ37" s="63">
        <f t="shared" si="3"/>
        <v>0</v>
      </c>
      <c r="BA37" s="63">
        <v>16</v>
      </c>
      <c r="BB37" s="63" t="str">
        <f>DIST_PHASE_1_v2!AQ26</f>
        <v>+</v>
      </c>
      <c r="BC37" s="63" t="str">
        <f>DIST_PHASE_1_v2!AR26</f>
        <v>N65_N66</v>
      </c>
      <c r="BD37" s="63">
        <f>DIST_PHASE_1_v2!AT26</f>
        <v>3.2837000000000005E-2</v>
      </c>
      <c r="BE37" s="63">
        <f>DIST_PHASE_1_v2!AY26</f>
        <v>250</v>
      </c>
      <c r="BF37" s="63">
        <f>DIST_PHASE_1_v2!AZ26</f>
        <v>150</v>
      </c>
      <c r="BG37" s="63">
        <f>DIST_PHASE_1_v2!BA26</f>
        <v>65</v>
      </c>
      <c r="BH37" s="63">
        <f t="shared" si="23"/>
        <v>55.457099198755657</v>
      </c>
      <c r="BI37" s="63" t="str">
        <f t="shared" si="40"/>
        <v/>
      </c>
      <c r="BJ37" s="63">
        <f t="shared" si="41"/>
        <v>9.9143055893683496E-2</v>
      </c>
      <c r="BK37" s="63" t="e">
        <f t="shared" si="24"/>
        <v>#VALUE!</v>
      </c>
      <c r="BL37" s="63" t="e">
        <f t="shared" si="4"/>
        <v>#VALUE!</v>
      </c>
      <c r="BP37" s="63">
        <f t="shared" si="5"/>
        <v>0</v>
      </c>
      <c r="BQ37" s="63">
        <v>16</v>
      </c>
      <c r="BR37" s="63" t="str">
        <f>DIST_PHASE_1_v2!BF26</f>
        <v>+</v>
      </c>
      <c r="BS37" s="63" t="str">
        <f>DIST_PHASE_1_v2!BG26</f>
        <v>N44_N45</v>
      </c>
      <c r="BT37" s="63">
        <f>DIST_PHASE_1_v2!BI26</f>
        <v>0.16656000000000001</v>
      </c>
      <c r="BU37" s="63">
        <f>DIST_PHASE_1_v2!BN26</f>
        <v>466</v>
      </c>
      <c r="BV37" s="63">
        <f>DIST_PHASE_1_v2!BO26</f>
        <v>150</v>
      </c>
      <c r="BW37" s="63">
        <f>DIST_PHASE_1_v2!BP26</f>
        <v>205</v>
      </c>
      <c r="BX37" s="63">
        <f t="shared" si="25"/>
        <v>8.4227834594503115</v>
      </c>
      <c r="BY37" s="63" t="str">
        <f t="shared" si="26"/>
        <v/>
      </c>
      <c r="BZ37" s="63">
        <f t="shared" si="27"/>
        <v>0.30465239351750117</v>
      </c>
      <c r="CA37" s="63" t="e">
        <f t="shared" si="28"/>
        <v>#VALUE!</v>
      </c>
      <c r="CB37" s="63" t="e">
        <f t="shared" si="6"/>
        <v>#VALUE!</v>
      </c>
      <c r="CF37" s="63">
        <f t="shared" si="7"/>
        <v>0</v>
      </c>
      <c r="CG37" s="63">
        <v>16</v>
      </c>
      <c r="CH37" s="63" t="str">
        <f>DIST_PHASE_1_v2!BS26</f>
        <v>+</v>
      </c>
      <c r="CI37" s="63" t="str">
        <f>DIST_PHASE_1_v2!BT26</f>
        <v>N27_N28</v>
      </c>
      <c r="CJ37" s="63">
        <f>DIST_PHASE_1_v2!BV26</f>
        <v>0.16656000000000001</v>
      </c>
      <c r="CK37" s="63">
        <f>DIST_PHASE_1_v2!CA26</f>
        <v>466</v>
      </c>
      <c r="CL37" s="63">
        <v>150</v>
      </c>
      <c r="CM37" s="63">
        <f>DIST_PHASE_1_v2!CC26</f>
        <v>80</v>
      </c>
      <c r="CN37" s="63">
        <f t="shared" si="29"/>
        <v>3.2869398866147552</v>
      </c>
      <c r="CO37" s="63" t="str">
        <f t="shared" si="30"/>
        <v/>
      </c>
      <c r="CP37" s="63">
        <f t="shared" si="31"/>
        <v>0.11888873893365898</v>
      </c>
      <c r="CQ37" s="63" t="e">
        <f t="shared" si="32"/>
        <v>#VALUE!</v>
      </c>
      <c r="CR37" s="63" t="e">
        <f t="shared" si="8"/>
        <v>#VALUE!</v>
      </c>
      <c r="CV37" s="63">
        <f t="shared" si="9"/>
        <v>0</v>
      </c>
      <c r="CW37" s="63">
        <v>16</v>
      </c>
      <c r="CX37" s="63" t="str">
        <f>DIST_PHASE_1_v2!CF26</f>
        <v>+</v>
      </c>
      <c r="CY37" s="63" t="str">
        <f>DIST_PHASE_1_v2!CG26</f>
        <v>N14_N15</v>
      </c>
      <c r="CZ37" s="63">
        <f>DIST_PHASE_1_v2!CI26</f>
        <v>8.3280000000000007E-2</v>
      </c>
      <c r="DA37" s="63">
        <f>DIST_PHASE_1_v2!CN26</f>
        <v>350</v>
      </c>
      <c r="DB37" s="63">
        <f>DIST_PHASE_1_v2!CO26</f>
        <v>150</v>
      </c>
      <c r="DC37" s="63">
        <f>DIST_PHASE_1_v2!CP26</f>
        <v>795</v>
      </c>
      <c r="DD37" s="63">
        <f t="shared" si="33"/>
        <v>131.71076110154976</v>
      </c>
      <c r="DE37" s="63" t="str">
        <f t="shared" si="34"/>
        <v/>
      </c>
      <c r="DF37" s="63">
        <f t="shared" si="35"/>
        <v>1.3196618634790545</v>
      </c>
      <c r="DG37" s="63" t="e">
        <f t="shared" si="36"/>
        <v>#VALUE!</v>
      </c>
      <c r="DH37" s="63" t="e">
        <f t="shared" si="37"/>
        <v>#VALUE!</v>
      </c>
    </row>
    <row r="38" spans="2:112" x14ac:dyDescent="0.25">
      <c r="B38">
        <v>17</v>
      </c>
      <c r="C38" s="69" t="s">
        <v>540</v>
      </c>
      <c r="D38" s="63" t="str">
        <f>DIST_PHASE_1_v2!E27</f>
        <v>N194_N99</v>
      </c>
      <c r="E38" s="63">
        <f>DIST_PHASE_1_v2!G27</f>
        <v>0.184</v>
      </c>
      <c r="F38" s="63">
        <f>DIST_PHASE_1_v2!L27</f>
        <v>565</v>
      </c>
      <c r="G38" s="63">
        <f>DIST_PHASE_1_v2!M27</f>
        <v>150</v>
      </c>
      <c r="H38" s="63">
        <f>DIST_PHASE_1_v2!N27</f>
        <v>184</v>
      </c>
      <c r="I38" s="63">
        <f t="shared" si="10"/>
        <v>2.9580084372668733</v>
      </c>
      <c r="J38" s="63">
        <f t="shared" si="11"/>
        <v>-0.184</v>
      </c>
      <c r="K38" s="63">
        <f t="shared" si="12"/>
        <v>-0.12865954661016527</v>
      </c>
      <c r="L38" s="63">
        <f t="shared" si="38"/>
        <v>1.2949863060979676</v>
      </c>
      <c r="M38" s="63">
        <f t="shared" si="13"/>
        <v>-0.17740306492381644</v>
      </c>
      <c r="P38" s="63">
        <f t="shared" si="14"/>
        <v>0</v>
      </c>
      <c r="Q38" s="63">
        <v>17</v>
      </c>
      <c r="R38" s="63" t="str">
        <f>DIST_PHASE_1_v2!Q27</f>
        <v>-</v>
      </c>
      <c r="S38" s="63" t="str">
        <f>DIST_PHASE_1_v2!R27</f>
        <v>N138_N139</v>
      </c>
      <c r="T38" s="63">
        <f>DIST_PHASE_1_v2!T27</f>
        <v>5.8057999999999998E-2</v>
      </c>
      <c r="U38" s="63">
        <f>DIST_PHASE_1_v2!Y27</f>
        <v>300</v>
      </c>
      <c r="V38" s="63">
        <v>150</v>
      </c>
      <c r="W38" s="63">
        <f>DIST_PHASE_1_v2!AA27</f>
        <v>270</v>
      </c>
      <c r="X38" s="63">
        <f t="shared" si="15"/>
        <v>94.779782371504538</v>
      </c>
      <c r="Y38" s="63" t="str">
        <f t="shared" si="16"/>
        <v/>
      </c>
      <c r="Z38" s="63" cm="1">
        <f t="array" ref="Z38">IF(P38&gt;0,
IF(INDEX($C$22:$C$91,P38,1)="positif",1,-1),0)</f>
        <v>0</v>
      </c>
      <c r="AA38" s="63">
        <f t="shared" si="17"/>
        <v>0</v>
      </c>
      <c r="AB38" s="63" t="e">
        <f t="shared" si="0"/>
        <v>#VALUE!</v>
      </c>
      <c r="AC38" s="63" t="e">
        <f t="shared" si="1"/>
        <v>#VALUE!</v>
      </c>
      <c r="AD38" s="63" t="e">
        <f>IF(P38&gt;0,
Y38+($D$93*Z38)+(AA38*$S$93),
Y38+$S$93)</f>
        <v>#VALUE!</v>
      </c>
      <c r="AF38" s="63" t="e">
        <f t="shared" si="18"/>
        <v>#VALUE!</v>
      </c>
      <c r="AJ38" s="63">
        <f t="shared" si="19"/>
        <v>0</v>
      </c>
      <c r="AK38" s="63">
        <v>17</v>
      </c>
      <c r="AL38" s="63" t="str">
        <f>TRONCONS_V2!AI25</f>
        <v>negatif</v>
      </c>
      <c r="AM38" s="63" t="str">
        <f>TRONCONS_V2!AE25</f>
        <v>N115_N116</v>
      </c>
      <c r="AN38" s="63">
        <f>DIST_PHASE_1_v2!AG27</f>
        <v>3.2837000000000005E-2</v>
      </c>
      <c r="AO38" s="63">
        <f>DIST_PHASE_1_v2!AL27</f>
        <v>250</v>
      </c>
      <c r="AP38" s="63">
        <v>150</v>
      </c>
      <c r="AQ38" s="63">
        <f>TRONCONS_V2!AG25</f>
        <v>115</v>
      </c>
      <c r="AR38" s="63">
        <f t="shared" si="20"/>
        <v>98.116406274721555</v>
      </c>
      <c r="AS38" s="63">
        <f t="shared" si="21"/>
        <v>-3.2837000000000005E-2</v>
      </c>
      <c r="AT38" s="63">
        <f t="shared" si="42"/>
        <v>-0.17540694504267082</v>
      </c>
      <c r="AU38" s="63">
        <f t="shared" si="22"/>
        <v>9.8929153765272808</v>
      </c>
      <c r="AV38" s="63" t="e">
        <f t="shared" si="2"/>
        <v>#VALUE!</v>
      </c>
      <c r="AZ38" s="63">
        <f t="shared" si="3"/>
        <v>0</v>
      </c>
      <c r="BA38" s="63">
        <v>17</v>
      </c>
      <c r="BB38" s="63" t="str">
        <f>DIST_PHASE_1_v2!AQ27</f>
        <v>+</v>
      </c>
      <c r="BC38" s="63" t="str">
        <f>DIST_PHASE_1_v2!AR27</f>
        <v>N66_N67</v>
      </c>
      <c r="BD38" s="63">
        <f>DIST_PHASE_1_v2!AT27</f>
        <v>3.2837000000000005E-2</v>
      </c>
      <c r="BE38" s="63">
        <f>DIST_PHASE_1_v2!AY27</f>
        <v>250</v>
      </c>
      <c r="BF38" s="63">
        <f>DIST_PHASE_1_v2!AZ27</f>
        <v>150</v>
      </c>
      <c r="BG38" s="63">
        <f>DIST_PHASE_1_v2!BA27</f>
        <v>45</v>
      </c>
      <c r="BH38" s="63">
        <f t="shared" si="23"/>
        <v>38.393376368369303</v>
      </c>
      <c r="BI38" s="63" t="str">
        <f t="shared" si="40"/>
        <v/>
      </c>
      <c r="BJ38" s="63">
        <f t="shared" si="41"/>
        <v>6.8637500234088572E-2</v>
      </c>
      <c r="BK38" s="63" t="e">
        <f t="shared" si="24"/>
        <v>#VALUE!</v>
      </c>
      <c r="BL38" s="63" t="e">
        <f t="shared" si="4"/>
        <v>#VALUE!</v>
      </c>
      <c r="BP38" s="63">
        <f t="shared" si="5"/>
        <v>0</v>
      </c>
      <c r="BQ38" s="63">
        <v>17</v>
      </c>
      <c r="BR38" s="63" t="str">
        <f>DIST_PHASE_1_v2!BF27</f>
        <v>+</v>
      </c>
      <c r="BS38" s="63" t="str">
        <f>DIST_PHASE_1_v2!BG27</f>
        <v>N45_N46</v>
      </c>
      <c r="BT38" s="63">
        <f>DIST_PHASE_1_v2!BI27</f>
        <v>0.16656000000000001</v>
      </c>
      <c r="BU38" s="63">
        <f>DIST_PHASE_1_v2!BN27</f>
        <v>466</v>
      </c>
      <c r="BV38" s="63">
        <f>DIST_PHASE_1_v2!BO27</f>
        <v>150</v>
      </c>
      <c r="BW38" s="63">
        <f>DIST_PHASE_1_v2!BP27</f>
        <v>196</v>
      </c>
      <c r="BX38" s="63">
        <f t="shared" si="25"/>
        <v>8.0530027222061502</v>
      </c>
      <c r="BY38" s="63" t="str">
        <f t="shared" si="26"/>
        <v/>
      </c>
      <c r="BZ38" s="63">
        <f t="shared" si="27"/>
        <v>0.29127741038746446</v>
      </c>
      <c r="CA38" s="63" t="e">
        <f t="shared" si="28"/>
        <v>#VALUE!</v>
      </c>
      <c r="CB38" s="63" t="e">
        <f t="shared" si="6"/>
        <v>#VALUE!</v>
      </c>
      <c r="CF38" s="63">
        <f t="shared" si="7"/>
        <v>0</v>
      </c>
      <c r="CG38" s="63">
        <v>17</v>
      </c>
      <c r="CH38" s="63" t="str">
        <f>DIST_PHASE_1_v2!BS27</f>
        <v>+</v>
      </c>
      <c r="CI38" s="63" t="str">
        <f>DIST_PHASE_1_v2!BT27</f>
        <v>N28_N196</v>
      </c>
      <c r="CJ38" s="63">
        <f>DIST_PHASE_1_v2!BV27</f>
        <v>0.16656000000000001</v>
      </c>
      <c r="CK38" s="63">
        <f>DIST_PHASE_1_v2!CA27</f>
        <v>466</v>
      </c>
      <c r="CL38" s="63">
        <v>150</v>
      </c>
      <c r="CM38" s="63">
        <f>DIST_PHASE_1_v2!CC27</f>
        <v>75</v>
      </c>
      <c r="CN38" s="63">
        <f t="shared" si="29"/>
        <v>3.0815061437013331</v>
      </c>
      <c r="CO38" s="63" t="str">
        <f t="shared" si="30"/>
        <v/>
      </c>
      <c r="CP38" s="63">
        <f t="shared" si="31"/>
        <v>0.11145819275030529</v>
      </c>
      <c r="CQ38" s="63" t="e">
        <f t="shared" si="32"/>
        <v>#VALUE!</v>
      </c>
      <c r="CR38" s="63" t="e">
        <f t="shared" si="8"/>
        <v>#VALUE!</v>
      </c>
      <c r="CV38" s="63">
        <f t="shared" si="9"/>
        <v>0</v>
      </c>
      <c r="CW38" s="63">
        <v>17</v>
      </c>
      <c r="CX38" s="63" t="str">
        <f>DIST_PHASE_1_v2!CF27</f>
        <v>+</v>
      </c>
      <c r="CY38" s="63" t="str">
        <f>DIST_PHASE_1_v2!CG27</f>
        <v>N15_N16</v>
      </c>
      <c r="CZ38" s="63">
        <f>DIST_PHASE_1_v2!CI27</f>
        <v>8.3280000000000007E-2</v>
      </c>
      <c r="DA38" s="63">
        <f>DIST_PHASE_1_v2!CN27</f>
        <v>350</v>
      </c>
      <c r="DB38" s="63">
        <f>DIST_PHASE_1_v2!CO27</f>
        <v>150</v>
      </c>
      <c r="DC38" s="63">
        <f>DIST_PHASE_1_v2!CP27</f>
        <v>496</v>
      </c>
      <c r="DD38" s="63">
        <f t="shared" si="33"/>
        <v>82.174261014300242</v>
      </c>
      <c r="DE38" s="63" t="str">
        <f t="shared" si="34"/>
        <v/>
      </c>
      <c r="DF38" s="63">
        <f t="shared" si="35"/>
        <v>0.82333620664856744</v>
      </c>
      <c r="DG38" s="63" t="e">
        <f t="shared" si="36"/>
        <v>#VALUE!</v>
      </c>
      <c r="DH38" s="63" t="e">
        <f t="shared" si="37"/>
        <v>#VALUE!</v>
      </c>
    </row>
    <row r="39" spans="2:112" x14ac:dyDescent="0.25">
      <c r="B39">
        <v>18</v>
      </c>
      <c r="C39" s="69" t="s">
        <v>539</v>
      </c>
      <c r="D39" s="63" t="str">
        <f>DIST_PHASE_1_v2!E28</f>
        <v>N99_N100</v>
      </c>
      <c r="E39" s="63">
        <f>DIST_PHASE_1_v2!G28</f>
        <v>0.28899999999999998</v>
      </c>
      <c r="F39" s="63">
        <f>DIST_PHASE_1_v2!L28</f>
        <v>700</v>
      </c>
      <c r="G39" s="63">
        <f>DIST_PHASE_1_v2!M28</f>
        <v>150</v>
      </c>
      <c r="H39" s="63">
        <f>DIST_PHASE_1_v2!N28</f>
        <v>289</v>
      </c>
      <c r="I39" s="63">
        <f t="shared" si="10"/>
        <v>1.6361942593429444</v>
      </c>
      <c r="J39" s="63">
        <f t="shared" si="11"/>
        <v>0.28899999999999998</v>
      </c>
      <c r="K39" s="63">
        <f t="shared" si="12"/>
        <v>0.16421683189371203</v>
      </c>
      <c r="L39" s="63">
        <f t="shared" si="38"/>
        <v>1.0523514625161059</v>
      </c>
      <c r="M39" s="63">
        <f t="shared" si="13"/>
        <v>0.29559693507618351</v>
      </c>
      <c r="P39" s="63">
        <f t="shared" si="14"/>
        <v>0</v>
      </c>
      <c r="Q39" s="63">
        <v>18</v>
      </c>
      <c r="R39" s="63" t="str">
        <f>DIST_PHASE_1_v2!Q28</f>
        <v>-</v>
      </c>
      <c r="S39" s="63" t="str">
        <f>DIST_PHASE_1_v2!R28</f>
        <v>N139_N140</v>
      </c>
      <c r="T39" s="63">
        <f>DIST_PHASE_1_v2!T28</f>
        <v>5.8057999999999998E-2</v>
      </c>
      <c r="U39" s="63">
        <f>DIST_PHASE_1_v2!Y28</f>
        <v>300</v>
      </c>
      <c r="V39" s="63">
        <v>150</v>
      </c>
      <c r="W39" s="63">
        <f>DIST_PHASE_1_v2!AA28</f>
        <v>180</v>
      </c>
      <c r="X39" s="63">
        <f t="shared" si="15"/>
        <v>63.186521581003028</v>
      </c>
      <c r="Y39" s="63" t="str">
        <f t="shared" si="16"/>
        <v/>
      </c>
      <c r="Z39" s="63" cm="1">
        <f t="array" ref="Z39">IF(P39&gt;0,
IF(INDEX($C$22:$C$91,P39,1)="positif",1,-1),0)</f>
        <v>0</v>
      </c>
      <c r="AA39" s="63">
        <f t="shared" si="17"/>
        <v>0</v>
      </c>
      <c r="AB39" s="63" t="e">
        <f t="shared" si="0"/>
        <v>#VALUE!</v>
      </c>
      <c r="AC39" s="63" t="e">
        <f t="shared" si="1"/>
        <v>#VALUE!</v>
      </c>
      <c r="AD39" s="63" t="e">
        <f t="shared" ref="AD39:AD45" si="44">IF(P39&gt;0,
Y39+($D$93*Z39)+(AA39*$S$93),
Y39+$S$93)</f>
        <v>#VALUE!</v>
      </c>
      <c r="AF39" s="63" t="e">
        <f t="shared" si="18"/>
        <v>#VALUE!</v>
      </c>
      <c r="AJ39" s="63">
        <f t="shared" si="19"/>
        <v>0</v>
      </c>
      <c r="AK39" s="63">
        <v>18</v>
      </c>
      <c r="AL39" s="63" t="str">
        <f>TRONCONS_V2!AI26</f>
        <v>negatif</v>
      </c>
      <c r="AM39" s="63" t="str">
        <f>TRONCONS_V2!AE26</f>
        <v>N116_N195</v>
      </c>
      <c r="AN39" s="63">
        <f>DIST_PHASE_1_v2!AG28</f>
        <v>3.2837000000000005E-2</v>
      </c>
      <c r="AO39" s="63">
        <f>DIST_PHASE_1_v2!AL28</f>
        <v>250</v>
      </c>
      <c r="AP39" s="63">
        <v>150</v>
      </c>
      <c r="AQ39" s="63">
        <f>TRONCONS_V2!AG26</f>
        <v>116</v>
      </c>
      <c r="AR39" s="63">
        <f t="shared" si="20"/>
        <v>98.969592416240872</v>
      </c>
      <c r="AS39" s="63">
        <f t="shared" si="21"/>
        <v>-3.2837000000000005E-2</v>
      </c>
      <c r="AT39" s="63">
        <f t="shared" si="42"/>
        <v>-0.17693222282565055</v>
      </c>
      <c r="AU39" s="63">
        <f t="shared" si="22"/>
        <v>9.978940727627517</v>
      </c>
      <c r="AV39" s="63" t="e">
        <f t="shared" si="2"/>
        <v>#VALUE!</v>
      </c>
      <c r="AZ39" s="63">
        <f t="shared" si="3"/>
        <v>0</v>
      </c>
      <c r="BA39" s="63">
        <v>18</v>
      </c>
      <c r="BB39" s="63" t="str">
        <f>DIST_PHASE_1_v2!AQ28</f>
        <v>+</v>
      </c>
      <c r="BC39" s="63" t="str">
        <f>DIST_PHASE_1_v2!AR28</f>
        <v>N67_N68</v>
      </c>
      <c r="BD39" s="63">
        <f>DIST_PHASE_1_v2!AT28</f>
        <v>3.2837000000000005E-2</v>
      </c>
      <c r="BE39" s="63">
        <f>DIST_PHASE_1_v2!AY28</f>
        <v>250</v>
      </c>
      <c r="BF39" s="63">
        <f>DIST_PHASE_1_v2!AZ28</f>
        <v>150</v>
      </c>
      <c r="BG39" s="63">
        <f>DIST_PHASE_1_v2!BA28</f>
        <v>100</v>
      </c>
      <c r="BH39" s="63">
        <f t="shared" si="23"/>
        <v>85.318614151931783</v>
      </c>
      <c r="BI39" s="63" t="str">
        <f t="shared" si="40"/>
        <v/>
      </c>
      <c r="BJ39" s="63">
        <f t="shared" si="41"/>
        <v>0.15252777829797462</v>
      </c>
      <c r="BK39" s="63" t="e">
        <f t="shared" si="24"/>
        <v>#VALUE!</v>
      </c>
      <c r="BL39" s="63" t="e">
        <f t="shared" si="4"/>
        <v>#VALUE!</v>
      </c>
      <c r="BP39" s="63">
        <f t="shared" si="5"/>
        <v>0</v>
      </c>
      <c r="BQ39" s="63">
        <v>18</v>
      </c>
      <c r="BR39" s="63" t="str">
        <f>DIST_PHASE_1_v2!BF28</f>
        <v>+</v>
      </c>
      <c r="BS39" s="63" t="str">
        <f>DIST_PHASE_1_v2!BG28</f>
        <v>N46_N47</v>
      </c>
      <c r="BT39" s="63">
        <f>DIST_PHASE_1_v2!BI28</f>
        <v>0.16656000000000001</v>
      </c>
      <c r="BU39" s="63">
        <f>DIST_PHASE_1_v2!BN28</f>
        <v>466</v>
      </c>
      <c r="BV39" s="63">
        <f>DIST_PHASE_1_v2!BO28</f>
        <v>150</v>
      </c>
      <c r="BW39" s="63">
        <f>DIST_PHASE_1_v2!BP28</f>
        <v>275</v>
      </c>
      <c r="BX39" s="63">
        <f t="shared" si="25"/>
        <v>11.298855860238222</v>
      </c>
      <c r="BY39" s="63" t="str">
        <f t="shared" si="26"/>
        <v/>
      </c>
      <c r="BZ39" s="63">
        <f t="shared" si="27"/>
        <v>0.40868004008445274</v>
      </c>
      <c r="CA39" s="63" t="e">
        <f t="shared" si="28"/>
        <v>#VALUE!</v>
      </c>
      <c r="CB39" s="63" t="e">
        <f t="shared" si="6"/>
        <v>#VALUE!</v>
      </c>
      <c r="CF39" s="63">
        <f t="shared" si="7"/>
        <v>0</v>
      </c>
      <c r="CG39" s="63">
        <v>18</v>
      </c>
      <c r="CH39" s="63" t="str">
        <f>DIST_PHASE_1_v2!BS28</f>
        <v>+</v>
      </c>
      <c r="CI39" s="63" t="str">
        <f>DIST_PHASE_1_v2!BT28</f>
        <v>N29_N30</v>
      </c>
      <c r="CJ39" s="63">
        <f>DIST_PHASE_1_v2!BV28</f>
        <v>0.16656000000000001</v>
      </c>
      <c r="CK39" s="63">
        <f>DIST_PHASE_1_v2!CA28</f>
        <v>466</v>
      </c>
      <c r="CL39" s="63">
        <v>150</v>
      </c>
      <c r="CM39" s="63">
        <f>DIST_PHASE_1_v2!CC28</f>
        <v>76</v>
      </c>
      <c r="CN39" s="63">
        <f t="shared" si="29"/>
        <v>3.1225928922840178</v>
      </c>
      <c r="CO39" s="63" t="str">
        <f t="shared" si="30"/>
        <v/>
      </c>
      <c r="CP39" s="63">
        <f t="shared" si="31"/>
        <v>0.11294430198697604</v>
      </c>
      <c r="CQ39" s="63" t="e">
        <f t="shared" si="32"/>
        <v>#VALUE!</v>
      </c>
      <c r="CR39" s="63" t="e">
        <f t="shared" si="8"/>
        <v>#VALUE!</v>
      </c>
      <c r="CV39" s="63">
        <f t="shared" si="9"/>
        <v>0</v>
      </c>
      <c r="CW39" s="63">
        <v>18</v>
      </c>
      <c r="CX39" s="63" t="str">
        <f>DIST_PHASE_1_v2!CF28</f>
        <v>+</v>
      </c>
      <c r="CY39" s="63" t="str">
        <f>DIST_PHASE_1_v2!CG28</f>
        <v>N16_N17</v>
      </c>
      <c r="CZ39" s="63">
        <f>DIST_PHASE_1_v2!CI28</f>
        <v>8.3280000000000007E-2</v>
      </c>
      <c r="DA39" s="63">
        <f>DIST_PHASE_1_v2!CN28</f>
        <v>350</v>
      </c>
      <c r="DB39" s="63">
        <f>DIST_PHASE_1_v2!CO28</f>
        <v>150</v>
      </c>
      <c r="DC39" s="63">
        <f>DIST_PHASE_1_v2!CP28</f>
        <v>414</v>
      </c>
      <c r="DD39" s="63">
        <f t="shared" si="33"/>
        <v>68.589000120807043</v>
      </c>
      <c r="DE39" s="63" t="str">
        <f t="shared" si="34"/>
        <v/>
      </c>
      <c r="DF39" s="63">
        <f t="shared" si="35"/>
        <v>0.68722014022682831</v>
      </c>
      <c r="DG39" s="63" t="e">
        <f t="shared" si="36"/>
        <v>#VALUE!</v>
      </c>
      <c r="DH39" s="63" t="e">
        <f t="shared" si="37"/>
        <v>#VALUE!</v>
      </c>
    </row>
    <row r="40" spans="2:112" x14ac:dyDescent="0.25">
      <c r="B40">
        <v>19</v>
      </c>
      <c r="C40" s="69" t="s">
        <v>539</v>
      </c>
      <c r="D40" s="63" t="str">
        <f>DIST_PHASE_1_v2!E29</f>
        <v>N100_N101</v>
      </c>
      <c r="E40" s="63">
        <f>DIST_PHASE_1_v2!G29</f>
        <v>0.153</v>
      </c>
      <c r="F40" s="63">
        <f>DIST_PHASE_1_v2!L29</f>
        <v>466</v>
      </c>
      <c r="G40" s="63">
        <f>DIST_PHASE_1_v2!M29</f>
        <v>150</v>
      </c>
      <c r="H40" s="63">
        <f>DIST_PHASE_1_v2!N29</f>
        <v>153</v>
      </c>
      <c r="I40" s="63">
        <f t="shared" si="10"/>
        <v>6.2862725331507194</v>
      </c>
      <c r="J40" s="63">
        <f t="shared" si="11"/>
        <v>0.153</v>
      </c>
      <c r="K40" s="63">
        <f t="shared" si="12"/>
        <v>0.19428610209258285</v>
      </c>
      <c r="L40" s="63">
        <f t="shared" si="38"/>
        <v>2.3517507259834214</v>
      </c>
      <c r="M40" s="63">
        <f t="shared" si="13"/>
        <v>0.15959693507618355</v>
      </c>
      <c r="P40" s="63">
        <f t="shared" si="14"/>
        <v>0</v>
      </c>
      <c r="Q40" s="63">
        <v>19</v>
      </c>
      <c r="R40" s="63" t="str">
        <f>DIST_PHASE_1_v2!Q29</f>
        <v>-</v>
      </c>
      <c r="S40" s="63" t="str">
        <f>DIST_PHASE_1_v2!R29</f>
        <v>N140_N141</v>
      </c>
      <c r="T40" s="63">
        <f>DIST_PHASE_1_v2!T29</f>
        <v>5.8057999999999998E-2</v>
      </c>
      <c r="U40" s="63">
        <f>DIST_PHASE_1_v2!Y29</f>
        <v>300</v>
      </c>
      <c r="V40" s="63">
        <v>150</v>
      </c>
      <c r="W40" s="63">
        <f>DIST_PHASE_1_v2!AA29</f>
        <v>210</v>
      </c>
      <c r="X40" s="63">
        <f t="shared" si="15"/>
        <v>73.717608511170198</v>
      </c>
      <c r="Y40" s="63" t="str">
        <f t="shared" si="16"/>
        <v/>
      </c>
      <c r="Z40" s="63" cm="1">
        <f t="array" ref="Z40">IF(P40&gt;0,
IF(INDEX($C$22:$C$91,P40,1)="positif",1,-1),0)</f>
        <v>0</v>
      </c>
      <c r="AA40" s="63">
        <f t="shared" si="17"/>
        <v>0</v>
      </c>
      <c r="AB40" s="63" t="e">
        <f t="shared" si="0"/>
        <v>#VALUE!</v>
      </c>
      <c r="AC40" s="63" t="e">
        <f t="shared" si="1"/>
        <v>#VALUE!</v>
      </c>
      <c r="AD40" s="63" t="e">
        <f t="shared" si="44"/>
        <v>#VALUE!</v>
      </c>
      <c r="AF40" s="63" t="e">
        <f t="shared" si="18"/>
        <v>#VALUE!</v>
      </c>
      <c r="AJ40" s="63">
        <f t="shared" si="19"/>
        <v>0</v>
      </c>
      <c r="AK40" s="63">
        <v>19</v>
      </c>
      <c r="AL40" s="63" t="str">
        <f>TRONCONS_V2!AI27</f>
        <v>negatif</v>
      </c>
      <c r="AM40" s="63" t="str">
        <f>TRONCONS_V2!AE27</f>
        <v>N117_N118</v>
      </c>
      <c r="AN40" s="63">
        <f>DIST_PHASE_1_v2!AG29</f>
        <v>3.2837000000000005E-2</v>
      </c>
      <c r="AO40" s="63">
        <f>DIST_PHASE_1_v2!AL29</f>
        <v>250</v>
      </c>
      <c r="AP40" s="63">
        <v>150</v>
      </c>
      <c r="AQ40" s="63">
        <f>TRONCONS_V2!AG27</f>
        <v>117</v>
      </c>
      <c r="AR40" s="63">
        <f t="shared" si="20"/>
        <v>99.822778557760188</v>
      </c>
      <c r="AS40" s="63">
        <f t="shared" si="21"/>
        <v>-3.2837000000000005E-2</v>
      </c>
      <c r="AT40" s="63">
        <f t="shared" si="42"/>
        <v>-0.1784575006086303</v>
      </c>
      <c r="AU40" s="63">
        <f t="shared" si="22"/>
        <v>10.064966078727755</v>
      </c>
      <c r="AV40" s="63" t="e">
        <f t="shared" si="2"/>
        <v>#VALUE!</v>
      </c>
      <c r="AZ40" s="63">
        <f t="shared" si="3"/>
        <v>0</v>
      </c>
      <c r="BA40" s="63">
        <v>19</v>
      </c>
      <c r="BB40" s="63" t="str">
        <f>DIST_PHASE_1_v2!AQ29</f>
        <v>+</v>
      </c>
      <c r="BC40" s="63" t="str">
        <f>DIST_PHASE_1_v2!AR29</f>
        <v>N68_N69</v>
      </c>
      <c r="BD40" s="63">
        <f>DIST_PHASE_1_v2!AT29</f>
        <v>3.2835999999999997E-2</v>
      </c>
      <c r="BE40" s="63">
        <f>DIST_PHASE_1_v2!AY29</f>
        <v>250</v>
      </c>
      <c r="BF40" s="63">
        <f>DIST_PHASE_1_v2!AZ29</f>
        <v>150</v>
      </c>
      <c r="BG40" s="63">
        <f>DIST_PHASE_1_v2!BA29</f>
        <v>202</v>
      </c>
      <c r="BH40" s="63">
        <f t="shared" si="23"/>
        <v>172.3436005869022</v>
      </c>
      <c r="BI40" s="63" t="str">
        <f t="shared" si="40"/>
        <v/>
      </c>
      <c r="BJ40" s="63">
        <f t="shared" si="41"/>
        <v>0.308088735266423</v>
      </c>
      <c r="BK40" s="63" t="e">
        <f t="shared" si="24"/>
        <v>#VALUE!</v>
      </c>
      <c r="BL40" s="63" t="e">
        <f t="shared" si="4"/>
        <v>#VALUE!</v>
      </c>
      <c r="BP40" s="63">
        <f t="shared" si="5"/>
        <v>0</v>
      </c>
      <c r="BQ40" s="63">
        <v>19</v>
      </c>
      <c r="BR40" s="63" t="str">
        <f>DIST_PHASE_1_v2!BF29</f>
        <v>+</v>
      </c>
      <c r="BS40" s="63" t="str">
        <f>DIST_PHASE_1_v2!BG29</f>
        <v>N47_N48</v>
      </c>
      <c r="BT40" s="63">
        <f>DIST_PHASE_1_v2!BI29</f>
        <v>0.16656000000000001</v>
      </c>
      <c r="BU40" s="63">
        <f>DIST_PHASE_1_v2!BN29</f>
        <v>466</v>
      </c>
      <c r="BV40" s="63">
        <f>DIST_PHASE_1_v2!BO29</f>
        <v>150</v>
      </c>
      <c r="BW40" s="63">
        <f>DIST_PHASE_1_v2!BP29</f>
        <v>407</v>
      </c>
      <c r="BX40" s="63">
        <f t="shared" si="25"/>
        <v>16.722306673152566</v>
      </c>
      <c r="BY40" s="63" t="str">
        <f t="shared" si="26"/>
        <v/>
      </c>
      <c r="BZ40" s="63">
        <f t="shared" si="27"/>
        <v>0.60484645932499004</v>
      </c>
      <c r="CA40" s="63" t="e">
        <f t="shared" si="28"/>
        <v>#VALUE!</v>
      </c>
      <c r="CB40" s="63" t="e">
        <f t="shared" si="6"/>
        <v>#VALUE!</v>
      </c>
      <c r="CF40" s="63">
        <f t="shared" si="7"/>
        <v>0</v>
      </c>
      <c r="CG40" s="63">
        <v>19</v>
      </c>
      <c r="CH40" s="63" t="str">
        <f>DIST_PHASE_1_v2!BS29</f>
        <v>+</v>
      </c>
      <c r="CI40" s="63" t="str">
        <f>DIST_PHASE_1_v2!BT29</f>
        <v>N196_N29</v>
      </c>
      <c r="CJ40" s="63">
        <f>DIST_PHASE_1_v2!BV29</f>
        <v>0.16656000000000001</v>
      </c>
      <c r="CK40" s="63">
        <f>DIST_PHASE_1_v2!CA29</f>
        <v>466</v>
      </c>
      <c r="CL40" s="63">
        <v>150</v>
      </c>
      <c r="CM40" s="63">
        <f>DIST_PHASE_1_v2!CC29</f>
        <v>69</v>
      </c>
      <c r="CN40" s="63">
        <f t="shared" si="29"/>
        <v>2.8349856522052264</v>
      </c>
      <c r="CO40" s="63" t="str">
        <f t="shared" si="30"/>
        <v/>
      </c>
      <c r="CP40" s="63">
        <f t="shared" si="31"/>
        <v>0.10254153733028086</v>
      </c>
      <c r="CQ40" s="63" t="e">
        <f t="shared" si="32"/>
        <v>#VALUE!</v>
      </c>
      <c r="CR40" s="63" t="e">
        <f t="shared" si="8"/>
        <v>#VALUE!</v>
      </c>
      <c r="CV40" s="63">
        <f t="shared" si="9"/>
        <v>0</v>
      </c>
      <c r="CW40" s="63">
        <v>19</v>
      </c>
      <c r="CX40" s="63" t="str">
        <f>DIST_PHASE_1_v2!CF29</f>
        <v>-</v>
      </c>
      <c r="CY40" s="63" t="str">
        <f>DIST_PHASE_1_v2!CG29</f>
        <v>N31_N17</v>
      </c>
      <c r="CZ40" s="63">
        <f>DIST_PHASE_1_v2!CI29</f>
        <v>0.16656000000000001</v>
      </c>
      <c r="DA40" s="63">
        <f>DIST_PHASE_1_v2!CN29</f>
        <v>466</v>
      </c>
      <c r="DB40" s="63">
        <f>DIST_PHASE_1_v2!CO29</f>
        <v>150</v>
      </c>
      <c r="DC40" s="63">
        <f>DIST_PHASE_1_v2!CP29</f>
        <v>211</v>
      </c>
      <c r="DD40" s="63">
        <f t="shared" si="33"/>
        <v>8.6693039509464178</v>
      </c>
      <c r="DE40" s="63" t="str">
        <f t="shared" si="34"/>
        <v/>
      </c>
      <c r="DF40" s="63">
        <f t="shared" si="35"/>
        <v>0.31356904893752557</v>
      </c>
      <c r="DG40" s="63" t="e">
        <f t="shared" si="36"/>
        <v>#VALUE!</v>
      </c>
      <c r="DH40" s="63" t="e">
        <f t="shared" si="37"/>
        <v>#VALUE!</v>
      </c>
    </row>
    <row r="41" spans="2:112" x14ac:dyDescent="0.25">
      <c r="B41">
        <v>20</v>
      </c>
      <c r="C41" s="69" t="s">
        <v>539</v>
      </c>
      <c r="D41" s="63" t="str">
        <f>DIST_PHASE_1_v2!E30</f>
        <v>N101_N102</v>
      </c>
      <c r="E41" s="63">
        <f>DIST_PHASE_1_v2!G30</f>
        <v>7.2999999999999995E-2</v>
      </c>
      <c r="F41" s="63">
        <f>DIST_PHASE_1_v2!L30</f>
        <v>350</v>
      </c>
      <c r="G41" s="63">
        <f>DIST_PHASE_1_v2!M30</f>
        <v>150</v>
      </c>
      <c r="H41" s="63">
        <f>DIST_PHASE_1_v2!N30</f>
        <v>73</v>
      </c>
      <c r="I41" s="63">
        <f t="shared" si="10"/>
        <v>12.094195673475639</v>
      </c>
      <c r="J41" s="63">
        <f t="shared" si="11"/>
        <v>7.2999999999999995E-2</v>
      </c>
      <c r="K41" s="63">
        <f t="shared" si="12"/>
        <v>9.4940371718878883E-2</v>
      </c>
      <c r="L41" s="63">
        <f t="shared" si="38"/>
        <v>2.4086242249775851</v>
      </c>
      <c r="M41" s="63">
        <f t="shared" si="13"/>
        <v>7.9596935076183553E-2</v>
      </c>
      <c r="P41" s="63">
        <f t="shared" si="14"/>
        <v>0</v>
      </c>
      <c r="Q41" s="63">
        <v>20</v>
      </c>
      <c r="R41" s="63" t="str">
        <f>DIST_PHASE_1_v2!Q30</f>
        <v>-</v>
      </c>
      <c r="S41" s="63" t="str">
        <f>DIST_PHASE_1_v2!R30</f>
        <v>N141_N142</v>
      </c>
      <c r="T41" s="63">
        <f>DIST_PHASE_1_v2!T30</f>
        <v>5.8057999999999998E-2</v>
      </c>
      <c r="U41" s="63">
        <f>DIST_PHASE_1_v2!Y30</f>
        <v>300</v>
      </c>
      <c r="V41" s="63">
        <v>150</v>
      </c>
      <c r="W41" s="63">
        <f>DIST_PHASE_1_v2!AA30</f>
        <v>100</v>
      </c>
      <c r="X41" s="63">
        <f t="shared" si="15"/>
        <v>35.103623100557243</v>
      </c>
      <c r="Y41" s="63" t="str">
        <f t="shared" si="16"/>
        <v/>
      </c>
      <c r="Z41" s="63" cm="1">
        <f t="array" ref="Z41">IF(P41&gt;0,
IF(INDEX($C$22:$C$91,P41,1)="positif",1,-1),0)</f>
        <v>0</v>
      </c>
      <c r="AA41" s="63">
        <f t="shared" si="17"/>
        <v>0</v>
      </c>
      <c r="AB41" s="63" t="e">
        <f t="shared" si="0"/>
        <v>#VALUE!</v>
      </c>
      <c r="AC41" s="63" t="e">
        <f t="shared" si="1"/>
        <v>#VALUE!</v>
      </c>
      <c r="AD41" s="63" t="e">
        <f t="shared" si="44"/>
        <v>#VALUE!</v>
      </c>
      <c r="AF41" s="63" t="e">
        <f t="shared" si="18"/>
        <v>#VALUE!</v>
      </c>
      <c r="AJ41" s="63">
        <f t="shared" si="19"/>
        <v>0</v>
      </c>
      <c r="AK41" s="63">
        <v>20</v>
      </c>
      <c r="AL41" s="63" t="str">
        <f>TRONCONS_V2!AI28</f>
        <v>negatif</v>
      </c>
      <c r="AM41" s="63" t="str">
        <f>TRONCONS_V2!AE28</f>
        <v>N117_N195</v>
      </c>
      <c r="AN41" s="63">
        <f>DIST_PHASE_1_v2!AG30</f>
        <v>3.2837000000000005E-2</v>
      </c>
      <c r="AO41" s="63">
        <f>DIST_PHASE_1_v2!AL30</f>
        <v>250</v>
      </c>
      <c r="AP41" s="63">
        <v>150</v>
      </c>
      <c r="AQ41" s="63">
        <f>TRONCONS_V2!AG28</f>
        <v>117</v>
      </c>
      <c r="AR41" s="63">
        <f t="shared" si="20"/>
        <v>99.822778557760188</v>
      </c>
      <c r="AS41" s="63">
        <f t="shared" si="21"/>
        <v>-3.2837000000000005E-2</v>
      </c>
      <c r="AT41" s="63">
        <f t="shared" si="42"/>
        <v>-0.1784575006086303</v>
      </c>
      <c r="AU41" s="63">
        <f t="shared" si="22"/>
        <v>10.064966078727755</v>
      </c>
      <c r="AV41" s="63" t="e">
        <f t="shared" si="2"/>
        <v>#VALUE!</v>
      </c>
      <c r="AZ41" s="63">
        <f t="shared" si="3"/>
        <v>0</v>
      </c>
      <c r="BA41" s="63">
        <v>20</v>
      </c>
      <c r="BB41" s="63" t="str">
        <f>DIST_PHASE_1_v2!AQ30</f>
        <v>+</v>
      </c>
      <c r="BC41" s="63" t="str">
        <f>DIST_PHASE_1_v2!AR30</f>
        <v>N69_N70</v>
      </c>
      <c r="BD41" s="63">
        <f>DIST_PHASE_1_v2!AT30</f>
        <v>0.19939599999999999</v>
      </c>
      <c r="BE41" s="63">
        <f>DIST_PHASE_1_v2!AY30</f>
        <v>565</v>
      </c>
      <c r="BF41" s="63">
        <f>DIST_PHASE_1_v2!AZ30</f>
        <v>150</v>
      </c>
      <c r="BG41" s="63">
        <f>DIST_PHASE_1_v2!BA30</f>
        <v>166</v>
      </c>
      <c r="BH41" s="63">
        <f t="shared" si="23"/>
        <v>2.6686380466646789</v>
      </c>
      <c r="BI41" s="63" t="str">
        <f t="shared" si="40"/>
        <v/>
      </c>
      <c r="BJ41" s="63">
        <f t="shared" si="41"/>
        <v>0.13469904721539741</v>
      </c>
      <c r="BK41" s="63" t="e">
        <f t="shared" si="24"/>
        <v>#VALUE!</v>
      </c>
      <c r="BL41" s="63" t="e">
        <f t="shared" si="4"/>
        <v>#VALUE!</v>
      </c>
      <c r="BP41" s="63">
        <f t="shared" si="5"/>
        <v>0</v>
      </c>
      <c r="BQ41" s="63">
        <v>20</v>
      </c>
      <c r="BR41" s="63" t="str">
        <f>DIST_PHASE_1_v2!BF30</f>
        <v>+</v>
      </c>
      <c r="BS41" s="63" t="str">
        <f>DIST_PHASE_1_v2!BG30</f>
        <v>N48_N49</v>
      </c>
      <c r="BT41" s="63">
        <f>DIST_PHASE_1_v2!BI30</f>
        <v>0.16656000000000001</v>
      </c>
      <c r="BU41" s="63">
        <f>DIST_PHASE_1_v2!BN30</f>
        <v>466</v>
      </c>
      <c r="BV41" s="63">
        <f>DIST_PHASE_1_v2!BO30</f>
        <v>150</v>
      </c>
      <c r="BW41" s="63">
        <f>DIST_PHASE_1_v2!BP30</f>
        <v>395</v>
      </c>
      <c r="BX41" s="63">
        <f t="shared" si="25"/>
        <v>16.229265690160354</v>
      </c>
      <c r="BY41" s="63" t="str">
        <f t="shared" si="26"/>
        <v/>
      </c>
      <c r="BZ41" s="63">
        <f t="shared" si="27"/>
        <v>0.58701314848494113</v>
      </c>
      <c r="CA41" s="63" t="e">
        <f t="shared" si="28"/>
        <v>#VALUE!</v>
      </c>
      <c r="CB41" s="63" t="e">
        <f t="shared" si="6"/>
        <v>#VALUE!</v>
      </c>
      <c r="CF41" s="63">
        <f t="shared" si="7"/>
        <v>0</v>
      </c>
      <c r="CG41" s="63">
        <v>20</v>
      </c>
      <c r="CH41" s="63" t="str">
        <f>DIST_PHASE_1_v2!BS30</f>
        <v>+</v>
      </c>
      <c r="CI41" s="63" t="str">
        <f>DIST_PHASE_1_v2!BT30</f>
        <v>N30_N31</v>
      </c>
      <c r="CJ41" s="63">
        <f>DIST_PHASE_1_v2!BV30</f>
        <v>0.16656000000000001</v>
      </c>
      <c r="CK41" s="63">
        <f>DIST_PHASE_1_v2!CA30</f>
        <v>466</v>
      </c>
      <c r="CL41" s="63">
        <v>150</v>
      </c>
      <c r="CM41" s="63">
        <f>DIST_PHASE_1_v2!CC30</f>
        <v>251</v>
      </c>
      <c r="CN41" s="63">
        <f t="shared" si="29"/>
        <v>10.312773894253795</v>
      </c>
      <c r="CO41" s="63" t="str">
        <f t="shared" si="30"/>
        <v/>
      </c>
      <c r="CP41" s="63">
        <f t="shared" si="31"/>
        <v>0.37301341840435503</v>
      </c>
      <c r="CQ41" s="63" t="e">
        <f t="shared" si="32"/>
        <v>#VALUE!</v>
      </c>
      <c r="CR41" s="63" t="e">
        <f t="shared" si="8"/>
        <v>#VALUE!</v>
      </c>
      <c r="CV41" s="63">
        <f t="shared" si="9"/>
        <v>7</v>
      </c>
      <c r="CW41" s="63">
        <v>20</v>
      </c>
      <c r="CX41" s="63" t="str">
        <f>DIST_PHASE_1_v2!CF30</f>
        <v>-</v>
      </c>
      <c r="CY41" s="63" t="str">
        <f>DIST_PHASE_1_v2!CG30</f>
        <v>N18_N19</v>
      </c>
      <c r="CZ41" s="63">
        <f>DIST_PHASE_1_v2!CI30</f>
        <v>0.16656000000000001</v>
      </c>
      <c r="DA41" s="63">
        <f>DIST_PHASE_1_v2!CN30</f>
        <v>466</v>
      </c>
      <c r="DB41" s="63">
        <f>DIST_PHASE_1_v2!CO30</f>
        <v>150</v>
      </c>
      <c r="DC41" s="63">
        <f>DIST_PHASE_1_v2!CP30</f>
        <v>56</v>
      </c>
      <c r="DD41" s="63">
        <f t="shared" si="33"/>
        <v>2.3008579206303286</v>
      </c>
      <c r="DE41" s="63" t="e" cm="1">
        <f t="array" ref="DE41">INDEX($CB$22:$CB$62,CV41,1)</f>
        <v>#VALUE!</v>
      </c>
      <c r="DF41" s="63" t="e">
        <f t="shared" si="35"/>
        <v>#VALUE!</v>
      </c>
      <c r="DG41" s="63" t="e">
        <f t="shared" si="36"/>
        <v>#VALUE!</v>
      </c>
      <c r="DH41" s="63" t="e">
        <f t="shared" si="37"/>
        <v>#VALUE!</v>
      </c>
    </row>
    <row r="42" spans="2:112" x14ac:dyDescent="0.25">
      <c r="B42">
        <v>21</v>
      </c>
      <c r="C42" s="69" t="s">
        <v>539</v>
      </c>
      <c r="D42" s="63" t="str">
        <f>DIST_PHASE_1_v2!E31</f>
        <v>N102_N103</v>
      </c>
      <c r="E42" s="63">
        <f>DIST_PHASE_1_v2!G31</f>
        <v>5.6000000000000001E-2</v>
      </c>
      <c r="F42" s="63">
        <f>DIST_PHASE_1_v2!L31</f>
        <v>300</v>
      </c>
      <c r="G42" s="63">
        <f>DIST_PHASE_1_v2!M31</f>
        <v>150</v>
      </c>
      <c r="H42" s="63">
        <f>DIST_PHASE_1_v2!N31</f>
        <v>56</v>
      </c>
      <c r="I42" s="63">
        <f t="shared" si="10"/>
        <v>19.658028936312054</v>
      </c>
      <c r="J42" s="63">
        <f t="shared" si="11"/>
        <v>5.6000000000000001E-2</v>
      </c>
      <c r="K42" s="63">
        <f t="shared" si="12"/>
        <v>9.4446136293034055E-2</v>
      </c>
      <c r="L42" s="63">
        <f t="shared" si="38"/>
        <v>3.1234686502624811</v>
      </c>
      <c r="M42" s="63">
        <f t="shared" si="13"/>
        <v>6.2596935076183552E-2</v>
      </c>
      <c r="P42" s="63">
        <f t="shared" si="14"/>
        <v>0</v>
      </c>
      <c r="Q42" s="63">
        <v>21</v>
      </c>
      <c r="R42" s="63" t="str">
        <f>DIST_PHASE_1_v2!Q31</f>
        <v>-</v>
      </c>
      <c r="S42" s="63" t="str">
        <f>DIST_PHASE_1_v2!R31</f>
        <v>N142_N143</v>
      </c>
      <c r="T42" s="63">
        <f>DIST_PHASE_1_v2!T31</f>
        <v>5.8057999999999998E-2</v>
      </c>
      <c r="U42" s="63">
        <f>DIST_PHASE_1_v2!Y31</f>
        <v>300</v>
      </c>
      <c r="V42" s="63">
        <v>150</v>
      </c>
      <c r="W42" s="63">
        <f>DIST_PHASE_1_v2!AA31</f>
        <v>427</v>
      </c>
      <c r="X42" s="63">
        <f t="shared" si="15"/>
        <v>149.89247063937941</v>
      </c>
      <c r="Y42" s="63" t="str">
        <f t="shared" si="16"/>
        <v/>
      </c>
      <c r="Z42" s="63" cm="1">
        <f t="array" ref="Z42">IF(P42&gt;0,
IF(INDEX($C$22:$C$91,P42,1)="positif",1,-1),0)</f>
        <v>0</v>
      </c>
      <c r="AA42" s="63">
        <f t="shared" si="17"/>
        <v>0</v>
      </c>
      <c r="AB42" s="63" t="e">
        <f t="shared" si="0"/>
        <v>#VALUE!</v>
      </c>
      <c r="AC42" s="63" t="e">
        <f t="shared" si="1"/>
        <v>#VALUE!</v>
      </c>
      <c r="AD42" s="63" t="e">
        <f t="shared" si="44"/>
        <v>#VALUE!</v>
      </c>
      <c r="AF42" s="63" t="e">
        <f t="shared" si="18"/>
        <v>#VALUE!</v>
      </c>
      <c r="AJ42" s="63">
        <f t="shared" si="19"/>
        <v>0</v>
      </c>
      <c r="AK42" s="63">
        <v>21</v>
      </c>
      <c r="AL42" s="63" t="str">
        <f>TRONCONS_V2!AI29</f>
        <v>negatif</v>
      </c>
      <c r="AM42" s="63" t="str">
        <f>TRONCONS_V2!AE29</f>
        <v>N118_N119</v>
      </c>
      <c r="AN42" s="63">
        <f>DIST_PHASE_1_v2!AG31</f>
        <v>3.2837000000000005E-2</v>
      </c>
      <c r="AO42" s="63">
        <f>DIST_PHASE_1_v2!AL31</f>
        <v>250</v>
      </c>
      <c r="AP42" s="63">
        <v>150</v>
      </c>
      <c r="AQ42" s="63">
        <f>TRONCONS_V2!AG29</f>
        <v>118</v>
      </c>
      <c r="AR42" s="63">
        <f t="shared" si="20"/>
        <v>100.6759646992795</v>
      </c>
      <c r="AS42" s="63">
        <f t="shared" si="21"/>
        <v>-3.2837000000000005E-2</v>
      </c>
      <c r="AT42" s="63">
        <f t="shared" si="42"/>
        <v>-0.17998277839161003</v>
      </c>
      <c r="AU42" s="63">
        <f t="shared" si="22"/>
        <v>10.150991429827991</v>
      </c>
      <c r="AV42" s="63" t="e">
        <f t="shared" si="2"/>
        <v>#VALUE!</v>
      </c>
      <c r="AZ42" s="63">
        <f t="shared" si="3"/>
        <v>0</v>
      </c>
      <c r="BA42" s="63">
        <v>21</v>
      </c>
      <c r="BB42" s="63" t="str">
        <f>DIST_PHASE_1_v2!AQ31</f>
        <v>+</v>
      </c>
      <c r="BC42" s="63" t="str">
        <f>DIST_PHASE_1_v2!AR31</f>
        <v>N70_N71</v>
      </c>
      <c r="BD42" s="63">
        <f>DIST_PHASE_1_v2!AT31</f>
        <v>0.19939599999999999</v>
      </c>
      <c r="BE42" s="63">
        <f>DIST_PHASE_1_v2!AY31</f>
        <v>565</v>
      </c>
      <c r="BF42" s="63">
        <f>DIST_PHASE_1_v2!AZ31</f>
        <v>150</v>
      </c>
      <c r="BG42" s="63">
        <f>DIST_PHASE_1_v2!BA31</f>
        <v>584</v>
      </c>
      <c r="BH42" s="63">
        <f t="shared" si="23"/>
        <v>9.3884615617600762</v>
      </c>
      <c r="BI42" s="63" t="str">
        <f t="shared" si="40"/>
        <v/>
      </c>
      <c r="BJ42" s="63">
        <f t="shared" si="41"/>
        <v>0.4738809853842898</v>
      </c>
      <c r="BK42" s="63" t="e">
        <f t="shared" si="24"/>
        <v>#VALUE!</v>
      </c>
      <c r="BL42" s="63" t="e">
        <f t="shared" si="4"/>
        <v>#VALUE!</v>
      </c>
      <c r="BP42" s="63">
        <f t="shared" si="5"/>
        <v>0</v>
      </c>
      <c r="BQ42" s="63">
        <v>21</v>
      </c>
      <c r="BR42" s="63" t="str">
        <f>DIST_PHASE_1_v2!BF31</f>
        <v>+</v>
      </c>
      <c r="BS42" s="63" t="str">
        <f>DIST_PHASE_1_v2!BG31</f>
        <v>N49_N50</v>
      </c>
      <c r="BT42" s="63">
        <f>DIST_PHASE_1_v2!BI31</f>
        <v>0.16656000000000001</v>
      </c>
      <c r="BU42" s="63">
        <f>DIST_PHASE_1_v2!BN31</f>
        <v>466</v>
      </c>
      <c r="BV42" s="63">
        <f>DIST_PHASE_1_v2!BO31</f>
        <v>150</v>
      </c>
      <c r="BW42" s="63">
        <f>DIST_PHASE_1_v2!BP31</f>
        <v>151</v>
      </c>
      <c r="BX42" s="63">
        <f t="shared" si="25"/>
        <v>6.204099035985351</v>
      </c>
      <c r="BY42" s="63" t="str">
        <f t="shared" si="26"/>
        <v/>
      </c>
      <c r="BZ42" s="63">
        <f t="shared" si="27"/>
        <v>0.22440249473728133</v>
      </c>
      <c r="CA42" s="63" t="e">
        <f t="shared" si="28"/>
        <v>#VALUE!</v>
      </c>
      <c r="CB42" s="63" t="e">
        <f t="shared" si="6"/>
        <v>#VALUE!</v>
      </c>
      <c r="CF42" s="63">
        <f t="shared" si="7"/>
        <v>3</v>
      </c>
      <c r="CG42" s="63">
        <v>21</v>
      </c>
      <c r="CH42" s="63" t="str">
        <f>DIST_PHASE_1_v2!BS31</f>
        <v>+</v>
      </c>
      <c r="CI42" s="63" t="str">
        <f>DIST_PHASE_1_v2!BT31</f>
        <v>N31_N32</v>
      </c>
      <c r="CJ42" s="63">
        <f>DIST_PHASE_1_v2!BV31</f>
        <v>8.3280000000000007E-2</v>
      </c>
      <c r="CK42" s="63">
        <f>DIST_PHASE_1_v2!CA31</f>
        <v>350</v>
      </c>
      <c r="CL42" s="63">
        <v>150</v>
      </c>
      <c r="CM42" s="63">
        <f>DIST_PHASE_1_v2!CC31</f>
        <v>129</v>
      </c>
      <c r="CN42" s="63">
        <f t="shared" si="29"/>
        <v>21.371934820251475</v>
      </c>
      <c r="CO42" s="63" t="e" cm="1">
        <f t="array" ref="CO42">INDEX($CB$22:$CB$62,CF42,1)</f>
        <v>#VALUE!</v>
      </c>
      <c r="CP42" s="63" t="e">
        <f t="shared" si="31"/>
        <v>#VALUE!</v>
      </c>
      <c r="CQ42" s="63" t="e">
        <f t="shared" si="32"/>
        <v>#VALUE!</v>
      </c>
      <c r="CR42" s="63" t="e">
        <f t="shared" si="8"/>
        <v>#VALUE!</v>
      </c>
      <c r="CV42" s="63">
        <f t="shared" si="9"/>
        <v>8</v>
      </c>
      <c r="CW42" s="63">
        <v>21</v>
      </c>
      <c r="CX42" s="63" t="str">
        <f>DIST_PHASE_1_v2!CF31</f>
        <v>-</v>
      </c>
      <c r="CY42" s="63" t="str">
        <f>DIST_PHASE_1_v2!CG31</f>
        <v>N19_N20</v>
      </c>
      <c r="CZ42" s="63">
        <f>DIST_PHASE_1_v2!CI31</f>
        <v>0.16656000000000001</v>
      </c>
      <c r="DA42" s="63">
        <f>DIST_PHASE_1_v2!CN31</f>
        <v>466</v>
      </c>
      <c r="DB42" s="63">
        <f>DIST_PHASE_1_v2!CO31</f>
        <v>150</v>
      </c>
      <c r="DC42" s="63">
        <f>DIST_PHASE_1_v2!CP31</f>
        <v>60</v>
      </c>
      <c r="DD42" s="63">
        <f t="shared" si="33"/>
        <v>2.4652049149610664</v>
      </c>
      <c r="DE42" s="63" t="e" cm="1">
        <f t="array" ref="DE42">INDEX($CB$22:$CB$62,CV42,1)</f>
        <v>#VALUE!</v>
      </c>
      <c r="DF42" s="63" t="e">
        <f t="shared" si="35"/>
        <v>#VALUE!</v>
      </c>
      <c r="DG42" s="63" t="e">
        <f t="shared" si="36"/>
        <v>#VALUE!</v>
      </c>
      <c r="DH42" s="63" t="e">
        <f t="shared" si="37"/>
        <v>#VALUE!</v>
      </c>
    </row>
    <row r="43" spans="2:112" x14ac:dyDescent="0.25">
      <c r="B43">
        <v>22</v>
      </c>
      <c r="C43" s="69" t="s">
        <v>539</v>
      </c>
      <c r="D43" s="63" t="str">
        <f>DIST_PHASE_1_v2!E32</f>
        <v>N103_N104</v>
      </c>
      <c r="E43" s="63">
        <f>DIST_PHASE_1_v2!G32</f>
        <v>2.1999999999999999E-2</v>
      </c>
      <c r="F43" s="63">
        <f>DIST_PHASE_1_v2!L32</f>
        <v>200</v>
      </c>
      <c r="G43" s="63">
        <f>DIST_PHASE_1_v2!M32</f>
        <v>150</v>
      </c>
      <c r="H43" s="63">
        <f>DIST_PHASE_1_v2!N32</f>
        <v>22</v>
      </c>
      <c r="I43" s="63">
        <f t="shared" si="10"/>
        <v>55.656404494062755</v>
      </c>
      <c r="J43" s="63">
        <f t="shared" si="11"/>
        <v>2.1999999999999999E-2</v>
      </c>
      <c r="K43" s="63">
        <f t="shared" si="12"/>
        <v>4.7389480906776568E-2</v>
      </c>
      <c r="L43" s="63">
        <f t="shared" si="38"/>
        <v>3.989332665425009</v>
      </c>
      <c r="M43" s="63">
        <f t="shared" si="13"/>
        <v>2.8596935076183553E-2</v>
      </c>
      <c r="P43" s="63">
        <f t="shared" si="14"/>
        <v>0</v>
      </c>
      <c r="Q43" s="63">
        <v>22</v>
      </c>
      <c r="R43" s="63" t="str">
        <f>DIST_PHASE_1_v2!Q32</f>
        <v>-</v>
      </c>
      <c r="S43" s="63" t="str">
        <f>DIST_PHASE_1_v2!R32</f>
        <v>N143_N144</v>
      </c>
      <c r="T43" s="63">
        <f>DIST_PHASE_1_v2!T32</f>
        <v>5.8057999999999998E-2</v>
      </c>
      <c r="U43" s="63">
        <f>DIST_PHASE_1_v2!Y32</f>
        <v>300</v>
      </c>
      <c r="V43" s="63">
        <v>150</v>
      </c>
      <c r="W43" s="63">
        <f>DIST_PHASE_1_v2!AA32</f>
        <v>87</v>
      </c>
      <c r="X43" s="63">
        <f t="shared" si="15"/>
        <v>30.540152097484796</v>
      </c>
      <c r="Y43" s="63" t="str">
        <f t="shared" si="16"/>
        <v/>
      </c>
      <c r="Z43" s="63" cm="1">
        <f t="array" ref="Z43">IF(P43&gt;0,
IF(INDEX($C$22:$C$91,P43,1)="positif",1,-1),0)</f>
        <v>0</v>
      </c>
      <c r="AA43" s="63">
        <f t="shared" si="17"/>
        <v>0</v>
      </c>
      <c r="AB43" s="63" t="e">
        <f t="shared" si="0"/>
        <v>#VALUE!</v>
      </c>
      <c r="AC43" s="63" t="e">
        <f t="shared" si="1"/>
        <v>#VALUE!</v>
      </c>
      <c r="AD43" s="63" t="e">
        <f t="shared" si="44"/>
        <v>#VALUE!</v>
      </c>
      <c r="AF43" s="63" t="e">
        <f t="shared" si="18"/>
        <v>#VALUE!</v>
      </c>
      <c r="AJ43" s="63">
        <f t="shared" si="19"/>
        <v>0</v>
      </c>
      <c r="AK43" s="63">
        <v>22</v>
      </c>
      <c r="AL43" s="63" t="str">
        <f>TRONCONS_V2!AI30</f>
        <v>negatif</v>
      </c>
      <c r="AM43" s="63" t="str">
        <f>TRONCONS_V2!AE30</f>
        <v>N119_N120</v>
      </c>
      <c r="AN43" s="63">
        <f>DIST_PHASE_1_v2!AG32</f>
        <v>3.2837000000000005E-2</v>
      </c>
      <c r="AO43" s="63">
        <f>DIST_PHASE_1_v2!AL32</f>
        <v>250</v>
      </c>
      <c r="AP43" s="63">
        <v>150</v>
      </c>
      <c r="AQ43" s="63">
        <f>TRONCONS_V2!AG30</f>
        <v>119</v>
      </c>
      <c r="AR43" s="63">
        <f t="shared" si="20"/>
        <v>101.52915084079882</v>
      </c>
      <c r="AS43" s="63">
        <f t="shared" si="21"/>
        <v>-3.2837000000000005E-2</v>
      </c>
      <c r="AT43" s="63">
        <f t="shared" si="42"/>
        <v>-0.18150805617458979</v>
      </c>
      <c r="AU43" s="63">
        <f t="shared" si="22"/>
        <v>10.237016780928229</v>
      </c>
      <c r="AV43" s="63" t="e">
        <f t="shared" si="2"/>
        <v>#VALUE!</v>
      </c>
      <c r="AZ43" s="63">
        <f t="shared" si="3"/>
        <v>0</v>
      </c>
      <c r="BA43" s="63">
        <v>22</v>
      </c>
      <c r="BB43" s="63" t="str">
        <f>DIST_PHASE_1_v2!AQ32</f>
        <v>+</v>
      </c>
      <c r="BC43" s="63" t="str">
        <f>DIST_PHASE_1_v2!AR32</f>
        <v>N71_N192</v>
      </c>
      <c r="BD43" s="63">
        <f>DIST_PHASE_1_v2!AT32</f>
        <v>0.19939599999999999</v>
      </c>
      <c r="BE43" s="63">
        <f>DIST_PHASE_1_v2!AY32</f>
        <v>565</v>
      </c>
      <c r="BF43" s="63">
        <f>DIST_PHASE_1_v2!AZ32</f>
        <v>150</v>
      </c>
      <c r="BG43" s="63">
        <f>DIST_PHASE_1_v2!BA32</f>
        <v>211</v>
      </c>
      <c r="BH43" s="63">
        <f t="shared" si="23"/>
        <v>3.3920640231701644</v>
      </c>
      <c r="BI43" s="63" t="str">
        <f t="shared" si="40"/>
        <v/>
      </c>
      <c r="BJ43" s="63">
        <f t="shared" si="41"/>
        <v>0.17121384917137866</v>
      </c>
      <c r="BK43" s="63" t="e">
        <f t="shared" si="24"/>
        <v>#VALUE!</v>
      </c>
      <c r="BL43" s="63" t="e">
        <f t="shared" si="4"/>
        <v>#VALUE!</v>
      </c>
      <c r="BP43" s="63">
        <f t="shared" si="5"/>
        <v>0</v>
      </c>
      <c r="BQ43" s="63">
        <v>22</v>
      </c>
      <c r="BR43" s="63" t="str">
        <f>DIST_PHASE_1_v2!BF32</f>
        <v>+</v>
      </c>
      <c r="BS43" s="63" t="str">
        <f>DIST_PHASE_1_v2!BG32</f>
        <v>N50_N51</v>
      </c>
      <c r="BT43" s="63">
        <f>DIST_PHASE_1_v2!BI32</f>
        <v>0.16656000000000001</v>
      </c>
      <c r="BU43" s="63">
        <f>DIST_PHASE_1_v2!BN32</f>
        <v>466</v>
      </c>
      <c r="BV43" s="63">
        <f>DIST_PHASE_1_v2!BO32</f>
        <v>150</v>
      </c>
      <c r="BW43" s="63">
        <f>DIST_PHASE_1_v2!BP32</f>
        <v>186</v>
      </c>
      <c r="BX43" s="63">
        <f t="shared" si="25"/>
        <v>7.642135236379306</v>
      </c>
      <c r="BY43" s="63" t="str">
        <f t="shared" si="26"/>
        <v/>
      </c>
      <c r="BZ43" s="63">
        <f t="shared" si="27"/>
        <v>0.27641631802075711</v>
      </c>
      <c r="CA43" s="63" t="e">
        <f t="shared" si="28"/>
        <v>#VALUE!</v>
      </c>
      <c r="CB43" s="63" t="e">
        <f t="shared" si="6"/>
        <v>#VALUE!</v>
      </c>
      <c r="CF43" s="63">
        <f t="shared" si="7"/>
        <v>4</v>
      </c>
      <c r="CG43" s="63">
        <v>22</v>
      </c>
      <c r="CH43" s="63" t="str">
        <f>DIST_PHASE_1_v2!BS32</f>
        <v>+</v>
      </c>
      <c r="CI43" s="63" t="str">
        <f>DIST_PHASE_1_v2!BT32</f>
        <v>N32_N33</v>
      </c>
      <c r="CJ43" s="63">
        <f>DIST_PHASE_1_v2!BV32</f>
        <v>8.3280000000000007E-2</v>
      </c>
      <c r="CK43" s="63">
        <f>DIST_PHASE_1_v2!CA32</f>
        <v>350</v>
      </c>
      <c r="CL43" s="63">
        <v>150</v>
      </c>
      <c r="CM43" s="63">
        <f>DIST_PHASE_1_v2!CC32</f>
        <v>157</v>
      </c>
      <c r="CN43" s="63">
        <f t="shared" si="29"/>
        <v>26.01080439363939</v>
      </c>
      <c r="CO43" s="63" t="e" cm="1">
        <f t="array" ref="CO43">INDEX($CB$22:$CB$62,CF43,1)</f>
        <v>#VALUE!</v>
      </c>
      <c r="CP43" s="63" t="e">
        <f t="shared" si="31"/>
        <v>#VALUE!</v>
      </c>
      <c r="CQ43" s="63" t="e">
        <f t="shared" si="32"/>
        <v>#VALUE!</v>
      </c>
      <c r="CR43" s="63" t="e">
        <f t="shared" si="8"/>
        <v>#VALUE!</v>
      </c>
      <c r="CV43" s="63">
        <f t="shared" si="9"/>
        <v>9</v>
      </c>
      <c r="CW43" s="63">
        <v>22</v>
      </c>
      <c r="CX43" s="63" t="str">
        <f>DIST_PHASE_1_v2!CF32</f>
        <v>-</v>
      </c>
      <c r="CY43" s="63" t="str">
        <f>DIST_PHASE_1_v2!CG32</f>
        <v>N20_N21</v>
      </c>
      <c r="CZ43" s="63">
        <f>DIST_PHASE_1_v2!CI32</f>
        <v>0.16656000000000001</v>
      </c>
      <c r="DA43" s="63">
        <f>DIST_PHASE_1_v2!CN32</f>
        <v>466</v>
      </c>
      <c r="DB43" s="63">
        <f>DIST_PHASE_1_v2!CO32</f>
        <v>150</v>
      </c>
      <c r="DC43" s="63">
        <f>DIST_PHASE_1_v2!CP32</f>
        <v>67</v>
      </c>
      <c r="DD43" s="63">
        <f t="shared" si="33"/>
        <v>2.7528121550398579</v>
      </c>
      <c r="DE43" s="63" t="e" cm="1">
        <f t="array" ref="DE43">INDEX($CB$22:$CB$62,CV43,1)</f>
        <v>#VALUE!</v>
      </c>
      <c r="DF43" s="63" t="e">
        <f t="shared" si="35"/>
        <v>#VALUE!</v>
      </c>
      <c r="DG43" s="63" t="e">
        <f t="shared" si="36"/>
        <v>#VALUE!</v>
      </c>
      <c r="DH43" s="63" t="e">
        <f t="shared" si="37"/>
        <v>#VALUE!</v>
      </c>
    </row>
    <row r="44" spans="2:112" x14ac:dyDescent="0.25">
      <c r="B44">
        <v>23</v>
      </c>
      <c r="C44" s="69" t="s">
        <v>539</v>
      </c>
      <c r="D44" s="63" t="str">
        <f>DIST_PHASE_1_v2!E33</f>
        <v>N104_N105</v>
      </c>
      <c r="E44" s="63">
        <f>DIST_PHASE_1_v2!G33</f>
        <v>5.3999999999999999E-2</v>
      </c>
      <c r="F44" s="63">
        <f>DIST_PHASE_1_v2!L33</f>
        <v>300</v>
      </c>
      <c r="G44" s="63">
        <f>DIST_PHASE_1_v2!M33</f>
        <v>150</v>
      </c>
      <c r="H44" s="63">
        <f>DIST_PHASE_1_v2!N33</f>
        <v>54</v>
      </c>
      <c r="I44" s="63">
        <f t="shared" si="10"/>
        <v>18.955956474300912</v>
      </c>
      <c r="J44" s="63">
        <f t="shared" si="11"/>
        <v>5.3999999999999999E-2</v>
      </c>
      <c r="K44" s="63">
        <f t="shared" si="12"/>
        <v>8.5141039063695509E-2</v>
      </c>
      <c r="L44" s="63">
        <f t="shared" si="38"/>
        <v>2.9200223027030376</v>
      </c>
      <c r="M44" s="63">
        <f t="shared" si="13"/>
        <v>6.059693507618355E-2</v>
      </c>
      <c r="P44" s="63">
        <f t="shared" si="14"/>
        <v>0</v>
      </c>
      <c r="Q44" s="63">
        <v>23</v>
      </c>
      <c r="R44" s="63" t="str">
        <f>DIST_PHASE_1_v2!Q33</f>
        <v>-</v>
      </c>
      <c r="S44" s="63" t="str">
        <f>DIST_PHASE_1_v2!R33</f>
        <v>N144_N145</v>
      </c>
      <c r="T44" s="63">
        <f>DIST_PHASE_1_v2!T33</f>
        <v>5.8057999999999998E-2</v>
      </c>
      <c r="U44" s="63">
        <f>DIST_PHASE_1_v2!Y33</f>
        <v>300</v>
      </c>
      <c r="V44" s="63">
        <v>150</v>
      </c>
      <c r="W44" s="63">
        <f>DIST_PHASE_1_v2!AA33</f>
        <v>115</v>
      </c>
      <c r="X44" s="63">
        <f t="shared" si="15"/>
        <v>40.369166565640825</v>
      </c>
      <c r="Y44" s="63" t="str">
        <f t="shared" si="16"/>
        <v/>
      </c>
      <c r="Z44" s="63" cm="1">
        <f t="array" ref="Z44">IF(P44&gt;0,
IF(INDEX($C$22:$C$91,P44,1)="positif",1,-1),0)</f>
        <v>0</v>
      </c>
      <c r="AA44" s="63">
        <f t="shared" si="17"/>
        <v>0</v>
      </c>
      <c r="AB44" s="63" t="e">
        <f t="shared" si="0"/>
        <v>#VALUE!</v>
      </c>
      <c r="AC44" s="63" t="e">
        <f t="shared" si="1"/>
        <v>#VALUE!</v>
      </c>
      <c r="AD44" s="63" t="e">
        <f t="shared" si="44"/>
        <v>#VALUE!</v>
      </c>
      <c r="AF44" s="63" t="e">
        <f t="shared" si="18"/>
        <v>#VALUE!</v>
      </c>
      <c r="AJ44" s="63">
        <f t="shared" si="19"/>
        <v>0</v>
      </c>
      <c r="AK44" s="63">
        <v>23</v>
      </c>
      <c r="AL44" s="63" t="str">
        <f>TRONCONS_V2!AI31</f>
        <v>negatif</v>
      </c>
      <c r="AM44" s="63" t="str">
        <f>TRONCONS_V2!AE31</f>
        <v>N120_N121</v>
      </c>
      <c r="AN44" s="63">
        <f>DIST_PHASE_1_v2!AG33</f>
        <v>3.2835999999999997E-2</v>
      </c>
      <c r="AO44" s="63">
        <f>DIST_PHASE_1_v2!AL33</f>
        <v>250</v>
      </c>
      <c r="AP44" s="63">
        <v>150</v>
      </c>
      <c r="AQ44" s="63">
        <f>TRONCONS_V2!AG31</f>
        <v>120</v>
      </c>
      <c r="AR44" s="63">
        <f t="shared" si="20"/>
        <v>102.38233698231814</v>
      </c>
      <c r="AS44" s="63">
        <f t="shared" si="21"/>
        <v>-3.2835999999999997E-2</v>
      </c>
      <c r="AT44" s="63">
        <f t="shared" si="42"/>
        <v>-0.1830230110493602</v>
      </c>
      <c r="AU44" s="63">
        <f t="shared" si="22"/>
        <v>10.322774286253356</v>
      </c>
      <c r="AV44" s="63" t="e">
        <f t="shared" si="2"/>
        <v>#VALUE!</v>
      </c>
      <c r="AZ44" s="63">
        <f t="shared" si="3"/>
        <v>3</v>
      </c>
      <c r="BA44" s="63">
        <v>23</v>
      </c>
      <c r="BB44" s="63" t="str">
        <f>DIST_PHASE_1_v2!AQ33</f>
        <v>-</v>
      </c>
      <c r="BC44" s="63" t="str">
        <f>DIST_PHASE_1_v2!AR33</f>
        <v>N72_N73</v>
      </c>
      <c r="BD44" s="63">
        <f>DIST_PHASE_1_v2!AT33</f>
        <v>3.2837000000000005E-2</v>
      </c>
      <c r="BE44" s="63">
        <f>DIST_PHASE_1_v2!AY33</f>
        <v>250</v>
      </c>
      <c r="BF44" s="63">
        <f>DIST_PHASE_1_v2!AZ33</f>
        <v>150</v>
      </c>
      <c r="BG44" s="63">
        <f>DIST_PHASE_1_v2!BA33</f>
        <v>80</v>
      </c>
      <c r="BH44" s="63">
        <f t="shared" si="23"/>
        <v>68.254891321545429</v>
      </c>
      <c r="BI44" s="63" t="e" cm="1">
        <f t="array" ref="BI44">INDEX($AV$22:$AV$58,AZ44,1)</f>
        <v>#VALUE!</v>
      </c>
      <c r="BJ44" s="63" t="e">
        <f t="shared" si="41"/>
        <v>#VALUE!</v>
      </c>
      <c r="BK44" s="63" t="e">
        <f t="shared" si="24"/>
        <v>#VALUE!</v>
      </c>
      <c r="BL44" s="63" t="e">
        <f t="shared" si="4"/>
        <v>#VALUE!</v>
      </c>
      <c r="BP44" s="63">
        <f t="shared" si="5"/>
        <v>0</v>
      </c>
      <c r="BQ44" s="63">
        <v>23</v>
      </c>
      <c r="BR44" s="63" t="str">
        <f>DIST_PHASE_1_v2!BF33</f>
        <v>+</v>
      </c>
      <c r="BS44" s="63" t="str">
        <f>DIST_PHASE_1_v2!BG33</f>
        <v>N51_N69</v>
      </c>
      <c r="BT44" s="63">
        <f>DIST_PHASE_1_v2!BI33</f>
        <v>0.16656000000000001</v>
      </c>
      <c r="BU44" s="63">
        <f>DIST_PHASE_1_v2!BN33</f>
        <v>466</v>
      </c>
      <c r="BV44" s="63">
        <f>DIST_PHASE_1_v2!BO33</f>
        <v>150</v>
      </c>
      <c r="BW44" s="63">
        <f>DIST_PHASE_1_v2!BP33</f>
        <v>191</v>
      </c>
      <c r="BX44" s="63">
        <f t="shared" si="25"/>
        <v>7.8475689792927286</v>
      </c>
      <c r="BY44" s="63" t="str">
        <f t="shared" si="26"/>
        <v/>
      </c>
      <c r="BZ44" s="63">
        <f t="shared" si="27"/>
        <v>0.28384686420411082</v>
      </c>
      <c r="CA44" s="63" t="e">
        <f t="shared" si="28"/>
        <v>#VALUE!</v>
      </c>
      <c r="CB44" s="63" t="e">
        <f t="shared" si="6"/>
        <v>#VALUE!</v>
      </c>
      <c r="CF44" s="63">
        <f t="shared" si="7"/>
        <v>5</v>
      </c>
      <c r="CG44" s="63">
        <v>23</v>
      </c>
      <c r="CH44" s="63" t="str">
        <f>DIST_PHASE_1_v2!BS33</f>
        <v>+</v>
      </c>
      <c r="CI44" s="63" t="str">
        <f>DIST_PHASE_1_v2!BT33</f>
        <v>N33_N34</v>
      </c>
      <c r="CJ44" s="63">
        <f>DIST_PHASE_1_v2!BV33</f>
        <v>8.3280000000000007E-2</v>
      </c>
      <c r="CK44" s="63">
        <f>DIST_PHASE_1_v2!CA33</f>
        <v>350</v>
      </c>
      <c r="CL44" s="63">
        <v>150</v>
      </c>
      <c r="CM44" s="63">
        <f>DIST_PHASE_1_v2!CC33</f>
        <v>82</v>
      </c>
      <c r="CN44" s="63">
        <f t="shared" si="29"/>
        <v>13.585260893493183</v>
      </c>
      <c r="CO44" s="63" t="e" cm="1">
        <f t="array" ref="CO44">INDEX($CB$22:$CB$62,CF44,1)</f>
        <v>#VALUE!</v>
      </c>
      <c r="CP44" s="63" t="e">
        <f t="shared" si="31"/>
        <v>#VALUE!</v>
      </c>
      <c r="CQ44" s="63" t="e">
        <f t="shared" si="32"/>
        <v>#VALUE!</v>
      </c>
      <c r="CR44" s="63" t="e">
        <f t="shared" si="8"/>
        <v>#VALUE!</v>
      </c>
      <c r="CV44" s="63">
        <f t="shared" si="9"/>
        <v>10</v>
      </c>
      <c r="CW44" s="63">
        <v>23</v>
      </c>
      <c r="CX44" s="63" t="str">
        <f>DIST_PHASE_1_v2!CF33</f>
        <v>-</v>
      </c>
      <c r="CY44" s="63" t="str">
        <f>DIST_PHASE_1_v2!CG33</f>
        <v>N21_N22</v>
      </c>
      <c r="CZ44" s="63">
        <f>DIST_PHASE_1_v2!CI33</f>
        <v>0.16656000000000001</v>
      </c>
      <c r="DA44" s="63">
        <f>DIST_PHASE_1_v2!CN33</f>
        <v>466</v>
      </c>
      <c r="DB44" s="63">
        <f>DIST_PHASE_1_v2!CO33</f>
        <v>150</v>
      </c>
      <c r="DC44" s="63">
        <f>DIST_PHASE_1_v2!CP33</f>
        <v>194</v>
      </c>
      <c r="DD44" s="63">
        <f t="shared" si="33"/>
        <v>7.9708292250407817</v>
      </c>
      <c r="DE44" s="63" t="e" cm="1">
        <f t="array" ref="DE44">INDEX($CB$22:$CB$62,CV44,1)</f>
        <v>#VALUE!</v>
      </c>
      <c r="DF44" s="63" t="e">
        <f t="shared" si="35"/>
        <v>#VALUE!</v>
      </c>
      <c r="DG44" s="63" t="e">
        <f t="shared" si="36"/>
        <v>#VALUE!</v>
      </c>
      <c r="DH44" s="63" t="e">
        <f t="shared" si="37"/>
        <v>#VALUE!</v>
      </c>
    </row>
    <row r="45" spans="2:112" x14ac:dyDescent="0.25">
      <c r="B45">
        <v>24</v>
      </c>
      <c r="C45" s="69" t="s">
        <v>539</v>
      </c>
      <c r="D45" s="63" t="str">
        <f>DIST_PHASE_1_v2!E34</f>
        <v>N105_R1</v>
      </c>
      <c r="E45" s="63">
        <f>DIST_PHASE_1_v2!G34</f>
        <v>0.03</v>
      </c>
      <c r="F45" s="63">
        <f>DIST_PHASE_1_v2!L34</f>
        <v>200</v>
      </c>
      <c r="G45" s="63">
        <f>DIST_PHASE_1_v2!M34</f>
        <v>150</v>
      </c>
      <c r="H45" s="63">
        <f>DIST_PHASE_1_v2!N34</f>
        <v>30</v>
      </c>
      <c r="I45" s="63">
        <f t="shared" si="10"/>
        <v>75.895097037358298</v>
      </c>
      <c r="J45" s="63">
        <f t="shared" si="11"/>
        <v>0.03</v>
      </c>
      <c r="K45" s="63">
        <f t="shared" si="12"/>
        <v>0.11477367408807007</v>
      </c>
      <c r="L45" s="63">
        <f t="shared" si="38"/>
        <v>7.0853614803701932</v>
      </c>
      <c r="M45" s="63">
        <f t="shared" si="13"/>
        <v>3.6596935076183557E-2</v>
      </c>
      <c r="P45" s="63">
        <f t="shared" si="14"/>
        <v>0</v>
      </c>
      <c r="Q45" s="63">
        <v>24</v>
      </c>
      <c r="R45" s="63" t="str">
        <f>DIST_PHASE_1_v2!Q34</f>
        <v>-</v>
      </c>
      <c r="S45" s="63" t="str">
        <f>DIST_PHASE_1_v2!R34</f>
        <v>N145_N146</v>
      </c>
      <c r="T45" s="63">
        <f>DIST_PHASE_1_v2!T34</f>
        <v>5.8057999999999998E-2</v>
      </c>
      <c r="U45" s="63">
        <f>DIST_PHASE_1_v2!Y34</f>
        <v>300</v>
      </c>
      <c r="V45" s="63">
        <v>150</v>
      </c>
      <c r="W45" s="63">
        <f>DIST_PHASE_1_v2!AA34</f>
        <v>168</v>
      </c>
      <c r="X45" s="63">
        <f t="shared" si="15"/>
        <v>58.974086808936164</v>
      </c>
      <c r="Y45" s="63" t="str">
        <f t="shared" si="16"/>
        <v/>
      </c>
      <c r="Z45" s="63" cm="1">
        <f t="array" ref="Z45">IF(P45&gt;0,
IF(INDEX($C$22:$C$91,P45,1)="positif",1,-1),0)</f>
        <v>0</v>
      </c>
      <c r="AA45" s="63">
        <f t="shared" si="17"/>
        <v>0</v>
      </c>
      <c r="AB45" s="63" t="e">
        <f t="shared" si="0"/>
        <v>#VALUE!</v>
      </c>
      <c r="AC45" s="63" t="e">
        <f t="shared" si="1"/>
        <v>#VALUE!</v>
      </c>
      <c r="AD45" s="63" t="e">
        <f t="shared" si="44"/>
        <v>#VALUE!</v>
      </c>
      <c r="AF45" s="63" t="e">
        <f t="shared" si="18"/>
        <v>#VALUE!</v>
      </c>
      <c r="AJ45" s="63">
        <f t="shared" si="19"/>
        <v>0</v>
      </c>
      <c r="AK45" s="63">
        <v>24</v>
      </c>
      <c r="AL45" s="63" t="str">
        <f>TRONCONS_V2!AI32</f>
        <v>negatif</v>
      </c>
      <c r="AM45" s="63" t="str">
        <f>TRONCONS_V2!AE32</f>
        <v>N121_N122</v>
      </c>
      <c r="AN45" s="63">
        <f>DIST_PHASE_1_v2!AG34</f>
        <v>0.116116</v>
      </c>
      <c r="AO45" s="63">
        <f>DIST_PHASE_1_v2!AL34</f>
        <v>400</v>
      </c>
      <c r="AP45" s="63">
        <v>150</v>
      </c>
      <c r="AQ45" s="63">
        <f>TRONCONS_V2!AG32</f>
        <v>121</v>
      </c>
      <c r="AR45" s="63">
        <f t="shared" si="20"/>
        <v>10.460699519593918</v>
      </c>
      <c r="AS45" s="63">
        <f t="shared" si="21"/>
        <v>-0.116116</v>
      </c>
      <c r="AT45" s="63">
        <f t="shared" si="42"/>
        <v>-0.19397279997750211</v>
      </c>
      <c r="AU45" s="63">
        <f t="shared" si="22"/>
        <v>3.0937823000993316</v>
      </c>
      <c r="AV45" s="63" t="e">
        <f t="shared" si="2"/>
        <v>#VALUE!</v>
      </c>
      <c r="AZ45" s="63">
        <f t="shared" si="3"/>
        <v>4</v>
      </c>
      <c r="BA45" s="63">
        <v>24</v>
      </c>
      <c r="BB45" s="63" t="str">
        <f>DIST_PHASE_1_v2!AQ34</f>
        <v>-</v>
      </c>
      <c r="BC45" s="63" t="str">
        <f>DIST_PHASE_1_v2!AR34</f>
        <v>N73_N74</v>
      </c>
      <c r="BD45" s="63">
        <f>DIST_PHASE_1_v2!AT34</f>
        <v>3.2837000000000005E-2</v>
      </c>
      <c r="BE45" s="63">
        <f>DIST_PHASE_1_v2!AY34</f>
        <v>250</v>
      </c>
      <c r="BF45" s="63">
        <f>DIST_PHASE_1_v2!AZ34</f>
        <v>150</v>
      </c>
      <c r="BG45" s="63">
        <f>DIST_PHASE_1_v2!BA34</f>
        <v>87</v>
      </c>
      <c r="BH45" s="63">
        <f t="shared" si="23"/>
        <v>74.227194312180643</v>
      </c>
      <c r="BI45" s="63" t="e" cm="1">
        <f t="array" ref="BI45">INDEX($AV$22:$AV$58,AZ45,1)</f>
        <v>#VALUE!</v>
      </c>
      <c r="BJ45" s="63" t="e">
        <f t="shared" si="41"/>
        <v>#VALUE!</v>
      </c>
      <c r="BK45" s="63" t="e">
        <f t="shared" si="24"/>
        <v>#VALUE!</v>
      </c>
      <c r="BL45" s="63" t="e">
        <f t="shared" si="4"/>
        <v>#VALUE!</v>
      </c>
      <c r="BP45" s="63">
        <f t="shared" si="5"/>
        <v>3</v>
      </c>
      <c r="BQ45" s="63">
        <v>24</v>
      </c>
      <c r="BR45" s="63" t="str">
        <f>DIST_PHASE_1_v2!BF34</f>
        <v>+</v>
      </c>
      <c r="BS45" s="63" t="str">
        <f>DIST_PHASE_1_v2!BG34</f>
        <v>N52_N53</v>
      </c>
      <c r="BT45" s="63">
        <f>DIST_PHASE_1_v2!BI34</f>
        <v>3.2837000000000005E-2</v>
      </c>
      <c r="BU45" s="63">
        <f>DIST_PHASE_1_v2!BN34</f>
        <v>250</v>
      </c>
      <c r="BV45" s="63">
        <f>DIST_PHASE_1_v2!BO34</f>
        <v>150</v>
      </c>
      <c r="BW45" s="63">
        <f>DIST_PHASE_1_v2!BP34</f>
        <v>94</v>
      </c>
      <c r="BX45" s="63">
        <f t="shared" si="25"/>
        <v>80.199497302815871</v>
      </c>
      <c r="BY45" s="63" t="e" cm="1">
        <f t="array" ref="BY45">INDEX($BL$22:$BL$58,BP45,1)</f>
        <v>#VALUE!</v>
      </c>
      <c r="BZ45" s="63" t="e">
        <f t="shared" si="27"/>
        <v>#VALUE!</v>
      </c>
      <c r="CA45" s="63" t="e">
        <f t="shared" si="28"/>
        <v>#VALUE!</v>
      </c>
      <c r="CB45" s="63" t="e">
        <f t="shared" si="6"/>
        <v>#VALUE!</v>
      </c>
      <c r="CF45" s="63">
        <f t="shared" si="7"/>
        <v>6</v>
      </c>
      <c r="CG45" s="63">
        <v>24</v>
      </c>
      <c r="CH45" s="63" t="str">
        <f>DIST_PHASE_1_v2!BS34</f>
        <v>+</v>
      </c>
      <c r="CI45" s="63" t="str">
        <f>DIST_PHASE_1_v2!BT34</f>
        <v>N34_N35</v>
      </c>
      <c r="CJ45" s="63">
        <f>DIST_PHASE_1_v2!BV34</f>
        <v>8.3280000000000007E-2</v>
      </c>
      <c r="CK45" s="63">
        <f>DIST_PHASE_1_v2!CA34</f>
        <v>350</v>
      </c>
      <c r="CL45" s="63">
        <v>150</v>
      </c>
      <c r="CM45" s="63">
        <f>DIST_PHASE_1_v2!CC34</f>
        <v>69</v>
      </c>
      <c r="CN45" s="63">
        <f t="shared" si="29"/>
        <v>11.431500020134509</v>
      </c>
      <c r="CO45" s="63" t="e" cm="1">
        <f t="array" ref="CO45">INDEX($CB$22:$CB$62,CF45,1)</f>
        <v>#VALUE!</v>
      </c>
      <c r="CP45" s="63" t="e">
        <f t="shared" si="31"/>
        <v>#VALUE!</v>
      </c>
      <c r="CQ45" s="63" t="e">
        <f t="shared" si="32"/>
        <v>#VALUE!</v>
      </c>
      <c r="CR45" s="63" t="e">
        <f t="shared" si="8"/>
        <v>#VALUE!</v>
      </c>
      <c r="CV45" s="63">
        <f t="shared" si="9"/>
        <v>11</v>
      </c>
      <c r="CW45" s="63">
        <v>24</v>
      </c>
      <c r="CX45" s="63" t="str">
        <f>DIST_PHASE_1_v2!CF34</f>
        <v>-</v>
      </c>
      <c r="CY45" s="63" t="str">
        <f>DIST_PHASE_1_v2!CG34</f>
        <v>N22_N23</v>
      </c>
      <c r="CZ45" s="63">
        <f>DIST_PHASE_1_v2!CI34</f>
        <v>0.16656000000000001</v>
      </c>
      <c r="DA45" s="63">
        <f>DIST_PHASE_1_v2!CN34</f>
        <v>466</v>
      </c>
      <c r="DB45" s="63">
        <f>DIST_PHASE_1_v2!CO34</f>
        <v>150</v>
      </c>
      <c r="DC45" s="63">
        <f>DIST_PHASE_1_v2!CP34</f>
        <v>74</v>
      </c>
      <c r="DD45" s="63">
        <f t="shared" si="33"/>
        <v>3.0404193951186484</v>
      </c>
      <c r="DE45" s="63" t="e" cm="1">
        <f t="array" ref="DE45">INDEX($CB$22:$CB$62,CV45,1)</f>
        <v>#VALUE!</v>
      </c>
      <c r="DF45" s="63" t="e">
        <f t="shared" si="35"/>
        <v>#VALUE!</v>
      </c>
      <c r="DG45" s="63" t="e">
        <f t="shared" si="36"/>
        <v>#VALUE!</v>
      </c>
      <c r="DH45" s="63" t="e">
        <f t="shared" si="37"/>
        <v>#VALUE!</v>
      </c>
    </row>
    <row r="46" spans="2:112" x14ac:dyDescent="0.25">
      <c r="B46">
        <v>25</v>
      </c>
      <c r="C46" s="69" t="s">
        <v>539</v>
      </c>
      <c r="D46" s="63" t="str">
        <f>DIST_PHASE_1_v2!E35</f>
        <v>N148_N149</v>
      </c>
      <c r="E46" s="63">
        <f>DIST_PHASE_1_v2!G35</f>
        <v>9.0999999999999998E-2</v>
      </c>
      <c r="F46" s="63">
        <f>DIST_PHASE_1_v2!L35</f>
        <v>350</v>
      </c>
      <c r="G46" s="63">
        <f>DIST_PHASE_1_v2!M35</f>
        <v>150</v>
      </c>
      <c r="H46" s="63">
        <f>DIST_PHASE_1_v2!N35</f>
        <v>91</v>
      </c>
      <c r="I46" s="63">
        <f t="shared" si="10"/>
        <v>15.076326113510728</v>
      </c>
      <c r="J46" s="63">
        <f t="shared" si="11"/>
        <v>9.0999999999999998E-2</v>
      </c>
      <c r="K46" s="63">
        <f t="shared" si="12"/>
        <v>0.17800827088336596</v>
      </c>
      <c r="L46" s="63">
        <f t="shared" si="38"/>
        <v>3.6227617327032307</v>
      </c>
      <c r="M46" s="63">
        <f t="shared" si="13"/>
        <v>9.7596935076183555E-2</v>
      </c>
      <c r="P46" s="63">
        <f t="shared" si="14"/>
        <v>0</v>
      </c>
      <c r="Q46" s="63">
        <v>25</v>
      </c>
      <c r="R46" s="63" t="str">
        <f>DIST_PHASE_1_v2!Q35</f>
        <v>-</v>
      </c>
      <c r="S46" s="63" t="str">
        <f>DIST_PHASE_1_v2!R35</f>
        <v>N146_N147</v>
      </c>
      <c r="T46" s="63">
        <f>DIST_PHASE_1_v2!T35</f>
        <v>5.8057999999999998E-2</v>
      </c>
      <c r="U46" s="63">
        <f>DIST_PHASE_1_v2!Y35</f>
        <v>300</v>
      </c>
      <c r="V46" s="63">
        <v>150</v>
      </c>
      <c r="W46" s="63">
        <f>DIST_PHASE_1_v2!AA35</f>
        <v>214</v>
      </c>
      <c r="X46" s="63">
        <f t="shared" si="15"/>
        <v>75.121753435192488</v>
      </c>
      <c r="Y46" s="63" t="str">
        <f t="shared" si="16"/>
        <v/>
      </c>
      <c r="Z46" s="63" cm="1">
        <f t="array" ref="Z46">IF(P46&gt;0,
IF(INDEX($C$22:$C$91,P46,1)="positif",1,-1),0)</f>
        <v>0</v>
      </c>
      <c r="AA46" s="63">
        <f t="shared" si="17"/>
        <v>0</v>
      </c>
      <c r="AB46" s="63" t="e">
        <f t="shared" si="0"/>
        <v>#VALUE!</v>
      </c>
      <c r="AC46" s="63" t="e">
        <f t="shared" si="1"/>
        <v>#VALUE!</v>
      </c>
      <c r="AD46" s="63" t="e">
        <f>IF(P46&gt;0,
Y46+($D$93*Z46)+(AA46*$S$93),
Y46+$S$93)</f>
        <v>#VALUE!</v>
      </c>
      <c r="AF46" s="63" t="e">
        <f t="shared" si="18"/>
        <v>#VALUE!</v>
      </c>
      <c r="AJ46" s="63">
        <f t="shared" si="19"/>
        <v>0</v>
      </c>
      <c r="AK46" s="63">
        <v>25</v>
      </c>
      <c r="AL46" s="63" t="str">
        <f>TRONCONS_V2!AI33</f>
        <v>negatif</v>
      </c>
      <c r="AM46" s="63" t="str">
        <f>TRONCONS_V2!AE33</f>
        <v>N122_N123</v>
      </c>
      <c r="AN46" s="63">
        <f>DIST_PHASE_1_v2!AG35</f>
        <v>0.116116</v>
      </c>
      <c r="AO46" s="63">
        <f>DIST_PHASE_1_v2!AL35</f>
        <v>400</v>
      </c>
      <c r="AP46" s="63">
        <v>150</v>
      </c>
      <c r="AQ46" s="63">
        <f>TRONCONS_V2!AG33</f>
        <v>122</v>
      </c>
      <c r="AR46" s="63">
        <f t="shared" si="20"/>
        <v>10.547151581739321</v>
      </c>
      <c r="AS46" s="63">
        <f t="shared" si="21"/>
        <v>-0.116116</v>
      </c>
      <c r="AT46" s="63">
        <f t="shared" si="42"/>
        <v>-0.19557588096905171</v>
      </c>
      <c r="AU46" s="63">
        <f t="shared" si="22"/>
        <v>3.1193507488604828</v>
      </c>
      <c r="AV46" s="63" t="e">
        <f t="shared" si="2"/>
        <v>#VALUE!</v>
      </c>
      <c r="AZ46" s="63">
        <f t="shared" si="3"/>
        <v>5</v>
      </c>
      <c r="BA46" s="63">
        <v>25</v>
      </c>
      <c r="BB46" s="63" t="str">
        <f>DIST_PHASE_1_v2!AQ35</f>
        <v>-</v>
      </c>
      <c r="BC46" s="63" t="str">
        <f>DIST_PHASE_1_v2!AR35</f>
        <v>N74_N75</v>
      </c>
      <c r="BD46" s="63">
        <f>DIST_PHASE_1_v2!AT35</f>
        <v>3.2837000000000005E-2</v>
      </c>
      <c r="BE46" s="63">
        <f>DIST_PHASE_1_v2!AY35</f>
        <v>250</v>
      </c>
      <c r="BF46" s="63">
        <f>DIST_PHASE_1_v2!AZ35</f>
        <v>150</v>
      </c>
      <c r="BG46" s="63">
        <f>DIST_PHASE_1_v2!BA35</f>
        <v>89</v>
      </c>
      <c r="BH46" s="63">
        <f t="shared" si="23"/>
        <v>75.93356659521929</v>
      </c>
      <c r="BI46" s="63" t="e" cm="1">
        <f t="array" ref="BI46">INDEX($AV$22:$AV$58,AZ46,1)</f>
        <v>#VALUE!</v>
      </c>
      <c r="BJ46" s="63" t="e">
        <f t="shared" si="41"/>
        <v>#VALUE!</v>
      </c>
      <c r="BK46" s="63" t="e">
        <f t="shared" si="24"/>
        <v>#VALUE!</v>
      </c>
      <c r="BL46" s="63" t="e">
        <f t="shared" si="4"/>
        <v>#VALUE!</v>
      </c>
      <c r="BP46" s="63">
        <f t="shared" si="5"/>
        <v>4</v>
      </c>
      <c r="BQ46" s="63">
        <v>25</v>
      </c>
      <c r="BR46" s="63" t="str">
        <f>DIST_PHASE_1_v2!BF35</f>
        <v>-</v>
      </c>
      <c r="BS46" s="63" t="str">
        <f>DIST_PHASE_1_v2!BG35</f>
        <v>N53_N54</v>
      </c>
      <c r="BT46" s="63">
        <f>DIST_PHASE_1_v2!BI35</f>
        <v>3.2837000000000005E-2</v>
      </c>
      <c r="BU46" s="63">
        <f>DIST_PHASE_1_v2!BN35</f>
        <v>250</v>
      </c>
      <c r="BV46" s="63">
        <f>DIST_PHASE_1_v2!BO35</f>
        <v>150</v>
      </c>
      <c r="BW46" s="63">
        <f>DIST_PHASE_1_v2!BP35</f>
        <v>191</v>
      </c>
      <c r="BX46" s="63">
        <f t="shared" si="25"/>
        <v>162.95855303018971</v>
      </c>
      <c r="BY46" s="63" t="e" cm="1">
        <f t="array" ref="BY46">INDEX($BL$22:$BL$58,BP46,1)</f>
        <v>#VALUE!</v>
      </c>
      <c r="BZ46" s="63" t="e">
        <f t="shared" si="27"/>
        <v>#VALUE!</v>
      </c>
      <c r="CA46" s="63" t="e">
        <f t="shared" si="28"/>
        <v>#VALUE!</v>
      </c>
      <c r="CB46" s="63" t="e">
        <f t="shared" si="6"/>
        <v>#VALUE!</v>
      </c>
      <c r="CF46" s="63">
        <f t="shared" si="7"/>
        <v>7</v>
      </c>
      <c r="CG46" s="63">
        <v>25</v>
      </c>
      <c r="CH46" s="63" t="str">
        <f>DIST_PHASE_1_v2!BS35</f>
        <v>+</v>
      </c>
      <c r="CI46" s="63" t="str">
        <f>DIST_PHASE_1_v2!BT35</f>
        <v>N35_N36</v>
      </c>
      <c r="CJ46" s="63">
        <f>DIST_PHASE_1_v2!BV35</f>
        <v>8.3280000000000007E-2</v>
      </c>
      <c r="CK46" s="63">
        <f>DIST_PHASE_1_v2!CA35</f>
        <v>350</v>
      </c>
      <c r="CL46" s="63">
        <v>150</v>
      </c>
      <c r="CM46" s="63">
        <f>DIST_PHASE_1_v2!CC35</f>
        <v>73</v>
      </c>
      <c r="CN46" s="63">
        <f t="shared" si="29"/>
        <v>12.094195673475639</v>
      </c>
      <c r="CO46" s="63" t="e" cm="1">
        <f t="array" ref="CO46">INDEX($CB$22:$CB$62,CF46,1)</f>
        <v>#VALUE!</v>
      </c>
      <c r="CP46" s="63" t="e">
        <f t="shared" si="31"/>
        <v>#VALUE!</v>
      </c>
      <c r="CQ46" s="63" t="e">
        <f t="shared" si="32"/>
        <v>#VALUE!</v>
      </c>
      <c r="CR46" s="63" t="e">
        <f t="shared" si="8"/>
        <v>#VALUE!</v>
      </c>
      <c r="CV46" s="63">
        <f t="shared" si="9"/>
        <v>12</v>
      </c>
      <c r="CW46" s="63">
        <v>25</v>
      </c>
      <c r="CX46" s="63" t="str">
        <f>DIST_PHASE_1_v2!CF35</f>
        <v>-</v>
      </c>
      <c r="CY46" s="63" t="str">
        <f>DIST_PHASE_1_v2!CG35</f>
        <v>N23_N24</v>
      </c>
      <c r="CZ46" s="63">
        <f>DIST_PHASE_1_v2!CI35</f>
        <v>0.16656000000000001</v>
      </c>
      <c r="DA46" s="63">
        <f>DIST_PHASE_1_v2!CN35</f>
        <v>466</v>
      </c>
      <c r="DB46" s="63">
        <f>DIST_PHASE_1_v2!CO35</f>
        <v>150</v>
      </c>
      <c r="DC46" s="63">
        <f>DIST_PHASE_1_v2!CP35</f>
        <v>92</v>
      </c>
      <c r="DD46" s="63">
        <f t="shared" si="33"/>
        <v>3.7799808696069688</v>
      </c>
      <c r="DE46" s="63" t="e" cm="1">
        <f t="array" ref="DE46">INDEX($CB$22:$CB$62,CV46,1)</f>
        <v>#VALUE!</v>
      </c>
      <c r="DF46" s="63" t="e">
        <f t="shared" si="35"/>
        <v>#VALUE!</v>
      </c>
      <c r="DG46" s="63" t="e">
        <f t="shared" si="36"/>
        <v>#VALUE!</v>
      </c>
      <c r="DH46" s="63" t="e">
        <f t="shared" si="37"/>
        <v>#VALUE!</v>
      </c>
    </row>
    <row r="47" spans="2:112" x14ac:dyDescent="0.25">
      <c r="B47">
        <v>26</v>
      </c>
      <c r="C47" s="69" t="s">
        <v>540</v>
      </c>
      <c r="D47" s="63" t="str">
        <f>DIST_PHASE_1_v2!E36</f>
        <v>N148_N166</v>
      </c>
      <c r="E47" s="63">
        <f>DIST_PHASE_1_v2!G36</f>
        <v>0.10100000000000001</v>
      </c>
      <c r="F47" s="63">
        <f>DIST_PHASE_1_v2!L36</f>
        <v>400</v>
      </c>
      <c r="G47" s="63">
        <f>DIST_PHASE_1_v2!M36</f>
        <v>150</v>
      </c>
      <c r="H47" s="63">
        <f>DIST_PHASE_1_v2!N36</f>
        <v>101</v>
      </c>
      <c r="I47" s="63">
        <f t="shared" si="10"/>
        <v>8.7316582766858311</v>
      </c>
      <c r="J47" s="63">
        <f t="shared" si="11"/>
        <v>-0.10100000000000001</v>
      </c>
      <c r="K47" s="63">
        <f t="shared" si="12"/>
        <v>-0.12505467014160557</v>
      </c>
      <c r="L47" s="63">
        <f t="shared" si="38"/>
        <v>2.2930816742797377</v>
      </c>
      <c r="M47" s="63">
        <f t="shared" si="13"/>
        <v>-9.4403064923816449E-2</v>
      </c>
      <c r="P47" s="63">
        <f t="shared" si="14"/>
        <v>0</v>
      </c>
      <c r="Q47" s="63">
        <v>26</v>
      </c>
      <c r="R47" s="63" t="str">
        <f>DIST_PHASE_1_v2!Q36</f>
        <v>-</v>
      </c>
      <c r="S47" s="63" t="str">
        <f>DIST_PHASE_1_v2!R36</f>
        <v>N147_N148</v>
      </c>
      <c r="T47" s="63">
        <f>DIST_PHASE_1_v2!T36</f>
        <v>5.8057999999999998E-2</v>
      </c>
      <c r="U47" s="63">
        <f>DIST_PHASE_1_v2!Y36</f>
        <v>300</v>
      </c>
      <c r="V47" s="63">
        <v>150</v>
      </c>
      <c r="W47" s="63">
        <f>DIST_PHASE_1_v2!AA36</f>
        <v>70</v>
      </c>
      <c r="X47" s="63">
        <f t="shared" si="15"/>
        <v>24.572536170390066</v>
      </c>
      <c r="Y47" s="63" t="str">
        <f t="shared" si="16"/>
        <v/>
      </c>
      <c r="Z47" s="63" cm="1">
        <f t="array" ref="Z47">IF(P47&gt;0,
IF(INDEX($C$22:$C$91,P47,1)="positif",1,-1),0)</f>
        <v>0</v>
      </c>
      <c r="AA47" s="63">
        <f t="shared" si="17"/>
        <v>0</v>
      </c>
      <c r="AB47" s="63" t="e">
        <f t="shared" si="0"/>
        <v>#VALUE!</v>
      </c>
      <c r="AC47" s="63" t="e">
        <f t="shared" si="1"/>
        <v>#VALUE!</v>
      </c>
      <c r="AD47" s="63" t="e">
        <f>IF(P47&gt;0,
Y47+($D$93*Z47)+(AA47*$S$93),
Y47+$S$93)</f>
        <v>#VALUE!</v>
      </c>
      <c r="AF47" s="63" t="e">
        <f t="shared" si="18"/>
        <v>#VALUE!</v>
      </c>
      <c r="AJ47" s="63">
        <f t="shared" si="19"/>
        <v>0</v>
      </c>
      <c r="AK47" s="63">
        <v>26</v>
      </c>
      <c r="AL47" s="63" t="str">
        <f>TRONCONS_V2!AI34</f>
        <v>negatif</v>
      </c>
      <c r="AM47" s="63" t="str">
        <f>TRONCONS_V2!AE34</f>
        <v>N123_N124</v>
      </c>
      <c r="AN47" s="63">
        <f>DIST_PHASE_1_v2!AG36</f>
        <v>0.116116</v>
      </c>
      <c r="AO47" s="63">
        <f>DIST_PHASE_1_v2!AL36</f>
        <v>400</v>
      </c>
      <c r="AP47" s="63">
        <v>150</v>
      </c>
      <c r="AQ47" s="63">
        <f>TRONCONS_V2!AG34</f>
        <v>123</v>
      </c>
      <c r="AR47" s="63">
        <f t="shared" si="20"/>
        <v>10.633603643884726</v>
      </c>
      <c r="AS47" s="63">
        <f t="shared" si="21"/>
        <v>-0.116116</v>
      </c>
      <c r="AT47" s="63">
        <f t="shared" si="42"/>
        <v>-0.19717896196060131</v>
      </c>
      <c r="AU47" s="63">
        <f t="shared" si="22"/>
        <v>3.1449191976216344</v>
      </c>
      <c r="AV47" s="63" t="e">
        <f t="shared" si="2"/>
        <v>#VALUE!</v>
      </c>
      <c r="AZ47" s="63">
        <f t="shared" si="3"/>
        <v>6</v>
      </c>
      <c r="BA47" s="63">
        <v>26</v>
      </c>
      <c r="BB47" s="63" t="str">
        <f>DIST_PHASE_1_v2!AQ36</f>
        <v>-</v>
      </c>
      <c r="BC47" s="63" t="str">
        <f>DIST_PHASE_1_v2!AR36</f>
        <v>N75_N76</v>
      </c>
      <c r="BD47" s="63">
        <f>DIST_PHASE_1_v2!AT36</f>
        <v>3.2837000000000005E-2</v>
      </c>
      <c r="BE47" s="63">
        <f>DIST_PHASE_1_v2!AY36</f>
        <v>250</v>
      </c>
      <c r="BF47" s="63">
        <f>DIST_PHASE_1_v2!AZ36</f>
        <v>150</v>
      </c>
      <c r="BG47" s="63">
        <f>DIST_PHASE_1_v2!BA36</f>
        <v>88</v>
      </c>
      <c r="BH47" s="63">
        <f t="shared" si="23"/>
        <v>75.080380453699973</v>
      </c>
      <c r="BI47" s="63" t="e" cm="1">
        <f t="array" ref="BI47">INDEX($AV$22:$AV$58,AZ47,1)</f>
        <v>#VALUE!</v>
      </c>
      <c r="BJ47" s="63" t="e">
        <f t="shared" si="41"/>
        <v>#VALUE!</v>
      </c>
      <c r="BK47" s="63" t="e">
        <f t="shared" si="24"/>
        <v>#VALUE!</v>
      </c>
      <c r="BL47" s="63" t="e">
        <f t="shared" si="4"/>
        <v>#VALUE!</v>
      </c>
      <c r="BP47" s="63">
        <f t="shared" si="5"/>
        <v>5</v>
      </c>
      <c r="BQ47" s="63">
        <v>26</v>
      </c>
      <c r="BR47" s="63" t="str">
        <f>DIST_PHASE_1_v2!BF36</f>
        <v>-</v>
      </c>
      <c r="BS47" s="63" t="str">
        <f>DIST_PHASE_1_v2!BG36</f>
        <v>N54_N55</v>
      </c>
      <c r="BT47" s="63">
        <f>DIST_PHASE_1_v2!BI36</f>
        <v>3.2837000000000005E-2</v>
      </c>
      <c r="BU47" s="63">
        <f>DIST_PHASE_1_v2!BN36</f>
        <v>250</v>
      </c>
      <c r="BV47" s="63">
        <f>DIST_PHASE_1_v2!BO36</f>
        <v>150</v>
      </c>
      <c r="BW47" s="63">
        <f>DIST_PHASE_1_v2!BP36</f>
        <v>77</v>
      </c>
      <c r="BX47" s="63">
        <f t="shared" si="25"/>
        <v>65.695332896987466</v>
      </c>
      <c r="BY47" s="63" t="e" cm="1">
        <f t="array" ref="BY47">INDEX($BL$22:$BL$58,BP47,1)</f>
        <v>#VALUE!</v>
      </c>
      <c r="BZ47" s="63" t="e">
        <f t="shared" si="27"/>
        <v>#VALUE!</v>
      </c>
      <c r="CA47" s="63" t="e">
        <f t="shared" si="28"/>
        <v>#VALUE!</v>
      </c>
      <c r="CB47" s="63" t="e">
        <f t="shared" si="6"/>
        <v>#VALUE!</v>
      </c>
      <c r="CF47" s="63">
        <f t="shared" si="7"/>
        <v>8</v>
      </c>
      <c r="CG47" s="63">
        <v>26</v>
      </c>
      <c r="CH47" s="63" t="str">
        <f>DIST_PHASE_1_v2!BS36</f>
        <v>+</v>
      </c>
      <c r="CI47" s="63" t="str">
        <f>DIST_PHASE_1_v2!BT36</f>
        <v>N36_N37</v>
      </c>
      <c r="CJ47" s="63">
        <f>DIST_PHASE_1_v2!BV36</f>
        <v>8.3280000000000007E-2</v>
      </c>
      <c r="CK47" s="63">
        <f>DIST_PHASE_1_v2!CA36</f>
        <v>350</v>
      </c>
      <c r="CL47" s="63">
        <v>150</v>
      </c>
      <c r="CM47" s="63">
        <f>DIST_PHASE_1_v2!CC36</f>
        <v>81</v>
      </c>
      <c r="CN47" s="63">
        <f t="shared" si="29"/>
        <v>13.419586980157902</v>
      </c>
      <c r="CO47" s="63" t="e" cm="1">
        <f t="array" ref="CO47">INDEX($CB$22:$CB$62,CF47,1)</f>
        <v>#VALUE!</v>
      </c>
      <c r="CP47" s="63" t="e">
        <f t="shared" si="31"/>
        <v>#VALUE!</v>
      </c>
      <c r="CQ47" s="63" t="e">
        <f t="shared" si="32"/>
        <v>#VALUE!</v>
      </c>
      <c r="CR47" s="63" t="e">
        <f t="shared" si="8"/>
        <v>#VALUE!</v>
      </c>
      <c r="CV47" s="63">
        <f t="shared" si="9"/>
        <v>13</v>
      </c>
      <c r="CW47" s="63">
        <v>26</v>
      </c>
      <c r="CX47" s="63" t="str">
        <f>DIST_PHASE_1_v2!CF36</f>
        <v>-</v>
      </c>
      <c r="CY47" s="63" t="str">
        <f>DIST_PHASE_1_v2!CG36</f>
        <v>N24_N25</v>
      </c>
      <c r="CZ47" s="63">
        <f>DIST_PHASE_1_v2!CI36</f>
        <v>0.16656000000000001</v>
      </c>
      <c r="DA47" s="63">
        <f>DIST_PHASE_1_v2!CN36</f>
        <v>466</v>
      </c>
      <c r="DB47" s="63">
        <f>DIST_PHASE_1_v2!CO36</f>
        <v>150</v>
      </c>
      <c r="DC47" s="63">
        <f>DIST_PHASE_1_v2!CP36</f>
        <v>75</v>
      </c>
      <c r="DD47" s="63">
        <f t="shared" si="33"/>
        <v>3.0815061437013331</v>
      </c>
      <c r="DE47" s="63" t="e" cm="1">
        <f t="array" ref="DE47">INDEX($CB$22:$CB$62,CV47,1)</f>
        <v>#VALUE!</v>
      </c>
      <c r="DF47" s="63" t="e">
        <f t="shared" si="35"/>
        <v>#VALUE!</v>
      </c>
      <c r="DG47" s="63" t="e">
        <f t="shared" si="36"/>
        <v>#VALUE!</v>
      </c>
      <c r="DH47" s="63" t="e">
        <f t="shared" si="37"/>
        <v>#VALUE!</v>
      </c>
    </row>
    <row r="48" spans="2:112" x14ac:dyDescent="0.25">
      <c r="B48">
        <v>27</v>
      </c>
      <c r="C48" s="69" t="s">
        <v>539</v>
      </c>
      <c r="D48" s="63" t="str">
        <f>DIST_PHASE_1_v2!E37</f>
        <v>N149_N150</v>
      </c>
      <c r="E48" s="63">
        <f>DIST_PHASE_1_v2!G37</f>
        <v>0.03</v>
      </c>
      <c r="F48" s="63">
        <f>DIST_PHASE_1_v2!L37</f>
        <v>200</v>
      </c>
      <c r="G48" s="63">
        <f>DIST_PHASE_1_v2!M37</f>
        <v>150</v>
      </c>
      <c r="H48" s="63">
        <f>DIST_PHASE_1_v2!N37</f>
        <v>30</v>
      </c>
      <c r="I48" s="63">
        <f t="shared" si="10"/>
        <v>75.895097037358298</v>
      </c>
      <c r="J48" s="63">
        <f t="shared" si="11"/>
        <v>0.03</v>
      </c>
      <c r="K48" s="63">
        <f t="shared" si="12"/>
        <v>0.11477367408807007</v>
      </c>
      <c r="L48" s="63">
        <f t="shared" si="38"/>
        <v>7.0853614803701932</v>
      </c>
      <c r="M48" s="63">
        <f t="shared" si="13"/>
        <v>3.6596935076183557E-2</v>
      </c>
      <c r="P48" s="63">
        <f t="shared" si="14"/>
        <v>25</v>
      </c>
      <c r="Q48" s="63">
        <v>27</v>
      </c>
      <c r="R48" s="63" t="str">
        <f>DIST_PHASE_1_v2!Q37</f>
        <v>-</v>
      </c>
      <c r="S48" s="63" t="str">
        <f>DIST_PHASE_1_v2!R37</f>
        <v>N148_N149</v>
      </c>
      <c r="T48" s="63">
        <f>DIST_PHASE_1_v2!T37</f>
        <v>2.9028999999999999E-2</v>
      </c>
      <c r="U48" s="63">
        <f>DIST_PHASE_1_v2!Y37</f>
        <v>200</v>
      </c>
      <c r="V48" s="63">
        <v>150</v>
      </c>
      <c r="W48" s="63">
        <f>DIST_PHASE_1_v2!AA37</f>
        <v>91</v>
      </c>
      <c r="X48" s="63">
        <f t="shared" si="15"/>
        <v>230.21512767998681</v>
      </c>
      <c r="Y48" s="63" cm="1">
        <f t="array" ref="Y48">INDEX($M$22:$M$91,P48,1)</f>
        <v>9.7596935076183555E-2</v>
      </c>
      <c r="Z48" s="63" cm="1">
        <f t="array" ref="Z48">IF(P48&gt;0,
IF(INDEX($C$22:$C$91,P48,1)="positif",1,-1),0)</f>
        <v>1</v>
      </c>
      <c r="AA48" s="63">
        <f t="shared" si="17"/>
        <v>-1</v>
      </c>
      <c r="AB48" s="63">
        <f t="shared" si="0"/>
        <v>3.0943516202637942</v>
      </c>
      <c r="AC48" s="63">
        <f t="shared" si="1"/>
        <v>58.718434100980403</v>
      </c>
      <c r="AD48" s="63" t="e">
        <f t="shared" ref="AD48" si="45">IF(P48&gt;0,
Y48+($D$93*Z48)+(AA48*$S$93),
Y48+$S$93)</f>
        <v>#VALUE!</v>
      </c>
      <c r="AF48" s="63" t="e">
        <f t="shared" si="18"/>
        <v>#VALUE!</v>
      </c>
      <c r="AJ48" s="63">
        <f t="shared" si="19"/>
        <v>0</v>
      </c>
      <c r="AK48" s="63">
        <v>27</v>
      </c>
      <c r="AL48" s="63" t="str">
        <f>TRONCONS_V2!AI35</f>
        <v>negatif</v>
      </c>
      <c r="AM48" s="63" t="str">
        <f>TRONCONS_V2!AE35</f>
        <v>N124_N125</v>
      </c>
      <c r="AN48" s="63">
        <f>DIST_PHASE_1_v2!AG37</f>
        <v>0.116116</v>
      </c>
      <c r="AO48" s="63">
        <f>DIST_PHASE_1_v2!AL37</f>
        <v>400</v>
      </c>
      <c r="AP48" s="63">
        <v>150</v>
      </c>
      <c r="AQ48" s="63">
        <f>TRONCONS_V2!AG35</f>
        <v>124</v>
      </c>
      <c r="AR48" s="63">
        <f t="shared" si="20"/>
        <v>10.720055706030131</v>
      </c>
      <c r="AS48" s="63">
        <f t="shared" si="21"/>
        <v>-0.116116</v>
      </c>
      <c r="AT48" s="63">
        <f t="shared" si="42"/>
        <v>-0.19878204295215093</v>
      </c>
      <c r="AU48" s="63">
        <f t="shared" si="22"/>
        <v>3.170487646382786</v>
      </c>
      <c r="AV48" s="63" t="e">
        <f t="shared" si="2"/>
        <v>#VALUE!</v>
      </c>
      <c r="AZ48" s="63">
        <f t="shared" si="3"/>
        <v>7</v>
      </c>
      <c r="BA48" s="63">
        <v>27</v>
      </c>
      <c r="BB48" s="63" t="str">
        <f>DIST_PHASE_1_v2!AQ37</f>
        <v>-</v>
      </c>
      <c r="BC48" s="63" t="str">
        <f>DIST_PHASE_1_v2!AR37</f>
        <v>N76_N77</v>
      </c>
      <c r="BD48" s="63">
        <f>DIST_PHASE_1_v2!AT37</f>
        <v>3.2837000000000005E-2</v>
      </c>
      <c r="BE48" s="63">
        <f>DIST_PHASE_1_v2!AY37</f>
        <v>250</v>
      </c>
      <c r="BF48" s="63">
        <f>DIST_PHASE_1_v2!AZ37</f>
        <v>150</v>
      </c>
      <c r="BG48" s="63">
        <f>DIST_PHASE_1_v2!BA37</f>
        <v>76</v>
      </c>
      <c r="BH48" s="63">
        <f t="shared" si="23"/>
        <v>64.84214675546815</v>
      </c>
      <c r="BI48" s="63" t="e" cm="1">
        <f t="array" ref="BI48">INDEX($AV$22:$AV$58,AZ48,1)</f>
        <v>#VALUE!</v>
      </c>
      <c r="BJ48" s="63" t="e">
        <f t="shared" si="41"/>
        <v>#VALUE!</v>
      </c>
      <c r="BK48" s="63" t="e">
        <f t="shared" si="24"/>
        <v>#VALUE!</v>
      </c>
      <c r="BL48" s="63" t="e">
        <f t="shared" si="4"/>
        <v>#VALUE!</v>
      </c>
      <c r="BP48" s="63">
        <f t="shared" si="5"/>
        <v>6</v>
      </c>
      <c r="BQ48" s="63">
        <v>27</v>
      </c>
      <c r="BR48" s="63" t="str">
        <f>DIST_PHASE_1_v2!BF37</f>
        <v>-</v>
      </c>
      <c r="BS48" s="63" t="str">
        <f>DIST_PHASE_1_v2!BG37</f>
        <v>N55_N56</v>
      </c>
      <c r="BT48" s="63">
        <f>DIST_PHASE_1_v2!BI37</f>
        <v>3.2837000000000005E-2</v>
      </c>
      <c r="BU48" s="63">
        <f>DIST_PHASE_1_v2!BN37</f>
        <v>250</v>
      </c>
      <c r="BV48" s="63">
        <f>DIST_PHASE_1_v2!BO37</f>
        <v>150</v>
      </c>
      <c r="BW48" s="63">
        <f>DIST_PHASE_1_v2!BP37</f>
        <v>77</v>
      </c>
      <c r="BX48" s="63">
        <f t="shared" si="25"/>
        <v>65.695332896987466</v>
      </c>
      <c r="BY48" s="63" t="e" cm="1">
        <f t="array" ref="BY48">INDEX($BL$22:$BL$58,BP48,1)</f>
        <v>#VALUE!</v>
      </c>
      <c r="BZ48" s="63" t="e">
        <f t="shared" si="27"/>
        <v>#VALUE!</v>
      </c>
      <c r="CA48" s="63" t="e">
        <f t="shared" si="28"/>
        <v>#VALUE!</v>
      </c>
      <c r="CB48" s="63" t="e">
        <f t="shared" si="6"/>
        <v>#VALUE!</v>
      </c>
      <c r="CF48" s="63">
        <f t="shared" si="7"/>
        <v>9</v>
      </c>
      <c r="CG48" s="63">
        <v>27</v>
      </c>
      <c r="CH48" s="63" t="str">
        <f>DIST_PHASE_1_v2!BS37</f>
        <v>+</v>
      </c>
      <c r="CI48" s="63" t="str">
        <f>DIST_PHASE_1_v2!BT37</f>
        <v>N37_N38</v>
      </c>
      <c r="CJ48" s="63">
        <f>DIST_PHASE_1_v2!BV37</f>
        <v>8.3280000000000007E-2</v>
      </c>
      <c r="CK48" s="63">
        <f>DIST_PHASE_1_v2!CA37</f>
        <v>350</v>
      </c>
      <c r="CL48" s="63">
        <v>150</v>
      </c>
      <c r="CM48" s="63">
        <f>DIST_PHASE_1_v2!CC37</f>
        <v>101</v>
      </c>
      <c r="CN48" s="63">
        <f t="shared" si="29"/>
        <v>16.733065246863553</v>
      </c>
      <c r="CO48" s="63" t="e" cm="1">
        <f t="array" ref="CO48">INDEX($CB$22:$CB$62,CF48,1)</f>
        <v>#VALUE!</v>
      </c>
      <c r="CP48" s="63" t="e">
        <f t="shared" si="31"/>
        <v>#VALUE!</v>
      </c>
      <c r="CQ48" s="63" t="e">
        <f t="shared" si="32"/>
        <v>#VALUE!</v>
      </c>
      <c r="CR48" s="63" t="e">
        <f t="shared" si="8"/>
        <v>#VALUE!</v>
      </c>
      <c r="CV48" s="63">
        <f t="shared" si="9"/>
        <v>14</v>
      </c>
      <c r="CW48" s="63">
        <v>27</v>
      </c>
      <c r="CX48" s="63" t="str">
        <f>DIST_PHASE_1_v2!CF37</f>
        <v>-</v>
      </c>
      <c r="CY48" s="63" t="str">
        <f>DIST_PHASE_1_v2!CG37</f>
        <v>N25_N26</v>
      </c>
      <c r="CZ48" s="63">
        <f>DIST_PHASE_1_v2!CI37</f>
        <v>0.16656000000000001</v>
      </c>
      <c r="DA48" s="63">
        <f>DIST_PHASE_1_v2!CN37</f>
        <v>466</v>
      </c>
      <c r="DB48" s="63">
        <f>DIST_PHASE_1_v2!CO37</f>
        <v>150</v>
      </c>
      <c r="DC48" s="63">
        <f>DIST_PHASE_1_v2!CP37</f>
        <v>76</v>
      </c>
      <c r="DD48" s="63">
        <f t="shared" si="33"/>
        <v>3.1225928922840178</v>
      </c>
      <c r="DE48" s="63" t="e" cm="1">
        <f t="array" ref="DE48">INDEX($CB$22:$CB$62,CV48,1)</f>
        <v>#VALUE!</v>
      </c>
      <c r="DF48" s="63" t="e">
        <f t="shared" si="35"/>
        <v>#VALUE!</v>
      </c>
      <c r="DG48" s="63" t="e">
        <f t="shared" si="36"/>
        <v>#VALUE!</v>
      </c>
      <c r="DH48" s="63" t="e">
        <f t="shared" si="37"/>
        <v>#VALUE!</v>
      </c>
    </row>
    <row r="49" spans="2:112" x14ac:dyDescent="0.25">
      <c r="B49">
        <v>28</v>
      </c>
      <c r="C49" s="69" t="s">
        <v>539</v>
      </c>
      <c r="D49" s="63" t="str">
        <f>DIST_PHASE_1_v2!E38</f>
        <v>N150_N151</v>
      </c>
      <c r="E49" s="63">
        <f>DIST_PHASE_1_v2!G38</f>
        <v>3.5000000000000003E-2</v>
      </c>
      <c r="F49" s="63">
        <f>DIST_PHASE_1_v2!L38</f>
        <v>250</v>
      </c>
      <c r="G49" s="63">
        <f>DIST_PHASE_1_v2!M38</f>
        <v>150</v>
      </c>
      <c r="H49" s="63">
        <f>DIST_PHASE_1_v2!N38</f>
        <v>35</v>
      </c>
      <c r="I49" s="63">
        <f t="shared" si="10"/>
        <v>29.861514953176123</v>
      </c>
      <c r="J49" s="63">
        <f t="shared" si="11"/>
        <v>3.5000000000000003E-2</v>
      </c>
      <c r="K49" s="63">
        <f t="shared" si="12"/>
        <v>6.0079437098534257E-2</v>
      </c>
      <c r="L49" s="63">
        <f t="shared" si="38"/>
        <v>3.1790605001852987</v>
      </c>
      <c r="M49" s="63">
        <f t="shared" si="13"/>
        <v>4.1596935076183561E-2</v>
      </c>
      <c r="P49" s="63">
        <f t="shared" si="14"/>
        <v>27</v>
      </c>
      <c r="Q49" s="63">
        <v>28</v>
      </c>
      <c r="R49" s="63" t="str">
        <f>DIST_PHASE_1_v2!Q38</f>
        <v>-</v>
      </c>
      <c r="S49" s="63" t="str">
        <f>DIST_PHASE_1_v2!R38</f>
        <v>N149_N150</v>
      </c>
      <c r="T49" s="63">
        <f>DIST_PHASE_1_v2!T38</f>
        <v>2.9028999999999999E-2</v>
      </c>
      <c r="U49" s="63">
        <f>DIST_PHASE_1_v2!Y38</f>
        <v>200</v>
      </c>
      <c r="V49" s="63">
        <v>150</v>
      </c>
      <c r="W49" s="63">
        <f>DIST_PHASE_1_v2!AA38</f>
        <v>30</v>
      </c>
      <c r="X49" s="63">
        <f t="shared" si="15"/>
        <v>75.895097037358298</v>
      </c>
      <c r="Y49" s="63" cm="1">
        <f t="array" ref="Y49">INDEX($M$22:$M$91,P49,1)</f>
        <v>3.6596935076183557E-2</v>
      </c>
      <c r="Z49" s="63" cm="1">
        <f t="array" ref="Z49">IF(P49&gt;0,
IF(INDEX($C$22:$C$91,P49,1)="positif",1,-1),0)</f>
        <v>1</v>
      </c>
      <c r="AA49" s="63">
        <f t="shared" si="17"/>
        <v>-1</v>
      </c>
      <c r="AB49" s="63">
        <f t="shared" si="0"/>
        <v>0.16584918199856438</v>
      </c>
      <c r="AC49" s="63">
        <f t="shared" si="1"/>
        <v>8.392852691678792</v>
      </c>
      <c r="AD49" s="63" t="e">
        <f>IF(P49&gt;0,
Y49+($D$93*Z49)+(AA49*$S$93),
Y49+$S$93)</f>
        <v>#VALUE!</v>
      </c>
      <c r="AF49" s="63" t="e">
        <f t="shared" si="18"/>
        <v>#VALUE!</v>
      </c>
      <c r="AJ49" s="63">
        <f t="shared" si="19"/>
        <v>0</v>
      </c>
      <c r="AK49" s="63">
        <v>28</v>
      </c>
      <c r="AL49" s="63" t="str">
        <f>TRONCONS_V2!AI36</f>
        <v>negatif</v>
      </c>
      <c r="AM49" s="63" t="str">
        <f>TRONCONS_V2!AE36</f>
        <v>N125_N126</v>
      </c>
      <c r="AN49" s="63">
        <f>DIST_PHASE_1_v2!AG38</f>
        <v>0.116116</v>
      </c>
      <c r="AO49" s="63">
        <f>DIST_PHASE_1_v2!AL38</f>
        <v>400</v>
      </c>
      <c r="AP49" s="63">
        <v>150</v>
      </c>
      <c r="AQ49" s="63">
        <f>TRONCONS_V2!AG36</f>
        <v>125</v>
      </c>
      <c r="AR49" s="63">
        <f t="shared" si="20"/>
        <v>10.806507768175534</v>
      </c>
      <c r="AS49" s="63">
        <f t="shared" si="21"/>
        <v>-0.116116</v>
      </c>
      <c r="AT49" s="63">
        <f t="shared" si="42"/>
        <v>-0.2003851239437005</v>
      </c>
      <c r="AU49" s="63">
        <f t="shared" si="22"/>
        <v>3.1960560951439372</v>
      </c>
      <c r="AV49" s="63" t="e">
        <f t="shared" si="2"/>
        <v>#VALUE!</v>
      </c>
      <c r="AZ49" s="63">
        <f t="shared" si="3"/>
        <v>8</v>
      </c>
      <c r="BA49" s="63">
        <v>28</v>
      </c>
      <c r="BB49" s="63" t="str">
        <f>DIST_PHASE_1_v2!AQ38</f>
        <v>-</v>
      </c>
      <c r="BC49" s="63" t="str">
        <f>DIST_PHASE_1_v2!AR38</f>
        <v>N77_N78</v>
      </c>
      <c r="BD49" s="63">
        <f>DIST_PHASE_1_v2!AT38</f>
        <v>3.2837000000000005E-2</v>
      </c>
      <c r="BE49" s="63">
        <f>DIST_PHASE_1_v2!AY38</f>
        <v>250</v>
      </c>
      <c r="BF49" s="63">
        <f>DIST_PHASE_1_v2!AZ38</f>
        <v>150</v>
      </c>
      <c r="BG49" s="63">
        <f>DIST_PHASE_1_v2!BA38</f>
        <v>80</v>
      </c>
      <c r="BH49" s="63">
        <f t="shared" si="23"/>
        <v>68.254891321545429</v>
      </c>
      <c r="BI49" s="63" t="e" cm="1">
        <f t="array" ref="BI49">INDEX($AV$22:$AV$58,AZ49,1)</f>
        <v>#VALUE!</v>
      </c>
      <c r="BJ49" s="63" t="e">
        <f t="shared" si="41"/>
        <v>#VALUE!</v>
      </c>
      <c r="BK49" s="63" t="e">
        <f t="shared" si="24"/>
        <v>#VALUE!</v>
      </c>
      <c r="BL49" s="63" t="e">
        <f t="shared" si="4"/>
        <v>#VALUE!</v>
      </c>
      <c r="BP49" s="63">
        <f t="shared" si="5"/>
        <v>7</v>
      </c>
      <c r="BQ49" s="63">
        <v>28</v>
      </c>
      <c r="BR49" s="63" t="str">
        <f>DIST_PHASE_1_v2!BF38</f>
        <v>-</v>
      </c>
      <c r="BS49" s="63" t="str">
        <f>DIST_PHASE_1_v2!BG38</f>
        <v>N56_N57</v>
      </c>
      <c r="BT49" s="63">
        <f>DIST_PHASE_1_v2!BI38</f>
        <v>3.2837000000000005E-2</v>
      </c>
      <c r="BU49" s="63">
        <f>DIST_PHASE_1_v2!BN38</f>
        <v>250</v>
      </c>
      <c r="BV49" s="63">
        <f>DIST_PHASE_1_v2!BO38</f>
        <v>150</v>
      </c>
      <c r="BW49" s="63">
        <f>DIST_PHASE_1_v2!BP38</f>
        <v>76</v>
      </c>
      <c r="BX49" s="63">
        <f t="shared" si="25"/>
        <v>64.84214675546815</v>
      </c>
      <c r="BY49" s="63" t="e" cm="1">
        <f t="array" ref="BY49">INDEX($BL$22:$BL$58,BP49,1)</f>
        <v>#VALUE!</v>
      </c>
      <c r="BZ49" s="63" t="e">
        <f t="shared" si="27"/>
        <v>#VALUE!</v>
      </c>
      <c r="CA49" s="63" t="e">
        <f t="shared" si="28"/>
        <v>#VALUE!</v>
      </c>
      <c r="CB49" s="63" t="e">
        <f t="shared" si="6"/>
        <v>#VALUE!</v>
      </c>
      <c r="CF49" s="63">
        <f t="shared" si="7"/>
        <v>10</v>
      </c>
      <c r="CG49" s="63">
        <v>28</v>
      </c>
      <c r="CH49" s="63" t="str">
        <f>DIST_PHASE_1_v2!BS38</f>
        <v>+</v>
      </c>
      <c r="CI49" s="63" t="str">
        <f>DIST_PHASE_1_v2!BT38</f>
        <v>N38_N39</v>
      </c>
      <c r="CJ49" s="63">
        <f>DIST_PHASE_1_v2!BV38</f>
        <v>8.3280000000000007E-2</v>
      </c>
      <c r="CK49" s="63">
        <f>DIST_PHASE_1_v2!CA38</f>
        <v>350</v>
      </c>
      <c r="CL49" s="63">
        <v>150</v>
      </c>
      <c r="CM49" s="63">
        <f>DIST_PHASE_1_v2!CC38</f>
        <v>91</v>
      </c>
      <c r="CN49" s="63">
        <f t="shared" si="29"/>
        <v>15.076326113510728</v>
      </c>
      <c r="CO49" s="63" t="e" cm="1">
        <f t="array" ref="CO49">INDEX($CB$22:$CB$62,CF49,1)</f>
        <v>#VALUE!</v>
      </c>
      <c r="CP49" s="63" t="e">
        <f t="shared" si="31"/>
        <v>#VALUE!</v>
      </c>
      <c r="CQ49" s="63" t="e">
        <f t="shared" si="32"/>
        <v>#VALUE!</v>
      </c>
      <c r="CR49" s="63" t="e">
        <f t="shared" si="8"/>
        <v>#VALUE!</v>
      </c>
      <c r="CV49" s="63">
        <f t="shared" si="9"/>
        <v>15</v>
      </c>
      <c r="CW49" s="63">
        <v>28</v>
      </c>
      <c r="CX49" s="63" t="str">
        <f>DIST_PHASE_1_v2!CF38</f>
        <v>-</v>
      </c>
      <c r="CY49" s="63" t="str">
        <f>DIST_PHASE_1_v2!CG38</f>
        <v>N26_N27</v>
      </c>
      <c r="CZ49" s="63">
        <f>DIST_PHASE_1_v2!CI38</f>
        <v>0.16656000000000001</v>
      </c>
      <c r="DA49" s="63">
        <f>DIST_PHASE_1_v2!CN38</f>
        <v>466</v>
      </c>
      <c r="DB49" s="63">
        <f>DIST_PHASE_1_v2!CO38</f>
        <v>150</v>
      </c>
      <c r="DC49" s="63">
        <f>DIST_PHASE_1_v2!CP38</f>
        <v>76</v>
      </c>
      <c r="DD49" s="63">
        <f t="shared" si="33"/>
        <v>3.1225928922840178</v>
      </c>
      <c r="DE49" s="63" t="e" cm="1">
        <f t="array" ref="DE49">INDEX($CB$22:$CB$62,CV49,1)</f>
        <v>#VALUE!</v>
      </c>
      <c r="DF49" s="63" t="e">
        <f t="shared" si="35"/>
        <v>#VALUE!</v>
      </c>
      <c r="DG49" s="63" t="e">
        <f t="shared" si="36"/>
        <v>#VALUE!</v>
      </c>
      <c r="DH49" s="63" t="e">
        <f t="shared" si="37"/>
        <v>#VALUE!</v>
      </c>
    </row>
    <row r="50" spans="2:112" x14ac:dyDescent="0.25">
      <c r="B50">
        <v>29</v>
      </c>
      <c r="C50" s="69" t="s">
        <v>539</v>
      </c>
      <c r="D50" s="63" t="str">
        <f>DIST_PHASE_1_v2!E39</f>
        <v>N151_N152</v>
      </c>
      <c r="E50" s="63">
        <f>DIST_PHASE_1_v2!G39</f>
        <v>4.9000000000000002E-2</v>
      </c>
      <c r="F50" s="63">
        <f>DIST_PHASE_1_v2!L39</f>
        <v>250</v>
      </c>
      <c r="G50" s="63">
        <f>DIST_PHASE_1_v2!M39</f>
        <v>150</v>
      </c>
      <c r="H50" s="63">
        <f>DIST_PHASE_1_v2!N39</f>
        <v>49</v>
      </c>
      <c r="I50" s="63">
        <f t="shared" si="10"/>
        <v>41.806120934446568</v>
      </c>
      <c r="J50" s="63">
        <f t="shared" si="11"/>
        <v>4.9000000000000002E-2</v>
      </c>
      <c r="K50" s="63">
        <f t="shared" si="12"/>
        <v>0.15684945454255206</v>
      </c>
      <c r="L50" s="63">
        <f t="shared" si="38"/>
        <v>5.9282691798531921</v>
      </c>
      <c r="M50" s="63">
        <f t="shared" si="13"/>
        <v>5.559693507618356E-2</v>
      </c>
      <c r="P50" s="63">
        <f t="shared" si="14"/>
        <v>28</v>
      </c>
      <c r="Q50" s="63">
        <v>29</v>
      </c>
      <c r="R50" s="63" t="str">
        <f>DIST_PHASE_1_v2!Q39</f>
        <v>-</v>
      </c>
      <c r="S50" s="63" t="str">
        <f>DIST_PHASE_1_v2!R39</f>
        <v>N150_N151</v>
      </c>
      <c r="T50" s="63">
        <f>DIST_PHASE_1_v2!T39</f>
        <v>2.9028999999999999E-2</v>
      </c>
      <c r="U50" s="63">
        <f>DIST_PHASE_1_v2!Y39</f>
        <v>200</v>
      </c>
      <c r="V50" s="63">
        <v>150</v>
      </c>
      <c r="W50" s="63">
        <f>DIST_PHASE_1_v2!AA39</f>
        <v>35</v>
      </c>
      <c r="X50" s="63">
        <f t="shared" si="15"/>
        <v>88.544279876918011</v>
      </c>
      <c r="Y50" s="63" cm="1">
        <f t="array" ref="Y50">INDEX($M$22:$M$91,P50,1)</f>
        <v>4.1596935076183561E-2</v>
      </c>
      <c r="Z50" s="63" cm="1">
        <f t="array" ref="Z50">IF(P50&gt;0,
IF(INDEX($C$22:$C$91,P50,1)="positif",1,-1),0)</f>
        <v>1</v>
      </c>
      <c r="AA50" s="63">
        <f t="shared" si="17"/>
        <v>-1</v>
      </c>
      <c r="AB50" s="63">
        <f t="shared" si="0"/>
        <v>0.24527997752358771</v>
      </c>
      <c r="AC50" s="63">
        <f t="shared" si="1"/>
        <v>10.920480500347525</v>
      </c>
      <c r="AD50" s="63" t="e">
        <f>IF(P50&gt;0,
Y50+($D$93*Z50)+(AA50*$S$93),
Y50+$S$93)</f>
        <v>#VALUE!</v>
      </c>
      <c r="AF50" s="63" t="e">
        <f t="shared" si="18"/>
        <v>#VALUE!</v>
      </c>
      <c r="AJ50" s="63">
        <f t="shared" si="19"/>
        <v>0</v>
      </c>
      <c r="AK50" s="63">
        <v>29</v>
      </c>
      <c r="AL50" s="63" t="str">
        <f>TRONCONS_V2!AI37</f>
        <v>negatif</v>
      </c>
      <c r="AM50" s="63" t="str">
        <f>TRONCONS_V2!AE37</f>
        <v>N126_N127</v>
      </c>
      <c r="AN50" s="63">
        <f>DIST_PHASE_1_v2!AG39</f>
        <v>0.116116</v>
      </c>
      <c r="AO50" s="63">
        <f>DIST_PHASE_1_v2!AL39</f>
        <v>400</v>
      </c>
      <c r="AP50" s="63">
        <v>150</v>
      </c>
      <c r="AQ50" s="63">
        <f>TRONCONS_V2!AG37</f>
        <v>126</v>
      </c>
      <c r="AR50" s="63">
        <f t="shared" si="20"/>
        <v>10.892959830320939</v>
      </c>
      <c r="AS50" s="63">
        <f t="shared" si="21"/>
        <v>-0.116116</v>
      </c>
      <c r="AT50" s="63">
        <f>IF(AJ50&gt;0,
        IF(AS50&gt;0, AR50*AS50^1.852,-AR50*ABS(AS50)^1.852),
        IF(AS50&gt;0, AR50*AN50^1.852, -AR50*AN50^1.852))</f>
        <v>-0.20198820493525013</v>
      </c>
      <c r="AU50" s="63">
        <f t="shared" si="22"/>
        <v>3.2216245439050888</v>
      </c>
      <c r="AV50" s="63" t="e">
        <f t="shared" si="2"/>
        <v>#VALUE!</v>
      </c>
      <c r="AZ50" s="63">
        <f t="shared" si="3"/>
        <v>9</v>
      </c>
      <c r="BA50" s="63">
        <v>29</v>
      </c>
      <c r="BB50" s="63" t="str">
        <f>DIST_PHASE_1_v2!AQ39</f>
        <v>-</v>
      </c>
      <c r="BC50" s="63" t="str">
        <f>DIST_PHASE_1_v2!AR39</f>
        <v>N78_N79</v>
      </c>
      <c r="BD50" s="63">
        <f>DIST_PHASE_1_v2!AT39</f>
        <v>3.2837000000000005E-2</v>
      </c>
      <c r="BE50" s="63">
        <f>DIST_PHASE_1_v2!AY39</f>
        <v>250</v>
      </c>
      <c r="BF50" s="63">
        <f>DIST_PHASE_1_v2!AZ39</f>
        <v>150</v>
      </c>
      <c r="BG50" s="63">
        <f>DIST_PHASE_1_v2!BA39</f>
        <v>158</v>
      </c>
      <c r="BH50" s="63">
        <f t="shared" si="23"/>
        <v>134.80341036005223</v>
      </c>
      <c r="BI50" s="63" t="e" cm="1">
        <f t="array" ref="BI50">INDEX($AV$22:$AV$58,AZ50,1)</f>
        <v>#VALUE!</v>
      </c>
      <c r="BJ50" s="63" t="e">
        <f t="shared" si="41"/>
        <v>#VALUE!</v>
      </c>
      <c r="BK50" s="63" t="e">
        <f t="shared" si="24"/>
        <v>#VALUE!</v>
      </c>
      <c r="BL50" s="63" t="e">
        <f t="shared" si="4"/>
        <v>#VALUE!</v>
      </c>
      <c r="BP50" s="63">
        <f t="shared" si="5"/>
        <v>8</v>
      </c>
      <c r="BQ50" s="63">
        <v>29</v>
      </c>
      <c r="BR50" s="63" t="str">
        <f>DIST_PHASE_1_v2!BF39</f>
        <v>-</v>
      </c>
      <c r="BS50" s="63" t="str">
        <f>DIST_PHASE_1_v2!BG39</f>
        <v>N57_N58</v>
      </c>
      <c r="BT50" s="63">
        <f>DIST_PHASE_1_v2!BI39</f>
        <v>3.2837000000000005E-2</v>
      </c>
      <c r="BU50" s="63">
        <f>DIST_PHASE_1_v2!BN39</f>
        <v>250</v>
      </c>
      <c r="BV50" s="63">
        <f>DIST_PHASE_1_v2!BO39</f>
        <v>150</v>
      </c>
      <c r="BW50" s="63">
        <f>DIST_PHASE_1_v2!BP39</f>
        <v>36</v>
      </c>
      <c r="BX50" s="63">
        <f t="shared" si="25"/>
        <v>30.714701094695442</v>
      </c>
      <c r="BY50" s="63" t="e" cm="1">
        <f t="array" ref="BY50">INDEX($BL$22:$BL$58,BP50,1)</f>
        <v>#VALUE!</v>
      </c>
      <c r="BZ50" s="63" t="e">
        <f t="shared" si="27"/>
        <v>#VALUE!</v>
      </c>
      <c r="CA50" s="63" t="e">
        <f t="shared" si="28"/>
        <v>#VALUE!</v>
      </c>
      <c r="CB50" s="63" t="e">
        <f t="shared" si="6"/>
        <v>#VALUE!</v>
      </c>
      <c r="CF50" s="63">
        <f t="shared" si="7"/>
        <v>11</v>
      </c>
      <c r="CG50" s="63">
        <v>29</v>
      </c>
      <c r="CH50" s="63" t="str">
        <f>DIST_PHASE_1_v2!BS39</f>
        <v>+</v>
      </c>
      <c r="CI50" s="63" t="str">
        <f>DIST_PHASE_1_v2!BT39</f>
        <v>N39_N40</v>
      </c>
      <c r="CJ50" s="63">
        <f>DIST_PHASE_1_v2!BV39</f>
        <v>8.3280000000000007E-2</v>
      </c>
      <c r="CK50" s="63">
        <f>DIST_PHASE_1_v2!CA39</f>
        <v>350</v>
      </c>
      <c r="CL50" s="63">
        <v>150</v>
      </c>
      <c r="CM50" s="63">
        <f>DIST_PHASE_1_v2!CC39</f>
        <v>87</v>
      </c>
      <c r="CN50" s="63">
        <f t="shared" si="29"/>
        <v>14.413630460169598</v>
      </c>
      <c r="CO50" s="63" t="e" cm="1">
        <f t="array" ref="CO50">INDEX($CB$22:$CB$62,CF50,1)</f>
        <v>#VALUE!</v>
      </c>
      <c r="CP50" s="63" t="e">
        <f t="shared" si="31"/>
        <v>#VALUE!</v>
      </c>
      <c r="CQ50" s="63" t="e">
        <f t="shared" si="32"/>
        <v>#VALUE!</v>
      </c>
      <c r="CR50" s="63" t="e">
        <f t="shared" si="8"/>
        <v>#VALUE!</v>
      </c>
      <c r="CV50" s="63">
        <f t="shared" si="9"/>
        <v>16</v>
      </c>
      <c r="CW50" s="63">
        <v>29</v>
      </c>
      <c r="CX50" s="63" t="str">
        <f>DIST_PHASE_1_v2!CF39</f>
        <v>-</v>
      </c>
      <c r="CY50" s="63" t="str">
        <f>DIST_PHASE_1_v2!CG39</f>
        <v>N27_N28</v>
      </c>
      <c r="CZ50" s="63">
        <f>DIST_PHASE_1_v2!CI39</f>
        <v>0.16656000000000001</v>
      </c>
      <c r="DA50" s="63">
        <f>DIST_PHASE_1_v2!CN39</f>
        <v>466</v>
      </c>
      <c r="DB50" s="63">
        <f>DIST_PHASE_1_v2!CO39</f>
        <v>150</v>
      </c>
      <c r="DC50" s="63">
        <f>DIST_PHASE_1_v2!CP39</f>
        <v>80</v>
      </c>
      <c r="DD50" s="63">
        <f t="shared" si="33"/>
        <v>3.2869398866147552</v>
      </c>
      <c r="DE50" s="63" t="e" cm="1">
        <f t="array" ref="DE50">INDEX($CB$22:$CB$62,CV50,1)</f>
        <v>#VALUE!</v>
      </c>
      <c r="DF50" s="63" t="e">
        <f t="shared" si="35"/>
        <v>#VALUE!</v>
      </c>
      <c r="DG50" s="63" t="e">
        <f t="shared" si="36"/>
        <v>#VALUE!</v>
      </c>
      <c r="DH50" s="63" t="e">
        <f t="shared" si="37"/>
        <v>#VALUE!</v>
      </c>
    </row>
    <row r="51" spans="2:112" x14ac:dyDescent="0.25">
      <c r="B51">
        <v>30</v>
      </c>
      <c r="C51" s="69" t="s">
        <v>539</v>
      </c>
      <c r="D51" s="63" t="str">
        <f>DIST_PHASE_1_v2!E40</f>
        <v>N152_N153</v>
      </c>
      <c r="E51" s="63">
        <f>DIST_PHASE_1_v2!G40</f>
        <v>8.8999999999999996E-2</v>
      </c>
      <c r="F51" s="63">
        <f>DIST_PHASE_1_v2!L40</f>
        <v>350</v>
      </c>
      <c r="G51" s="63">
        <f>DIST_PHASE_1_v2!M40</f>
        <v>150</v>
      </c>
      <c r="H51" s="63">
        <f>DIST_PHASE_1_v2!N40</f>
        <v>89</v>
      </c>
      <c r="I51" s="63">
        <f t="shared" si="10"/>
        <v>14.744978286840164</v>
      </c>
      <c r="J51" s="63">
        <f t="shared" si="11"/>
        <v>8.8999999999999996E-2</v>
      </c>
      <c r="K51" s="63">
        <f t="shared" si="12"/>
        <v>0.16707613867720356</v>
      </c>
      <c r="L51" s="63">
        <f t="shared" si="38"/>
        <v>3.4766854924739459</v>
      </c>
      <c r="M51" s="63">
        <f t="shared" si="13"/>
        <v>9.5596935076183553E-2</v>
      </c>
      <c r="P51" s="63">
        <f t="shared" si="14"/>
        <v>29</v>
      </c>
      <c r="Q51" s="63">
        <v>30</v>
      </c>
      <c r="R51" s="63" t="str">
        <f>DIST_PHASE_1_v2!Q40</f>
        <v>-</v>
      </c>
      <c r="S51" s="63" t="str">
        <f>DIST_PHASE_1_v2!R40</f>
        <v>N151_N152</v>
      </c>
      <c r="T51" s="63">
        <f>DIST_PHASE_1_v2!T40</f>
        <v>2.9028999999999999E-2</v>
      </c>
      <c r="U51" s="63">
        <f>DIST_PHASE_1_v2!Y40</f>
        <v>200</v>
      </c>
      <c r="V51" s="63">
        <v>150</v>
      </c>
      <c r="W51" s="63">
        <f>DIST_PHASE_1_v2!AA40</f>
        <v>49</v>
      </c>
      <c r="X51" s="63">
        <f t="shared" si="15"/>
        <v>123.9619918276852</v>
      </c>
      <c r="Y51" s="63" cm="1">
        <f t="array" ref="Y51">INDEX($M$22:$M$91,P51,1)</f>
        <v>5.559693507618356E-2</v>
      </c>
      <c r="Z51" s="63" cm="1">
        <f t="array" ref="Z51">IF(P51&gt;0,
IF(INDEX($C$22:$C$91,P51,1)="positif",1,-1),0)</f>
        <v>1</v>
      </c>
      <c r="AA51" s="63">
        <f t="shared" si="17"/>
        <v>-1</v>
      </c>
      <c r="AB51" s="63">
        <f t="shared" si="0"/>
        <v>0.5876553864915437</v>
      </c>
      <c r="AC51" s="63">
        <f t="shared" si="1"/>
        <v>19.575499517932183</v>
      </c>
      <c r="AD51" s="63" t="e">
        <f t="shared" ref="AD51:AD91" si="46">IF(P51&gt;0,
Y51+($D$93*Z51)+(AA51*$S$93),
Y51+$S$93)</f>
        <v>#VALUE!</v>
      </c>
      <c r="AF51" s="63" t="e">
        <f t="shared" si="18"/>
        <v>#VALUE!</v>
      </c>
      <c r="AJ51" s="63">
        <f t="shared" si="19"/>
        <v>7</v>
      </c>
      <c r="AK51" s="63">
        <v>30</v>
      </c>
      <c r="AL51" s="63" t="str">
        <f>TRONCONS_V2!AI38</f>
        <v>negatif</v>
      </c>
      <c r="AM51" s="63" t="str">
        <f>TRONCONS_V2!AE38</f>
        <v>N127_N128</v>
      </c>
      <c r="AN51" s="63">
        <f>DIST_PHASE_1_v2!AG40</f>
        <v>5.8057999999999998E-2</v>
      </c>
      <c r="AO51" s="63">
        <f>DIST_PHASE_1_v2!AL40</f>
        <v>300</v>
      </c>
      <c r="AP51" s="63">
        <v>150</v>
      </c>
      <c r="AQ51" s="63">
        <f>TRONCONS_V2!AG38</f>
        <v>127</v>
      </c>
      <c r="AR51" s="63">
        <f t="shared" si="20"/>
        <v>44.581601337707689</v>
      </c>
      <c r="AS51" s="63" t="e" cm="1">
        <f t="array" ref="AS51">INDEX($AD$22:$AD$91,AJ51,1)</f>
        <v>#VALUE!</v>
      </c>
      <c r="AT51" s="63" t="e">
        <f>IF(AJ51&gt;0,
        IF(AS51&gt;0, AR51*AS51^1.852,-AR51*ABS(AS51)^1.852),
        IF(AS51&gt;0, AR51*AN51^1.852, -AR51*AN51^1.852))</f>
        <v>#VALUE!</v>
      </c>
      <c r="AU51" s="63" t="e">
        <f t="shared" si="22"/>
        <v>#VALUE!</v>
      </c>
      <c r="AV51" s="63" t="e">
        <f t="shared" si="2"/>
        <v>#VALUE!</v>
      </c>
      <c r="AZ51" s="63">
        <f t="shared" si="3"/>
        <v>10</v>
      </c>
      <c r="BA51" s="63">
        <v>30</v>
      </c>
      <c r="BB51" s="63" t="str">
        <f>DIST_PHASE_1_v2!AQ40</f>
        <v>-</v>
      </c>
      <c r="BC51" s="63" t="str">
        <f>DIST_PHASE_1_v2!AR40</f>
        <v>N79_N80</v>
      </c>
      <c r="BD51" s="63">
        <f>DIST_PHASE_1_v2!AT40</f>
        <v>3.2837000000000005E-2</v>
      </c>
      <c r="BE51" s="63">
        <f>DIST_PHASE_1_v2!AY40</f>
        <v>250</v>
      </c>
      <c r="BF51" s="63">
        <f>DIST_PHASE_1_v2!AZ40</f>
        <v>150</v>
      </c>
      <c r="BG51" s="63">
        <f>DIST_PHASE_1_v2!BA40</f>
        <v>70</v>
      </c>
      <c r="BH51" s="63">
        <f t="shared" si="23"/>
        <v>59.723029906352245</v>
      </c>
      <c r="BI51" s="63" t="e" cm="1">
        <f t="array" ref="BI51">INDEX($AV$22:$AV$58,AZ51,1)</f>
        <v>#VALUE!</v>
      </c>
      <c r="BJ51" s="63" t="e">
        <f t="shared" si="41"/>
        <v>#VALUE!</v>
      </c>
      <c r="BK51" s="63" t="e">
        <f t="shared" si="24"/>
        <v>#VALUE!</v>
      </c>
      <c r="BL51" s="63" t="e">
        <f t="shared" si="4"/>
        <v>#VALUE!</v>
      </c>
      <c r="BP51" s="63">
        <f t="shared" si="5"/>
        <v>9</v>
      </c>
      <c r="BQ51" s="63">
        <v>30</v>
      </c>
      <c r="BR51" s="63" t="str">
        <f>DIST_PHASE_1_v2!BF40</f>
        <v>-</v>
      </c>
      <c r="BS51" s="63" t="str">
        <f>DIST_PHASE_1_v2!BG40</f>
        <v>N58_N59</v>
      </c>
      <c r="BT51" s="63">
        <f>DIST_PHASE_1_v2!BI40</f>
        <v>3.2837000000000005E-2</v>
      </c>
      <c r="BU51" s="63">
        <f>DIST_PHASE_1_v2!BN40</f>
        <v>250</v>
      </c>
      <c r="BV51" s="63">
        <f>DIST_PHASE_1_v2!BO40</f>
        <v>150</v>
      </c>
      <c r="BW51" s="63">
        <f>DIST_PHASE_1_v2!BP40</f>
        <v>32</v>
      </c>
      <c r="BX51" s="63">
        <f t="shared" si="25"/>
        <v>27.30195652861817</v>
      </c>
      <c r="BY51" s="63" t="e" cm="1">
        <f t="array" ref="BY51">INDEX($BL$22:$BL$58,BP51,1)</f>
        <v>#VALUE!</v>
      </c>
      <c r="BZ51" s="63" t="e">
        <f t="shared" si="27"/>
        <v>#VALUE!</v>
      </c>
      <c r="CA51" s="63" t="e">
        <f t="shared" si="28"/>
        <v>#VALUE!</v>
      </c>
      <c r="CB51" s="63" t="e">
        <f t="shared" si="6"/>
        <v>#VALUE!</v>
      </c>
      <c r="CF51" s="63">
        <f t="shared" si="7"/>
        <v>12</v>
      </c>
      <c r="CG51" s="63">
        <v>30</v>
      </c>
      <c r="CH51" s="63" t="str">
        <f>DIST_PHASE_1_v2!BS40</f>
        <v>+</v>
      </c>
      <c r="CI51" s="63" t="str">
        <f>DIST_PHASE_1_v2!BT40</f>
        <v>N40_N41</v>
      </c>
      <c r="CJ51" s="63">
        <f>DIST_PHASE_1_v2!BV40</f>
        <v>8.3280000000000007E-2</v>
      </c>
      <c r="CK51" s="63">
        <f>DIST_PHASE_1_v2!CA40</f>
        <v>350</v>
      </c>
      <c r="CL51" s="63">
        <v>150</v>
      </c>
      <c r="CM51" s="63">
        <f>DIST_PHASE_1_v2!CC40</f>
        <v>94</v>
      </c>
      <c r="CN51" s="63">
        <f t="shared" si="29"/>
        <v>15.573347853516577</v>
      </c>
      <c r="CO51" s="63" t="e" cm="1">
        <f t="array" ref="CO51">INDEX($CB$22:$CB$62,CF51,1)</f>
        <v>#VALUE!</v>
      </c>
      <c r="CP51" s="63" t="e">
        <f t="shared" si="31"/>
        <v>#VALUE!</v>
      </c>
      <c r="CQ51" s="63" t="e">
        <f t="shared" si="32"/>
        <v>#VALUE!</v>
      </c>
      <c r="CR51" s="63" t="e">
        <f t="shared" si="8"/>
        <v>#VALUE!</v>
      </c>
      <c r="CV51" s="63">
        <f t="shared" si="9"/>
        <v>17</v>
      </c>
      <c r="CW51" s="63">
        <v>30</v>
      </c>
      <c r="CX51" s="63" t="str">
        <f>DIST_PHASE_1_v2!CF40</f>
        <v>-</v>
      </c>
      <c r="CY51" s="63" t="str">
        <f>DIST_PHASE_1_v2!CG40</f>
        <v>N28_N196</v>
      </c>
      <c r="CZ51" s="63">
        <f>DIST_PHASE_1_v2!CI40</f>
        <v>0.16656000000000001</v>
      </c>
      <c r="DA51" s="63">
        <f>DIST_PHASE_1_v2!CN40</f>
        <v>466</v>
      </c>
      <c r="DB51" s="63">
        <f>DIST_PHASE_1_v2!CO40</f>
        <v>150</v>
      </c>
      <c r="DC51" s="63">
        <f>DIST_PHASE_1_v2!CP40</f>
        <v>75</v>
      </c>
      <c r="DD51" s="63">
        <f t="shared" si="33"/>
        <v>3.0815061437013331</v>
      </c>
      <c r="DE51" s="63" t="e" cm="1">
        <f t="array" ref="DE51">INDEX($CB$22:$CB$62,CV51,1)</f>
        <v>#VALUE!</v>
      </c>
      <c r="DF51" s="63" t="e">
        <f t="shared" si="35"/>
        <v>#VALUE!</v>
      </c>
      <c r="DG51" s="63" t="e">
        <f t="shared" si="36"/>
        <v>#VALUE!</v>
      </c>
      <c r="DH51" s="63" t="e">
        <f t="shared" si="37"/>
        <v>#VALUE!</v>
      </c>
    </row>
    <row r="52" spans="2:112" x14ac:dyDescent="0.25">
      <c r="B52">
        <v>31</v>
      </c>
      <c r="C52" s="69" t="s">
        <v>539</v>
      </c>
      <c r="D52" s="63" t="str">
        <f>DIST_PHASE_1_v2!E41</f>
        <v>N153_N154</v>
      </c>
      <c r="E52" s="63">
        <f>DIST_PHASE_1_v2!G41</f>
        <v>7.6999999999999999E-2</v>
      </c>
      <c r="F52" s="63">
        <f>DIST_PHASE_1_v2!L41</f>
        <v>350</v>
      </c>
      <c r="G52" s="63">
        <f>DIST_PHASE_1_v2!M41</f>
        <v>150</v>
      </c>
      <c r="H52" s="63">
        <f>DIST_PHASE_1_v2!N41</f>
        <v>77</v>
      </c>
      <c r="I52" s="63">
        <f t="shared" si="10"/>
        <v>12.756891326816771</v>
      </c>
      <c r="J52" s="63">
        <f t="shared" si="11"/>
        <v>7.6999999999999999E-2</v>
      </c>
      <c r="K52" s="63">
        <f t="shared" si="12"/>
        <v>0.11054158283193545</v>
      </c>
      <c r="L52" s="63">
        <f t="shared" si="38"/>
        <v>2.6587404078538244</v>
      </c>
      <c r="M52" s="63">
        <f t="shared" si="13"/>
        <v>8.3596935076183557E-2</v>
      </c>
      <c r="P52" s="63">
        <f t="shared" si="14"/>
        <v>30</v>
      </c>
      <c r="Q52" s="63">
        <v>31</v>
      </c>
      <c r="R52" s="63" t="str">
        <f>DIST_PHASE_1_v2!Q41</f>
        <v>-</v>
      </c>
      <c r="S52" s="63" t="str">
        <f>DIST_PHASE_1_v2!R41</f>
        <v>N152_N153</v>
      </c>
      <c r="T52" s="63">
        <f>DIST_PHASE_1_v2!T41</f>
        <v>2.9028999999999999E-2</v>
      </c>
      <c r="U52" s="63">
        <f>DIST_PHASE_1_v2!Y41</f>
        <v>200</v>
      </c>
      <c r="V52" s="63">
        <v>150</v>
      </c>
      <c r="W52" s="63">
        <f>DIST_PHASE_1_v2!AA41</f>
        <v>89</v>
      </c>
      <c r="X52" s="63">
        <f t="shared" si="15"/>
        <v>225.15545454416295</v>
      </c>
      <c r="Y52" s="63" cm="1">
        <f t="array" ref="Y52">INDEX($M$22:$M$91,P52,1)</f>
        <v>9.5596935076183553E-2</v>
      </c>
      <c r="Z52" s="63" cm="1">
        <f t="array" ref="Z52">IF(P52&gt;0,
IF(INDEX($C$22:$C$91,P52,1)="positif",1,-1),0)</f>
        <v>1</v>
      </c>
      <c r="AA52" s="63">
        <f t="shared" si="17"/>
        <v>-1</v>
      </c>
      <c r="AB52" s="63">
        <f t="shared" si="0"/>
        <v>2.912491740352483</v>
      </c>
      <c r="AC52" s="63">
        <f t="shared" si="1"/>
        <v>56.423720057910209</v>
      </c>
      <c r="AD52" s="63" t="e">
        <f t="shared" si="46"/>
        <v>#VALUE!</v>
      </c>
      <c r="AF52" s="63" t="e">
        <f t="shared" si="18"/>
        <v>#VALUE!</v>
      </c>
      <c r="AJ52" s="63">
        <f t="shared" si="19"/>
        <v>8</v>
      </c>
      <c r="AK52" s="63">
        <v>31</v>
      </c>
      <c r="AL52" s="63" t="str">
        <f>TRONCONS_V2!AI39</f>
        <v>negatif</v>
      </c>
      <c r="AM52" s="63" t="str">
        <f>TRONCONS_V2!AE39</f>
        <v>N128_N129</v>
      </c>
      <c r="AN52" s="63">
        <f>DIST_PHASE_1_v2!AG41</f>
        <v>5.8057999999999998E-2</v>
      </c>
      <c r="AO52" s="63">
        <f>DIST_PHASE_1_v2!AL41</f>
        <v>300</v>
      </c>
      <c r="AP52" s="63">
        <v>150</v>
      </c>
      <c r="AQ52" s="63">
        <f>TRONCONS_V2!AG39</f>
        <v>128</v>
      </c>
      <c r="AR52" s="63">
        <f t="shared" si="20"/>
        <v>44.932637568713268</v>
      </c>
      <c r="AS52" s="63" t="e" cm="1">
        <f t="array" ref="AS52">INDEX($AD$22:$AD$91,AJ52,1)</f>
        <v>#VALUE!</v>
      </c>
      <c r="AT52" s="63" t="e">
        <f>IF(AJ52&gt;0,
        IF(AS52&gt;0, AR52*AS52^1.852,-AR52*ABS(AS52)^1.852),
        IF(AS52&gt;0, AR52*AN52^1.852, -AR52*AN52^1.852))</f>
        <v>#VALUE!</v>
      </c>
      <c r="AU52" s="63" t="e">
        <f t="shared" si="22"/>
        <v>#VALUE!</v>
      </c>
      <c r="AV52" s="63" t="e">
        <f t="shared" si="2"/>
        <v>#VALUE!</v>
      </c>
      <c r="AZ52" s="63">
        <f t="shared" si="3"/>
        <v>11</v>
      </c>
      <c r="BA52" s="63">
        <v>31</v>
      </c>
      <c r="BB52" s="63" t="str">
        <f>DIST_PHASE_1_v2!AQ41</f>
        <v>-</v>
      </c>
      <c r="BC52" s="63" t="str">
        <f>DIST_PHASE_1_v2!AR41</f>
        <v>N80_N81</v>
      </c>
      <c r="BD52" s="63">
        <f>DIST_PHASE_1_v2!AT41</f>
        <v>3.2835999999999997E-2</v>
      </c>
      <c r="BE52" s="63">
        <f>DIST_PHASE_1_v2!AY41</f>
        <v>250</v>
      </c>
      <c r="BF52" s="63">
        <f>DIST_PHASE_1_v2!AZ41</f>
        <v>150</v>
      </c>
      <c r="BG52" s="63">
        <f>DIST_PHASE_1_v2!BA41</f>
        <v>80</v>
      </c>
      <c r="BH52" s="63">
        <f t="shared" si="23"/>
        <v>68.254891321545429</v>
      </c>
      <c r="BI52" s="63" t="e" cm="1">
        <f t="array" ref="BI52">INDEX($AV$22:$AV$58,AZ52,1)</f>
        <v>#VALUE!</v>
      </c>
      <c r="BJ52" s="63" t="e">
        <f t="shared" si="41"/>
        <v>#VALUE!</v>
      </c>
      <c r="BK52" s="63" t="e">
        <f t="shared" si="24"/>
        <v>#VALUE!</v>
      </c>
      <c r="BL52" s="63" t="e">
        <f t="shared" si="4"/>
        <v>#VALUE!</v>
      </c>
      <c r="BP52" s="63">
        <f t="shared" si="5"/>
        <v>10</v>
      </c>
      <c r="BQ52" s="63">
        <v>31</v>
      </c>
      <c r="BR52" s="63" t="str">
        <f>DIST_PHASE_1_v2!BF41</f>
        <v>-</v>
      </c>
      <c r="BS52" s="63" t="str">
        <f>DIST_PHASE_1_v2!BG41</f>
        <v>N59_N60</v>
      </c>
      <c r="BT52" s="63">
        <f>DIST_PHASE_1_v2!BI41</f>
        <v>3.2837000000000005E-2</v>
      </c>
      <c r="BU52" s="63">
        <f>DIST_PHASE_1_v2!BN41</f>
        <v>250</v>
      </c>
      <c r="BV52" s="63">
        <f>DIST_PHASE_1_v2!BO41</f>
        <v>150</v>
      </c>
      <c r="BW52" s="63">
        <f>DIST_PHASE_1_v2!BP41</f>
        <v>79</v>
      </c>
      <c r="BX52" s="63">
        <f t="shared" si="25"/>
        <v>67.401705180026113</v>
      </c>
      <c r="BY52" s="63" t="e" cm="1">
        <f t="array" ref="BY52">INDEX($BL$22:$BL$58,BP52,1)</f>
        <v>#VALUE!</v>
      </c>
      <c r="BZ52" s="63" t="e">
        <f t="shared" si="27"/>
        <v>#VALUE!</v>
      </c>
      <c r="CA52" s="63" t="e">
        <f t="shared" si="28"/>
        <v>#VALUE!</v>
      </c>
      <c r="CB52" s="63" t="e">
        <f t="shared" si="6"/>
        <v>#VALUE!</v>
      </c>
      <c r="CF52" s="63">
        <f t="shared" si="7"/>
        <v>13</v>
      </c>
      <c r="CG52" s="63">
        <v>31</v>
      </c>
      <c r="CH52" s="63" t="str">
        <f>DIST_PHASE_1_v2!BS41</f>
        <v>+</v>
      </c>
      <c r="CI52" s="63" t="str">
        <f>DIST_PHASE_1_v2!BT41</f>
        <v>N41_N42</v>
      </c>
      <c r="CJ52" s="63">
        <f>DIST_PHASE_1_v2!BV41</f>
        <v>9.851E-2</v>
      </c>
      <c r="CK52" s="63">
        <f>DIST_PHASE_1_v2!CA41</f>
        <v>400</v>
      </c>
      <c r="CL52" s="63">
        <v>150</v>
      </c>
      <c r="CM52" s="63">
        <f>DIST_PHASE_1_v2!CC41</f>
        <v>70</v>
      </c>
      <c r="CN52" s="63">
        <f t="shared" si="29"/>
        <v>6.0516443501782993</v>
      </c>
      <c r="CO52" s="63" t="e" cm="1">
        <f t="array" ref="CO52">INDEX($CB$22:$CB$62,CF52,1)</f>
        <v>#VALUE!</v>
      </c>
      <c r="CP52" s="63" t="e">
        <f t="shared" si="31"/>
        <v>#VALUE!</v>
      </c>
      <c r="CQ52" s="63" t="e">
        <f t="shared" si="32"/>
        <v>#VALUE!</v>
      </c>
      <c r="CR52" s="63" t="e">
        <f t="shared" si="8"/>
        <v>#VALUE!</v>
      </c>
      <c r="CV52" s="63">
        <f t="shared" si="9"/>
        <v>18</v>
      </c>
      <c r="CW52" s="63">
        <v>31</v>
      </c>
      <c r="CX52" s="63" t="str">
        <f>DIST_PHASE_1_v2!CF41</f>
        <v>-</v>
      </c>
      <c r="CY52" s="63" t="str">
        <f>DIST_PHASE_1_v2!CG41</f>
        <v>N29_N30</v>
      </c>
      <c r="CZ52" s="63">
        <f>DIST_PHASE_1_v2!CI41</f>
        <v>0.16656000000000001</v>
      </c>
      <c r="DA52" s="63">
        <f>DIST_PHASE_1_v2!CN41</f>
        <v>466</v>
      </c>
      <c r="DB52" s="63">
        <f>DIST_PHASE_1_v2!CO41</f>
        <v>150</v>
      </c>
      <c r="DC52" s="63">
        <f>DIST_PHASE_1_v2!CP41</f>
        <v>76</v>
      </c>
      <c r="DD52" s="63">
        <f t="shared" si="33"/>
        <v>3.1225928922840178</v>
      </c>
      <c r="DE52" s="63" t="e" cm="1">
        <f t="array" ref="DE52">INDEX($CB$22:$CB$62,CV52,1)</f>
        <v>#VALUE!</v>
      </c>
      <c r="DF52" s="63" t="e">
        <f t="shared" si="35"/>
        <v>#VALUE!</v>
      </c>
      <c r="DG52" s="63" t="e">
        <f t="shared" si="36"/>
        <v>#VALUE!</v>
      </c>
      <c r="DH52" s="63" t="e">
        <f t="shared" si="37"/>
        <v>#VALUE!</v>
      </c>
    </row>
    <row r="53" spans="2:112" x14ac:dyDescent="0.25">
      <c r="B53">
        <v>32</v>
      </c>
      <c r="C53" s="69" t="s">
        <v>539</v>
      </c>
      <c r="D53" s="63" t="str">
        <f>DIST_PHASE_1_v2!E42</f>
        <v>N154_N155</v>
      </c>
      <c r="E53" s="63">
        <f>DIST_PHASE_1_v2!G42</f>
        <v>3.6999999999999998E-2</v>
      </c>
      <c r="F53" s="63">
        <f>DIST_PHASE_1_v2!L42</f>
        <v>250</v>
      </c>
      <c r="G53" s="63">
        <f>DIST_PHASE_1_v2!M42</f>
        <v>150</v>
      </c>
      <c r="H53" s="63">
        <f>DIST_PHASE_1_v2!N42</f>
        <v>37</v>
      </c>
      <c r="I53" s="63">
        <f t="shared" si="10"/>
        <v>31.567887236214759</v>
      </c>
      <c r="J53" s="63">
        <f t="shared" si="11"/>
        <v>3.6999999999999998E-2</v>
      </c>
      <c r="K53" s="63">
        <f t="shared" si="12"/>
        <v>7.0397155231682926E-2</v>
      </c>
      <c r="L53" s="63">
        <f t="shared" si="38"/>
        <v>3.5236630132182909</v>
      </c>
      <c r="M53" s="63">
        <f t="shared" si="13"/>
        <v>4.3596935076183549E-2</v>
      </c>
      <c r="P53" s="63">
        <f t="shared" si="14"/>
        <v>31</v>
      </c>
      <c r="Q53" s="63">
        <v>32</v>
      </c>
      <c r="R53" s="63" t="str">
        <f>DIST_PHASE_1_v2!Q42</f>
        <v>-</v>
      </c>
      <c r="S53" s="63" t="str">
        <f>DIST_PHASE_1_v2!R42</f>
        <v>N153_N154</v>
      </c>
      <c r="T53" s="63">
        <f>DIST_PHASE_1_v2!T42</f>
        <v>2.9028999999999999E-2</v>
      </c>
      <c r="U53" s="63">
        <f>DIST_PHASE_1_v2!Y42</f>
        <v>200</v>
      </c>
      <c r="V53" s="63">
        <v>150</v>
      </c>
      <c r="W53" s="63">
        <f>DIST_PHASE_1_v2!AA42</f>
        <v>77</v>
      </c>
      <c r="X53" s="63">
        <f t="shared" si="15"/>
        <v>194.79741572921961</v>
      </c>
      <c r="Y53" s="63" cm="1">
        <f t="array" ref="Y53">INDEX($M$22:$M$91,P53,1)</f>
        <v>8.3596935076183557E-2</v>
      </c>
      <c r="Z53" s="63" cm="1">
        <f t="array" ref="Z53">IF(P53&gt;0,
IF(INDEX($C$22:$C$91,P53,1)="positif",1,-1),0)</f>
        <v>1</v>
      </c>
      <c r="AA53" s="63">
        <f t="shared" si="17"/>
        <v>-1</v>
      </c>
      <c r="AB53" s="63">
        <f t="shared" si="0"/>
        <v>1.9655302348454322</v>
      </c>
      <c r="AC53" s="63">
        <f t="shared" si="1"/>
        <v>43.544204002412165</v>
      </c>
      <c r="AD53" s="63" t="e">
        <f t="shared" si="46"/>
        <v>#VALUE!</v>
      </c>
      <c r="AF53" s="63" t="e">
        <f t="shared" si="18"/>
        <v>#VALUE!</v>
      </c>
      <c r="AJ53" s="63">
        <f t="shared" si="19"/>
        <v>9</v>
      </c>
      <c r="AK53" s="63">
        <v>32</v>
      </c>
      <c r="AL53" s="63" t="str">
        <f>TRONCONS_V2!AI40</f>
        <v>negatif</v>
      </c>
      <c r="AM53" s="63" t="str">
        <f>TRONCONS_V2!AE40</f>
        <v>N129_N130</v>
      </c>
      <c r="AN53" s="63">
        <f>DIST_PHASE_1_v2!AG42</f>
        <v>5.8057999999999998E-2</v>
      </c>
      <c r="AO53" s="63">
        <f>DIST_PHASE_1_v2!AL42</f>
        <v>300</v>
      </c>
      <c r="AP53" s="63">
        <v>150</v>
      </c>
      <c r="AQ53" s="63">
        <f>TRONCONS_V2!AG40</f>
        <v>129</v>
      </c>
      <c r="AR53" s="63">
        <f t="shared" si="20"/>
        <v>45.283673799718841</v>
      </c>
      <c r="AS53" s="63" t="e" cm="1">
        <f t="array" ref="AS53">INDEX($AD$22:$AD$91,AJ53,1)</f>
        <v>#VALUE!</v>
      </c>
      <c r="AT53" s="63" t="e">
        <f>IF(AJ53&gt;0,
        IF(AS53&gt;0, AR53*AS53^1.852,-AR53*ABS(AS53)^1.852),
        IF(AS53&gt;0, AR53*AN53^1.852, -AR53*AN53^1.852))</f>
        <v>#VALUE!</v>
      </c>
      <c r="AU53" s="63" t="e">
        <f t="shared" si="22"/>
        <v>#VALUE!</v>
      </c>
      <c r="AV53" s="63" t="e">
        <f t="shared" si="2"/>
        <v>#VALUE!</v>
      </c>
      <c r="AZ53" s="63">
        <f t="shared" si="3"/>
        <v>0</v>
      </c>
      <c r="BA53" s="63">
        <v>32</v>
      </c>
      <c r="BB53" s="63" t="str">
        <f>DIST_PHASE_1_v2!AQ42</f>
        <v>-</v>
      </c>
      <c r="BC53" s="63" t="str">
        <f>DIST_PHASE_1_v2!AR42</f>
        <v>N81_N82</v>
      </c>
      <c r="BD53" s="63">
        <f>DIST_PHASE_1_v2!AT42</f>
        <v>9.0894000000000003E-2</v>
      </c>
      <c r="BE53" s="63">
        <f>DIST_PHASE_1_v2!AY42</f>
        <v>350</v>
      </c>
      <c r="BF53" s="63">
        <f>DIST_PHASE_1_v2!AZ42</f>
        <v>150</v>
      </c>
      <c r="BG53" s="63">
        <f>DIST_PHASE_1_v2!BA42</f>
        <v>68</v>
      </c>
      <c r="BH53" s="63">
        <f t="shared" si="23"/>
        <v>11.265826106799226</v>
      </c>
      <c r="BI53" s="63" t="str">
        <f t="shared" si="40"/>
        <v/>
      </c>
      <c r="BJ53" s="63">
        <f t="shared" si="41"/>
        <v>0.13273035727434446</v>
      </c>
      <c r="BK53" s="63" t="e">
        <f t="shared" si="24"/>
        <v>#VALUE!</v>
      </c>
      <c r="BL53" s="63" t="e">
        <f t="shared" si="4"/>
        <v>#VALUE!</v>
      </c>
      <c r="BP53" s="63">
        <f t="shared" si="5"/>
        <v>11</v>
      </c>
      <c r="BQ53" s="63">
        <v>32</v>
      </c>
      <c r="BR53" s="63" t="str">
        <f>DIST_PHASE_1_v2!BF42</f>
        <v>-</v>
      </c>
      <c r="BS53" s="63" t="str">
        <f>DIST_PHASE_1_v2!BG42</f>
        <v>N60_N61</v>
      </c>
      <c r="BT53" s="63">
        <f>DIST_PHASE_1_v2!BI42</f>
        <v>3.2837000000000005E-2</v>
      </c>
      <c r="BU53" s="63">
        <f>DIST_PHASE_1_v2!BN42</f>
        <v>250</v>
      </c>
      <c r="BV53" s="63">
        <f>DIST_PHASE_1_v2!BO42</f>
        <v>150</v>
      </c>
      <c r="BW53" s="63">
        <f>DIST_PHASE_1_v2!BP42</f>
        <v>51</v>
      </c>
      <c r="BX53" s="63">
        <f t="shared" si="25"/>
        <v>43.512493217485208</v>
      </c>
      <c r="BY53" s="63" t="e" cm="1">
        <f t="array" ref="BY53">INDEX($BL$22:$BL$58,BP53,1)</f>
        <v>#VALUE!</v>
      </c>
      <c r="BZ53" s="63" t="e">
        <f t="shared" si="27"/>
        <v>#VALUE!</v>
      </c>
      <c r="CA53" s="63" t="e">
        <f t="shared" si="28"/>
        <v>#VALUE!</v>
      </c>
      <c r="CB53" s="63" t="e">
        <f t="shared" si="6"/>
        <v>#VALUE!</v>
      </c>
      <c r="CF53" s="63">
        <f t="shared" si="7"/>
        <v>0</v>
      </c>
      <c r="CG53" s="63">
        <v>32</v>
      </c>
      <c r="CH53" s="63" t="str">
        <f>DIST_PHASE_1_v2!BS42</f>
        <v>+</v>
      </c>
      <c r="CI53" s="63" t="str">
        <f>DIST_PHASE_1_v2!BT42</f>
        <v>N42_N111</v>
      </c>
      <c r="CJ53" s="63">
        <f>DIST_PHASE_1_v2!BV42</f>
        <v>3.2835999999999997E-2</v>
      </c>
      <c r="CK53" s="63">
        <f>DIST_PHASE_1_v2!CA42</f>
        <v>250</v>
      </c>
      <c r="CL53" s="63">
        <v>150</v>
      </c>
      <c r="CM53" s="63">
        <f>DIST_PHASE_1_v2!CC42</f>
        <v>59</v>
      </c>
      <c r="CN53" s="63">
        <f t="shared" si="29"/>
        <v>50.337982349639752</v>
      </c>
      <c r="CO53" s="63" t="str">
        <f t="shared" si="30"/>
        <v/>
      </c>
      <c r="CP53" s="63">
        <f t="shared" si="31"/>
        <v>8.9986313765935425E-2</v>
      </c>
      <c r="CQ53" s="63" t="e">
        <f t="shared" si="32"/>
        <v>#VALUE!</v>
      </c>
      <c r="CR53" s="63" t="e">
        <f t="shared" si="8"/>
        <v>#VALUE!</v>
      </c>
      <c r="CV53" s="63">
        <f t="shared" si="9"/>
        <v>19</v>
      </c>
      <c r="CW53" s="63">
        <v>32</v>
      </c>
      <c r="CX53" s="63" t="str">
        <f>DIST_PHASE_1_v2!CF42</f>
        <v>-</v>
      </c>
      <c r="CY53" s="63" t="str">
        <f>DIST_PHASE_1_v2!CG42</f>
        <v>N196_N29</v>
      </c>
      <c r="CZ53" s="63">
        <f>DIST_PHASE_1_v2!CI42</f>
        <v>0.16656000000000001</v>
      </c>
      <c r="DA53" s="63">
        <f>DIST_PHASE_1_v2!CN42</f>
        <v>466</v>
      </c>
      <c r="DB53" s="63">
        <f>DIST_PHASE_1_v2!CO42</f>
        <v>150</v>
      </c>
      <c r="DC53" s="63">
        <f>DIST_PHASE_1_v2!CP42</f>
        <v>69</v>
      </c>
      <c r="DD53" s="63">
        <f t="shared" si="33"/>
        <v>2.8349856522052264</v>
      </c>
      <c r="DE53" s="63" t="e" cm="1">
        <f t="array" ref="DE53">INDEX($CB$22:$CB$62,CV53,1)</f>
        <v>#VALUE!</v>
      </c>
      <c r="DF53" s="63" t="e">
        <f t="shared" si="35"/>
        <v>#VALUE!</v>
      </c>
      <c r="DG53" s="63" t="e">
        <f t="shared" si="36"/>
        <v>#VALUE!</v>
      </c>
      <c r="DH53" s="63" t="e">
        <f t="shared" si="37"/>
        <v>#VALUE!</v>
      </c>
    </row>
    <row r="54" spans="2:112" x14ac:dyDescent="0.25">
      <c r="B54">
        <v>33</v>
      </c>
      <c r="C54" s="69" t="s">
        <v>539</v>
      </c>
      <c r="D54" s="63" t="str">
        <f>DIST_PHASE_1_v2!E43</f>
        <v>N155_N156</v>
      </c>
      <c r="E54" s="63">
        <f>DIST_PHASE_1_v2!G43</f>
        <v>0.129</v>
      </c>
      <c r="F54" s="63">
        <f>DIST_PHASE_1_v2!L43</f>
        <v>421</v>
      </c>
      <c r="G54" s="63">
        <f>DIST_PHASE_1_v2!M43</f>
        <v>150</v>
      </c>
      <c r="H54" s="63">
        <f>DIST_PHASE_1_v2!N43</f>
        <v>129</v>
      </c>
      <c r="I54" s="63">
        <f t="shared" si="10"/>
        <v>8.6920295923619637</v>
      </c>
      <c r="J54" s="63">
        <f t="shared" si="11"/>
        <v>0.129</v>
      </c>
      <c r="K54" s="63">
        <f t="shared" si="12"/>
        <v>0.19585440315176539</v>
      </c>
      <c r="L54" s="63">
        <f t="shared" si="38"/>
        <v>2.8118011987369731</v>
      </c>
      <c r="M54" s="63">
        <f t="shared" si="13"/>
        <v>0.13559693507618356</v>
      </c>
      <c r="P54" s="63">
        <f t="shared" si="14"/>
        <v>32</v>
      </c>
      <c r="Q54" s="63">
        <v>33</v>
      </c>
      <c r="R54" s="63" t="str">
        <f>DIST_PHASE_1_v2!Q43</f>
        <v>-</v>
      </c>
      <c r="S54" s="63" t="str">
        <f>DIST_PHASE_1_v2!R43</f>
        <v>N154_N155</v>
      </c>
      <c r="T54" s="63">
        <f>DIST_PHASE_1_v2!T43</f>
        <v>2.9028999999999999E-2</v>
      </c>
      <c r="U54" s="63">
        <f>DIST_PHASE_1_v2!Y43</f>
        <v>200</v>
      </c>
      <c r="V54" s="63">
        <v>150</v>
      </c>
      <c r="W54" s="63">
        <f>DIST_PHASE_1_v2!AA43</f>
        <v>37</v>
      </c>
      <c r="X54" s="63">
        <f t="shared" si="15"/>
        <v>93.603953012741897</v>
      </c>
      <c r="Y54" s="63" cm="1">
        <f t="array" ref="Y54">INDEX($M$22:$M$91,P54,1)</f>
        <v>4.3596935076183549E-2</v>
      </c>
      <c r="Z54" s="63" cm="1">
        <f t="array" ref="Z54">IF(P54&gt;0,
IF(INDEX($C$22:$C$91,P54,1)="positif",1,-1),0)</f>
        <v>1</v>
      </c>
      <c r="AA54" s="63">
        <f t="shared" si="17"/>
        <v>-1</v>
      </c>
      <c r="AB54" s="63">
        <f t="shared" ref="AB54:AB85" si="47">X54*SIGN(Y54)*ABS(Y54)^1.852</f>
        <v>0.28285680122909845</v>
      </c>
      <c r="AC54" s="63">
        <f t="shared" ref="AC54:AC85" si="48">1.852*X54*ABS(Y54)^(1.852-1)</f>
        <v>12.015771176595017</v>
      </c>
      <c r="AD54" s="63" t="e">
        <f t="shared" si="46"/>
        <v>#VALUE!</v>
      </c>
      <c r="AF54" s="63" t="e">
        <f t="shared" si="18"/>
        <v>#VALUE!</v>
      </c>
      <c r="AJ54" s="63">
        <f t="shared" si="19"/>
        <v>10</v>
      </c>
      <c r="AK54" s="63">
        <v>33</v>
      </c>
      <c r="AL54" s="63" t="str">
        <f>TRONCONS_V2!AI41</f>
        <v>negatif</v>
      </c>
      <c r="AM54" s="63" t="str">
        <f>TRONCONS_V2!AE41</f>
        <v>N130_N131</v>
      </c>
      <c r="AN54" s="63">
        <f>DIST_PHASE_1_v2!AG43</f>
        <v>5.8057999999999998E-2</v>
      </c>
      <c r="AO54" s="63">
        <f>DIST_PHASE_1_v2!AL43</f>
        <v>300</v>
      </c>
      <c r="AP54" s="63">
        <v>150</v>
      </c>
      <c r="AQ54" s="63">
        <f>TRONCONS_V2!AG41</f>
        <v>130</v>
      </c>
      <c r="AR54" s="63">
        <f t="shared" si="20"/>
        <v>45.634710030724406</v>
      </c>
      <c r="AS54" s="63" t="e" cm="1">
        <f t="array" ref="AS54">INDEX($AD$22:$AD$91,AJ54,1)</f>
        <v>#VALUE!</v>
      </c>
      <c r="AT54" s="63" t="e">
        <f>IF(AJ54&gt;0,
        IF(AS54&gt;0, AR54*AS54^1.852,-AR54*ABS(AS54)^1.852),
        IF(AS54&gt;0, AR54*AN54^1.852, -AR54*AN54^1.852))</f>
        <v>#VALUE!</v>
      </c>
      <c r="AU54" s="63" t="e">
        <f t="shared" si="22"/>
        <v>#VALUE!</v>
      </c>
      <c r="AV54" s="63" t="e">
        <f t="shared" si="2"/>
        <v>#VALUE!</v>
      </c>
      <c r="AZ54" s="63">
        <f t="shared" ref="AZ54:AZ73" si="49">IFERROR(MATCH(BC54,$AM$22:$AM$57,0),0)</f>
        <v>0</v>
      </c>
      <c r="BA54" s="63">
        <v>33</v>
      </c>
      <c r="BB54" s="63" t="str">
        <f>DIST_PHASE_1_v2!AQ43</f>
        <v>-</v>
      </c>
      <c r="BC54" s="63" t="str">
        <f>DIST_PHASE_1_v2!AR43</f>
        <v>N82_N83</v>
      </c>
      <c r="BD54" s="63">
        <f>DIST_PHASE_1_v2!AT43</f>
        <v>9.0894000000000003E-2</v>
      </c>
      <c r="BE54" s="63">
        <f>DIST_PHASE_1_v2!AY43</f>
        <v>350</v>
      </c>
      <c r="BF54" s="63">
        <f>DIST_PHASE_1_v2!AZ43</f>
        <v>150</v>
      </c>
      <c r="BG54" s="63">
        <f>DIST_PHASE_1_v2!BA43</f>
        <v>152</v>
      </c>
      <c r="BH54" s="63">
        <f t="shared" si="23"/>
        <v>25.182434826962975</v>
      </c>
      <c r="BI54" s="63" t="str">
        <f t="shared" si="40"/>
        <v/>
      </c>
      <c r="BJ54" s="63">
        <f>IF(AZ54&gt;0,
        IF(BI54&gt;0, BH54*BI54^1.852,-BH54*ABS(BI54)^1.852),
        IF(BI54&gt;0, BH54*BD54^1.852, -BH54*BD54^1.852))</f>
        <v>0.29669138684853463</v>
      </c>
      <c r="BK54" s="63" t="e">
        <f t="shared" si="24"/>
        <v>#VALUE!</v>
      </c>
      <c r="BL54" s="63" t="e">
        <f t="shared" ref="BL54:BL73" si="50">BI54+$BD$75</f>
        <v>#VALUE!</v>
      </c>
      <c r="BP54" s="63">
        <f t="shared" si="5"/>
        <v>12</v>
      </c>
      <c r="BQ54" s="63">
        <v>33</v>
      </c>
      <c r="BR54" s="63" t="str">
        <f>DIST_PHASE_1_v2!BF43</f>
        <v>-</v>
      </c>
      <c r="BS54" s="63" t="str">
        <f>DIST_PHASE_1_v2!BG43</f>
        <v>N61_N62</v>
      </c>
      <c r="BT54" s="63">
        <f>DIST_PHASE_1_v2!BI43</f>
        <v>3.2837000000000005E-2</v>
      </c>
      <c r="BU54" s="63">
        <f>DIST_PHASE_1_v2!BN43</f>
        <v>250</v>
      </c>
      <c r="BV54" s="63">
        <f>DIST_PHASE_1_v2!BO43</f>
        <v>150</v>
      </c>
      <c r="BW54" s="63">
        <f>DIST_PHASE_1_v2!BP43</f>
        <v>73</v>
      </c>
      <c r="BX54" s="63">
        <f t="shared" si="25"/>
        <v>62.282588330910201</v>
      </c>
      <c r="BY54" s="63" t="e" cm="1">
        <f t="array" ref="BY54">INDEX($BL$22:$BL$58,BP54,1)</f>
        <v>#VALUE!</v>
      </c>
      <c r="BZ54" s="63" t="e">
        <f t="shared" si="27"/>
        <v>#VALUE!</v>
      </c>
      <c r="CA54" s="63" t="e">
        <f t="shared" si="28"/>
        <v>#VALUE!</v>
      </c>
      <c r="CB54" s="63" t="e">
        <f t="shared" si="6"/>
        <v>#VALUE!</v>
      </c>
      <c r="CF54" s="63">
        <f t="shared" si="7"/>
        <v>0</v>
      </c>
      <c r="CG54" s="63">
        <v>33</v>
      </c>
      <c r="CH54" s="63" t="str">
        <f>DIST_PHASE_1_v2!BS43</f>
        <v>-</v>
      </c>
      <c r="CI54" s="63" t="str">
        <f>DIST_PHASE_1_v2!BT43</f>
        <v>N106_N107</v>
      </c>
      <c r="CJ54" s="63">
        <f>DIST_PHASE_1_v2!BV43</f>
        <v>8.3280000000000007E-2</v>
      </c>
      <c r="CK54" s="63">
        <f>DIST_PHASE_1_v2!CA43</f>
        <v>350</v>
      </c>
      <c r="CL54" s="63">
        <v>150</v>
      </c>
      <c r="CM54" s="63">
        <f>DIST_PHASE_1_v2!CC43</f>
        <v>218</v>
      </c>
      <c r="CN54" s="63">
        <f t="shared" si="29"/>
        <v>36.116913107091634</v>
      </c>
      <c r="CO54" s="63" t="str">
        <f t="shared" si="30"/>
        <v/>
      </c>
      <c r="CP54" s="63">
        <f t="shared" si="31"/>
        <v>0.36186954243828162</v>
      </c>
      <c r="CQ54" s="63" t="e">
        <f t="shared" si="32"/>
        <v>#VALUE!</v>
      </c>
      <c r="CR54" s="63" t="e">
        <f t="shared" si="8"/>
        <v>#VALUE!</v>
      </c>
      <c r="CV54" s="63">
        <f t="shared" si="9"/>
        <v>20</v>
      </c>
      <c r="CW54" s="63">
        <v>33</v>
      </c>
      <c r="CX54" s="63" t="str">
        <f>DIST_PHASE_1_v2!CF43</f>
        <v>-</v>
      </c>
      <c r="CY54" s="63" t="str">
        <f>DIST_PHASE_1_v2!CG43</f>
        <v>N30_N31</v>
      </c>
      <c r="CZ54" s="63">
        <f>DIST_PHASE_1_v2!CI43</f>
        <v>0.16656000000000001</v>
      </c>
      <c r="DA54" s="63">
        <f>DIST_PHASE_1_v2!CN43</f>
        <v>466</v>
      </c>
      <c r="DB54" s="63">
        <f>DIST_PHASE_1_v2!CO43</f>
        <v>150</v>
      </c>
      <c r="DC54" s="63">
        <f>DIST_PHASE_1_v2!CP43</f>
        <v>251</v>
      </c>
      <c r="DD54" s="63">
        <f t="shared" si="33"/>
        <v>10.312773894253795</v>
      </c>
      <c r="DE54" s="63" t="e" cm="1">
        <f t="array" ref="DE54">INDEX($CB$22:$CB$62,CV54,1)</f>
        <v>#VALUE!</v>
      </c>
      <c r="DF54" s="63" t="e">
        <f t="shared" si="35"/>
        <v>#VALUE!</v>
      </c>
      <c r="DG54" s="63" t="e">
        <f t="shared" si="36"/>
        <v>#VALUE!</v>
      </c>
      <c r="DH54" s="63" t="e">
        <f t="shared" si="37"/>
        <v>#VALUE!</v>
      </c>
    </row>
    <row r="55" spans="2:112" x14ac:dyDescent="0.25">
      <c r="B55">
        <v>34</v>
      </c>
      <c r="C55" s="69" t="s">
        <v>539</v>
      </c>
      <c r="D55" s="63" t="str">
        <f>DIST_PHASE_1_v2!E44</f>
        <v>N156_N157</v>
      </c>
      <c r="E55" s="63">
        <f>DIST_PHASE_1_v2!G44</f>
        <v>8.5000000000000006E-2</v>
      </c>
      <c r="F55" s="63">
        <f>DIST_PHASE_1_v2!L44</f>
        <v>350</v>
      </c>
      <c r="G55" s="63">
        <f>DIST_PHASE_1_v2!M44</f>
        <v>150</v>
      </c>
      <c r="H55" s="63">
        <f>DIST_PHASE_1_v2!N44</f>
        <v>85</v>
      </c>
      <c r="I55" s="63">
        <f t="shared" si="10"/>
        <v>14.082282633499032</v>
      </c>
      <c r="J55" s="63">
        <f t="shared" si="11"/>
        <v>8.5000000000000006E-2</v>
      </c>
      <c r="K55" s="63">
        <f t="shared" si="12"/>
        <v>0.14654024282313405</v>
      </c>
      <c r="L55" s="63">
        <f t="shared" si="38"/>
        <v>3.1928532906875779</v>
      </c>
      <c r="M55" s="63">
        <f t="shared" si="13"/>
        <v>9.1596935076183564E-2</v>
      </c>
      <c r="P55" s="63">
        <f t="shared" si="14"/>
        <v>33</v>
      </c>
      <c r="Q55" s="63">
        <v>34</v>
      </c>
      <c r="R55" s="63" t="str">
        <f>DIST_PHASE_1_v2!Q44</f>
        <v>-</v>
      </c>
      <c r="S55" s="63" t="str">
        <f>DIST_PHASE_1_v2!R44</f>
        <v>N155_N156</v>
      </c>
      <c r="T55" s="63">
        <f>DIST_PHASE_1_v2!T44</f>
        <v>2.9028999999999999E-2</v>
      </c>
      <c r="U55" s="63">
        <f>DIST_PHASE_1_v2!Y44</f>
        <v>200</v>
      </c>
      <c r="V55" s="63">
        <v>150</v>
      </c>
      <c r="W55" s="63">
        <f>DIST_PHASE_1_v2!AA44</f>
        <v>129</v>
      </c>
      <c r="X55" s="63">
        <f t="shared" si="15"/>
        <v>326.34891726064069</v>
      </c>
      <c r="Y55" s="63" cm="1">
        <f t="array" ref="Y55">INDEX($M$22:$M$91,P55,1)</f>
        <v>0.13559693507618356</v>
      </c>
      <c r="Z55" s="63" cm="1">
        <f t="array" ref="Z55">IF(P55&gt;0,
IF(INDEX($C$22:$C$91,P55,1)="positif",1,-1),0)</f>
        <v>1</v>
      </c>
      <c r="AA55" s="63">
        <f t="shared" si="17"/>
        <v>-1</v>
      </c>
      <c r="AB55" s="63">
        <f t="shared" si="47"/>
        <v>8.0650848595285289</v>
      </c>
      <c r="AC55" s="63">
        <f t="shared" si="48"/>
        <v>110.15394375584465</v>
      </c>
      <c r="AD55" s="63" t="e">
        <f t="shared" si="46"/>
        <v>#VALUE!</v>
      </c>
      <c r="AF55" s="63" t="e">
        <f t="shared" si="18"/>
        <v>#VALUE!</v>
      </c>
      <c r="AJ55" s="63">
        <f t="shared" si="19"/>
        <v>11</v>
      </c>
      <c r="AK55" s="63">
        <v>34</v>
      </c>
      <c r="AL55" s="63" t="str">
        <f>TRONCONS_V2!AI42</f>
        <v>negatif</v>
      </c>
      <c r="AM55" s="63" t="str">
        <f>TRONCONS_V2!AE42</f>
        <v>N131_N132</v>
      </c>
      <c r="AN55" s="63">
        <f>DIST_PHASE_1_v2!AG44</f>
        <v>5.8057999999999998E-2</v>
      </c>
      <c r="AO55" s="63">
        <f>DIST_PHASE_1_v2!AL44</f>
        <v>300</v>
      </c>
      <c r="AP55" s="63">
        <v>150</v>
      </c>
      <c r="AQ55" s="63">
        <f>TRONCONS_V2!AG42</f>
        <v>131</v>
      </c>
      <c r="AR55" s="63">
        <f t="shared" si="20"/>
        <v>45.985746261729986</v>
      </c>
      <c r="AS55" s="63" t="e" cm="1">
        <f t="array" ref="AS55">INDEX($AD$22:$AD$91,AJ55,1)</f>
        <v>#VALUE!</v>
      </c>
      <c r="AT55" s="63" t="e">
        <f t="shared" ref="AT55:AT58" si="51">IF(AJ55&gt;0,
        IF(AS55&gt;0, AR55*AS55^1.852,-AR55*ABS(AS55)^1.852),
        IF(AS55&gt;0, AR55*AN55^1.852, -AR55*AN55^1.852))</f>
        <v>#VALUE!</v>
      </c>
      <c r="AU55" s="63" t="e">
        <f t="shared" si="22"/>
        <v>#VALUE!</v>
      </c>
      <c r="AV55" s="63" t="e">
        <f t="shared" si="2"/>
        <v>#VALUE!</v>
      </c>
      <c r="AZ55" s="63">
        <f t="shared" si="49"/>
        <v>0</v>
      </c>
      <c r="BA55" s="63">
        <v>34</v>
      </c>
      <c r="BB55" s="63" t="str">
        <f>DIST_PHASE_1_v2!AQ44</f>
        <v>-</v>
      </c>
      <c r="BC55" s="63" t="str">
        <f>DIST_PHASE_1_v2!AR44</f>
        <v>N83_N84</v>
      </c>
      <c r="BD55" s="63">
        <f>DIST_PHASE_1_v2!AT44</f>
        <v>9.0894000000000003E-2</v>
      </c>
      <c r="BE55" s="63">
        <f>DIST_PHASE_1_v2!AY44</f>
        <v>350</v>
      </c>
      <c r="BF55" s="63">
        <f>DIST_PHASE_1_v2!AZ44</f>
        <v>150</v>
      </c>
      <c r="BG55" s="63">
        <f>DIST_PHASE_1_v2!BA44</f>
        <v>75</v>
      </c>
      <c r="BH55" s="63">
        <f t="shared" si="23"/>
        <v>12.425543500146206</v>
      </c>
      <c r="BI55" s="63" t="str">
        <f t="shared" si="40"/>
        <v/>
      </c>
      <c r="BJ55" s="63">
        <f>IF(AZ55&gt;0,
        IF(BI55&gt;0, BH55*BI55^1.852,-BH55*ABS(BI55)^1.852),
        IF(BI55&gt;0, BH55*BD55^1.852, -BH55*BD55^1.852))</f>
        <v>0.14639377640552698</v>
      </c>
      <c r="BK55" s="63" t="e">
        <f t="shared" si="24"/>
        <v>#VALUE!</v>
      </c>
      <c r="BL55" s="63" t="e">
        <f t="shared" si="50"/>
        <v>#VALUE!</v>
      </c>
      <c r="BP55" s="63">
        <f t="shared" si="5"/>
        <v>13</v>
      </c>
      <c r="BQ55" s="63">
        <v>34</v>
      </c>
      <c r="BR55" s="63" t="str">
        <f>DIST_PHASE_1_v2!BF44</f>
        <v>-</v>
      </c>
      <c r="BS55" s="63" t="str">
        <f>DIST_PHASE_1_v2!BG44</f>
        <v>N62_N63</v>
      </c>
      <c r="BT55" s="63">
        <f>DIST_PHASE_1_v2!BI44</f>
        <v>3.2837000000000005E-2</v>
      </c>
      <c r="BU55" s="63">
        <f>DIST_PHASE_1_v2!BN44</f>
        <v>250</v>
      </c>
      <c r="BV55" s="63">
        <f>DIST_PHASE_1_v2!BO44</f>
        <v>150</v>
      </c>
      <c r="BW55" s="63">
        <f>DIST_PHASE_1_v2!BP44</f>
        <v>58</v>
      </c>
      <c r="BX55" s="63">
        <f t="shared" si="25"/>
        <v>49.484796208120436</v>
      </c>
      <c r="BY55" s="63" t="e" cm="1">
        <f t="array" ref="BY55">INDEX($BL$22:$BL$58,BP55,1)</f>
        <v>#VALUE!</v>
      </c>
      <c r="BZ55" s="63" t="e">
        <f t="shared" si="27"/>
        <v>#VALUE!</v>
      </c>
      <c r="CA55" s="63" t="e">
        <f t="shared" si="28"/>
        <v>#VALUE!</v>
      </c>
      <c r="CB55" s="63" t="e">
        <f t="shared" si="6"/>
        <v>#VALUE!</v>
      </c>
      <c r="CF55" s="63">
        <f t="shared" si="7"/>
        <v>0</v>
      </c>
      <c r="CG55" s="63">
        <v>34</v>
      </c>
      <c r="CH55" s="63" t="str">
        <f>DIST_PHASE_1_v2!BS44</f>
        <v>-</v>
      </c>
      <c r="CI55" s="63" t="str">
        <f>DIST_PHASE_1_v2!BT44</f>
        <v>N107_N108</v>
      </c>
      <c r="CJ55" s="63">
        <f>DIST_PHASE_1_v2!BV44</f>
        <v>8.3280000000000007E-2</v>
      </c>
      <c r="CK55" s="63">
        <f>DIST_PHASE_1_v2!CA44</f>
        <v>350</v>
      </c>
      <c r="CL55" s="63">
        <v>150</v>
      </c>
      <c r="CM55" s="63">
        <f>DIST_PHASE_1_v2!CC44</f>
        <v>101</v>
      </c>
      <c r="CN55" s="63">
        <f t="shared" si="29"/>
        <v>16.733065246863553</v>
      </c>
      <c r="CO55" s="63" t="str">
        <f t="shared" si="30"/>
        <v/>
      </c>
      <c r="CP55" s="63">
        <f t="shared" si="31"/>
        <v>0.16765515498287359</v>
      </c>
      <c r="CQ55" s="63" t="e">
        <f t="shared" si="32"/>
        <v>#VALUE!</v>
      </c>
      <c r="CR55" s="63" t="e">
        <f t="shared" si="8"/>
        <v>#VALUE!</v>
      </c>
      <c r="CV55" s="63"/>
      <c r="CW55" s="63"/>
      <c r="CX55" s="63"/>
      <c r="CY55" s="63" t="s">
        <v>380</v>
      </c>
      <c r="CZ55" s="238"/>
      <c r="DA55" s="238"/>
      <c r="DB55" s="238"/>
      <c r="DC55" s="238"/>
      <c r="DD55" s="238"/>
      <c r="DE55" s="238"/>
      <c r="DF55" s="63" t="e">
        <f>SUM(DF22:DF54)</f>
        <v>#VALUE!</v>
      </c>
      <c r="DG55" s="63" t="e">
        <f>SUM(DG22:DG54)</f>
        <v>#VALUE!</v>
      </c>
      <c r="DH55" s="63"/>
    </row>
    <row r="56" spans="2:112" x14ac:dyDescent="0.25">
      <c r="B56">
        <v>35</v>
      </c>
      <c r="C56" s="69" t="s">
        <v>539</v>
      </c>
      <c r="D56" s="63" t="str">
        <f>DIST_PHASE_1_v2!E45</f>
        <v>N157_N158</v>
      </c>
      <c r="E56" s="63">
        <f>DIST_PHASE_1_v2!G45</f>
        <v>7.4999999999999997E-2</v>
      </c>
      <c r="F56" s="63">
        <f>DIST_PHASE_1_v2!L45</f>
        <v>350</v>
      </c>
      <c r="G56" s="63">
        <f>DIST_PHASE_1_v2!M45</f>
        <v>150</v>
      </c>
      <c r="H56" s="63">
        <f>DIST_PHASE_1_v2!N45</f>
        <v>75</v>
      </c>
      <c r="I56" s="63">
        <f t="shared" si="10"/>
        <v>12.425543500146206</v>
      </c>
      <c r="J56" s="63">
        <f t="shared" si="11"/>
        <v>7.4999999999999997E-2</v>
      </c>
      <c r="K56" s="63">
        <f t="shared" si="12"/>
        <v>0.10254839177742346</v>
      </c>
      <c r="L56" s="63">
        <f t="shared" si="38"/>
        <v>2.5322616209571787</v>
      </c>
      <c r="M56" s="63">
        <f t="shared" si="13"/>
        <v>8.1596935076183555E-2</v>
      </c>
      <c r="P56" s="63">
        <f t="shared" si="14"/>
        <v>34</v>
      </c>
      <c r="Q56" s="63">
        <v>35</v>
      </c>
      <c r="R56" s="63" t="str">
        <f>DIST_PHASE_1_v2!Q45</f>
        <v>-</v>
      </c>
      <c r="S56" s="63" t="str">
        <f>DIST_PHASE_1_v2!R45</f>
        <v>N156_N157</v>
      </c>
      <c r="T56" s="63">
        <f>DIST_PHASE_1_v2!T45</f>
        <v>2.9028999999999999E-2</v>
      </c>
      <c r="U56" s="63">
        <f>DIST_PHASE_1_v2!Y45</f>
        <v>200</v>
      </c>
      <c r="V56" s="63">
        <v>150</v>
      </c>
      <c r="W56" s="63">
        <f>DIST_PHASE_1_v2!AA45</f>
        <v>85</v>
      </c>
      <c r="X56" s="63">
        <f t="shared" si="15"/>
        <v>215.03610827251518</v>
      </c>
      <c r="Y56" s="63" cm="1">
        <f t="array" ref="Y56">INDEX($M$22:$M$91,P56,1)</f>
        <v>9.1596935076183564E-2</v>
      </c>
      <c r="Z56" s="63" cm="1">
        <f t="array" ref="Z56">IF(P56&gt;0,
IF(INDEX($C$22:$C$91,P56,1)="positif",1,-1),0)</f>
        <v>1</v>
      </c>
      <c r="AA56" s="63">
        <f t="shared" si="17"/>
        <v>-1</v>
      </c>
      <c r="AB56" s="63">
        <f t="shared" si="47"/>
        <v>2.5698921402347308</v>
      </c>
      <c r="AC56" s="63">
        <f t="shared" si="48"/>
        <v>51.960693223590631</v>
      </c>
      <c r="AD56" s="63" t="e">
        <f t="shared" si="46"/>
        <v>#VALUE!</v>
      </c>
      <c r="AF56" s="63" t="e">
        <f t="shared" si="18"/>
        <v>#VALUE!</v>
      </c>
      <c r="AJ56" s="63">
        <f t="shared" si="19"/>
        <v>12</v>
      </c>
      <c r="AK56" s="63">
        <v>35</v>
      </c>
      <c r="AL56" s="63" t="str">
        <f>TRONCONS_V2!AI43</f>
        <v>negatif</v>
      </c>
      <c r="AM56" s="63" t="str">
        <f>TRONCONS_V2!AE43</f>
        <v>N132_N133</v>
      </c>
      <c r="AN56" s="63">
        <f>DIST_PHASE_1_v2!AG45</f>
        <v>5.8057999999999998E-2</v>
      </c>
      <c r="AO56" s="63">
        <f>DIST_PHASE_1_v2!AL45</f>
        <v>300</v>
      </c>
      <c r="AP56" s="63">
        <v>150</v>
      </c>
      <c r="AQ56" s="63">
        <f>TRONCONS_V2!AG43</f>
        <v>132</v>
      </c>
      <c r="AR56" s="63">
        <f t="shared" si="20"/>
        <v>46.336782492735551</v>
      </c>
      <c r="AS56" s="63" t="e" cm="1">
        <f t="array" ref="AS56">INDEX($AD$22:$AD$91,AJ56,1)</f>
        <v>#VALUE!</v>
      </c>
      <c r="AT56" s="63" t="e">
        <f t="shared" si="51"/>
        <v>#VALUE!</v>
      </c>
      <c r="AU56" s="63" t="e">
        <f t="shared" si="22"/>
        <v>#VALUE!</v>
      </c>
      <c r="AV56" s="63" t="e">
        <f t="shared" si="2"/>
        <v>#VALUE!</v>
      </c>
      <c r="AZ56" s="63">
        <f t="shared" si="49"/>
        <v>0</v>
      </c>
      <c r="BA56" s="63">
        <v>35</v>
      </c>
      <c r="BB56" s="63" t="str">
        <f>DIST_PHASE_1_v2!AQ45</f>
        <v>-</v>
      </c>
      <c r="BC56" s="63" t="str">
        <f>DIST_PHASE_1_v2!AR45</f>
        <v>N84_N85</v>
      </c>
      <c r="BD56" s="63">
        <f>DIST_PHASE_1_v2!AT45</f>
        <v>0.119923</v>
      </c>
      <c r="BE56" s="63">
        <f>DIST_PHASE_1_v2!AY45</f>
        <v>400</v>
      </c>
      <c r="BF56" s="63">
        <f>DIST_PHASE_1_v2!AZ45</f>
        <v>150</v>
      </c>
      <c r="BG56" s="63">
        <f>DIST_PHASE_1_v2!BA45</f>
        <v>95</v>
      </c>
      <c r="BH56" s="63">
        <f t="shared" si="23"/>
        <v>8.2129459038134058</v>
      </c>
      <c r="BI56" s="63" t="str">
        <f t="shared" si="40"/>
        <v/>
      </c>
      <c r="BJ56" s="63">
        <f t="shared" ref="BJ56:BJ73" si="52">IF(AZ56&gt;0,
        IF(BI56&gt;0, BH56*BI56^1.852,-BH56*ABS(BI56)^1.852),
        IF(BI56&gt;0, BH56*BD56^1.852, -BH56*BD56^1.852))</f>
        <v>0.16166885526910485</v>
      </c>
      <c r="BK56" s="63" t="e">
        <f t="shared" si="24"/>
        <v>#VALUE!</v>
      </c>
      <c r="BL56" s="63" t="e">
        <f t="shared" si="50"/>
        <v>#VALUE!</v>
      </c>
      <c r="BP56" s="63">
        <f t="shared" si="5"/>
        <v>14</v>
      </c>
      <c r="BQ56" s="63">
        <v>35</v>
      </c>
      <c r="BR56" s="63" t="str">
        <f>DIST_PHASE_1_v2!BF45</f>
        <v>-</v>
      </c>
      <c r="BS56" s="63" t="str">
        <f>DIST_PHASE_1_v2!BG45</f>
        <v>N63_N64</v>
      </c>
      <c r="BT56" s="63">
        <f>DIST_PHASE_1_v2!BI45</f>
        <v>3.2837000000000005E-2</v>
      </c>
      <c r="BU56" s="63">
        <f>DIST_PHASE_1_v2!BN45</f>
        <v>250</v>
      </c>
      <c r="BV56" s="63">
        <f>DIST_PHASE_1_v2!BO45</f>
        <v>150</v>
      </c>
      <c r="BW56" s="63">
        <f>DIST_PHASE_1_v2!BP45</f>
        <v>216</v>
      </c>
      <c r="BX56" s="63">
        <f t="shared" si="25"/>
        <v>184.28820656817265</v>
      </c>
      <c r="BY56" s="63" t="e" cm="1">
        <f t="array" ref="BY56">INDEX($BL$22:$BL$58,BP56,1)</f>
        <v>#VALUE!</v>
      </c>
      <c r="BZ56" s="63" t="e">
        <f t="shared" si="27"/>
        <v>#VALUE!</v>
      </c>
      <c r="CA56" s="63" t="e">
        <f t="shared" si="28"/>
        <v>#VALUE!</v>
      </c>
      <c r="CB56" s="63" t="e">
        <f t="shared" si="6"/>
        <v>#VALUE!</v>
      </c>
      <c r="CF56" s="63">
        <f t="shared" si="7"/>
        <v>0</v>
      </c>
      <c r="CG56" s="63">
        <v>35</v>
      </c>
      <c r="CH56" s="63" t="str">
        <f>DIST_PHASE_1_v2!BS45</f>
        <v>-</v>
      </c>
      <c r="CI56" s="63" t="str">
        <f>DIST_PHASE_1_v2!BT45</f>
        <v>N108_N109</v>
      </c>
      <c r="CJ56" s="63">
        <f>DIST_PHASE_1_v2!BV45</f>
        <v>8.3280000000000007E-2</v>
      </c>
      <c r="CK56" s="63">
        <f>DIST_PHASE_1_v2!CA45</f>
        <v>350</v>
      </c>
      <c r="CL56" s="63">
        <v>150</v>
      </c>
      <c r="CM56" s="63">
        <f>DIST_PHASE_1_v2!CC45</f>
        <v>149</v>
      </c>
      <c r="CN56" s="63">
        <f t="shared" si="29"/>
        <v>24.685413086957126</v>
      </c>
      <c r="CO56" s="63" t="str">
        <f t="shared" si="30"/>
        <v/>
      </c>
      <c r="CP56" s="63">
        <f t="shared" si="31"/>
        <v>0.24733285240047689</v>
      </c>
      <c r="CQ56" s="63" t="e">
        <f t="shared" si="32"/>
        <v>#VALUE!</v>
      </c>
      <c r="CR56" s="63" t="e">
        <f t="shared" si="8"/>
        <v>#VALUE!</v>
      </c>
      <c r="CV56" s="63"/>
      <c r="CW56" s="63"/>
      <c r="CX56" s="63"/>
      <c r="CY56" s="82" t="s">
        <v>381</v>
      </c>
      <c r="CZ56" s="238" t="e">
        <f>-(DF55/DG55)</f>
        <v>#VALUE!</v>
      </c>
      <c r="DA56" s="238"/>
      <c r="DB56" s="238"/>
      <c r="DC56" s="238"/>
      <c r="DD56" s="238"/>
      <c r="DE56" s="238"/>
      <c r="DF56" s="238"/>
      <c r="DG56" s="238"/>
      <c r="DH56" s="63"/>
    </row>
    <row r="57" spans="2:112" x14ac:dyDescent="0.25">
      <c r="B57">
        <v>36</v>
      </c>
      <c r="C57" s="69" t="s">
        <v>539</v>
      </c>
      <c r="D57" s="63" t="str">
        <f>DIST_PHASE_1_v2!E46</f>
        <v>N158_N159</v>
      </c>
      <c r="E57" s="63">
        <f>DIST_PHASE_1_v2!G46</f>
        <v>8.3000000000000004E-2</v>
      </c>
      <c r="F57" s="63">
        <f>DIST_PHASE_1_v2!L46</f>
        <v>350</v>
      </c>
      <c r="G57" s="63">
        <f>DIST_PHASE_1_v2!M46</f>
        <v>150</v>
      </c>
      <c r="H57" s="63">
        <f>DIST_PHASE_1_v2!N46</f>
        <v>83</v>
      </c>
      <c r="I57" s="63">
        <f t="shared" si="10"/>
        <v>13.750934806828466</v>
      </c>
      <c r="J57" s="63">
        <f t="shared" si="11"/>
        <v>8.3000000000000004E-2</v>
      </c>
      <c r="K57" s="63">
        <f t="shared" si="12"/>
        <v>0.13691935675646288</v>
      </c>
      <c r="L57" s="63">
        <f t="shared" si="38"/>
        <v>3.0551162495538478</v>
      </c>
      <c r="M57" s="63">
        <f t="shared" si="13"/>
        <v>8.9596935076183562E-2</v>
      </c>
      <c r="P57" s="63">
        <f t="shared" si="14"/>
        <v>35</v>
      </c>
      <c r="Q57" s="63">
        <v>36</v>
      </c>
      <c r="R57" s="63" t="str">
        <f>DIST_PHASE_1_v2!Q46</f>
        <v>-</v>
      </c>
      <c r="S57" s="63" t="str">
        <f>DIST_PHASE_1_v2!R46</f>
        <v>N157_N158</v>
      </c>
      <c r="T57" s="63">
        <f>DIST_PHASE_1_v2!T46</f>
        <v>2.9028999999999999E-2</v>
      </c>
      <c r="U57" s="63">
        <f>DIST_PHASE_1_v2!Y46</f>
        <v>200</v>
      </c>
      <c r="V57" s="63">
        <v>150</v>
      </c>
      <c r="W57" s="63">
        <f>DIST_PHASE_1_v2!AA46</f>
        <v>75</v>
      </c>
      <c r="X57" s="63">
        <f t="shared" si="15"/>
        <v>189.73774259339575</v>
      </c>
      <c r="Y57" s="63" cm="1">
        <f t="array" ref="Y57">INDEX($M$22:$M$91,P57,1)</f>
        <v>8.1596935076183555E-2</v>
      </c>
      <c r="Z57" s="63" cm="1">
        <f t="array" ref="Z57">IF(P57&gt;0,
IF(INDEX($C$22:$C$91,P57,1)="positif",1,-1),0)</f>
        <v>1</v>
      </c>
      <c r="AA57" s="63">
        <f t="shared" si="17"/>
        <v>-1</v>
      </c>
      <c r="AB57" s="63">
        <f t="shared" si="47"/>
        <v>1.8305166876164278</v>
      </c>
      <c r="AC57" s="63">
        <f t="shared" si="48"/>
        <v>41.547110835724631</v>
      </c>
      <c r="AD57" s="63" t="e">
        <f t="shared" si="46"/>
        <v>#VALUE!</v>
      </c>
      <c r="AF57" s="63" t="e">
        <f t="shared" si="18"/>
        <v>#VALUE!</v>
      </c>
      <c r="AJ57" s="63">
        <f t="shared" si="19"/>
        <v>13</v>
      </c>
      <c r="AK57" s="63">
        <v>36</v>
      </c>
      <c r="AL57" s="63" t="str">
        <f>TRONCONS_V2!AI44</f>
        <v>negatif</v>
      </c>
      <c r="AM57" s="63" t="str">
        <f>TRONCONS_V2!AE44</f>
        <v>N133_N134</v>
      </c>
      <c r="AN57" s="63">
        <f>DIST_PHASE_1_v2!AG46</f>
        <v>5.8057999999999998E-2</v>
      </c>
      <c r="AO57" s="63">
        <f>DIST_PHASE_1_v2!AL46</f>
        <v>300</v>
      </c>
      <c r="AP57" s="63">
        <v>150</v>
      </c>
      <c r="AQ57" s="63">
        <f>TRONCONS_V2!AG44</f>
        <v>133</v>
      </c>
      <c r="AR57" s="63">
        <f t="shared" si="20"/>
        <v>46.687818723741124</v>
      </c>
      <c r="AS57" s="63" t="e" cm="1">
        <f t="array" ref="AS57">INDEX($AD$22:$AD$91,AJ57,1)</f>
        <v>#VALUE!</v>
      </c>
      <c r="AT57" s="63" t="e">
        <f t="shared" si="51"/>
        <v>#VALUE!</v>
      </c>
      <c r="AU57" s="63" t="e">
        <f t="shared" si="22"/>
        <v>#VALUE!</v>
      </c>
      <c r="AV57" s="63" t="e">
        <f t="shared" si="2"/>
        <v>#VALUE!</v>
      </c>
      <c r="AZ57" s="63">
        <f t="shared" si="49"/>
        <v>0</v>
      </c>
      <c r="BA57" s="63">
        <v>36</v>
      </c>
      <c r="BB57" s="63" t="str">
        <f>DIST_PHASE_1_v2!AQ46</f>
        <v>-</v>
      </c>
      <c r="BC57" s="63" t="str">
        <f>DIST_PHASE_1_v2!AR46</f>
        <v>N85_N86</v>
      </c>
      <c r="BD57" s="63">
        <f>DIST_PHASE_1_v2!AT46</f>
        <v>0.119923</v>
      </c>
      <c r="BE57" s="63">
        <f>DIST_PHASE_1_v2!AY46</f>
        <v>400</v>
      </c>
      <c r="BF57" s="63">
        <f>DIST_PHASE_1_v2!AZ46</f>
        <v>150</v>
      </c>
      <c r="BG57" s="63">
        <f>DIST_PHASE_1_v2!BA46</f>
        <v>73</v>
      </c>
      <c r="BH57" s="63">
        <f t="shared" si="23"/>
        <v>6.3110005366145119</v>
      </c>
      <c r="BI57" s="63" t="str">
        <f t="shared" si="40"/>
        <v/>
      </c>
      <c r="BJ57" s="63">
        <f t="shared" si="52"/>
        <v>0.12422975194362795</v>
      </c>
      <c r="BK57" s="63" t="e">
        <f t="shared" si="24"/>
        <v>#VALUE!</v>
      </c>
      <c r="BL57" s="63" t="e">
        <f t="shared" si="50"/>
        <v>#VALUE!</v>
      </c>
      <c r="BP57" s="63">
        <f t="shared" si="5"/>
        <v>15</v>
      </c>
      <c r="BQ57" s="63">
        <v>36</v>
      </c>
      <c r="BR57" s="63" t="str">
        <f>DIST_PHASE_1_v2!BF46</f>
        <v>-</v>
      </c>
      <c r="BS57" s="63" t="str">
        <f>DIST_PHASE_1_v2!BG46</f>
        <v>N64_N65</v>
      </c>
      <c r="BT57" s="63">
        <f>DIST_PHASE_1_v2!BI46</f>
        <v>3.2837000000000005E-2</v>
      </c>
      <c r="BU57" s="63">
        <f>DIST_PHASE_1_v2!BN46</f>
        <v>250</v>
      </c>
      <c r="BV57" s="63">
        <f>DIST_PHASE_1_v2!BO46</f>
        <v>150</v>
      </c>
      <c r="BW57" s="63">
        <f>DIST_PHASE_1_v2!BP46</f>
        <v>73</v>
      </c>
      <c r="BX57" s="63">
        <f t="shared" si="25"/>
        <v>62.282588330910201</v>
      </c>
      <c r="BY57" s="63" t="e" cm="1">
        <f t="array" ref="BY57">INDEX($BL$22:$BL$58,BP57,1)</f>
        <v>#VALUE!</v>
      </c>
      <c r="BZ57" s="63" t="e">
        <f t="shared" si="27"/>
        <v>#VALUE!</v>
      </c>
      <c r="CA57" s="63" t="e">
        <f t="shared" si="28"/>
        <v>#VALUE!</v>
      </c>
      <c r="CB57" s="63" t="e">
        <f t="shared" si="6"/>
        <v>#VALUE!</v>
      </c>
      <c r="CF57" s="63">
        <f t="shared" si="7"/>
        <v>0</v>
      </c>
      <c r="CG57" s="63">
        <v>36</v>
      </c>
      <c r="CH57" s="63" t="str">
        <f>DIST_PHASE_1_v2!BS46</f>
        <v>-</v>
      </c>
      <c r="CI57" s="63" t="str">
        <f>DIST_PHASE_1_v2!BT46</f>
        <v>N109_N110</v>
      </c>
      <c r="CJ57" s="63">
        <f>DIST_PHASE_1_v2!BV46</f>
        <v>8.3280000000000007E-2</v>
      </c>
      <c r="CK57" s="63">
        <f>DIST_PHASE_1_v2!CA46</f>
        <v>350</v>
      </c>
      <c r="CL57" s="63">
        <v>150</v>
      </c>
      <c r="CM57" s="63">
        <f>DIST_PHASE_1_v2!CC46</f>
        <v>260</v>
      </c>
      <c r="CN57" s="63">
        <f t="shared" si="29"/>
        <v>43.075217467173509</v>
      </c>
      <c r="CO57" s="63" t="str">
        <f t="shared" si="30"/>
        <v/>
      </c>
      <c r="CP57" s="63">
        <f t="shared" si="31"/>
        <v>0.43158752767868452</v>
      </c>
      <c r="CQ57" s="63" t="e">
        <f t="shared" si="32"/>
        <v>#VALUE!</v>
      </c>
      <c r="CR57" s="63" t="e">
        <f t="shared" si="8"/>
        <v>#VALUE!</v>
      </c>
    </row>
    <row r="58" spans="2:112" x14ac:dyDescent="0.25">
      <c r="B58">
        <v>37</v>
      </c>
      <c r="C58" s="69" t="s">
        <v>539</v>
      </c>
      <c r="D58" s="63" t="str">
        <f>DIST_PHASE_1_v2!E47</f>
        <v>N159_N160</v>
      </c>
      <c r="E58" s="63">
        <f>DIST_PHASE_1_v2!G47</f>
        <v>8.4000000000000005E-2</v>
      </c>
      <c r="F58" s="63">
        <f>DIST_PHASE_1_v2!L47</f>
        <v>350</v>
      </c>
      <c r="G58" s="63">
        <f>DIST_PHASE_1_v2!M47</f>
        <v>150</v>
      </c>
      <c r="H58" s="63">
        <f>DIST_PHASE_1_v2!N47</f>
        <v>84</v>
      </c>
      <c r="I58" s="63">
        <f t="shared" si="10"/>
        <v>13.916608720163751</v>
      </c>
      <c r="J58" s="63">
        <f t="shared" si="11"/>
        <v>8.4000000000000005E-2</v>
      </c>
      <c r="K58" s="63">
        <f t="shared" si="12"/>
        <v>0.14167677243743118</v>
      </c>
      <c r="L58" s="63">
        <f t="shared" si="38"/>
        <v>3.1236355065966972</v>
      </c>
      <c r="M58" s="63">
        <f t="shared" si="13"/>
        <v>9.0596935076183563E-2</v>
      </c>
      <c r="P58" s="63">
        <f t="shared" si="14"/>
        <v>36</v>
      </c>
      <c r="Q58" s="63">
        <v>37</v>
      </c>
      <c r="R58" s="63" t="str">
        <f>DIST_PHASE_1_v2!Q47</f>
        <v>-</v>
      </c>
      <c r="S58" s="63" t="str">
        <f>DIST_PHASE_1_v2!R47</f>
        <v>N158_N159</v>
      </c>
      <c r="T58" s="63">
        <f>DIST_PHASE_1_v2!T47</f>
        <v>2.9028999999999999E-2</v>
      </c>
      <c r="U58" s="63">
        <f>DIST_PHASE_1_v2!Y47</f>
        <v>200</v>
      </c>
      <c r="V58" s="63">
        <v>150</v>
      </c>
      <c r="W58" s="63">
        <f>DIST_PHASE_1_v2!AA47</f>
        <v>83</v>
      </c>
      <c r="X58" s="63">
        <f t="shared" si="15"/>
        <v>209.97643513669126</v>
      </c>
      <c r="Y58" s="63" cm="1">
        <f t="array" ref="Y58">INDEX($M$22:$M$91,P58,1)</f>
        <v>8.9596935076183562E-2</v>
      </c>
      <c r="Z58" s="63" cm="1">
        <f t="array" ref="Z58">IF(P58&gt;0,
IF(INDEX($C$22:$C$91,P58,1)="positif",1,-1),0)</f>
        <v>1</v>
      </c>
      <c r="AA58" s="63">
        <f t="shared" si="17"/>
        <v>-1</v>
      </c>
      <c r="AB58" s="63">
        <f t="shared" si="47"/>
        <v>2.4088928286696114</v>
      </c>
      <c r="AC58" s="63">
        <f t="shared" si="48"/>
        <v>49.792657694180491</v>
      </c>
      <c r="AD58" s="63" t="e">
        <f t="shared" si="46"/>
        <v>#VALUE!</v>
      </c>
      <c r="AF58" s="63" t="e">
        <f t="shared" si="18"/>
        <v>#VALUE!</v>
      </c>
      <c r="AJ58" s="63">
        <f t="shared" si="19"/>
        <v>14</v>
      </c>
      <c r="AK58" s="63">
        <v>37</v>
      </c>
      <c r="AL58" s="63" t="str">
        <f>TRONCONS_V2!AI45</f>
        <v>negatif</v>
      </c>
      <c r="AM58" s="63" t="str">
        <f>TRONCONS_V2!AE45</f>
        <v>N134_N135</v>
      </c>
      <c r="AN58" s="63">
        <f>DIST_PHASE_1_v2!AG47</f>
        <v>5.8057999999999998E-2</v>
      </c>
      <c r="AO58" s="63">
        <f>DIST_PHASE_1_v2!AL47</f>
        <v>300</v>
      </c>
      <c r="AP58" s="63">
        <v>150</v>
      </c>
      <c r="AQ58" s="63">
        <f>TRONCONS_V2!AG45</f>
        <v>134</v>
      </c>
      <c r="AR58" s="63">
        <f t="shared" si="20"/>
        <v>47.038854954746704</v>
      </c>
      <c r="AS58" s="63" t="e" cm="1">
        <f t="array" ref="AS58">INDEX($AD$22:$AD$91,AJ58,1)</f>
        <v>#VALUE!</v>
      </c>
      <c r="AT58" s="63" t="e">
        <f t="shared" si="51"/>
        <v>#VALUE!</v>
      </c>
      <c r="AU58" s="63" t="e">
        <f t="shared" si="22"/>
        <v>#VALUE!</v>
      </c>
      <c r="AV58" s="63" t="e">
        <f t="shared" si="2"/>
        <v>#VALUE!</v>
      </c>
      <c r="AZ58" s="63">
        <f t="shared" si="49"/>
        <v>0</v>
      </c>
      <c r="BA58" s="63">
        <v>37</v>
      </c>
      <c r="BB58" s="63" t="str">
        <f>DIST_PHASE_1_v2!AQ47</f>
        <v>-</v>
      </c>
      <c r="BC58" s="63" t="str">
        <f>DIST_PHASE_1_v2!AR47</f>
        <v>N86_N87</v>
      </c>
      <c r="BD58" s="63">
        <f>DIST_PHASE_1_v2!AT47</f>
        <v>0.119923</v>
      </c>
      <c r="BE58" s="63">
        <f>DIST_PHASE_1_v2!AY47</f>
        <v>400</v>
      </c>
      <c r="BF58" s="63">
        <f>DIST_PHASE_1_v2!AZ47</f>
        <v>150</v>
      </c>
      <c r="BG58" s="63">
        <f>DIST_PHASE_1_v2!BA47</f>
        <v>77</v>
      </c>
      <c r="BH58" s="63">
        <f t="shared" si="23"/>
        <v>6.6568087851961293</v>
      </c>
      <c r="BI58" s="63" t="str">
        <f t="shared" si="40"/>
        <v/>
      </c>
      <c r="BJ58" s="63">
        <f t="shared" si="52"/>
        <v>0.13103686163916922</v>
      </c>
      <c r="BK58" s="63" t="e">
        <f t="shared" si="24"/>
        <v>#VALUE!</v>
      </c>
      <c r="BL58" s="63" t="e">
        <f t="shared" si="50"/>
        <v>#VALUE!</v>
      </c>
      <c r="BP58" s="63">
        <f t="shared" si="5"/>
        <v>16</v>
      </c>
      <c r="BQ58" s="63">
        <v>37</v>
      </c>
      <c r="BR58" s="63" t="str">
        <f>DIST_PHASE_1_v2!BF47</f>
        <v>-</v>
      </c>
      <c r="BS58" s="63" t="str">
        <f>DIST_PHASE_1_v2!BG47</f>
        <v>N65_N66</v>
      </c>
      <c r="BT58" s="63">
        <f>DIST_PHASE_1_v2!BI47</f>
        <v>3.2837000000000005E-2</v>
      </c>
      <c r="BU58" s="63">
        <f>DIST_PHASE_1_v2!BN47</f>
        <v>250</v>
      </c>
      <c r="BV58" s="63">
        <f>DIST_PHASE_1_v2!BO47</f>
        <v>150</v>
      </c>
      <c r="BW58" s="63">
        <f>DIST_PHASE_1_v2!BP47</f>
        <v>65</v>
      </c>
      <c r="BX58" s="63">
        <f t="shared" si="25"/>
        <v>55.457099198755657</v>
      </c>
      <c r="BY58" s="63" t="e" cm="1">
        <f t="array" ref="BY58">INDEX($BL$22:$BL$58,BP58,1)</f>
        <v>#VALUE!</v>
      </c>
      <c r="BZ58" s="63" t="e">
        <f t="shared" si="27"/>
        <v>#VALUE!</v>
      </c>
      <c r="CA58" s="63" t="e">
        <f t="shared" si="28"/>
        <v>#VALUE!</v>
      </c>
      <c r="CB58" s="63" t="e">
        <f t="shared" si="6"/>
        <v>#VALUE!</v>
      </c>
      <c r="CF58" s="63">
        <f t="shared" si="7"/>
        <v>0</v>
      </c>
      <c r="CG58" s="63">
        <v>37</v>
      </c>
      <c r="CH58" s="63" t="str">
        <f>DIST_PHASE_1_v2!BS47</f>
        <v>-</v>
      </c>
      <c r="CI58" s="63" t="str">
        <f>DIST_PHASE_1_v2!BT47</f>
        <v>N110_N121</v>
      </c>
      <c r="CJ58" s="63">
        <f>DIST_PHASE_1_v2!BV47</f>
        <v>8.3280000000000007E-2</v>
      </c>
      <c r="CK58" s="63">
        <f>DIST_PHASE_1_v2!CA47</f>
        <v>350</v>
      </c>
      <c r="CL58" s="63">
        <v>150</v>
      </c>
      <c r="CM58" s="63">
        <f>DIST_PHASE_1_v2!CC47</f>
        <v>81</v>
      </c>
      <c r="CN58" s="63">
        <f t="shared" si="29"/>
        <v>13.419586980157902</v>
      </c>
      <c r="CO58" s="63" t="str">
        <f t="shared" si="30"/>
        <v/>
      </c>
      <c r="CP58" s="63">
        <f t="shared" si="31"/>
        <v>0.13445611439220556</v>
      </c>
      <c r="CQ58" s="63" t="e">
        <f t="shared" si="32"/>
        <v>#VALUE!</v>
      </c>
      <c r="CR58" s="63" t="e">
        <f t="shared" si="8"/>
        <v>#VALUE!</v>
      </c>
    </row>
    <row r="59" spans="2:112" x14ac:dyDescent="0.25">
      <c r="B59">
        <v>38</v>
      </c>
      <c r="C59" s="69" t="s">
        <v>539</v>
      </c>
      <c r="D59" s="63" t="str">
        <f>DIST_PHASE_1_v2!E48</f>
        <v>N160_N161</v>
      </c>
      <c r="E59" s="63">
        <f>DIST_PHASE_1_v2!G48</f>
        <v>7.8E-2</v>
      </c>
      <c r="F59" s="63">
        <f>DIST_PHASE_1_v2!L48</f>
        <v>350</v>
      </c>
      <c r="G59" s="63">
        <f>DIST_PHASE_1_v2!M48</f>
        <v>150</v>
      </c>
      <c r="H59" s="63">
        <f>DIST_PHASE_1_v2!N48</f>
        <v>78</v>
      </c>
      <c r="I59" s="63">
        <f t="shared" si="10"/>
        <v>12.922565240152053</v>
      </c>
      <c r="J59" s="63">
        <f t="shared" si="11"/>
        <v>7.8E-2</v>
      </c>
      <c r="K59" s="63">
        <f t="shared" si="12"/>
        <v>0.11468534822271816</v>
      </c>
      <c r="L59" s="63">
        <f t="shared" si="38"/>
        <v>2.7230418578009496</v>
      </c>
      <c r="M59" s="63">
        <f t="shared" si="13"/>
        <v>8.4596935076183558E-2</v>
      </c>
      <c r="P59" s="63">
        <f t="shared" si="14"/>
        <v>37</v>
      </c>
      <c r="Q59" s="63">
        <v>38</v>
      </c>
      <c r="R59" s="63" t="str">
        <f>DIST_PHASE_1_v2!Q48</f>
        <v>-</v>
      </c>
      <c r="S59" s="63" t="str">
        <f>DIST_PHASE_1_v2!R48</f>
        <v>N159_N160</v>
      </c>
      <c r="T59" s="63">
        <f>DIST_PHASE_1_v2!T48</f>
        <v>2.9028999999999999E-2</v>
      </c>
      <c r="U59" s="63">
        <f>DIST_PHASE_1_v2!Y48</f>
        <v>200</v>
      </c>
      <c r="V59" s="63">
        <v>150</v>
      </c>
      <c r="W59" s="63">
        <f>DIST_PHASE_1_v2!AA48</f>
        <v>84</v>
      </c>
      <c r="X59" s="63">
        <f t="shared" si="15"/>
        <v>212.50627170460322</v>
      </c>
      <c r="Y59" s="63" cm="1">
        <f t="array" ref="Y59">INDEX($M$22:$M$91,P59,1)</f>
        <v>9.0596935076183563E-2</v>
      </c>
      <c r="Z59" s="63" cm="1">
        <f t="array" ref="Z59">IF(P59&gt;0,
IF(INDEX($C$22:$C$91,P59,1)="positif",1,-1),0)</f>
        <v>1</v>
      </c>
      <c r="AA59" s="63">
        <f t="shared" si="17"/>
        <v>-1</v>
      </c>
      <c r="AB59" s="63">
        <f t="shared" si="47"/>
        <v>2.4885476694281339</v>
      </c>
      <c r="AC59" s="63">
        <f t="shared" si="48"/>
        <v>50.871370868179383</v>
      </c>
      <c r="AD59" s="63" t="e">
        <f t="shared" si="46"/>
        <v>#VALUE!</v>
      </c>
      <c r="AF59" s="63" t="e">
        <f t="shared" si="18"/>
        <v>#VALUE!</v>
      </c>
      <c r="AJ59" s="63">
        <f>COUNTIF(AJ22:AJ58,"&gt;0")</f>
        <v>9</v>
      </c>
      <c r="AK59" s="63"/>
      <c r="AL59" s="63"/>
      <c r="AM59" s="63" t="s">
        <v>380</v>
      </c>
      <c r="AN59" s="63"/>
      <c r="AO59" s="63"/>
      <c r="AP59" s="63"/>
      <c r="AQ59" s="63"/>
      <c r="AR59" s="63"/>
      <c r="AS59" s="63"/>
      <c r="AT59" s="63" t="e">
        <f>SUM(AT22:AT58)</f>
        <v>#VALUE!</v>
      </c>
      <c r="AU59" s="63" t="e">
        <f>SUM(AU22:AU58)</f>
        <v>#VALUE!</v>
      </c>
      <c r="AV59" s="63"/>
      <c r="AZ59" s="63">
        <f t="shared" si="49"/>
        <v>0</v>
      </c>
      <c r="BA59" s="63">
        <v>38</v>
      </c>
      <c r="BB59" s="63" t="str">
        <f>DIST_PHASE_1_v2!AQ48</f>
        <v>-</v>
      </c>
      <c r="BC59" s="63" t="str">
        <f>DIST_PHASE_1_v2!AR48</f>
        <v>N87_N88</v>
      </c>
      <c r="BD59" s="63">
        <f>DIST_PHASE_1_v2!AT48</f>
        <v>0.119923</v>
      </c>
      <c r="BE59" s="63">
        <f>DIST_PHASE_1_v2!AY48</f>
        <v>400</v>
      </c>
      <c r="BF59" s="63">
        <f>DIST_PHASE_1_v2!AZ48</f>
        <v>150</v>
      </c>
      <c r="BG59" s="63">
        <f>DIST_PHASE_1_v2!BA48</f>
        <v>250</v>
      </c>
      <c r="BH59" s="63">
        <f t="shared" si="23"/>
        <v>21.613015536351067</v>
      </c>
      <c r="BI59" s="63" t="str">
        <f t="shared" si="40"/>
        <v/>
      </c>
      <c r="BJ59" s="63">
        <f t="shared" si="52"/>
        <v>0.42544435597132857</v>
      </c>
      <c r="BK59" s="63" t="e">
        <f t="shared" si="24"/>
        <v>#VALUE!</v>
      </c>
      <c r="BL59" s="63" t="e">
        <f t="shared" si="50"/>
        <v>#VALUE!</v>
      </c>
      <c r="BP59" s="63">
        <f t="shared" si="5"/>
        <v>17</v>
      </c>
      <c r="BQ59" s="63">
        <v>38</v>
      </c>
      <c r="BR59" s="63" t="str">
        <f>DIST_PHASE_1_v2!BF48</f>
        <v>-</v>
      </c>
      <c r="BS59" s="63" t="str">
        <f>DIST_PHASE_1_v2!BG48</f>
        <v>N66_N67</v>
      </c>
      <c r="BT59" s="63">
        <f>DIST_PHASE_1_v2!BI48</f>
        <v>3.2837000000000005E-2</v>
      </c>
      <c r="BU59" s="63">
        <f>DIST_PHASE_1_v2!BN48</f>
        <v>250</v>
      </c>
      <c r="BV59" s="63">
        <f>DIST_PHASE_1_v2!BO48</f>
        <v>150</v>
      </c>
      <c r="BW59" s="63">
        <f>DIST_PHASE_1_v2!BP48</f>
        <v>45</v>
      </c>
      <c r="BX59" s="63">
        <f t="shared" si="25"/>
        <v>38.393376368369303</v>
      </c>
      <c r="BY59" s="63" t="e" cm="1">
        <f t="array" ref="BY59">INDEX($BL$22:$BL$58,BP59,1)</f>
        <v>#VALUE!</v>
      </c>
      <c r="BZ59" s="63" t="e">
        <f t="shared" si="27"/>
        <v>#VALUE!</v>
      </c>
      <c r="CA59" s="63" t="e">
        <f t="shared" si="28"/>
        <v>#VALUE!</v>
      </c>
      <c r="CB59" s="63" t="e">
        <f t="shared" si="6"/>
        <v>#VALUE!</v>
      </c>
      <c r="CF59" s="63">
        <f t="shared" si="7"/>
        <v>0</v>
      </c>
      <c r="CG59" s="63">
        <v>38</v>
      </c>
      <c r="CH59" s="63" t="str">
        <f>DIST_PHASE_1_v2!BS48</f>
        <v>+</v>
      </c>
      <c r="CI59" s="63" t="str">
        <f>DIST_PHASE_1_v2!BT48</f>
        <v>N111_N112</v>
      </c>
      <c r="CJ59" s="63">
        <f>DIST_PHASE_1_v2!BV48</f>
        <v>3.2837000000000005E-2</v>
      </c>
      <c r="CK59" s="63">
        <f>DIST_PHASE_1_v2!CA48</f>
        <v>250</v>
      </c>
      <c r="CL59" s="63">
        <v>150</v>
      </c>
      <c r="CM59" s="63">
        <f>DIST_PHASE_1_v2!CC48</f>
        <v>234</v>
      </c>
      <c r="CN59" s="63">
        <f t="shared" si="29"/>
        <v>199.64555711552038</v>
      </c>
      <c r="CO59" s="63" t="str">
        <f t="shared" si="30"/>
        <v/>
      </c>
      <c r="CP59" s="63">
        <f t="shared" si="31"/>
        <v>0.35691500121726061</v>
      </c>
      <c r="CQ59" s="63" t="e">
        <f t="shared" si="32"/>
        <v>#VALUE!</v>
      </c>
      <c r="CR59" s="63" t="e">
        <f t="shared" si="8"/>
        <v>#VALUE!</v>
      </c>
    </row>
    <row r="60" spans="2:112" x14ac:dyDescent="0.25">
      <c r="B60">
        <v>39</v>
      </c>
      <c r="C60" s="69" t="s">
        <v>539</v>
      </c>
      <c r="D60" s="63" t="str">
        <f>DIST_PHASE_1_v2!E49</f>
        <v>N161_N162</v>
      </c>
      <c r="E60" s="63">
        <f>DIST_PHASE_1_v2!G49</f>
        <v>0.151</v>
      </c>
      <c r="F60" s="63">
        <f>DIST_PHASE_1_v2!L49</f>
        <v>466</v>
      </c>
      <c r="G60" s="63">
        <f>DIST_PHASE_1_v2!M49</f>
        <v>150</v>
      </c>
      <c r="H60" s="63">
        <f>DIST_PHASE_1_v2!N49</f>
        <v>151</v>
      </c>
      <c r="I60" s="63">
        <f t="shared" si="10"/>
        <v>6.204099035985351</v>
      </c>
      <c r="J60" s="63">
        <f t="shared" si="11"/>
        <v>0.151</v>
      </c>
      <c r="K60" s="63">
        <f t="shared" si="12"/>
        <v>0.18713026311110245</v>
      </c>
      <c r="L60" s="63">
        <f t="shared" si="38"/>
        <v>2.2951340879586879</v>
      </c>
      <c r="M60" s="63">
        <f t="shared" si="13"/>
        <v>0.15759693507618355</v>
      </c>
      <c r="P60" s="63">
        <f t="shared" si="14"/>
        <v>38</v>
      </c>
      <c r="Q60" s="63">
        <v>39</v>
      </c>
      <c r="R60" s="63" t="str">
        <f>DIST_PHASE_1_v2!Q49</f>
        <v>-</v>
      </c>
      <c r="S60" s="63" t="str">
        <f>DIST_PHASE_1_v2!R49</f>
        <v>N160_N161</v>
      </c>
      <c r="T60" s="63">
        <f>DIST_PHASE_1_v2!T49</f>
        <v>2.9028999999999999E-2</v>
      </c>
      <c r="U60" s="63">
        <f>DIST_PHASE_1_v2!Y49</f>
        <v>200</v>
      </c>
      <c r="V60" s="63">
        <v>150</v>
      </c>
      <c r="W60" s="63">
        <f>DIST_PHASE_1_v2!AA49</f>
        <v>78</v>
      </c>
      <c r="X60" s="63">
        <f t="shared" si="15"/>
        <v>197.32725229713157</v>
      </c>
      <c r="Y60" s="63" cm="1">
        <f t="array" ref="Y60">INDEX($M$22:$M$91,P60,1)</f>
        <v>8.4596935076183558E-2</v>
      </c>
      <c r="Z60" s="63" cm="1">
        <f t="array" ref="Z60">IF(P60&gt;0,
IF(INDEX($C$22:$C$91,P60,1)="positif",1,-1),0)</f>
        <v>1</v>
      </c>
      <c r="AA60" s="63">
        <f t="shared" si="17"/>
        <v>-1</v>
      </c>
      <c r="AB60" s="63">
        <f t="shared" si="47"/>
        <v>2.0353909603128959</v>
      </c>
      <c r="AC60" s="63">
        <f t="shared" si="48"/>
        <v>44.558872671980723</v>
      </c>
      <c r="AD60" s="63" t="e">
        <f t="shared" si="46"/>
        <v>#VALUE!</v>
      </c>
      <c r="AF60" s="63" t="e">
        <f t="shared" si="18"/>
        <v>#VALUE!</v>
      </c>
      <c r="AJ60" s="63"/>
      <c r="AK60" s="63"/>
      <c r="AL60" s="63"/>
      <c r="AM60" s="82" t="s">
        <v>381</v>
      </c>
      <c r="AN60" s="238" t="e">
        <f>-AT59/AU59</f>
        <v>#VALUE!</v>
      </c>
      <c r="AO60" s="238"/>
      <c r="AP60" s="238"/>
      <c r="AQ60" s="238"/>
      <c r="AR60" s="238"/>
      <c r="AS60" s="238"/>
      <c r="AT60" s="238"/>
      <c r="AU60" s="238"/>
      <c r="AV60" s="63"/>
      <c r="AZ60" s="63">
        <f t="shared" si="49"/>
        <v>0</v>
      </c>
      <c r="BA60" s="63">
        <v>39</v>
      </c>
      <c r="BB60" s="63" t="str">
        <f>DIST_PHASE_1_v2!AQ49</f>
        <v>-</v>
      </c>
      <c r="BC60" s="63" t="str">
        <f>DIST_PHASE_1_v2!AR49</f>
        <v>N88_N89</v>
      </c>
      <c r="BD60" s="63">
        <f>DIST_PHASE_1_v2!AT49</f>
        <v>0.119923</v>
      </c>
      <c r="BE60" s="63">
        <f>DIST_PHASE_1_v2!AY49</f>
        <v>400</v>
      </c>
      <c r="BF60" s="63">
        <f>DIST_PHASE_1_v2!AZ49</f>
        <v>150</v>
      </c>
      <c r="BG60" s="63">
        <f>DIST_PHASE_1_v2!BA49</f>
        <v>63</v>
      </c>
      <c r="BH60" s="63">
        <f t="shared" si="23"/>
        <v>5.4464799151604693</v>
      </c>
      <c r="BI60" s="63" t="str">
        <f t="shared" si="40"/>
        <v/>
      </c>
      <c r="BJ60" s="63">
        <f t="shared" si="52"/>
        <v>0.10721197770477481</v>
      </c>
      <c r="BK60" s="63" t="e">
        <f t="shared" si="24"/>
        <v>#VALUE!</v>
      </c>
      <c r="BL60" s="63" t="e">
        <f t="shared" si="50"/>
        <v>#VALUE!</v>
      </c>
      <c r="BP60" s="63">
        <f t="shared" si="5"/>
        <v>18</v>
      </c>
      <c r="BQ60" s="63">
        <v>39</v>
      </c>
      <c r="BR60" s="63" t="str">
        <f>DIST_PHASE_1_v2!BF49</f>
        <v>-</v>
      </c>
      <c r="BS60" s="63" t="str">
        <f>DIST_PHASE_1_v2!BG49</f>
        <v>N67_N68</v>
      </c>
      <c r="BT60" s="63">
        <f>DIST_PHASE_1_v2!BI49</f>
        <v>3.2837000000000005E-2</v>
      </c>
      <c r="BU60" s="63">
        <f>DIST_PHASE_1_v2!BN49</f>
        <v>250</v>
      </c>
      <c r="BV60" s="63">
        <f>DIST_PHASE_1_v2!BO49</f>
        <v>150</v>
      </c>
      <c r="BW60" s="63">
        <f>DIST_PHASE_1_v2!BP49</f>
        <v>100</v>
      </c>
      <c r="BX60" s="63">
        <f t="shared" si="25"/>
        <v>85.318614151931783</v>
      </c>
      <c r="BY60" s="63" t="e" cm="1">
        <f t="array" ref="BY60">INDEX($BL$22:$BL$58,BP60,1)</f>
        <v>#VALUE!</v>
      </c>
      <c r="BZ60" s="63" t="e">
        <f t="shared" si="27"/>
        <v>#VALUE!</v>
      </c>
      <c r="CA60" s="63" t="e">
        <f t="shared" si="28"/>
        <v>#VALUE!</v>
      </c>
      <c r="CB60" s="63" t="e">
        <f t="shared" si="6"/>
        <v>#VALUE!</v>
      </c>
      <c r="CF60" s="63">
        <f t="shared" si="7"/>
        <v>0</v>
      </c>
      <c r="CG60" s="63">
        <v>39</v>
      </c>
      <c r="CH60" s="63" t="str">
        <f>DIST_PHASE_1_v2!BS49</f>
        <v>+</v>
      </c>
      <c r="CI60" s="63" t="str">
        <f>DIST_PHASE_1_v2!BT49</f>
        <v>N112_N113</v>
      </c>
      <c r="CJ60" s="63">
        <f>DIST_PHASE_1_v2!BV49</f>
        <v>3.2837000000000005E-2</v>
      </c>
      <c r="CK60" s="63">
        <f>DIST_PHASE_1_v2!CA49</f>
        <v>250</v>
      </c>
      <c r="CL60" s="63">
        <v>150</v>
      </c>
      <c r="CM60" s="63">
        <f>DIST_PHASE_1_v2!CC49</f>
        <v>74</v>
      </c>
      <c r="CN60" s="63">
        <f t="shared" si="29"/>
        <v>63.135774472429517</v>
      </c>
      <c r="CO60" s="63" t="str">
        <f t="shared" si="30"/>
        <v/>
      </c>
      <c r="CP60" s="63">
        <f t="shared" si="31"/>
        <v>0.1128705559405012</v>
      </c>
      <c r="CQ60" s="63" t="e">
        <f t="shared" si="32"/>
        <v>#VALUE!</v>
      </c>
      <c r="CR60" s="63" t="e">
        <f t="shared" si="8"/>
        <v>#VALUE!</v>
      </c>
    </row>
    <row r="61" spans="2:112" x14ac:dyDescent="0.25">
      <c r="B61">
        <v>40</v>
      </c>
      <c r="C61" s="69" t="s">
        <v>539</v>
      </c>
      <c r="D61" s="63" t="str">
        <f>DIST_PHASE_1_v2!E50</f>
        <v>N162_N163</v>
      </c>
      <c r="E61" s="63">
        <f>DIST_PHASE_1_v2!G50</f>
        <v>5.3999999999999999E-2</v>
      </c>
      <c r="F61" s="63">
        <f>DIST_PHASE_1_v2!L50</f>
        <v>300</v>
      </c>
      <c r="G61" s="63">
        <f>DIST_PHASE_1_v2!M50</f>
        <v>150</v>
      </c>
      <c r="H61" s="63">
        <f>DIST_PHASE_1_v2!N50</f>
        <v>54</v>
      </c>
      <c r="I61" s="63">
        <f t="shared" si="10"/>
        <v>18.955956474300912</v>
      </c>
      <c r="J61" s="63">
        <f t="shared" si="11"/>
        <v>5.3999999999999999E-2</v>
      </c>
      <c r="K61" s="63">
        <f t="shared" si="12"/>
        <v>8.5141039063695509E-2</v>
      </c>
      <c r="L61" s="63">
        <f t="shared" si="38"/>
        <v>2.9200223027030376</v>
      </c>
      <c r="M61" s="63">
        <f t="shared" si="13"/>
        <v>6.059693507618355E-2</v>
      </c>
      <c r="P61" s="63">
        <f t="shared" si="14"/>
        <v>39</v>
      </c>
      <c r="Q61" s="63">
        <v>40</v>
      </c>
      <c r="R61" s="63" t="str">
        <f>DIST_PHASE_1_v2!Q50</f>
        <v>-</v>
      </c>
      <c r="S61" s="63" t="str">
        <f>DIST_PHASE_1_v2!R50</f>
        <v>N161_N162</v>
      </c>
      <c r="T61" s="63">
        <f>DIST_PHASE_1_v2!T50</f>
        <v>2.9028999999999999E-2</v>
      </c>
      <c r="U61" s="63">
        <f>DIST_PHASE_1_v2!Y50</f>
        <v>200</v>
      </c>
      <c r="V61" s="63">
        <v>150</v>
      </c>
      <c r="W61" s="63">
        <f>DIST_PHASE_1_v2!AA50</f>
        <v>151</v>
      </c>
      <c r="X61" s="63">
        <f t="shared" si="15"/>
        <v>382.0053217547034</v>
      </c>
      <c r="Y61" s="63" cm="1">
        <f t="array" ref="Y61">INDEX($M$22:$M$91,P61,1)</f>
        <v>0.15759693507618355</v>
      </c>
      <c r="Z61" s="63" cm="1">
        <f t="array" ref="Z61">IF(P61&gt;0,
IF(INDEX($C$22:$C$91,P61,1)="positif",1,-1),0)</f>
        <v>1</v>
      </c>
      <c r="AA61" s="63">
        <f t="shared" si="17"/>
        <v>-1</v>
      </c>
      <c r="AB61" s="63">
        <f t="shared" si="47"/>
        <v>12.471763818331654</v>
      </c>
      <c r="AC61" s="63">
        <f t="shared" si="48"/>
        <v>146.56190223740467</v>
      </c>
      <c r="AD61" s="63" t="e">
        <f t="shared" si="46"/>
        <v>#VALUE!</v>
      </c>
      <c r="AF61" s="63" t="e">
        <f t="shared" si="18"/>
        <v>#VALUE!</v>
      </c>
      <c r="AZ61" s="63">
        <f t="shared" si="49"/>
        <v>0</v>
      </c>
      <c r="BA61" s="63">
        <v>40</v>
      </c>
      <c r="BB61" s="63" t="str">
        <f>DIST_PHASE_1_v2!AQ50</f>
        <v>-</v>
      </c>
      <c r="BC61" s="63" t="str">
        <f>DIST_PHASE_1_v2!AR50</f>
        <v>N89_N90</v>
      </c>
      <c r="BD61" s="63">
        <f>DIST_PHASE_1_v2!AT50</f>
        <v>0.119923</v>
      </c>
      <c r="BE61" s="63">
        <f>DIST_PHASE_1_v2!AY50</f>
        <v>400</v>
      </c>
      <c r="BF61" s="63">
        <f>DIST_PHASE_1_v2!AZ50</f>
        <v>150</v>
      </c>
      <c r="BG61" s="63">
        <f>DIST_PHASE_1_v2!BA50</f>
        <v>41</v>
      </c>
      <c r="BH61" s="63">
        <f t="shared" si="23"/>
        <v>3.5445345479615753</v>
      </c>
      <c r="BI61" s="63" t="str">
        <f t="shared" si="40"/>
        <v/>
      </c>
      <c r="BJ61" s="63">
        <f t="shared" si="52"/>
        <v>6.9772874379297897E-2</v>
      </c>
      <c r="BK61" s="63" t="e">
        <f t="shared" si="24"/>
        <v>#VALUE!</v>
      </c>
      <c r="BL61" s="63" t="e">
        <f t="shared" si="50"/>
        <v>#VALUE!</v>
      </c>
      <c r="BP61" s="63">
        <f t="shared" si="5"/>
        <v>19</v>
      </c>
      <c r="BQ61" s="63">
        <v>40</v>
      </c>
      <c r="BR61" s="63" t="str">
        <f>DIST_PHASE_1_v2!BF50</f>
        <v>-</v>
      </c>
      <c r="BS61" s="63" t="str">
        <f>DIST_PHASE_1_v2!BG50</f>
        <v>N68_N69</v>
      </c>
      <c r="BT61" s="63">
        <f>DIST_PHASE_1_v2!BI50</f>
        <v>3.2835999999999997E-2</v>
      </c>
      <c r="BU61" s="63">
        <f>DIST_PHASE_1_v2!BN50</f>
        <v>250</v>
      </c>
      <c r="BV61" s="63">
        <f>DIST_PHASE_1_v2!BO50</f>
        <v>150</v>
      </c>
      <c r="BW61" s="63">
        <f>DIST_PHASE_1_v2!BP50</f>
        <v>202</v>
      </c>
      <c r="BX61" s="63">
        <f t="shared" si="25"/>
        <v>172.3436005869022</v>
      </c>
      <c r="BY61" s="63" t="e" cm="1">
        <f t="array" ref="BY61">INDEX($BL$22:$BL$58,BP61,1)</f>
        <v>#VALUE!</v>
      </c>
      <c r="BZ61" s="63" t="e">
        <f t="shared" si="27"/>
        <v>#VALUE!</v>
      </c>
      <c r="CA61" s="63" t="e">
        <f t="shared" si="28"/>
        <v>#VALUE!</v>
      </c>
      <c r="CB61" s="63" t="e">
        <f t="shared" si="6"/>
        <v>#VALUE!</v>
      </c>
      <c r="CF61" s="63">
        <f t="shared" si="7"/>
        <v>0</v>
      </c>
      <c r="CG61" s="63">
        <v>40</v>
      </c>
      <c r="CH61" s="63" t="str">
        <f>DIST_PHASE_1_v2!BS50</f>
        <v>+</v>
      </c>
      <c r="CI61" s="63" t="str">
        <f>DIST_PHASE_1_v2!BT50</f>
        <v>N113_N114</v>
      </c>
      <c r="CJ61" s="63">
        <f>DIST_PHASE_1_v2!BV50</f>
        <v>3.2837000000000005E-2</v>
      </c>
      <c r="CK61" s="63">
        <f>DIST_PHASE_1_v2!CA50</f>
        <v>250</v>
      </c>
      <c r="CL61" s="63">
        <v>150</v>
      </c>
      <c r="CM61" s="63">
        <f>DIST_PHASE_1_v2!CC50</f>
        <v>79</v>
      </c>
      <c r="CN61" s="63">
        <f t="shared" si="29"/>
        <v>67.401705180026113</v>
      </c>
      <c r="CO61" s="63" t="str">
        <f t="shared" si="30"/>
        <v/>
      </c>
      <c r="CP61" s="63">
        <f t="shared" si="31"/>
        <v>0.12049694485539995</v>
      </c>
      <c r="CQ61" s="63" t="e">
        <f t="shared" si="32"/>
        <v>#VALUE!</v>
      </c>
      <c r="CR61" s="63" t="e">
        <f t="shared" si="8"/>
        <v>#VALUE!</v>
      </c>
    </row>
    <row r="62" spans="2:112" x14ac:dyDescent="0.25">
      <c r="B62">
        <v>41</v>
      </c>
      <c r="C62" s="69" t="s">
        <v>539</v>
      </c>
      <c r="D62" s="63" t="str">
        <f>DIST_PHASE_1_v2!E51</f>
        <v>N163_N164</v>
      </c>
      <c r="E62" s="63">
        <f>DIST_PHASE_1_v2!G51</f>
        <v>3.5000000000000003E-2</v>
      </c>
      <c r="F62" s="63">
        <f>DIST_PHASE_1_v2!L51</f>
        <v>250</v>
      </c>
      <c r="G62" s="63">
        <f>DIST_PHASE_1_v2!M51</f>
        <v>150</v>
      </c>
      <c r="H62" s="63">
        <f>DIST_PHASE_1_v2!N51</f>
        <v>35</v>
      </c>
      <c r="I62" s="63">
        <f t="shared" si="10"/>
        <v>29.861514953176123</v>
      </c>
      <c r="J62" s="63">
        <f t="shared" si="11"/>
        <v>3.5000000000000003E-2</v>
      </c>
      <c r="K62" s="63">
        <f t="shared" si="12"/>
        <v>6.0079437098534257E-2</v>
      </c>
      <c r="L62" s="63">
        <f t="shared" si="38"/>
        <v>3.1790605001852987</v>
      </c>
      <c r="M62" s="63">
        <f t="shared" si="13"/>
        <v>4.1596935076183561E-2</v>
      </c>
      <c r="P62" s="63">
        <f t="shared" si="14"/>
        <v>40</v>
      </c>
      <c r="Q62" s="63">
        <v>41</v>
      </c>
      <c r="R62" s="63" t="str">
        <f>DIST_PHASE_1_v2!Q51</f>
        <v>-</v>
      </c>
      <c r="S62" s="63" t="str">
        <f>DIST_PHASE_1_v2!R51</f>
        <v>N162_N163</v>
      </c>
      <c r="T62" s="63">
        <f>DIST_PHASE_1_v2!T51</f>
        <v>2.9028999999999999E-2</v>
      </c>
      <c r="U62" s="63">
        <f>DIST_PHASE_1_v2!Y51</f>
        <v>200</v>
      </c>
      <c r="V62" s="63">
        <v>150</v>
      </c>
      <c r="W62" s="63">
        <f>DIST_PHASE_1_v2!AA51</f>
        <v>54</v>
      </c>
      <c r="X62" s="63">
        <f t="shared" si="15"/>
        <v>136.61117466724494</v>
      </c>
      <c r="Y62" s="63" cm="1">
        <f t="array" ref="Y62">INDEX($M$22:$M$91,P62,1)</f>
        <v>6.059693507618355E-2</v>
      </c>
      <c r="Z62" s="63" cm="1">
        <f t="array" ref="Z62">IF(P62&gt;0,
IF(INDEX($C$22:$C$91,P62,1)="positif",1,-1),0)</f>
        <v>1</v>
      </c>
      <c r="AA62" s="63">
        <f t="shared" si="17"/>
        <v>-1</v>
      </c>
      <c r="AB62" s="63">
        <f t="shared" si="47"/>
        <v>0.75959980646985081</v>
      </c>
      <c r="AC62" s="63">
        <f t="shared" si="48"/>
        <v>23.215346449676638</v>
      </c>
      <c r="AD62" s="63" t="e">
        <f t="shared" si="46"/>
        <v>#VALUE!</v>
      </c>
      <c r="AF62" s="63" t="e">
        <f t="shared" si="18"/>
        <v>#VALUE!</v>
      </c>
      <c r="AZ62" s="63">
        <f t="shared" si="49"/>
        <v>0</v>
      </c>
      <c r="BA62" s="63">
        <v>41</v>
      </c>
      <c r="BB62" s="63" t="str">
        <f>DIST_PHASE_1_v2!AQ51</f>
        <v>-</v>
      </c>
      <c r="BC62" s="63" t="str">
        <f>DIST_PHASE_1_v2!AR51</f>
        <v>N90_N91</v>
      </c>
      <c r="BD62" s="63">
        <f>DIST_PHASE_1_v2!AT51</f>
        <v>0.119923</v>
      </c>
      <c r="BE62" s="63">
        <f>DIST_PHASE_1_v2!AY51</f>
        <v>400</v>
      </c>
      <c r="BF62" s="63">
        <f>DIST_PHASE_1_v2!AZ51</f>
        <v>150</v>
      </c>
      <c r="BG62" s="63">
        <f>DIST_PHASE_1_v2!BA51</f>
        <v>201</v>
      </c>
      <c r="BH62" s="63">
        <f t="shared" si="23"/>
        <v>17.376864491226261</v>
      </c>
      <c r="BI62" s="63" t="str">
        <f t="shared" si="40"/>
        <v/>
      </c>
      <c r="BJ62" s="63">
        <f t="shared" si="52"/>
        <v>0.34205726220094823</v>
      </c>
      <c r="BK62" s="63" t="e">
        <f t="shared" si="24"/>
        <v>#VALUE!</v>
      </c>
      <c r="BL62" s="63" t="e">
        <f t="shared" si="50"/>
        <v>#VALUE!</v>
      </c>
      <c r="BP62" s="63">
        <f t="shared" si="5"/>
        <v>0</v>
      </c>
      <c r="BQ62" s="63">
        <v>41</v>
      </c>
      <c r="BR62" s="63" t="str">
        <f>DIST_PHASE_1_v2!BF51</f>
        <v>+</v>
      </c>
      <c r="BS62" s="63" t="str">
        <f>DIST_PHASE_1_v2!BG51</f>
        <v>R2_N41</v>
      </c>
      <c r="BT62" s="63">
        <f>DIST_PHASE_1_v2!BI51</f>
        <v>9.851E-2</v>
      </c>
      <c r="BU62" s="63">
        <f>DIST_PHASE_1_v2!BN51</f>
        <v>400</v>
      </c>
      <c r="BV62" s="63">
        <f>DIST_PHASE_1_v2!BO51</f>
        <v>150</v>
      </c>
      <c r="BW62" s="63">
        <f>DIST_PHASE_1_v2!BP51</f>
        <v>9</v>
      </c>
      <c r="BX62" s="63">
        <f t="shared" si="25"/>
        <v>0.7780685593086385</v>
      </c>
      <c r="BY62" s="63" t="str">
        <f t="shared" si="26"/>
        <v/>
      </c>
      <c r="BZ62" s="63">
        <f t="shared" si="27"/>
        <v>1.0640043839006231E-2</v>
      </c>
      <c r="CA62" s="63" t="e">
        <f t="shared" si="28"/>
        <v>#VALUE!</v>
      </c>
      <c r="CB62" s="63" t="e">
        <f t="shared" si="6"/>
        <v>#VALUE!</v>
      </c>
      <c r="CF62" s="63">
        <f t="shared" si="7"/>
        <v>0</v>
      </c>
      <c r="CG62" s="63">
        <v>41</v>
      </c>
      <c r="CH62" s="63" t="str">
        <f>DIST_PHASE_1_v2!BS51</f>
        <v>+</v>
      </c>
      <c r="CI62" s="63" t="str">
        <f>DIST_PHASE_1_v2!BT51</f>
        <v>N114_N115</v>
      </c>
      <c r="CJ62" s="63">
        <f>DIST_PHASE_1_v2!BV51</f>
        <v>3.2837000000000005E-2</v>
      </c>
      <c r="CK62" s="63">
        <f>DIST_PHASE_1_v2!CA51</f>
        <v>250</v>
      </c>
      <c r="CL62" s="63">
        <v>150</v>
      </c>
      <c r="CM62" s="63">
        <f>DIST_PHASE_1_v2!CC51</f>
        <v>241</v>
      </c>
      <c r="CN62" s="63">
        <f t="shared" si="29"/>
        <v>205.6178601061556</v>
      </c>
      <c r="CO62" s="63" t="str">
        <f t="shared" si="30"/>
        <v/>
      </c>
      <c r="CP62" s="63">
        <f t="shared" si="31"/>
        <v>0.36759194569811882</v>
      </c>
      <c r="CQ62" s="63" t="e">
        <f t="shared" si="32"/>
        <v>#VALUE!</v>
      </c>
      <c r="CR62" s="63" t="e">
        <f t="shared" si="8"/>
        <v>#VALUE!</v>
      </c>
    </row>
    <row r="63" spans="2:112" x14ac:dyDescent="0.25">
      <c r="B63">
        <v>42</v>
      </c>
      <c r="C63" s="69" t="s">
        <v>539</v>
      </c>
      <c r="D63" s="63" t="str">
        <f>DIST_PHASE_1_v2!E52</f>
        <v>N164_N165</v>
      </c>
      <c r="E63" s="63">
        <f>DIST_PHASE_1_v2!G52</f>
        <v>8.7999999999999995E-2</v>
      </c>
      <c r="F63" s="63">
        <f>DIST_PHASE_1_v2!L52</f>
        <v>350</v>
      </c>
      <c r="G63" s="63">
        <f>DIST_PHASE_1_v2!M52</f>
        <v>150</v>
      </c>
      <c r="H63" s="63">
        <f>DIST_PHASE_1_v2!N52</f>
        <v>88</v>
      </c>
      <c r="I63" s="63">
        <f t="shared" si="10"/>
        <v>14.579304373504881</v>
      </c>
      <c r="J63" s="63">
        <f t="shared" si="11"/>
        <v>8.7999999999999995E-2</v>
      </c>
      <c r="K63" s="63">
        <f t="shared" si="12"/>
        <v>0.16177772046556005</v>
      </c>
      <c r="L63" s="63">
        <f t="shared" si="38"/>
        <v>3.4046856625251967</v>
      </c>
      <c r="M63" s="63">
        <f t="shared" si="13"/>
        <v>9.4596935076183553E-2</v>
      </c>
      <c r="P63" s="63">
        <f t="shared" si="14"/>
        <v>41</v>
      </c>
      <c r="Q63" s="63">
        <v>42</v>
      </c>
      <c r="R63" s="63" t="str">
        <f>DIST_PHASE_1_v2!Q52</f>
        <v>-</v>
      </c>
      <c r="S63" s="63" t="str">
        <f>DIST_PHASE_1_v2!R52</f>
        <v>N163_N164</v>
      </c>
      <c r="T63" s="63">
        <f>DIST_PHASE_1_v2!T52</f>
        <v>2.9028999999999999E-2</v>
      </c>
      <c r="U63" s="63">
        <f>DIST_PHASE_1_v2!Y52</f>
        <v>200</v>
      </c>
      <c r="V63" s="63">
        <v>150</v>
      </c>
      <c r="W63" s="63">
        <f>DIST_PHASE_1_v2!AA52</f>
        <v>35</v>
      </c>
      <c r="X63" s="63">
        <f t="shared" si="15"/>
        <v>88.544279876918011</v>
      </c>
      <c r="Y63" s="63" cm="1">
        <f t="array" ref="Y63">INDEX($M$22:$M$91,P63,1)</f>
        <v>4.1596935076183561E-2</v>
      </c>
      <c r="Z63" s="63" cm="1">
        <f t="array" ref="Z63">IF(P63&gt;0,
IF(INDEX($C$22:$C$91,P63,1)="positif",1,-1),0)</f>
        <v>1</v>
      </c>
      <c r="AA63" s="63">
        <f t="shared" si="17"/>
        <v>-1</v>
      </c>
      <c r="AB63" s="63">
        <f t="shared" si="47"/>
        <v>0.24527997752358771</v>
      </c>
      <c r="AC63" s="63">
        <f t="shared" si="48"/>
        <v>10.920480500347525</v>
      </c>
      <c r="AD63" s="63" t="e">
        <f t="shared" si="46"/>
        <v>#VALUE!</v>
      </c>
      <c r="AF63" s="63" t="e">
        <f t="shared" si="18"/>
        <v>#VALUE!</v>
      </c>
      <c r="AZ63" s="63">
        <f t="shared" si="49"/>
        <v>0</v>
      </c>
      <c r="BA63" s="63">
        <v>42</v>
      </c>
      <c r="BB63" s="63" t="str">
        <f>DIST_PHASE_1_v2!AQ52</f>
        <v>-</v>
      </c>
      <c r="BC63" s="63" t="str">
        <f>DIST_PHASE_1_v2!AR52</f>
        <v>N91_N92</v>
      </c>
      <c r="BD63" s="63">
        <f>DIST_PHASE_1_v2!AT52</f>
        <v>0.119923</v>
      </c>
      <c r="BE63" s="63">
        <f>DIST_PHASE_1_v2!AY52</f>
        <v>400</v>
      </c>
      <c r="BF63" s="63">
        <f>DIST_PHASE_1_v2!AZ52</f>
        <v>150</v>
      </c>
      <c r="BG63" s="63">
        <f>DIST_PHASE_1_v2!BA52</f>
        <v>129</v>
      </c>
      <c r="BH63" s="63">
        <f t="shared" si="23"/>
        <v>11.152316016757153</v>
      </c>
      <c r="BI63" s="63" t="str">
        <f t="shared" si="40"/>
        <v/>
      </c>
      <c r="BJ63" s="63">
        <f t="shared" si="52"/>
        <v>0.21952928768120558</v>
      </c>
      <c r="BK63" s="63" t="e">
        <f t="shared" si="24"/>
        <v>#VALUE!</v>
      </c>
      <c r="BL63" s="63" t="e">
        <f t="shared" si="50"/>
        <v>#VALUE!</v>
      </c>
      <c r="BP63" s="63"/>
      <c r="BQ63" s="63"/>
      <c r="BR63" s="63"/>
      <c r="BS63" s="63" t="s">
        <v>380</v>
      </c>
      <c r="BT63" s="238"/>
      <c r="BU63" s="238"/>
      <c r="BV63" s="238"/>
      <c r="BW63" s="238"/>
      <c r="BX63" s="238"/>
      <c r="BY63" s="238"/>
      <c r="BZ63" s="63" t="e">
        <f>SUM(BZ22:BZ62)</f>
        <v>#VALUE!</v>
      </c>
      <c r="CA63" s="63" t="e">
        <f>SUM(CA22:CA62)</f>
        <v>#VALUE!</v>
      </c>
      <c r="CB63" s="63"/>
      <c r="CF63" s="63">
        <f t="shared" si="7"/>
        <v>0</v>
      </c>
      <c r="CG63" s="63">
        <v>42</v>
      </c>
      <c r="CH63" s="63" t="str">
        <f>DIST_PHASE_1_v2!BS52</f>
        <v>+</v>
      </c>
      <c r="CI63" s="63" t="str">
        <f>DIST_PHASE_1_v2!BT52</f>
        <v>N115_N116</v>
      </c>
      <c r="CJ63" s="63">
        <f>DIST_PHASE_1_v2!BV52</f>
        <v>3.2837000000000005E-2</v>
      </c>
      <c r="CK63" s="63">
        <f>DIST_PHASE_1_v2!CA52</f>
        <v>250</v>
      </c>
      <c r="CL63" s="63">
        <v>150</v>
      </c>
      <c r="CM63" s="63">
        <f>DIST_PHASE_1_v2!CC52</f>
        <v>61</v>
      </c>
      <c r="CN63" s="63">
        <f t="shared" si="29"/>
        <v>52.044354632678385</v>
      </c>
      <c r="CO63" s="63" t="str">
        <f t="shared" si="30"/>
        <v/>
      </c>
      <c r="CP63" s="63">
        <f t="shared" si="31"/>
        <v>9.30419447617645E-2</v>
      </c>
      <c r="CQ63" s="63" t="e">
        <f t="shared" si="32"/>
        <v>#VALUE!</v>
      </c>
      <c r="CR63" s="63" t="e">
        <f t="shared" si="8"/>
        <v>#VALUE!</v>
      </c>
    </row>
    <row r="64" spans="2:112" x14ac:dyDescent="0.25">
      <c r="B64">
        <v>43</v>
      </c>
      <c r="C64" s="69" t="s">
        <v>540</v>
      </c>
      <c r="D64" s="63" t="str">
        <f>DIST_PHASE_1_v2!E53</f>
        <v>N166_N167</v>
      </c>
      <c r="E64" s="63">
        <f>DIST_PHASE_1_v2!G53</f>
        <v>0.23</v>
      </c>
      <c r="F64" s="63">
        <f>DIST_PHASE_1_v2!L53</f>
        <v>565</v>
      </c>
      <c r="G64" s="63">
        <f>DIST_PHASE_1_v2!M53</f>
        <v>150</v>
      </c>
      <c r="H64" s="63">
        <f>DIST_PHASE_1_v2!N53</f>
        <v>230</v>
      </c>
      <c r="I64" s="63">
        <f t="shared" si="10"/>
        <v>3.6975105465835916</v>
      </c>
      <c r="J64" s="63">
        <f t="shared" si="11"/>
        <v>-0.23</v>
      </c>
      <c r="K64" s="63">
        <f t="shared" si="12"/>
        <v>-0.24312486288101076</v>
      </c>
      <c r="L64" s="63">
        <f t="shared" si="38"/>
        <v>1.9576836785027469</v>
      </c>
      <c r="M64" s="63">
        <f t="shared" si="13"/>
        <v>-0.22340306492381645</v>
      </c>
      <c r="P64" s="63">
        <f t="shared" si="14"/>
        <v>42</v>
      </c>
      <c r="Q64" s="63">
        <v>43</v>
      </c>
      <c r="R64" s="63" t="str">
        <f>DIST_PHASE_1_v2!Q53</f>
        <v>-</v>
      </c>
      <c r="S64" s="63" t="str">
        <f>DIST_PHASE_1_v2!R53</f>
        <v>N164_N165</v>
      </c>
      <c r="T64" s="63">
        <f>DIST_PHASE_1_v2!T53</f>
        <v>2.9028999999999999E-2</v>
      </c>
      <c r="U64" s="63">
        <f>DIST_PHASE_1_v2!Y53</f>
        <v>200</v>
      </c>
      <c r="V64" s="63">
        <v>150</v>
      </c>
      <c r="W64" s="63">
        <f>DIST_PHASE_1_v2!AA53</f>
        <v>88</v>
      </c>
      <c r="X64" s="63">
        <f t="shared" si="15"/>
        <v>222.62561797625102</v>
      </c>
      <c r="Y64" s="63" cm="1">
        <f t="array" ref="Y64">INDEX($M$22:$M$91,P64,1)</f>
        <v>9.4596935076183553E-2</v>
      </c>
      <c r="Z64" s="63" cm="1">
        <f t="array" ref="Z64">IF(P64&gt;0,
IF(INDEX($C$22:$C$91,P64,1)="positif",1,-1),0)</f>
        <v>1</v>
      </c>
      <c r="AA64" s="63">
        <f t="shared" si="17"/>
        <v>-1</v>
      </c>
      <c r="AB64" s="63">
        <f t="shared" si="47"/>
        <v>2.8242261078771005</v>
      </c>
      <c r="AC64" s="63">
        <f t="shared" si="48"/>
        <v>55.29213761075917</v>
      </c>
      <c r="AD64" s="63" t="e">
        <f>IF(P64&gt;0,
Y64+($D$93*Z64)+(AA64*$S$93),
Y64+$S$93)</f>
        <v>#VALUE!</v>
      </c>
      <c r="AF64" s="63" t="e">
        <f t="shared" si="18"/>
        <v>#VALUE!</v>
      </c>
      <c r="AZ64" s="63">
        <f t="shared" si="49"/>
        <v>0</v>
      </c>
      <c r="BA64" s="63">
        <v>43</v>
      </c>
      <c r="BB64" s="63" t="str">
        <f>DIST_PHASE_1_v2!AQ53</f>
        <v>-</v>
      </c>
      <c r="BC64" s="63" t="str">
        <f>DIST_PHASE_1_v2!AR53</f>
        <v>N92_N93</v>
      </c>
      <c r="BD64" s="63">
        <f>DIST_PHASE_1_v2!AT53</f>
        <v>0.119923</v>
      </c>
      <c r="BE64" s="63">
        <f>DIST_PHASE_1_v2!AY53</f>
        <v>400</v>
      </c>
      <c r="BF64" s="63">
        <f>DIST_PHASE_1_v2!AZ53</f>
        <v>150</v>
      </c>
      <c r="BG64" s="63">
        <f>DIST_PHASE_1_v2!BA53</f>
        <v>111</v>
      </c>
      <c r="BH64" s="63">
        <f t="shared" si="23"/>
        <v>9.5961788981398755</v>
      </c>
      <c r="BI64" s="63" t="str">
        <f t="shared" si="40"/>
        <v/>
      </c>
      <c r="BJ64" s="63">
        <f t="shared" si="52"/>
        <v>0.18889729405126993</v>
      </c>
      <c r="BK64" s="63" t="e">
        <f t="shared" si="24"/>
        <v>#VALUE!</v>
      </c>
      <c r="BL64" s="63" t="e">
        <f t="shared" si="50"/>
        <v>#VALUE!</v>
      </c>
      <c r="BP64" s="63"/>
      <c r="BQ64" s="63"/>
      <c r="BR64" s="63"/>
      <c r="BS64" s="82" t="s">
        <v>381</v>
      </c>
      <c r="BT64" s="238" t="e">
        <f>-(BZ63/CA63)</f>
        <v>#VALUE!</v>
      </c>
      <c r="BU64" s="238"/>
      <c r="BV64" s="238"/>
      <c r="BW64" s="238"/>
      <c r="BX64" s="238"/>
      <c r="BY64" s="238"/>
      <c r="BZ64" s="238"/>
      <c r="CA64" s="238"/>
      <c r="CB64" s="63"/>
      <c r="CF64" s="63">
        <f t="shared" si="7"/>
        <v>0</v>
      </c>
      <c r="CG64" s="63">
        <v>43</v>
      </c>
      <c r="CH64" s="63" t="str">
        <f>DIST_PHASE_1_v2!BS53</f>
        <v>+</v>
      </c>
      <c r="CI64" s="63" t="str">
        <f>DIST_PHASE_1_v2!BT53</f>
        <v>N116_N195</v>
      </c>
      <c r="CJ64" s="63">
        <f>DIST_PHASE_1_v2!BV53</f>
        <v>3.2837000000000005E-2</v>
      </c>
      <c r="CK64" s="63">
        <f>DIST_PHASE_1_v2!CA53</f>
        <v>250</v>
      </c>
      <c r="CL64" s="63">
        <v>150</v>
      </c>
      <c r="CM64" s="63">
        <f>DIST_PHASE_1_v2!CC53</f>
        <v>76</v>
      </c>
      <c r="CN64" s="63">
        <f t="shared" si="29"/>
        <v>64.84214675546815</v>
      </c>
      <c r="CO64" s="63" t="str">
        <f t="shared" si="30"/>
        <v/>
      </c>
      <c r="CP64" s="63">
        <f t="shared" si="31"/>
        <v>0.1159211115064607</v>
      </c>
      <c r="CQ64" s="63" t="e">
        <f t="shared" si="32"/>
        <v>#VALUE!</v>
      </c>
      <c r="CR64" s="63" t="e">
        <f t="shared" si="8"/>
        <v>#VALUE!</v>
      </c>
    </row>
    <row r="65" spans="2:96" x14ac:dyDescent="0.25">
      <c r="B65">
        <v>44</v>
      </c>
      <c r="C65" s="69" t="s">
        <v>540</v>
      </c>
      <c r="D65" s="63" t="str">
        <f>DIST_PHASE_1_v2!E54</f>
        <v>N167_N168</v>
      </c>
      <c r="E65" s="63">
        <f>DIST_PHASE_1_v2!G54</f>
        <v>2.9028999999999999E-2</v>
      </c>
      <c r="F65" s="63">
        <f>DIST_PHASE_1_v2!L54</f>
        <v>200</v>
      </c>
      <c r="G65" s="63">
        <f>DIST_PHASE_1_v2!M54</f>
        <v>150</v>
      </c>
      <c r="H65" s="63">
        <f>DIST_PHASE_1_v2!N54</f>
        <v>145</v>
      </c>
      <c r="I65" s="63">
        <f t="shared" si="10"/>
        <v>366.82630234723172</v>
      </c>
      <c r="J65" s="63">
        <f t="shared" si="11"/>
        <v>-2.9028999999999999E-2</v>
      </c>
      <c r="K65" s="63">
        <f t="shared" si="12"/>
        <v>-0.52194587745420518</v>
      </c>
      <c r="L65" s="63">
        <f t="shared" si="38"/>
        <v>33.299244377870004</v>
      </c>
      <c r="M65" s="63">
        <f t="shared" si="13"/>
        <v>-2.2432064923816445E-2</v>
      </c>
      <c r="P65" s="63">
        <f t="shared" si="14"/>
        <v>44</v>
      </c>
      <c r="Q65" s="63">
        <v>44</v>
      </c>
      <c r="R65" s="63" t="str">
        <f>DIST_PHASE_1_v2!Q54</f>
        <v>-</v>
      </c>
      <c r="S65" s="63" t="str">
        <f>DIST_PHASE_1_v2!R54</f>
        <v>N167_N168</v>
      </c>
      <c r="T65" s="63">
        <f>DIST_PHASE_1_v2!T54</f>
        <v>2.9028999999999999E-2</v>
      </c>
      <c r="U65" s="63">
        <f>DIST_PHASE_1_v2!Y54</f>
        <v>200</v>
      </c>
      <c r="V65" s="63">
        <v>150</v>
      </c>
      <c r="W65" s="63">
        <f>DIST_PHASE_1_v2!AA54</f>
        <v>145</v>
      </c>
      <c r="X65" s="63">
        <f t="shared" si="15"/>
        <v>366.82630234723172</v>
      </c>
      <c r="Y65" s="63" cm="1">
        <f t="array" ref="Y65">INDEX($M$22:$M$91,P65,1)</f>
        <v>-2.2432064923816445E-2</v>
      </c>
      <c r="Z65" s="63" cm="1">
        <f t="array" ref="Z65">IF(P65&gt;0,
IF(INDEX($C$22:$C$91,P65,1)="positif",1,-1),0)</f>
        <v>-1</v>
      </c>
      <c r="AA65" s="63">
        <f t="shared" si="17"/>
        <v>-1</v>
      </c>
      <c r="AB65" s="63">
        <f t="shared" si="47"/>
        <v>-0.3237951393825354</v>
      </c>
      <c r="AC65" s="63">
        <f t="shared" si="48"/>
        <v>26.732652574475175</v>
      </c>
      <c r="AD65" s="63" t="e">
        <f t="shared" si="46"/>
        <v>#VALUE!</v>
      </c>
      <c r="AF65" s="63" t="e">
        <f t="shared" si="18"/>
        <v>#VALUE!</v>
      </c>
      <c r="AZ65" s="63">
        <f t="shared" si="49"/>
        <v>0</v>
      </c>
      <c r="BA65" s="63">
        <v>44</v>
      </c>
      <c r="BB65" s="63" t="str">
        <f>DIST_PHASE_1_v2!AQ54</f>
        <v>-</v>
      </c>
      <c r="BC65" s="63" t="str">
        <f>DIST_PHASE_1_v2!AR54</f>
        <v>N93_N94</v>
      </c>
      <c r="BD65" s="63">
        <f>DIST_PHASE_1_v2!AT54</f>
        <v>0.14499999999999999</v>
      </c>
      <c r="BE65" s="63">
        <f>DIST_PHASE_1_v2!AY54</f>
        <v>466</v>
      </c>
      <c r="BF65" s="63">
        <f>DIST_PHASE_1_v2!AZ54</f>
        <v>150</v>
      </c>
      <c r="BG65" s="63">
        <f>DIST_PHASE_1_v2!BA54</f>
        <v>88</v>
      </c>
      <c r="BH65" s="63">
        <f t="shared" si="23"/>
        <v>3.6156338752762309</v>
      </c>
      <c r="BI65" s="63" t="str">
        <f t="shared" si="40"/>
        <v/>
      </c>
      <c r="BJ65" s="63">
        <f t="shared" si="52"/>
        <v>0.10116679388747182</v>
      </c>
      <c r="BK65" s="63" t="e">
        <f t="shared" si="24"/>
        <v>#VALUE!</v>
      </c>
      <c r="BL65" s="63" t="e">
        <f t="shared" si="50"/>
        <v>#VALUE!</v>
      </c>
      <c r="CF65" s="63">
        <f t="shared" si="7"/>
        <v>0</v>
      </c>
      <c r="CG65" s="63">
        <v>44</v>
      </c>
      <c r="CH65" s="63" t="str">
        <f>DIST_PHASE_1_v2!BS54</f>
        <v>+</v>
      </c>
      <c r="CI65" s="63" t="str">
        <f>DIST_PHASE_1_v2!BT54</f>
        <v>N117_N118</v>
      </c>
      <c r="CJ65" s="63">
        <f>DIST_PHASE_1_v2!BV54</f>
        <v>3.2837000000000005E-2</v>
      </c>
      <c r="CK65" s="63">
        <f>DIST_PHASE_1_v2!CA54</f>
        <v>250</v>
      </c>
      <c r="CL65" s="63">
        <v>150</v>
      </c>
      <c r="CM65" s="63">
        <f>DIST_PHASE_1_v2!CC54</f>
        <v>132</v>
      </c>
      <c r="CN65" s="63">
        <f t="shared" si="29"/>
        <v>112.62057068054995</v>
      </c>
      <c r="CO65" s="63" t="str">
        <f t="shared" si="30"/>
        <v/>
      </c>
      <c r="CP65" s="63">
        <f t="shared" si="31"/>
        <v>0.20133666735332648</v>
      </c>
      <c r="CQ65" s="63" t="e">
        <f t="shared" si="32"/>
        <v>#VALUE!</v>
      </c>
      <c r="CR65" s="63" t="e">
        <f t="shared" si="8"/>
        <v>#VALUE!</v>
      </c>
    </row>
    <row r="66" spans="2:96" x14ac:dyDescent="0.25">
      <c r="B66">
        <v>45</v>
      </c>
      <c r="C66" s="69" t="s">
        <v>540</v>
      </c>
      <c r="D66" s="63" t="str">
        <f>DIST_PHASE_1_v2!E55</f>
        <v>N168_N169</v>
      </c>
      <c r="E66" s="63">
        <f>DIST_PHASE_1_v2!G55</f>
        <v>2.9028999999999999E-2</v>
      </c>
      <c r="F66" s="63">
        <f>DIST_PHASE_1_v2!L55</f>
        <v>200</v>
      </c>
      <c r="G66" s="63">
        <f>DIST_PHASE_1_v2!M55</f>
        <v>150</v>
      </c>
      <c r="H66" s="63">
        <f>DIST_PHASE_1_v2!N55</f>
        <v>129</v>
      </c>
      <c r="I66" s="63">
        <f t="shared" si="10"/>
        <v>326.34891726064069</v>
      </c>
      <c r="J66" s="63">
        <f t="shared" si="11"/>
        <v>-2.9028999999999999E-2</v>
      </c>
      <c r="K66" s="63">
        <f t="shared" si="12"/>
        <v>-0.46435184959718945</v>
      </c>
      <c r="L66" s="63">
        <f t="shared" si="38"/>
        <v>29.624844998242978</v>
      </c>
      <c r="M66" s="63">
        <f t="shared" si="13"/>
        <v>-2.2432064923816445E-2</v>
      </c>
      <c r="P66" s="63">
        <f t="shared" si="14"/>
        <v>45</v>
      </c>
      <c r="Q66" s="63">
        <v>45</v>
      </c>
      <c r="R66" s="63" t="str">
        <f>DIST_PHASE_1_v2!Q55</f>
        <v>-</v>
      </c>
      <c r="S66" s="63" t="str">
        <f>DIST_PHASE_1_v2!R55</f>
        <v>N168_N169</v>
      </c>
      <c r="T66" s="63">
        <f>DIST_PHASE_1_v2!T55</f>
        <v>2.9028999999999999E-2</v>
      </c>
      <c r="U66" s="63">
        <f>DIST_PHASE_1_v2!Y55</f>
        <v>200</v>
      </c>
      <c r="V66" s="63">
        <v>150</v>
      </c>
      <c r="W66" s="63">
        <f>DIST_PHASE_1_v2!AA55</f>
        <v>129</v>
      </c>
      <c r="X66" s="63">
        <f t="shared" si="15"/>
        <v>326.34891726064069</v>
      </c>
      <c r="Y66" s="63" cm="1">
        <f t="array" ref="Y66">INDEX($M$22:$M$91,P66,1)</f>
        <v>-2.2432064923816445E-2</v>
      </c>
      <c r="Z66" s="63" cm="1">
        <f t="array" ref="Z66">IF(P66&gt;0,
IF(INDEX($C$22:$C$91,P66,1)="positif",1,-1),0)</f>
        <v>-1</v>
      </c>
      <c r="AA66" s="63">
        <f t="shared" si="17"/>
        <v>-1</v>
      </c>
      <c r="AB66" s="63">
        <f t="shared" si="47"/>
        <v>-0.28806602055411779</v>
      </c>
      <c r="AC66" s="63">
        <f t="shared" si="48"/>
        <v>23.782842635222746</v>
      </c>
      <c r="AD66" s="63" t="e">
        <f t="shared" si="46"/>
        <v>#VALUE!</v>
      </c>
      <c r="AF66" s="63" t="e">
        <f t="shared" si="18"/>
        <v>#VALUE!</v>
      </c>
      <c r="AZ66" s="63">
        <f t="shared" si="49"/>
        <v>0</v>
      </c>
      <c r="BA66" s="63">
        <v>45</v>
      </c>
      <c r="BB66" s="63" t="str">
        <f>DIST_PHASE_1_v2!AQ55</f>
        <v>-</v>
      </c>
      <c r="BC66" s="63" t="str">
        <f>DIST_PHASE_1_v2!AR55</f>
        <v>N94_N95</v>
      </c>
      <c r="BD66" s="63">
        <f>DIST_PHASE_1_v2!AT55</f>
        <v>0.129</v>
      </c>
      <c r="BE66" s="63">
        <f>DIST_PHASE_1_v2!AY55</f>
        <v>421</v>
      </c>
      <c r="BF66" s="63">
        <f>DIST_PHASE_1_v2!AZ55</f>
        <v>150</v>
      </c>
      <c r="BG66" s="63">
        <f>DIST_PHASE_1_v2!BA55</f>
        <v>74</v>
      </c>
      <c r="BH66" s="63">
        <f t="shared" si="23"/>
        <v>4.9861255025952351</v>
      </c>
      <c r="BI66" s="63" t="str">
        <f t="shared" si="40"/>
        <v/>
      </c>
      <c r="BJ66" s="63">
        <f t="shared" si="52"/>
        <v>0.11235058785450108</v>
      </c>
      <c r="BK66" s="63" t="e">
        <f t="shared" si="24"/>
        <v>#VALUE!</v>
      </c>
      <c r="BL66" s="63" t="e">
        <f t="shared" si="50"/>
        <v>#VALUE!</v>
      </c>
      <c r="CF66" s="63">
        <f t="shared" si="7"/>
        <v>0</v>
      </c>
      <c r="CG66" s="63">
        <v>45</v>
      </c>
      <c r="CH66" s="63" t="str">
        <f>DIST_PHASE_1_v2!BS55</f>
        <v>+</v>
      </c>
      <c r="CI66" s="63" t="str">
        <f>DIST_PHASE_1_v2!BT55</f>
        <v>N117_N195</v>
      </c>
      <c r="CJ66" s="63">
        <f>DIST_PHASE_1_v2!BV55</f>
        <v>3.2837000000000005E-2</v>
      </c>
      <c r="CK66" s="63">
        <f>DIST_PHASE_1_v2!CA55</f>
        <v>250</v>
      </c>
      <c r="CL66" s="63">
        <v>150</v>
      </c>
      <c r="CM66" s="63">
        <f>DIST_PHASE_1_v2!CC55</f>
        <v>154</v>
      </c>
      <c r="CN66" s="63">
        <f t="shared" si="29"/>
        <v>131.39066579397493</v>
      </c>
      <c r="CO66" s="63" t="str">
        <f t="shared" si="30"/>
        <v/>
      </c>
      <c r="CP66" s="63">
        <f t="shared" si="31"/>
        <v>0.23489277857888088</v>
      </c>
      <c r="CQ66" s="63" t="e">
        <f t="shared" si="32"/>
        <v>#VALUE!</v>
      </c>
      <c r="CR66" s="63" t="e">
        <f t="shared" si="8"/>
        <v>#VALUE!</v>
      </c>
    </row>
    <row r="67" spans="2:96" x14ac:dyDescent="0.25">
      <c r="B67">
        <v>46</v>
      </c>
      <c r="C67" s="69" t="s">
        <v>540</v>
      </c>
      <c r="D67" s="63" t="str">
        <f>DIST_PHASE_1_v2!E56</f>
        <v>N169_N170</v>
      </c>
      <c r="E67" s="63">
        <f>DIST_PHASE_1_v2!G56</f>
        <v>2.9028999999999999E-2</v>
      </c>
      <c r="F67" s="63">
        <f>DIST_PHASE_1_v2!L56</f>
        <v>200</v>
      </c>
      <c r="G67" s="63">
        <f>DIST_PHASE_1_v2!M56</f>
        <v>150</v>
      </c>
      <c r="H67" s="63">
        <f>DIST_PHASE_1_v2!N56</f>
        <v>104</v>
      </c>
      <c r="I67" s="63">
        <f t="shared" si="10"/>
        <v>263.10300306284211</v>
      </c>
      <c r="J67" s="63">
        <f t="shared" si="11"/>
        <v>-2.9028999999999999E-2</v>
      </c>
      <c r="K67" s="63">
        <f t="shared" si="12"/>
        <v>-0.37436118107060234</v>
      </c>
      <c r="L67" s="63">
        <f t="shared" si="38"/>
        <v>23.883595967575733</v>
      </c>
      <c r="M67" s="63">
        <f t="shared" si="13"/>
        <v>-2.2432064923816445E-2</v>
      </c>
      <c r="P67" s="63">
        <f t="shared" si="14"/>
        <v>46</v>
      </c>
      <c r="Q67" s="63">
        <v>46</v>
      </c>
      <c r="R67" s="63" t="str">
        <f>DIST_PHASE_1_v2!Q56</f>
        <v>-</v>
      </c>
      <c r="S67" s="63" t="str">
        <f>DIST_PHASE_1_v2!R56</f>
        <v>N169_N170</v>
      </c>
      <c r="T67" s="63">
        <f>DIST_PHASE_1_v2!T56</f>
        <v>2.9028999999999999E-2</v>
      </c>
      <c r="U67" s="63">
        <f>DIST_PHASE_1_v2!Y56</f>
        <v>200</v>
      </c>
      <c r="V67" s="63">
        <v>150</v>
      </c>
      <c r="W67" s="63">
        <f>DIST_PHASE_1_v2!AA56</f>
        <v>104</v>
      </c>
      <c r="X67" s="63">
        <f t="shared" si="15"/>
        <v>263.10300306284211</v>
      </c>
      <c r="Y67" s="63" cm="1">
        <f t="array" ref="Y67">INDEX($M$22:$M$91,P67,1)</f>
        <v>-2.2432064923816445E-2</v>
      </c>
      <c r="Z67" s="63" cm="1">
        <f t="array" ref="Z67">IF(P67&gt;0,
IF(INDEX($C$22:$C$91,P67,1)="positif",1,-1),0)</f>
        <v>-1</v>
      </c>
      <c r="AA67" s="63">
        <f t="shared" si="17"/>
        <v>-1</v>
      </c>
      <c r="AB67" s="63">
        <f t="shared" si="47"/>
        <v>-0.23223927238471509</v>
      </c>
      <c r="AC67" s="63">
        <f t="shared" si="48"/>
        <v>19.173764605140818</v>
      </c>
      <c r="AD67" s="63" t="e">
        <f t="shared" si="46"/>
        <v>#VALUE!</v>
      </c>
      <c r="AF67" s="63" t="e">
        <f t="shared" si="18"/>
        <v>#VALUE!</v>
      </c>
      <c r="AZ67" s="63">
        <f t="shared" si="49"/>
        <v>0</v>
      </c>
      <c r="BA67" s="63">
        <v>46</v>
      </c>
      <c r="BB67" s="63" t="str">
        <f>DIST_PHASE_1_v2!AQ56</f>
        <v>-</v>
      </c>
      <c r="BC67" s="63" t="str">
        <f>DIST_PHASE_1_v2!AR56</f>
        <v>N95_N96</v>
      </c>
      <c r="BD67" s="63">
        <f>DIST_PHASE_1_v2!AT56</f>
        <v>0.104</v>
      </c>
      <c r="BE67" s="63">
        <f>DIST_PHASE_1_v2!AY56</f>
        <v>400</v>
      </c>
      <c r="BF67" s="63">
        <f>DIST_PHASE_1_v2!AZ56</f>
        <v>150</v>
      </c>
      <c r="BG67" s="63">
        <f>DIST_PHASE_1_v2!BA56</f>
        <v>248</v>
      </c>
      <c r="BH67" s="63">
        <f t="shared" si="23"/>
        <v>21.440111412060261</v>
      </c>
      <c r="BI67" s="63" t="str">
        <f t="shared" si="40"/>
        <v/>
      </c>
      <c r="BJ67" s="63">
        <f t="shared" si="52"/>
        <v>0.32416997102445538</v>
      </c>
      <c r="BK67" s="63" t="e">
        <f t="shared" si="24"/>
        <v>#VALUE!</v>
      </c>
      <c r="BL67" s="63" t="e">
        <f t="shared" si="50"/>
        <v>#VALUE!</v>
      </c>
      <c r="CF67" s="63">
        <f t="shared" si="7"/>
        <v>0</v>
      </c>
      <c r="CG67" s="63">
        <v>46</v>
      </c>
      <c r="CH67" s="63" t="str">
        <f>DIST_PHASE_1_v2!BS56</f>
        <v>+</v>
      </c>
      <c r="CI67" s="63" t="str">
        <f>DIST_PHASE_1_v2!BT56</f>
        <v>N118_N119</v>
      </c>
      <c r="CJ67" s="63">
        <f>DIST_PHASE_1_v2!BV56</f>
        <v>3.2837000000000005E-2</v>
      </c>
      <c r="CK67" s="63">
        <f>DIST_PHASE_1_v2!CA56</f>
        <v>250</v>
      </c>
      <c r="CL67" s="63">
        <v>150</v>
      </c>
      <c r="CM67" s="63">
        <f>DIST_PHASE_1_v2!CC56</f>
        <v>212</v>
      </c>
      <c r="CN67" s="63">
        <f t="shared" si="29"/>
        <v>180.87546200209536</v>
      </c>
      <c r="CO67" s="63" t="str">
        <f t="shared" si="30"/>
        <v/>
      </c>
      <c r="CP67" s="63">
        <f t="shared" si="31"/>
        <v>0.32335888999170614</v>
      </c>
      <c r="CQ67" s="63" t="e">
        <f t="shared" si="32"/>
        <v>#VALUE!</v>
      </c>
      <c r="CR67" s="63" t="e">
        <f t="shared" si="8"/>
        <v>#VALUE!</v>
      </c>
    </row>
    <row r="68" spans="2:96" x14ac:dyDescent="0.25">
      <c r="B68">
        <v>47</v>
      </c>
      <c r="C68" s="69" t="s">
        <v>540</v>
      </c>
      <c r="D68" s="63" t="str">
        <f>DIST_PHASE_1_v2!E57</f>
        <v>N170_N171</v>
      </c>
      <c r="E68" s="63">
        <f>DIST_PHASE_1_v2!G57</f>
        <v>2.9028999999999999E-2</v>
      </c>
      <c r="F68" s="63">
        <f>DIST_PHASE_1_v2!L57</f>
        <v>200</v>
      </c>
      <c r="G68" s="63">
        <f>DIST_PHASE_1_v2!M57</f>
        <v>150</v>
      </c>
      <c r="H68" s="63">
        <f>DIST_PHASE_1_v2!N57</f>
        <v>79</v>
      </c>
      <c r="I68" s="63">
        <f t="shared" si="10"/>
        <v>199.85708886504352</v>
      </c>
      <c r="J68" s="63">
        <f t="shared" si="11"/>
        <v>-2.9028999999999999E-2</v>
      </c>
      <c r="K68" s="63">
        <f t="shared" si="12"/>
        <v>-0.28437051254401524</v>
      </c>
      <c r="L68" s="63">
        <f t="shared" si="38"/>
        <v>18.142346936908488</v>
      </c>
      <c r="M68" s="63">
        <f t="shared" si="13"/>
        <v>-2.2432064923816445E-2</v>
      </c>
      <c r="P68" s="63">
        <f t="shared" si="14"/>
        <v>47</v>
      </c>
      <c r="Q68" s="63">
        <v>47</v>
      </c>
      <c r="R68" s="63" t="str">
        <f>DIST_PHASE_1_v2!Q57</f>
        <v>-</v>
      </c>
      <c r="S68" s="63" t="str">
        <f>DIST_PHASE_1_v2!R57</f>
        <v>N170_N171</v>
      </c>
      <c r="T68" s="63">
        <f>DIST_PHASE_1_v2!T57</f>
        <v>2.9028999999999999E-2</v>
      </c>
      <c r="U68" s="63">
        <f>DIST_PHASE_1_v2!Y57</f>
        <v>200</v>
      </c>
      <c r="V68" s="63">
        <v>150</v>
      </c>
      <c r="W68" s="63">
        <f>DIST_PHASE_1_v2!AA57</f>
        <v>79</v>
      </c>
      <c r="X68" s="63">
        <f t="shared" si="15"/>
        <v>199.85708886504352</v>
      </c>
      <c r="Y68" s="63" cm="1">
        <f t="array" ref="Y68">INDEX($M$22:$M$91,P68,1)</f>
        <v>-2.2432064923816445E-2</v>
      </c>
      <c r="Z68" s="63" cm="1">
        <f t="array" ref="Z68">IF(P68&gt;0,
IF(INDEX($C$22:$C$91,P68,1)="positif",1,-1),0)</f>
        <v>-1</v>
      </c>
      <c r="AA68" s="63">
        <f t="shared" si="17"/>
        <v>-1</v>
      </c>
      <c r="AB68" s="63">
        <f t="shared" si="47"/>
        <v>-0.17641252421531242</v>
      </c>
      <c r="AC68" s="63">
        <f t="shared" si="48"/>
        <v>14.564686575058891</v>
      </c>
      <c r="AD68" s="63" t="e">
        <f t="shared" si="46"/>
        <v>#VALUE!</v>
      </c>
      <c r="AF68" s="63" t="e">
        <f t="shared" si="18"/>
        <v>#VALUE!</v>
      </c>
      <c r="AZ68" s="63">
        <f t="shared" si="49"/>
        <v>0</v>
      </c>
      <c r="BA68" s="63">
        <v>47</v>
      </c>
      <c r="BB68" s="63" t="str">
        <f>DIST_PHASE_1_v2!AQ57</f>
        <v>-</v>
      </c>
      <c r="BC68" s="63" t="str">
        <f>DIST_PHASE_1_v2!AR57</f>
        <v>N96_N97</v>
      </c>
      <c r="BD68" s="63">
        <f>DIST_PHASE_1_v2!AT57</f>
        <v>7.9000000000000001E-2</v>
      </c>
      <c r="BE68" s="63">
        <f>DIST_PHASE_1_v2!AY57</f>
        <v>350</v>
      </c>
      <c r="BF68" s="63">
        <f>DIST_PHASE_1_v2!AZ57</f>
        <v>150</v>
      </c>
      <c r="BG68" s="63">
        <f>DIST_PHASE_1_v2!BA57</f>
        <v>116</v>
      </c>
      <c r="BH68" s="63">
        <f t="shared" si="23"/>
        <v>19.218173946892797</v>
      </c>
      <c r="BI68" s="63" t="str">
        <f t="shared" si="40"/>
        <v/>
      </c>
      <c r="BJ68" s="63">
        <f t="shared" si="52"/>
        <v>0.17462945274308583</v>
      </c>
      <c r="BK68" s="63" t="e">
        <f t="shared" si="24"/>
        <v>#VALUE!</v>
      </c>
      <c r="BL68" s="63" t="e">
        <f t="shared" si="50"/>
        <v>#VALUE!</v>
      </c>
      <c r="CF68" s="63">
        <f t="shared" si="7"/>
        <v>0</v>
      </c>
      <c r="CG68" s="63">
        <v>47</v>
      </c>
      <c r="CH68" s="63" t="str">
        <f>DIST_PHASE_1_v2!BS57</f>
        <v>+</v>
      </c>
      <c r="CI68" s="63" t="str">
        <f>DIST_PHASE_1_v2!BT57</f>
        <v>N119_N120</v>
      </c>
      <c r="CJ68" s="63">
        <f>DIST_PHASE_1_v2!BV57</f>
        <v>3.2837000000000005E-2</v>
      </c>
      <c r="CK68" s="63">
        <f>DIST_PHASE_1_v2!CA57</f>
        <v>250</v>
      </c>
      <c r="CL68" s="63">
        <v>150</v>
      </c>
      <c r="CM68" s="63">
        <f>DIST_PHASE_1_v2!CC57</f>
        <v>173</v>
      </c>
      <c r="CN68" s="63">
        <f t="shared" si="29"/>
        <v>147.60120248284198</v>
      </c>
      <c r="CO68" s="63" t="str">
        <f t="shared" si="30"/>
        <v/>
      </c>
      <c r="CP68" s="63">
        <f t="shared" si="31"/>
        <v>0.26387305645549608</v>
      </c>
      <c r="CQ68" s="63" t="e">
        <f t="shared" si="32"/>
        <v>#VALUE!</v>
      </c>
      <c r="CR68" s="63" t="e">
        <f t="shared" si="8"/>
        <v>#VALUE!</v>
      </c>
    </row>
    <row r="69" spans="2:96" x14ac:dyDescent="0.25">
      <c r="B69">
        <v>48</v>
      </c>
      <c r="C69" s="69" t="s">
        <v>540</v>
      </c>
      <c r="D69" s="63" t="str">
        <f>DIST_PHASE_1_v2!E58</f>
        <v>N171_N172</v>
      </c>
      <c r="E69" s="63">
        <f>DIST_PHASE_1_v2!G58</f>
        <v>2.9028999999999999E-2</v>
      </c>
      <c r="F69" s="63">
        <f>DIST_PHASE_1_v2!L58</f>
        <v>200</v>
      </c>
      <c r="G69" s="63">
        <f>DIST_PHASE_1_v2!M58</f>
        <v>150</v>
      </c>
      <c r="H69" s="63">
        <f>DIST_PHASE_1_v2!N58</f>
        <v>89</v>
      </c>
      <c r="I69" s="63">
        <f t="shared" si="10"/>
        <v>225.15545454416295</v>
      </c>
      <c r="J69" s="63">
        <f t="shared" si="11"/>
        <v>-2.9028999999999999E-2</v>
      </c>
      <c r="K69" s="63">
        <f t="shared" si="12"/>
        <v>-0.32036677995465007</v>
      </c>
      <c r="L69" s="63">
        <f t="shared" si="38"/>
        <v>20.438846549175388</v>
      </c>
      <c r="M69" s="63">
        <f t="shared" si="13"/>
        <v>-2.2432064923816445E-2</v>
      </c>
      <c r="P69" s="63">
        <f t="shared" si="14"/>
        <v>48</v>
      </c>
      <c r="Q69" s="63">
        <v>48</v>
      </c>
      <c r="R69" s="63" t="str">
        <f>DIST_PHASE_1_v2!Q58</f>
        <v>-</v>
      </c>
      <c r="S69" s="63" t="str">
        <f>DIST_PHASE_1_v2!R58</f>
        <v>N171_N172</v>
      </c>
      <c r="T69" s="63">
        <f>DIST_PHASE_1_v2!T58</f>
        <v>2.9028999999999999E-2</v>
      </c>
      <c r="U69" s="63">
        <f>DIST_PHASE_1_v2!Y58</f>
        <v>200</v>
      </c>
      <c r="V69" s="63">
        <v>150</v>
      </c>
      <c r="W69" s="63">
        <f>DIST_PHASE_1_v2!AA58</f>
        <v>89</v>
      </c>
      <c r="X69" s="63">
        <f t="shared" si="15"/>
        <v>225.15545454416295</v>
      </c>
      <c r="Y69" s="63" cm="1">
        <f t="array" ref="Y69">INDEX($M$22:$M$91,P69,1)</f>
        <v>-2.2432064923816445E-2</v>
      </c>
      <c r="Z69" s="63" cm="1">
        <f t="array" ref="Z69">IF(P69&gt;0,
IF(INDEX($C$22:$C$91,P69,1)="positif",1,-1),0)</f>
        <v>-1</v>
      </c>
      <c r="AA69" s="63">
        <f t="shared" si="17"/>
        <v>-1</v>
      </c>
      <c r="AB69" s="63">
        <f t="shared" si="47"/>
        <v>-0.19874322348307349</v>
      </c>
      <c r="AC69" s="63">
        <f t="shared" si="48"/>
        <v>16.408317787091661</v>
      </c>
      <c r="AD69" s="63" t="e">
        <f t="shared" si="46"/>
        <v>#VALUE!</v>
      </c>
      <c r="AF69" s="63" t="e">
        <f t="shared" si="18"/>
        <v>#VALUE!</v>
      </c>
      <c r="AZ69" s="63">
        <f t="shared" si="49"/>
        <v>0</v>
      </c>
      <c r="BA69" s="63">
        <v>48</v>
      </c>
      <c r="BB69" s="63" t="str">
        <f>DIST_PHASE_1_v2!AQ58</f>
        <v>-</v>
      </c>
      <c r="BC69" s="63" t="str">
        <f>DIST_PHASE_1_v2!AR58</f>
        <v>N97_N98</v>
      </c>
      <c r="BD69" s="63">
        <f>DIST_PHASE_1_v2!AT58</f>
        <v>8.8999999999999996E-2</v>
      </c>
      <c r="BE69" s="63">
        <f>DIST_PHASE_1_v2!AY58</f>
        <v>350</v>
      </c>
      <c r="BF69" s="63">
        <f>DIST_PHASE_1_v2!AZ58</f>
        <v>150</v>
      </c>
      <c r="BG69" s="63">
        <f>DIST_PHASE_1_v2!BA58</f>
        <v>128</v>
      </c>
      <c r="BH69" s="63">
        <f t="shared" si="23"/>
        <v>21.206260906916189</v>
      </c>
      <c r="BI69" s="63" t="str">
        <f t="shared" si="40"/>
        <v/>
      </c>
      <c r="BJ69" s="63">
        <f t="shared" si="52"/>
        <v>0.24028927809755118</v>
      </c>
      <c r="BK69" s="63" t="e">
        <f t="shared" si="24"/>
        <v>#VALUE!</v>
      </c>
      <c r="BL69" s="63" t="e">
        <f t="shared" si="50"/>
        <v>#VALUE!</v>
      </c>
      <c r="CF69" s="63">
        <f t="shared" si="7"/>
        <v>0</v>
      </c>
      <c r="CG69" s="63">
        <v>48</v>
      </c>
      <c r="CH69" s="63" t="str">
        <f>DIST_PHASE_1_v2!BS58</f>
        <v>+</v>
      </c>
      <c r="CI69" s="63" t="str">
        <f>DIST_PHASE_1_v2!BT58</f>
        <v>N120_N121</v>
      </c>
      <c r="CJ69" s="63">
        <f>DIST_PHASE_1_v2!BV58</f>
        <v>3.2835999999999997E-2</v>
      </c>
      <c r="CK69" s="63">
        <f>DIST_PHASE_1_v2!CA58</f>
        <v>250</v>
      </c>
      <c r="CL69" s="63">
        <v>150</v>
      </c>
      <c r="CM69" s="63">
        <f>DIST_PHASE_1_v2!CC58</f>
        <v>133</v>
      </c>
      <c r="CN69" s="63">
        <f t="shared" si="29"/>
        <v>113.47375682206928</v>
      </c>
      <c r="CO69" s="63" t="str">
        <f t="shared" si="30"/>
        <v/>
      </c>
      <c r="CP69" s="63">
        <f t="shared" si="31"/>
        <v>0.20285050391304088</v>
      </c>
      <c r="CQ69" s="63" t="e">
        <f t="shared" si="32"/>
        <v>#VALUE!</v>
      </c>
      <c r="CR69" s="63" t="e">
        <f t="shared" si="8"/>
        <v>#VALUE!</v>
      </c>
    </row>
    <row r="70" spans="2:96" x14ac:dyDescent="0.25">
      <c r="B70">
        <v>49</v>
      </c>
      <c r="C70" s="69" t="s">
        <v>540</v>
      </c>
      <c r="D70" s="63" t="str">
        <f>DIST_PHASE_1_v2!E59</f>
        <v>N172_N173</v>
      </c>
      <c r="E70" s="63">
        <f>DIST_PHASE_1_v2!G59</f>
        <v>2.9028999999999999E-2</v>
      </c>
      <c r="F70" s="63">
        <f>DIST_PHASE_1_v2!L59</f>
        <v>200</v>
      </c>
      <c r="G70" s="63">
        <f>DIST_PHASE_1_v2!M59</f>
        <v>150</v>
      </c>
      <c r="H70" s="63">
        <f>DIST_PHASE_1_v2!N59</f>
        <v>89</v>
      </c>
      <c r="I70" s="63">
        <f t="shared" si="10"/>
        <v>225.15545454416295</v>
      </c>
      <c r="J70" s="63">
        <f t="shared" si="11"/>
        <v>-2.9028999999999999E-2</v>
      </c>
      <c r="K70" s="63">
        <f t="shared" si="12"/>
        <v>-0.32036677995465007</v>
      </c>
      <c r="L70" s="63">
        <f t="shared" si="38"/>
        <v>20.438846549175388</v>
      </c>
      <c r="M70" s="63">
        <f t="shared" si="13"/>
        <v>-2.2432064923816445E-2</v>
      </c>
      <c r="P70" s="63">
        <f t="shared" si="14"/>
        <v>49</v>
      </c>
      <c r="Q70" s="63">
        <v>49</v>
      </c>
      <c r="R70" s="63" t="str">
        <f>DIST_PHASE_1_v2!Q59</f>
        <v>-</v>
      </c>
      <c r="S70" s="63" t="str">
        <f>DIST_PHASE_1_v2!R59</f>
        <v>N172_N173</v>
      </c>
      <c r="T70" s="63">
        <f>DIST_PHASE_1_v2!T59</f>
        <v>2.9028999999999999E-2</v>
      </c>
      <c r="U70" s="63">
        <f>DIST_PHASE_1_v2!Y59</f>
        <v>200</v>
      </c>
      <c r="V70" s="63">
        <v>150</v>
      </c>
      <c r="W70" s="63">
        <f>DIST_PHASE_1_v2!AA59</f>
        <v>89</v>
      </c>
      <c r="X70" s="63">
        <f t="shared" si="15"/>
        <v>225.15545454416295</v>
      </c>
      <c r="Y70" s="63" cm="1">
        <f t="array" ref="Y70">INDEX($M$22:$M$91,P70,1)</f>
        <v>-2.2432064923816445E-2</v>
      </c>
      <c r="Z70" s="63" cm="1">
        <f t="array" ref="Z70">IF(P70&gt;0,
IF(INDEX($C$22:$C$91,P70,1)="positif",1,-1),0)</f>
        <v>-1</v>
      </c>
      <c r="AA70" s="63">
        <f t="shared" si="17"/>
        <v>-1</v>
      </c>
      <c r="AB70" s="63">
        <f t="shared" si="47"/>
        <v>-0.19874322348307349</v>
      </c>
      <c r="AC70" s="63">
        <f t="shared" si="48"/>
        <v>16.408317787091661</v>
      </c>
      <c r="AD70" s="63" t="e">
        <f t="shared" si="46"/>
        <v>#VALUE!</v>
      </c>
      <c r="AF70" s="63" t="e">
        <f t="shared" si="18"/>
        <v>#VALUE!</v>
      </c>
      <c r="AZ70" s="63">
        <f t="shared" si="49"/>
        <v>0</v>
      </c>
      <c r="BA70" s="63">
        <v>49</v>
      </c>
      <c r="BB70" s="63" t="str">
        <f>DIST_PHASE_1_v2!AQ59</f>
        <v>-</v>
      </c>
      <c r="BC70" s="63" t="str">
        <f>DIST_PHASE_1_v2!AR59</f>
        <v>N98_N99</v>
      </c>
      <c r="BD70" s="63">
        <f>DIST_PHASE_1_v2!AT59</f>
        <v>8.8999999999999996E-2</v>
      </c>
      <c r="BE70" s="63">
        <f>DIST_PHASE_1_v2!AY59</f>
        <v>350</v>
      </c>
      <c r="BF70" s="63">
        <f>DIST_PHASE_1_v2!AZ59</f>
        <v>150</v>
      </c>
      <c r="BG70" s="63">
        <f>DIST_PHASE_1_v2!BA59</f>
        <v>138</v>
      </c>
      <c r="BH70" s="63">
        <f t="shared" si="23"/>
        <v>22.863000040269018</v>
      </c>
      <c r="BI70" s="63" t="str">
        <f t="shared" si="40"/>
        <v/>
      </c>
      <c r="BJ70" s="63">
        <f t="shared" si="52"/>
        <v>0.25906187794892238</v>
      </c>
      <c r="BK70" s="63" t="e">
        <f t="shared" si="24"/>
        <v>#VALUE!</v>
      </c>
      <c r="BL70" s="63" t="e">
        <f t="shared" si="50"/>
        <v>#VALUE!</v>
      </c>
      <c r="CF70" s="63"/>
      <c r="CG70" s="63"/>
      <c r="CH70" s="63"/>
      <c r="CI70" s="63" t="s">
        <v>380</v>
      </c>
      <c r="CJ70" s="238"/>
      <c r="CK70" s="238"/>
      <c r="CL70" s="238"/>
      <c r="CM70" s="238"/>
      <c r="CN70" s="238"/>
      <c r="CO70" s="238"/>
      <c r="CP70" s="63" t="e">
        <f>SUM(CP22:CP69)</f>
        <v>#VALUE!</v>
      </c>
      <c r="CQ70" s="63" t="e">
        <f>SUM(CQ22:CQ69)</f>
        <v>#VALUE!</v>
      </c>
      <c r="CR70" s="63"/>
    </row>
    <row r="71" spans="2:96" x14ac:dyDescent="0.25">
      <c r="B71">
        <v>50</v>
      </c>
      <c r="C71" s="69" t="s">
        <v>540</v>
      </c>
      <c r="D71" s="63" t="str">
        <f>DIST_PHASE_1_v2!E60</f>
        <v>N173_N174</v>
      </c>
      <c r="E71" s="63">
        <f>DIST_PHASE_1_v2!G60</f>
        <v>2.9028999999999999E-2</v>
      </c>
      <c r="F71" s="63">
        <f>DIST_PHASE_1_v2!L60</f>
        <v>200</v>
      </c>
      <c r="G71" s="63">
        <f>DIST_PHASE_1_v2!M60</f>
        <v>150</v>
      </c>
      <c r="H71" s="63">
        <f>DIST_PHASE_1_v2!N60</f>
        <v>45</v>
      </c>
      <c r="I71" s="63">
        <f t="shared" si="10"/>
        <v>113.84264555603744</v>
      </c>
      <c r="J71" s="63">
        <f t="shared" si="11"/>
        <v>-2.9028999999999999E-2</v>
      </c>
      <c r="K71" s="63">
        <f t="shared" si="12"/>
        <v>-0.16198320334785676</v>
      </c>
      <c r="L71" s="63">
        <f t="shared" si="38"/>
        <v>10.334248255201038</v>
      </c>
      <c r="M71" s="63">
        <f t="shared" si="13"/>
        <v>-2.2432064923816445E-2</v>
      </c>
      <c r="P71" s="63">
        <f t="shared" si="14"/>
        <v>50</v>
      </c>
      <c r="Q71" s="63">
        <v>50</v>
      </c>
      <c r="R71" s="63" t="str">
        <f>DIST_PHASE_1_v2!Q60</f>
        <v>-</v>
      </c>
      <c r="S71" s="63" t="str">
        <f>DIST_PHASE_1_v2!R60</f>
        <v>N173_N174</v>
      </c>
      <c r="T71" s="63">
        <f>DIST_PHASE_1_v2!T60</f>
        <v>2.9028999999999999E-2</v>
      </c>
      <c r="U71" s="63">
        <f>DIST_PHASE_1_v2!Y60</f>
        <v>200</v>
      </c>
      <c r="V71" s="63">
        <v>150</v>
      </c>
      <c r="W71" s="63">
        <f>DIST_PHASE_1_v2!AA60</f>
        <v>45</v>
      </c>
      <c r="X71" s="63">
        <f t="shared" si="15"/>
        <v>113.84264555603744</v>
      </c>
      <c r="Y71" s="63" cm="1">
        <f t="array" ref="Y71">INDEX($M$22:$M$91,P71,1)</f>
        <v>-2.2432064923816445E-2</v>
      </c>
      <c r="Z71" s="63" cm="1">
        <f t="array" ref="Z71">IF(P71&gt;0,
IF(INDEX($C$22:$C$91,P71,1)="positif",1,-1),0)</f>
        <v>-1</v>
      </c>
      <c r="AA71" s="63">
        <f t="shared" si="17"/>
        <v>-1</v>
      </c>
      <c r="AB71" s="63">
        <f t="shared" si="47"/>
        <v>-0.10048814670492479</v>
      </c>
      <c r="AC71" s="63">
        <f t="shared" si="48"/>
        <v>8.2963404541474688</v>
      </c>
      <c r="AD71" s="63" t="e">
        <f t="shared" si="46"/>
        <v>#VALUE!</v>
      </c>
      <c r="AF71" s="63" t="e">
        <f t="shared" si="18"/>
        <v>#VALUE!</v>
      </c>
      <c r="AZ71" s="63">
        <f t="shared" si="49"/>
        <v>0</v>
      </c>
      <c r="BA71" s="63">
        <v>50</v>
      </c>
      <c r="BB71" s="63" t="str">
        <f>DIST_PHASE_1_v2!AQ60</f>
        <v>+</v>
      </c>
      <c r="BC71" s="63" t="str">
        <f>DIST_PHASE_1_v2!AR60</f>
        <v>N194_N99</v>
      </c>
      <c r="BD71" s="63">
        <f>DIST_PHASE_1_v2!AT60</f>
        <v>4.4999999999999998E-2</v>
      </c>
      <c r="BE71" s="63">
        <f>DIST_PHASE_1_v2!AY60</f>
        <v>250</v>
      </c>
      <c r="BF71" s="63">
        <f>DIST_PHASE_1_v2!AZ60</f>
        <v>150</v>
      </c>
      <c r="BG71" s="63">
        <f>DIST_PHASE_1_v2!BA60</f>
        <v>184</v>
      </c>
      <c r="BH71" s="63">
        <f t="shared" si="23"/>
        <v>156.98625003955448</v>
      </c>
      <c r="BI71" s="63" t="str">
        <f t="shared" si="40"/>
        <v/>
      </c>
      <c r="BJ71" s="63">
        <f t="shared" si="52"/>
        <v>0.50305004365010741</v>
      </c>
      <c r="BK71" s="63" t="e">
        <f t="shared" si="24"/>
        <v>#VALUE!</v>
      </c>
      <c r="BL71" s="63" t="e">
        <f t="shared" si="50"/>
        <v>#VALUE!</v>
      </c>
      <c r="CF71" s="63"/>
      <c r="CG71" s="63"/>
      <c r="CH71" s="63"/>
      <c r="CI71" s="82" t="s">
        <v>381</v>
      </c>
      <c r="CJ71" s="238" t="e">
        <f>-(CP70/CQ70)</f>
        <v>#VALUE!</v>
      </c>
      <c r="CK71" s="238"/>
      <c r="CL71" s="238"/>
      <c r="CM71" s="238"/>
      <c r="CN71" s="238"/>
      <c r="CO71" s="238"/>
      <c r="CP71" s="238"/>
      <c r="CQ71" s="238"/>
      <c r="CR71" s="63"/>
    </row>
    <row r="72" spans="2:96" x14ac:dyDescent="0.25">
      <c r="B72">
        <v>51</v>
      </c>
      <c r="C72" s="69" t="s">
        <v>540</v>
      </c>
      <c r="D72" s="63" t="str">
        <f>DIST_PHASE_1_v2!E61</f>
        <v>N174_N175</v>
      </c>
      <c r="E72" s="63">
        <f>DIST_PHASE_1_v2!G61</f>
        <v>2.9028999999999999E-2</v>
      </c>
      <c r="F72" s="63">
        <f>DIST_PHASE_1_v2!L61</f>
        <v>200</v>
      </c>
      <c r="G72" s="63">
        <f>DIST_PHASE_1_v2!M61</f>
        <v>150</v>
      </c>
      <c r="H72" s="63">
        <f>DIST_PHASE_1_v2!N61</f>
        <v>43</v>
      </c>
      <c r="I72" s="63">
        <f t="shared" si="10"/>
        <v>108.78297242021355</v>
      </c>
      <c r="J72" s="63">
        <f t="shared" si="11"/>
        <v>-2.9028999999999999E-2</v>
      </c>
      <c r="K72" s="63">
        <f t="shared" si="12"/>
        <v>-0.1547839498657298</v>
      </c>
      <c r="L72" s="63">
        <f t="shared" si="38"/>
        <v>9.8749483327476586</v>
      </c>
      <c r="M72" s="63">
        <f t="shared" si="13"/>
        <v>-2.2432064923816445E-2</v>
      </c>
      <c r="P72" s="63">
        <f t="shared" si="14"/>
        <v>51</v>
      </c>
      <c r="Q72" s="63">
        <v>51</v>
      </c>
      <c r="R72" s="63" t="str">
        <f>DIST_PHASE_1_v2!Q61</f>
        <v>-</v>
      </c>
      <c r="S72" s="63" t="str">
        <f>DIST_PHASE_1_v2!R61</f>
        <v>N174_N175</v>
      </c>
      <c r="T72" s="63">
        <f>DIST_PHASE_1_v2!T61</f>
        <v>2.9028999999999999E-2</v>
      </c>
      <c r="U72" s="63">
        <f>DIST_PHASE_1_v2!Y61</f>
        <v>200</v>
      </c>
      <c r="V72" s="63">
        <v>150</v>
      </c>
      <c r="W72" s="63">
        <f>DIST_PHASE_1_v2!AA61</f>
        <v>43</v>
      </c>
      <c r="X72" s="63">
        <f t="shared" si="15"/>
        <v>108.78297242021355</v>
      </c>
      <c r="Y72" s="63" cm="1">
        <f t="array" ref="Y72">INDEX($M$22:$M$91,P72,1)</f>
        <v>-2.2432064923816445E-2</v>
      </c>
      <c r="Z72" s="63" cm="1">
        <f t="array" ref="Z72">IF(P72&gt;0,
IF(INDEX($C$22:$C$91,P72,1)="positif",1,-1),0)</f>
        <v>-1</v>
      </c>
      <c r="AA72" s="63">
        <f t="shared" si="17"/>
        <v>-1</v>
      </c>
      <c r="AB72" s="63">
        <f t="shared" si="47"/>
        <v>-9.6022006851372577E-2</v>
      </c>
      <c r="AC72" s="63">
        <f t="shared" si="48"/>
        <v>7.9276142117409147</v>
      </c>
      <c r="AD72" s="63" t="e">
        <f t="shared" si="46"/>
        <v>#VALUE!</v>
      </c>
      <c r="AF72" s="63" t="e">
        <f t="shared" si="18"/>
        <v>#VALUE!</v>
      </c>
      <c r="AZ72" s="63">
        <f t="shared" si="49"/>
        <v>0</v>
      </c>
      <c r="BA72" s="63">
        <v>51</v>
      </c>
      <c r="BB72" s="63" t="str">
        <f>DIST_PHASE_1_v2!AQ61</f>
        <v>+</v>
      </c>
      <c r="BC72" s="63" t="str">
        <f>DIST_PHASE_1_v2!AR61</f>
        <v>N192_N193</v>
      </c>
      <c r="BD72" s="63">
        <f>DIST_PHASE_1_v2!AT61</f>
        <v>4.2999999999999997E-2</v>
      </c>
      <c r="BE72" s="63">
        <f>DIST_PHASE_1_v2!AY61</f>
        <v>250</v>
      </c>
      <c r="BF72" s="63">
        <f>DIST_PHASE_1_v2!AZ61</f>
        <v>150</v>
      </c>
      <c r="BG72" s="63">
        <f>DIST_PHASE_1_v2!BA61</f>
        <v>351</v>
      </c>
      <c r="BH72" s="63">
        <f t="shared" si="23"/>
        <v>299.46833567328059</v>
      </c>
      <c r="BI72" s="63" t="str">
        <f t="shared" si="40"/>
        <v/>
      </c>
      <c r="BJ72" s="63">
        <f t="shared" si="52"/>
        <v>0.8821338523934692</v>
      </c>
      <c r="BK72" s="63" t="e">
        <f t="shared" si="24"/>
        <v>#VALUE!</v>
      </c>
      <c r="BL72" s="63" t="e">
        <f t="shared" si="50"/>
        <v>#VALUE!</v>
      </c>
    </row>
    <row r="73" spans="2:96" x14ac:dyDescent="0.25">
      <c r="B73">
        <v>52</v>
      </c>
      <c r="C73" s="69" t="s">
        <v>540</v>
      </c>
      <c r="D73" s="63" t="str">
        <f>DIST_PHASE_1_v2!E62</f>
        <v>N175_N176</v>
      </c>
      <c r="E73" s="63">
        <f>DIST_PHASE_1_v2!G62</f>
        <v>2.9028999999999999E-2</v>
      </c>
      <c r="F73" s="63">
        <f>DIST_PHASE_1_v2!L62</f>
        <v>200</v>
      </c>
      <c r="G73" s="63">
        <f>DIST_PHASE_1_v2!M62</f>
        <v>150</v>
      </c>
      <c r="H73" s="63">
        <f>DIST_PHASE_1_v2!N62</f>
        <v>66</v>
      </c>
      <c r="I73" s="63">
        <f t="shared" si="10"/>
        <v>166.96921348218822</v>
      </c>
      <c r="J73" s="63">
        <f t="shared" si="11"/>
        <v>-2.9028999999999999E-2</v>
      </c>
      <c r="K73" s="63">
        <f t="shared" si="12"/>
        <v>-0.23757536491018991</v>
      </c>
      <c r="L73" s="63">
        <f t="shared" si="38"/>
        <v>15.156897440961519</v>
      </c>
      <c r="M73" s="63">
        <f t="shared" si="13"/>
        <v>-2.2432064923816445E-2</v>
      </c>
      <c r="P73" s="63">
        <f t="shared" si="14"/>
        <v>52</v>
      </c>
      <c r="Q73" s="63">
        <v>52</v>
      </c>
      <c r="R73" s="63" t="str">
        <f>DIST_PHASE_1_v2!Q62</f>
        <v>-</v>
      </c>
      <c r="S73" s="63" t="str">
        <f>DIST_PHASE_1_v2!R62</f>
        <v>N175_N176</v>
      </c>
      <c r="T73" s="63">
        <f>DIST_PHASE_1_v2!T62</f>
        <v>2.9028999999999999E-2</v>
      </c>
      <c r="U73" s="63">
        <f>DIST_PHASE_1_v2!Y62</f>
        <v>200</v>
      </c>
      <c r="V73" s="63">
        <v>150</v>
      </c>
      <c r="W73" s="63">
        <f>DIST_PHASE_1_v2!AA62</f>
        <v>66</v>
      </c>
      <c r="X73" s="63">
        <f t="shared" si="15"/>
        <v>166.96921348218822</v>
      </c>
      <c r="Y73" s="63" cm="1">
        <f t="array" ref="Y73">INDEX($M$22:$M$91,P73,1)</f>
        <v>-2.2432064923816445E-2</v>
      </c>
      <c r="Z73" s="63" cm="1">
        <f t="array" ref="Z73">IF(P73&gt;0,
IF(INDEX($C$22:$C$91,P73,1)="positif",1,-1),0)</f>
        <v>-1</v>
      </c>
      <c r="AA73" s="63">
        <f t="shared" si="17"/>
        <v>-1</v>
      </c>
      <c r="AB73" s="63">
        <f t="shared" si="47"/>
        <v>-0.14738261516722301</v>
      </c>
      <c r="AC73" s="63">
        <f t="shared" si="48"/>
        <v>12.167965999416285</v>
      </c>
      <c r="AD73" s="63" t="e">
        <f t="shared" si="46"/>
        <v>#VALUE!</v>
      </c>
      <c r="AF73" s="63" t="e">
        <f t="shared" si="18"/>
        <v>#VALUE!</v>
      </c>
      <c r="AZ73" s="63">
        <f t="shared" si="49"/>
        <v>0</v>
      </c>
      <c r="BA73" s="63">
        <v>52</v>
      </c>
      <c r="BB73" s="63" t="str">
        <f>DIST_PHASE_1_v2!AQ62</f>
        <v>+</v>
      </c>
      <c r="BC73" s="63" t="str">
        <f>DIST_PHASE_1_v2!AR62</f>
        <v>N193_N194</v>
      </c>
      <c r="BD73" s="63">
        <f>DIST_PHASE_1_v2!AT62</f>
        <v>6.6000000000000003E-2</v>
      </c>
      <c r="BE73" s="63">
        <f>DIST_PHASE_1_v2!AY62</f>
        <v>300</v>
      </c>
      <c r="BF73" s="63">
        <f>DIST_PHASE_1_v2!AZ62</f>
        <v>150</v>
      </c>
      <c r="BG73" s="63">
        <f>DIST_PHASE_1_v2!BA62</f>
        <v>169</v>
      </c>
      <c r="BH73" s="63">
        <f t="shared" si="23"/>
        <v>59.32512303994173</v>
      </c>
      <c r="BI73" s="63" t="str">
        <f t="shared" si="40"/>
        <v/>
      </c>
      <c r="BJ73" s="63">
        <f t="shared" si="52"/>
        <v>0.38639724054184493</v>
      </c>
      <c r="BK73" s="63" t="e">
        <f t="shared" si="24"/>
        <v>#VALUE!</v>
      </c>
      <c r="BL73" s="63" t="e">
        <f t="shared" si="50"/>
        <v>#VALUE!</v>
      </c>
    </row>
    <row r="74" spans="2:96" x14ac:dyDescent="0.25">
      <c r="B74">
        <v>53</v>
      </c>
      <c r="C74" s="69" t="s">
        <v>540</v>
      </c>
      <c r="D74" s="63" t="str">
        <f>DIST_PHASE_1_v2!E63</f>
        <v>N176_N177</v>
      </c>
      <c r="E74" s="63">
        <f>DIST_PHASE_1_v2!G63</f>
        <v>2.9028999999999999E-2</v>
      </c>
      <c r="F74" s="63">
        <f>DIST_PHASE_1_v2!L63</f>
        <v>200</v>
      </c>
      <c r="G74" s="63">
        <f>DIST_PHASE_1_v2!M63</f>
        <v>150</v>
      </c>
      <c r="H74" s="63">
        <f>DIST_PHASE_1_v2!N63</f>
        <v>48</v>
      </c>
      <c r="I74" s="63">
        <f t="shared" si="10"/>
        <v>121.43215525977327</v>
      </c>
      <c r="J74" s="63">
        <f t="shared" si="11"/>
        <v>-2.9028999999999999E-2</v>
      </c>
      <c r="K74" s="63">
        <f t="shared" si="12"/>
        <v>-0.17278208357104724</v>
      </c>
      <c r="L74" s="63">
        <f t="shared" si="38"/>
        <v>11.023198138881106</v>
      </c>
      <c r="M74" s="63">
        <f t="shared" si="13"/>
        <v>-2.2432064923816445E-2</v>
      </c>
      <c r="P74" s="63">
        <f t="shared" si="14"/>
        <v>53</v>
      </c>
      <c r="Q74" s="63">
        <v>53</v>
      </c>
      <c r="R74" s="63" t="str">
        <f>DIST_PHASE_1_v2!Q63</f>
        <v>-</v>
      </c>
      <c r="S74" s="63" t="str">
        <f>DIST_PHASE_1_v2!R63</f>
        <v>N176_N177</v>
      </c>
      <c r="T74" s="63">
        <f>DIST_PHASE_1_v2!T63</f>
        <v>2.9028999999999999E-2</v>
      </c>
      <c r="U74" s="63">
        <f>DIST_PHASE_1_v2!Y63</f>
        <v>200</v>
      </c>
      <c r="V74" s="63">
        <v>150</v>
      </c>
      <c r="W74" s="63">
        <f>DIST_PHASE_1_v2!AA63</f>
        <v>48</v>
      </c>
      <c r="X74" s="63">
        <f t="shared" si="15"/>
        <v>121.43215525977327</v>
      </c>
      <c r="Y74" s="63" cm="1">
        <f t="array" ref="Y74">INDEX($M$22:$M$91,P74,1)</f>
        <v>-2.2432064923816445E-2</v>
      </c>
      <c r="Z74" s="63" cm="1">
        <f t="array" ref="Z74">IF(P74&gt;0,
IF(INDEX($C$22:$C$91,P74,1)="positif",1,-1),0)</f>
        <v>-1</v>
      </c>
      <c r="AA74" s="63">
        <f t="shared" si="17"/>
        <v>-1</v>
      </c>
      <c r="AB74" s="63">
        <f t="shared" si="47"/>
        <v>-0.10718735648525311</v>
      </c>
      <c r="AC74" s="63">
        <f t="shared" si="48"/>
        <v>8.8494298177573008</v>
      </c>
      <c r="AD74" s="63" t="e">
        <f t="shared" si="46"/>
        <v>#VALUE!</v>
      </c>
      <c r="AF74" s="63" t="e">
        <f t="shared" si="18"/>
        <v>#VALUE!</v>
      </c>
      <c r="AZ74" s="63">
        <f>COUNTIF(AZ22:AZ73,"&gt;0")</f>
        <v>10</v>
      </c>
      <c r="BA74" s="63"/>
      <c r="BB74" s="63"/>
      <c r="BC74" s="63" t="s">
        <v>380</v>
      </c>
      <c r="BD74" s="238"/>
      <c r="BE74" s="238"/>
      <c r="BF74" s="238"/>
      <c r="BG74" s="238"/>
      <c r="BH74" s="238"/>
      <c r="BI74" s="238"/>
      <c r="BJ74" s="63" t="e">
        <f>SUM(BJ22:BJ73)</f>
        <v>#VALUE!</v>
      </c>
      <c r="BK74" s="63" t="e">
        <f>SUM(BK22:BK73)</f>
        <v>#VALUE!</v>
      </c>
      <c r="BL74" s="63"/>
    </row>
    <row r="75" spans="2:96" x14ac:dyDescent="0.25">
      <c r="B75">
        <v>54</v>
      </c>
      <c r="C75" s="69" t="s">
        <v>540</v>
      </c>
      <c r="D75" s="63" t="str">
        <f>DIST_PHASE_1_v2!E64</f>
        <v>N177_N178</v>
      </c>
      <c r="E75" s="63">
        <f>DIST_PHASE_1_v2!G64</f>
        <v>2.9028999999999999E-2</v>
      </c>
      <c r="F75" s="63">
        <f>DIST_PHASE_1_v2!L64</f>
        <v>200</v>
      </c>
      <c r="G75" s="63">
        <f>DIST_PHASE_1_v2!M64</f>
        <v>150</v>
      </c>
      <c r="H75" s="63">
        <f>DIST_PHASE_1_v2!N64</f>
        <v>19</v>
      </c>
      <c r="I75" s="63">
        <f t="shared" si="10"/>
        <v>48.06689479032692</v>
      </c>
      <c r="J75" s="63">
        <f t="shared" si="11"/>
        <v>-2.9028999999999999E-2</v>
      </c>
      <c r="K75" s="63">
        <f t="shared" si="12"/>
        <v>-6.8392908080206191E-2</v>
      </c>
      <c r="L75" s="63">
        <f t="shared" si="38"/>
        <v>4.3633492633071045</v>
      </c>
      <c r="M75" s="63">
        <f t="shared" si="13"/>
        <v>-2.2432064923816445E-2</v>
      </c>
      <c r="P75" s="63">
        <f t="shared" si="14"/>
        <v>54</v>
      </c>
      <c r="Q75" s="63">
        <v>54</v>
      </c>
      <c r="R75" s="63" t="str">
        <f>DIST_PHASE_1_v2!Q64</f>
        <v>-</v>
      </c>
      <c r="S75" s="63" t="str">
        <f>DIST_PHASE_1_v2!R64</f>
        <v>N177_N178</v>
      </c>
      <c r="T75" s="63">
        <f>DIST_PHASE_1_v2!T64</f>
        <v>2.9028999999999999E-2</v>
      </c>
      <c r="U75" s="63">
        <f>DIST_PHASE_1_v2!Y64</f>
        <v>200</v>
      </c>
      <c r="V75" s="63">
        <v>150</v>
      </c>
      <c r="W75" s="63">
        <f>DIST_PHASE_1_v2!AA64</f>
        <v>19</v>
      </c>
      <c r="X75" s="63">
        <f t="shared" si="15"/>
        <v>48.06689479032692</v>
      </c>
      <c r="Y75" s="63" cm="1">
        <f t="array" ref="Y75">INDEX($M$22:$M$91,P75,1)</f>
        <v>-2.2432064923816445E-2</v>
      </c>
      <c r="Z75" s="63" cm="1">
        <f t="array" ref="Z75">IF(P75&gt;0,
IF(INDEX($C$22:$C$91,P75,1)="positif",1,-1),0)</f>
        <v>-1</v>
      </c>
      <c r="AA75" s="63">
        <f t="shared" si="17"/>
        <v>-1</v>
      </c>
      <c r="AB75" s="63">
        <f t="shared" si="47"/>
        <v>-4.2428328608746027E-2</v>
      </c>
      <c r="AC75" s="63">
        <f t="shared" si="48"/>
        <v>3.5028993028622648</v>
      </c>
      <c r="AD75" s="63" t="e">
        <f t="shared" si="46"/>
        <v>#VALUE!</v>
      </c>
      <c r="AF75" s="63" t="e">
        <f t="shared" si="18"/>
        <v>#VALUE!</v>
      </c>
      <c r="AZ75" s="63"/>
      <c r="BA75" s="63"/>
      <c r="BB75" s="63"/>
      <c r="BC75" s="82" t="s">
        <v>381</v>
      </c>
      <c r="BD75" s="238" t="e">
        <f>-(BJ74/BK74)</f>
        <v>#VALUE!</v>
      </c>
      <c r="BE75" s="238"/>
      <c r="BF75" s="238"/>
      <c r="BG75" s="238"/>
      <c r="BH75" s="238"/>
      <c r="BI75" s="238"/>
      <c r="BJ75" s="238"/>
      <c r="BK75" s="238"/>
      <c r="BL75" s="63"/>
    </row>
    <row r="76" spans="2:96" x14ac:dyDescent="0.25">
      <c r="B76">
        <v>55</v>
      </c>
      <c r="C76" s="69" t="s">
        <v>540</v>
      </c>
      <c r="D76" s="63" t="str">
        <f>DIST_PHASE_1_v2!E65</f>
        <v>N178_N179</v>
      </c>
      <c r="E76" s="63">
        <f>DIST_PHASE_1_v2!G65</f>
        <v>2.9028999999999999E-2</v>
      </c>
      <c r="F76" s="63">
        <f>DIST_PHASE_1_v2!L65</f>
        <v>200</v>
      </c>
      <c r="G76" s="63">
        <f>DIST_PHASE_1_v2!M65</f>
        <v>150</v>
      </c>
      <c r="H76" s="63">
        <f>DIST_PHASE_1_v2!N65</f>
        <v>58</v>
      </c>
      <c r="I76" s="63">
        <f t="shared" si="10"/>
        <v>146.73052093889271</v>
      </c>
      <c r="J76" s="63">
        <f t="shared" si="11"/>
        <v>-2.9028999999999999E-2</v>
      </c>
      <c r="K76" s="63">
        <f t="shared" si="12"/>
        <v>-0.20877835098168207</v>
      </c>
      <c r="L76" s="63">
        <f t="shared" si="38"/>
        <v>13.319697751148006</v>
      </c>
      <c r="M76" s="63">
        <f t="shared" si="13"/>
        <v>-2.2432064923816445E-2</v>
      </c>
      <c r="P76" s="63">
        <f t="shared" si="14"/>
        <v>55</v>
      </c>
      <c r="Q76" s="63">
        <v>55</v>
      </c>
      <c r="R76" s="63" t="str">
        <f>DIST_PHASE_1_v2!Q65</f>
        <v>-</v>
      </c>
      <c r="S76" s="63" t="str">
        <f>DIST_PHASE_1_v2!R65</f>
        <v>N178_N179</v>
      </c>
      <c r="T76" s="63">
        <f>DIST_PHASE_1_v2!T65</f>
        <v>2.9028999999999999E-2</v>
      </c>
      <c r="U76" s="63">
        <f>DIST_PHASE_1_v2!Y65</f>
        <v>200</v>
      </c>
      <c r="V76" s="63">
        <v>150</v>
      </c>
      <c r="W76" s="63">
        <f>DIST_PHASE_1_v2!AA65</f>
        <v>58</v>
      </c>
      <c r="X76" s="63">
        <f t="shared" si="15"/>
        <v>146.73052093889271</v>
      </c>
      <c r="Y76" s="63" cm="1">
        <f t="array" ref="Y76">INDEX($M$22:$M$91,P76,1)</f>
        <v>-2.2432064923816445E-2</v>
      </c>
      <c r="Z76" s="63" cm="1">
        <f t="array" ref="Z76">IF(P76&gt;0,
IF(INDEX($C$22:$C$91,P76,1)="positif",1,-1),0)</f>
        <v>-1</v>
      </c>
      <c r="AA76" s="63">
        <f t="shared" si="17"/>
        <v>-1</v>
      </c>
      <c r="AB76" s="63">
        <f t="shared" si="47"/>
        <v>-0.12951805575301417</v>
      </c>
      <c r="AC76" s="63">
        <f t="shared" si="48"/>
        <v>10.693061029790073</v>
      </c>
      <c r="AD76" s="63" t="e">
        <f t="shared" si="46"/>
        <v>#VALUE!</v>
      </c>
      <c r="AF76" s="63" t="e">
        <f t="shared" si="18"/>
        <v>#VALUE!</v>
      </c>
    </row>
    <row r="77" spans="2:96" x14ac:dyDescent="0.25">
      <c r="B77">
        <v>56</v>
      </c>
      <c r="C77" s="69" t="s">
        <v>540</v>
      </c>
      <c r="D77" s="63" t="str">
        <f>DIST_PHASE_1_v2!E66</f>
        <v>N179_N180</v>
      </c>
      <c r="E77" s="63">
        <f>DIST_PHASE_1_v2!G66</f>
        <v>2.9028999999999999E-2</v>
      </c>
      <c r="F77" s="63">
        <f>DIST_PHASE_1_v2!L66</f>
        <v>200</v>
      </c>
      <c r="G77" s="63">
        <f>DIST_PHASE_1_v2!M66</f>
        <v>150</v>
      </c>
      <c r="H77" s="63">
        <f>DIST_PHASE_1_v2!N66</f>
        <v>84</v>
      </c>
      <c r="I77" s="63">
        <f t="shared" si="10"/>
        <v>212.50627170460322</v>
      </c>
      <c r="J77" s="63">
        <f t="shared" si="11"/>
        <v>-2.9028999999999999E-2</v>
      </c>
      <c r="K77" s="63">
        <f t="shared" si="12"/>
        <v>-0.30236864624933263</v>
      </c>
      <c r="L77" s="63">
        <f t="shared" si="38"/>
        <v>19.290596743041935</v>
      </c>
      <c r="M77" s="63">
        <f t="shared" si="13"/>
        <v>-2.2432064923816445E-2</v>
      </c>
      <c r="P77" s="63">
        <f t="shared" si="14"/>
        <v>56</v>
      </c>
      <c r="Q77" s="63">
        <v>56</v>
      </c>
      <c r="R77" s="63" t="str">
        <f>DIST_PHASE_1_v2!Q66</f>
        <v>-</v>
      </c>
      <c r="S77" s="63" t="str">
        <f>DIST_PHASE_1_v2!R66</f>
        <v>N179_N180</v>
      </c>
      <c r="T77" s="63">
        <f>DIST_PHASE_1_v2!T66</f>
        <v>2.9028999999999999E-2</v>
      </c>
      <c r="U77" s="63">
        <f>DIST_PHASE_1_v2!Y66</f>
        <v>200</v>
      </c>
      <c r="V77" s="63">
        <v>150</v>
      </c>
      <c r="W77" s="63">
        <f>DIST_PHASE_1_v2!AA66</f>
        <v>84</v>
      </c>
      <c r="X77" s="63">
        <f t="shared" si="15"/>
        <v>212.50627170460322</v>
      </c>
      <c r="Y77" s="63" cm="1">
        <f t="array" ref="Y77">INDEX($M$22:$M$91,P77,1)</f>
        <v>-2.2432064923816445E-2</v>
      </c>
      <c r="Z77" s="63" cm="1">
        <f t="array" ref="Z77">IF(P77&gt;0,
IF(INDEX($C$22:$C$91,P77,1)="positif",1,-1),0)</f>
        <v>-1</v>
      </c>
      <c r="AA77" s="63">
        <f t="shared" si="17"/>
        <v>-1</v>
      </c>
      <c r="AB77" s="63">
        <f t="shared" si="47"/>
        <v>-0.18757787384919294</v>
      </c>
      <c r="AC77" s="63">
        <f t="shared" si="48"/>
        <v>15.486502181075274</v>
      </c>
      <c r="AD77" s="63" t="e">
        <f t="shared" si="46"/>
        <v>#VALUE!</v>
      </c>
      <c r="AF77" s="63" t="e">
        <f t="shared" si="18"/>
        <v>#VALUE!</v>
      </c>
    </row>
    <row r="78" spans="2:96" x14ac:dyDescent="0.25">
      <c r="B78">
        <v>57</v>
      </c>
      <c r="C78" s="69" t="s">
        <v>540</v>
      </c>
      <c r="D78" s="63" t="str">
        <f>DIST_PHASE_1_v2!E67</f>
        <v>N180_N181</v>
      </c>
      <c r="E78" s="63">
        <f>DIST_PHASE_1_v2!G67</f>
        <v>2.9028999999999999E-2</v>
      </c>
      <c r="F78" s="63">
        <f>DIST_PHASE_1_v2!L67</f>
        <v>200</v>
      </c>
      <c r="G78" s="63">
        <f>DIST_PHASE_1_v2!M67</f>
        <v>150</v>
      </c>
      <c r="H78" s="63">
        <f>DIST_PHASE_1_v2!N67</f>
        <v>105</v>
      </c>
      <c r="I78" s="63">
        <f t="shared" si="10"/>
        <v>265.63283963075406</v>
      </c>
      <c r="J78" s="63">
        <f t="shared" si="11"/>
        <v>-2.9028999999999999E-2</v>
      </c>
      <c r="K78" s="63">
        <f t="shared" si="12"/>
        <v>-0.37796080781166586</v>
      </c>
      <c r="L78" s="63">
        <f t="shared" si="38"/>
        <v>24.113245928802424</v>
      </c>
      <c r="M78" s="63">
        <f t="shared" si="13"/>
        <v>-2.2432064923816445E-2</v>
      </c>
      <c r="P78" s="63">
        <f t="shared" si="14"/>
        <v>57</v>
      </c>
      <c r="Q78" s="63">
        <v>57</v>
      </c>
      <c r="R78" s="63" t="str">
        <f>DIST_PHASE_1_v2!Q67</f>
        <v>-</v>
      </c>
      <c r="S78" s="63" t="str">
        <f>DIST_PHASE_1_v2!R67</f>
        <v>N180_N181</v>
      </c>
      <c r="T78" s="63">
        <f>DIST_PHASE_1_v2!T67</f>
        <v>2.9028999999999999E-2</v>
      </c>
      <c r="U78" s="63">
        <f>DIST_PHASE_1_v2!Y67</f>
        <v>200</v>
      </c>
      <c r="V78" s="63">
        <v>150</v>
      </c>
      <c r="W78" s="63">
        <f>DIST_PHASE_1_v2!AA67</f>
        <v>105</v>
      </c>
      <c r="X78" s="63">
        <f t="shared" si="15"/>
        <v>265.63283963075406</v>
      </c>
      <c r="Y78" s="63" cm="1">
        <f t="array" ref="Y78">INDEX($M$22:$M$91,P78,1)</f>
        <v>-2.2432064923816445E-2</v>
      </c>
      <c r="Z78" s="63" cm="1">
        <f t="array" ref="Z78">IF(P78&gt;0,
IF(INDEX($C$22:$C$91,P78,1)="positif",1,-1),0)</f>
        <v>-1</v>
      </c>
      <c r="AA78" s="63">
        <f t="shared" si="17"/>
        <v>-1</v>
      </c>
      <c r="AB78" s="63">
        <f t="shared" si="47"/>
        <v>-0.23447234231149122</v>
      </c>
      <c r="AC78" s="63">
        <f t="shared" si="48"/>
        <v>19.358127726344097</v>
      </c>
      <c r="AD78" s="63" t="e">
        <f t="shared" si="46"/>
        <v>#VALUE!</v>
      </c>
      <c r="AF78" s="63" t="e">
        <f t="shared" si="18"/>
        <v>#VALUE!</v>
      </c>
    </row>
    <row r="79" spans="2:96" x14ac:dyDescent="0.25">
      <c r="B79">
        <v>58</v>
      </c>
      <c r="C79" s="69" t="s">
        <v>540</v>
      </c>
      <c r="D79" s="63" t="str">
        <f>DIST_PHASE_1_v2!E68</f>
        <v>N181_N182</v>
      </c>
      <c r="E79" s="63">
        <f>DIST_PHASE_1_v2!G68</f>
        <v>2.9028999999999999E-2</v>
      </c>
      <c r="F79" s="63">
        <f>DIST_PHASE_1_v2!L68</f>
        <v>200</v>
      </c>
      <c r="G79" s="63">
        <f>DIST_PHASE_1_v2!M68</f>
        <v>150</v>
      </c>
      <c r="H79" s="63">
        <f>DIST_PHASE_1_v2!N68</f>
        <v>90</v>
      </c>
      <c r="I79" s="63">
        <f t="shared" si="10"/>
        <v>227.68529111207488</v>
      </c>
      <c r="J79" s="63">
        <f t="shared" si="11"/>
        <v>-2.9028999999999999E-2</v>
      </c>
      <c r="K79" s="63">
        <f t="shared" si="12"/>
        <v>-0.32396640669571353</v>
      </c>
      <c r="L79" s="63">
        <f t="shared" si="38"/>
        <v>20.668496510402075</v>
      </c>
      <c r="M79" s="63">
        <f t="shared" si="13"/>
        <v>-2.2432064923816445E-2</v>
      </c>
      <c r="P79" s="63">
        <f t="shared" si="14"/>
        <v>58</v>
      </c>
      <c r="Q79" s="63">
        <v>58</v>
      </c>
      <c r="R79" s="63" t="str">
        <f>DIST_PHASE_1_v2!Q68</f>
        <v>-</v>
      </c>
      <c r="S79" s="63" t="str">
        <f>DIST_PHASE_1_v2!R68</f>
        <v>N181_N182</v>
      </c>
      <c r="T79" s="63">
        <f>DIST_PHASE_1_v2!T68</f>
        <v>2.9028999999999999E-2</v>
      </c>
      <c r="U79" s="63">
        <f>DIST_PHASE_1_v2!Y68</f>
        <v>200</v>
      </c>
      <c r="V79" s="63">
        <v>150</v>
      </c>
      <c r="W79" s="63">
        <f>DIST_PHASE_1_v2!AA68</f>
        <v>90</v>
      </c>
      <c r="X79" s="63">
        <f t="shared" si="15"/>
        <v>227.68529111207488</v>
      </c>
      <c r="Y79" s="63" cm="1">
        <f t="array" ref="Y79">INDEX($M$22:$M$91,P79,1)</f>
        <v>-2.2432064923816445E-2</v>
      </c>
      <c r="Z79" s="63" cm="1">
        <f t="array" ref="Z79">IF(P79&gt;0,
IF(INDEX($C$22:$C$91,P79,1)="positif",1,-1),0)</f>
        <v>-1</v>
      </c>
      <c r="AA79" s="63">
        <f t="shared" si="17"/>
        <v>-1</v>
      </c>
      <c r="AB79" s="63">
        <f t="shared" si="47"/>
        <v>-0.20097629340984957</v>
      </c>
      <c r="AC79" s="63">
        <f t="shared" si="48"/>
        <v>16.592680908294938</v>
      </c>
      <c r="AD79" s="63" t="e">
        <f t="shared" si="46"/>
        <v>#VALUE!</v>
      </c>
      <c r="AF79" s="63" t="e">
        <f t="shared" si="18"/>
        <v>#VALUE!</v>
      </c>
    </row>
    <row r="80" spans="2:96" x14ac:dyDescent="0.25">
      <c r="B80">
        <v>59</v>
      </c>
      <c r="C80" s="69" t="s">
        <v>540</v>
      </c>
      <c r="D80" s="63" t="str">
        <f>DIST_PHASE_1_v2!E69</f>
        <v>N182_N183</v>
      </c>
      <c r="E80" s="63">
        <f>DIST_PHASE_1_v2!G69</f>
        <v>2.9028999999999999E-2</v>
      </c>
      <c r="F80" s="63">
        <f>DIST_PHASE_1_v2!L69</f>
        <v>200</v>
      </c>
      <c r="G80" s="63">
        <f>DIST_PHASE_1_v2!M69</f>
        <v>150</v>
      </c>
      <c r="H80" s="63">
        <f>DIST_PHASE_1_v2!N69</f>
        <v>78</v>
      </c>
      <c r="I80" s="63">
        <f t="shared" si="10"/>
        <v>197.32725229713157</v>
      </c>
      <c r="J80" s="63">
        <f t="shared" si="11"/>
        <v>-2.9028999999999999E-2</v>
      </c>
      <c r="K80" s="63">
        <f t="shared" si="12"/>
        <v>-0.28077088580295173</v>
      </c>
      <c r="L80" s="63">
        <f t="shared" si="38"/>
        <v>17.912696975681797</v>
      </c>
      <c r="M80" s="63">
        <f t="shared" si="13"/>
        <v>-2.2432064923816445E-2</v>
      </c>
      <c r="P80" s="63">
        <f t="shared" si="14"/>
        <v>59</v>
      </c>
      <c r="Q80" s="63">
        <v>59</v>
      </c>
      <c r="R80" s="63" t="str">
        <f>DIST_PHASE_1_v2!Q69</f>
        <v>-</v>
      </c>
      <c r="S80" s="63" t="str">
        <f>DIST_PHASE_1_v2!R69</f>
        <v>N182_N183</v>
      </c>
      <c r="T80" s="63">
        <f>DIST_PHASE_1_v2!T69</f>
        <v>2.9028999999999999E-2</v>
      </c>
      <c r="U80" s="63">
        <f>DIST_PHASE_1_v2!Y69</f>
        <v>200</v>
      </c>
      <c r="V80" s="63">
        <v>150</v>
      </c>
      <c r="W80" s="63">
        <f>DIST_PHASE_1_v2!AA69</f>
        <v>78</v>
      </c>
      <c r="X80" s="63">
        <f t="shared" si="15"/>
        <v>197.32725229713157</v>
      </c>
      <c r="Y80" s="63" cm="1">
        <f t="array" ref="Y80">INDEX($M$22:$M$91,P80,1)</f>
        <v>-2.2432064923816445E-2</v>
      </c>
      <c r="Z80" s="63" cm="1">
        <f t="array" ref="Z80">IF(P80&gt;0,
IF(INDEX($C$22:$C$91,P80,1)="positif",1,-1),0)</f>
        <v>-1</v>
      </c>
      <c r="AA80" s="63">
        <f t="shared" si="17"/>
        <v>-1</v>
      </c>
      <c r="AB80" s="63">
        <f t="shared" si="47"/>
        <v>-0.17417945428853632</v>
      </c>
      <c r="AC80" s="63">
        <f t="shared" si="48"/>
        <v>14.380323453855612</v>
      </c>
      <c r="AD80" s="63" t="e">
        <f t="shared" si="46"/>
        <v>#VALUE!</v>
      </c>
      <c r="AF80" s="63" t="e">
        <f t="shared" si="18"/>
        <v>#VALUE!</v>
      </c>
    </row>
    <row r="81" spans="2:32" x14ac:dyDescent="0.25">
      <c r="B81">
        <v>60</v>
      </c>
      <c r="C81" s="69" t="s">
        <v>540</v>
      </c>
      <c r="D81" s="63" t="str">
        <f>DIST_PHASE_1_v2!E70</f>
        <v>N183_N184</v>
      </c>
      <c r="E81" s="63">
        <f>DIST_PHASE_1_v2!G70</f>
        <v>2.9028999999999999E-2</v>
      </c>
      <c r="F81" s="63">
        <f>DIST_PHASE_1_v2!L70</f>
        <v>200</v>
      </c>
      <c r="G81" s="63">
        <f>DIST_PHASE_1_v2!M70</f>
        <v>150</v>
      </c>
      <c r="H81" s="63">
        <f>DIST_PHASE_1_v2!N70</f>
        <v>83</v>
      </c>
      <c r="I81" s="63">
        <f t="shared" si="10"/>
        <v>209.97643513669126</v>
      </c>
      <c r="J81" s="63">
        <f t="shared" si="11"/>
        <v>-2.9028999999999999E-2</v>
      </c>
      <c r="K81" s="63">
        <f t="shared" si="12"/>
        <v>-0.29876901950826917</v>
      </c>
      <c r="L81" s="63">
        <f t="shared" si="38"/>
        <v>19.060946781815247</v>
      </c>
      <c r="M81" s="63">
        <f t="shared" si="13"/>
        <v>-2.2432064923816445E-2</v>
      </c>
      <c r="P81" s="63">
        <f t="shared" si="14"/>
        <v>60</v>
      </c>
      <c r="Q81" s="63">
        <v>60</v>
      </c>
      <c r="R81" s="63" t="str">
        <f>DIST_PHASE_1_v2!Q70</f>
        <v>-</v>
      </c>
      <c r="S81" s="63" t="str">
        <f>DIST_PHASE_1_v2!R70</f>
        <v>N183_N184</v>
      </c>
      <c r="T81" s="63">
        <f>DIST_PHASE_1_v2!T70</f>
        <v>2.9028999999999999E-2</v>
      </c>
      <c r="U81" s="63">
        <f>DIST_PHASE_1_v2!Y70</f>
        <v>200</v>
      </c>
      <c r="V81" s="63">
        <v>150</v>
      </c>
      <c r="W81" s="63">
        <f>DIST_PHASE_1_v2!AA70</f>
        <v>83</v>
      </c>
      <c r="X81" s="63">
        <f t="shared" si="15"/>
        <v>209.97643513669126</v>
      </c>
      <c r="Y81" s="63" cm="1">
        <f t="array" ref="Y81">INDEX($M$22:$M$91,P81,1)</f>
        <v>-2.2432064923816445E-2</v>
      </c>
      <c r="Z81" s="63" cm="1">
        <f t="array" ref="Z81">IF(P81&gt;0,
IF(INDEX($C$22:$C$91,P81,1)="positif",1,-1),0)</f>
        <v>-1</v>
      </c>
      <c r="AA81" s="63">
        <f t="shared" si="17"/>
        <v>-1</v>
      </c>
      <c r="AB81" s="63">
        <f t="shared" si="47"/>
        <v>-0.18534480392241684</v>
      </c>
      <c r="AC81" s="63">
        <f t="shared" si="48"/>
        <v>15.302139059871998</v>
      </c>
      <c r="AD81" s="63" t="e">
        <f t="shared" si="46"/>
        <v>#VALUE!</v>
      </c>
      <c r="AF81" s="63" t="e">
        <f t="shared" si="18"/>
        <v>#VALUE!</v>
      </c>
    </row>
    <row r="82" spans="2:32" x14ac:dyDescent="0.25">
      <c r="B82">
        <v>61</v>
      </c>
      <c r="C82" s="69" t="s">
        <v>540</v>
      </c>
      <c r="D82" s="63" t="str">
        <f>DIST_PHASE_1_v2!E71</f>
        <v>N184_N185</v>
      </c>
      <c r="E82" s="63">
        <f>DIST_PHASE_1_v2!G71</f>
        <v>2.9028999999999999E-2</v>
      </c>
      <c r="F82" s="63">
        <f>DIST_PHASE_1_v2!L71</f>
        <v>200</v>
      </c>
      <c r="G82" s="63">
        <f>DIST_PHASE_1_v2!M71</f>
        <v>150</v>
      </c>
      <c r="H82" s="63">
        <f>DIST_PHASE_1_v2!N71</f>
        <v>175</v>
      </c>
      <c r="I82" s="63">
        <f t="shared" si="10"/>
        <v>442.72139938459003</v>
      </c>
      <c r="J82" s="63">
        <f t="shared" si="11"/>
        <v>-2.9028999999999999E-2</v>
      </c>
      <c r="K82" s="63">
        <f t="shared" si="12"/>
        <v>-0.62993467968610972</v>
      </c>
      <c r="L82" s="63">
        <f t="shared" si="38"/>
        <v>40.188743214670701</v>
      </c>
      <c r="M82" s="63">
        <f t="shared" si="13"/>
        <v>-2.2432064923816445E-2</v>
      </c>
      <c r="P82" s="63">
        <f t="shared" si="14"/>
        <v>61</v>
      </c>
      <c r="Q82" s="63">
        <v>61</v>
      </c>
      <c r="R82" s="63" t="str">
        <f>DIST_PHASE_1_v2!Q71</f>
        <v>-</v>
      </c>
      <c r="S82" s="63" t="str">
        <f>DIST_PHASE_1_v2!R71</f>
        <v>N184_N185</v>
      </c>
      <c r="T82" s="63">
        <f>DIST_PHASE_1_v2!T71</f>
        <v>2.9028999999999999E-2</v>
      </c>
      <c r="U82" s="63">
        <f>DIST_PHASE_1_v2!Y71</f>
        <v>200</v>
      </c>
      <c r="V82" s="63">
        <v>150</v>
      </c>
      <c r="W82" s="63">
        <f>DIST_PHASE_1_v2!AA71</f>
        <v>175</v>
      </c>
      <c r="X82" s="63">
        <f t="shared" si="15"/>
        <v>442.72139938459003</v>
      </c>
      <c r="Y82" s="63" cm="1">
        <f t="array" ref="Y82">INDEX($M$22:$M$91,P82,1)</f>
        <v>-2.2432064923816445E-2</v>
      </c>
      <c r="Z82" s="63" cm="1">
        <f t="array" ref="Z82">IF(P82&gt;0,
IF(INDEX($C$22:$C$91,P82,1)="positif",1,-1),0)</f>
        <v>-1</v>
      </c>
      <c r="AA82" s="63">
        <f t="shared" si="17"/>
        <v>-1</v>
      </c>
      <c r="AB82" s="63">
        <f t="shared" si="47"/>
        <v>-0.39078723718581865</v>
      </c>
      <c r="AC82" s="63">
        <f t="shared" si="48"/>
        <v>32.263546210573487</v>
      </c>
      <c r="AD82" s="63" t="e">
        <f t="shared" si="46"/>
        <v>#VALUE!</v>
      </c>
      <c r="AF82" s="63" t="e">
        <f t="shared" si="18"/>
        <v>#VALUE!</v>
      </c>
    </row>
    <row r="83" spans="2:32" x14ac:dyDescent="0.25">
      <c r="B83">
        <v>62</v>
      </c>
      <c r="C83" s="69" t="s">
        <v>540</v>
      </c>
      <c r="D83" s="63" t="str">
        <f>DIST_PHASE_1_v2!E72</f>
        <v>N185_N186</v>
      </c>
      <c r="E83" s="63">
        <f>DIST_PHASE_1_v2!G72</f>
        <v>2.9028999999999999E-2</v>
      </c>
      <c r="F83" s="63">
        <f>DIST_PHASE_1_v2!L72</f>
        <v>200</v>
      </c>
      <c r="G83" s="63">
        <f>DIST_PHASE_1_v2!M72</f>
        <v>150</v>
      </c>
      <c r="H83" s="63">
        <f>DIST_PHASE_1_v2!N72</f>
        <v>169</v>
      </c>
      <c r="I83" s="63">
        <f t="shared" si="10"/>
        <v>427.5423799771184</v>
      </c>
      <c r="J83" s="63">
        <f t="shared" si="11"/>
        <v>-2.9028999999999999E-2</v>
      </c>
      <c r="K83" s="63">
        <f t="shared" si="12"/>
        <v>-0.60833691923972877</v>
      </c>
      <c r="L83" s="63">
        <f t="shared" si="38"/>
        <v>38.81084344731056</v>
      </c>
      <c r="M83" s="63">
        <f t="shared" si="13"/>
        <v>-2.2432064923816445E-2</v>
      </c>
      <c r="P83" s="63">
        <f t="shared" si="14"/>
        <v>62</v>
      </c>
      <c r="Q83" s="63">
        <v>62</v>
      </c>
      <c r="R83" s="63" t="str">
        <f>DIST_PHASE_1_v2!Q72</f>
        <v>-</v>
      </c>
      <c r="S83" s="63" t="str">
        <f>DIST_PHASE_1_v2!R72</f>
        <v>N185_N186</v>
      </c>
      <c r="T83" s="63">
        <f>DIST_PHASE_1_v2!T72</f>
        <v>2.9028999999999999E-2</v>
      </c>
      <c r="U83" s="63">
        <f>DIST_PHASE_1_v2!Y72</f>
        <v>200</v>
      </c>
      <c r="V83" s="63">
        <v>150</v>
      </c>
      <c r="W83" s="63">
        <f>DIST_PHASE_1_v2!AA72</f>
        <v>169</v>
      </c>
      <c r="X83" s="63">
        <f t="shared" si="15"/>
        <v>427.5423799771184</v>
      </c>
      <c r="Y83" s="63" cm="1">
        <f t="array" ref="Y83">INDEX($M$22:$M$91,P83,1)</f>
        <v>-2.2432064923816445E-2</v>
      </c>
      <c r="Z83" s="63" cm="1">
        <f t="array" ref="Z83">IF(P83&gt;0,
IF(INDEX($C$22:$C$91,P83,1)="positif",1,-1),0)</f>
        <v>-1</v>
      </c>
      <c r="AA83" s="63">
        <f t="shared" si="17"/>
        <v>-1</v>
      </c>
      <c r="AB83" s="63">
        <f t="shared" si="47"/>
        <v>-0.37738881762516202</v>
      </c>
      <c r="AC83" s="63">
        <f t="shared" si="48"/>
        <v>31.157367483353827</v>
      </c>
      <c r="AD83" s="63" t="e">
        <f t="shared" si="46"/>
        <v>#VALUE!</v>
      </c>
      <c r="AF83" s="63" t="e">
        <f t="shared" si="18"/>
        <v>#VALUE!</v>
      </c>
    </row>
    <row r="84" spans="2:32" x14ac:dyDescent="0.25">
      <c r="B84">
        <v>63</v>
      </c>
      <c r="C84" s="69" t="s">
        <v>540</v>
      </c>
      <c r="D84" s="63" t="str">
        <f>DIST_PHASE_1_v2!E73</f>
        <v>N186_N187</v>
      </c>
      <c r="E84" s="63">
        <f>DIST_PHASE_1_v2!G73</f>
        <v>2.9028999999999999E-2</v>
      </c>
      <c r="F84" s="63">
        <f>DIST_PHASE_1_v2!L73</f>
        <v>200</v>
      </c>
      <c r="G84" s="63">
        <f>DIST_PHASE_1_v2!M73</f>
        <v>150</v>
      </c>
      <c r="H84" s="63">
        <f>DIST_PHASE_1_v2!N73</f>
        <v>169</v>
      </c>
      <c r="I84" s="63">
        <f t="shared" si="10"/>
        <v>427.5423799771184</v>
      </c>
      <c r="J84" s="63">
        <f t="shared" si="11"/>
        <v>-2.9028999999999999E-2</v>
      </c>
      <c r="K84" s="63">
        <f t="shared" si="12"/>
        <v>-0.60833691923972877</v>
      </c>
      <c r="L84" s="63">
        <f t="shared" si="38"/>
        <v>38.81084344731056</v>
      </c>
      <c r="M84" s="63">
        <f t="shared" si="13"/>
        <v>-2.2432064923816445E-2</v>
      </c>
      <c r="P84" s="63">
        <f t="shared" si="14"/>
        <v>63</v>
      </c>
      <c r="Q84" s="63">
        <v>63</v>
      </c>
      <c r="R84" s="63" t="str">
        <f>DIST_PHASE_1_v2!Q73</f>
        <v>-</v>
      </c>
      <c r="S84" s="63" t="str">
        <f>DIST_PHASE_1_v2!R73</f>
        <v>N186_N187</v>
      </c>
      <c r="T84" s="63">
        <f>DIST_PHASE_1_v2!T73</f>
        <v>2.9028999999999999E-2</v>
      </c>
      <c r="U84" s="63">
        <f>DIST_PHASE_1_v2!Y73</f>
        <v>200</v>
      </c>
      <c r="V84" s="63">
        <v>150</v>
      </c>
      <c r="W84" s="63">
        <f>DIST_PHASE_1_v2!AA73</f>
        <v>169</v>
      </c>
      <c r="X84" s="63">
        <f t="shared" si="15"/>
        <v>427.5423799771184</v>
      </c>
      <c r="Y84" s="63" cm="1">
        <f t="array" ref="Y84">INDEX($M$22:$M$91,P84,1)</f>
        <v>-2.2432064923816445E-2</v>
      </c>
      <c r="Z84" s="63" cm="1">
        <f t="array" ref="Z84">IF(P84&gt;0,
IF(INDEX($C$22:$C$91,P84,1)="positif",1,-1),0)</f>
        <v>-1</v>
      </c>
      <c r="AA84" s="63">
        <f t="shared" si="17"/>
        <v>-1</v>
      </c>
      <c r="AB84" s="63">
        <f t="shared" si="47"/>
        <v>-0.37738881762516202</v>
      </c>
      <c r="AC84" s="63">
        <f t="shared" si="48"/>
        <v>31.157367483353827</v>
      </c>
      <c r="AD84" s="63" t="e">
        <f t="shared" si="46"/>
        <v>#VALUE!</v>
      </c>
      <c r="AF84" s="63" t="e">
        <f t="shared" si="18"/>
        <v>#VALUE!</v>
      </c>
    </row>
    <row r="85" spans="2:32" x14ac:dyDescent="0.25">
      <c r="B85">
        <v>64</v>
      </c>
      <c r="C85" s="69" t="s">
        <v>540</v>
      </c>
      <c r="D85" s="63" t="str">
        <f>DIST_PHASE_1_v2!E74</f>
        <v>N187_N188</v>
      </c>
      <c r="E85" s="63">
        <f>DIST_PHASE_1_v2!G74</f>
        <v>2.9028999999999999E-2</v>
      </c>
      <c r="F85" s="63">
        <f>DIST_PHASE_1_v2!L74</f>
        <v>200</v>
      </c>
      <c r="G85" s="63">
        <f>DIST_PHASE_1_v2!M74</f>
        <v>150</v>
      </c>
      <c r="H85" s="63">
        <f>DIST_PHASE_1_v2!N74</f>
        <v>134</v>
      </c>
      <c r="I85" s="63">
        <f t="shared" si="10"/>
        <v>338.99810010020042</v>
      </c>
      <c r="J85" s="63">
        <f t="shared" si="11"/>
        <v>-2.9028999999999999E-2</v>
      </c>
      <c r="K85" s="63">
        <f t="shared" si="12"/>
        <v>-0.48234998330250689</v>
      </c>
      <c r="L85" s="63">
        <f t="shared" si="38"/>
        <v>30.773094804376424</v>
      </c>
      <c r="M85" s="63">
        <f t="shared" si="13"/>
        <v>-2.2432064923816445E-2</v>
      </c>
      <c r="P85" s="63">
        <f t="shared" si="14"/>
        <v>64</v>
      </c>
      <c r="Q85" s="63">
        <v>64</v>
      </c>
      <c r="R85" s="63" t="str">
        <f>DIST_PHASE_1_v2!Q74</f>
        <v>-</v>
      </c>
      <c r="S85" s="63" t="str">
        <f>DIST_PHASE_1_v2!R74</f>
        <v>N187_N188</v>
      </c>
      <c r="T85" s="63">
        <f>DIST_PHASE_1_v2!T74</f>
        <v>2.9028999999999999E-2</v>
      </c>
      <c r="U85" s="63">
        <f>DIST_PHASE_1_v2!Y74</f>
        <v>200</v>
      </c>
      <c r="V85" s="63">
        <v>150</v>
      </c>
      <c r="W85" s="63">
        <f>DIST_PHASE_1_v2!AA74</f>
        <v>134</v>
      </c>
      <c r="X85" s="63">
        <f t="shared" si="15"/>
        <v>338.99810010020042</v>
      </c>
      <c r="Y85" s="63" cm="1">
        <f t="array" ref="Y85">INDEX($M$22:$M$91,P85,1)</f>
        <v>-2.2432064923816445E-2</v>
      </c>
      <c r="Z85" s="63" cm="1">
        <f t="array" ref="Z85">IF(P85&gt;0,
IF(INDEX($C$22:$C$91,P85,1)="positif",1,-1),0)</f>
        <v>-1</v>
      </c>
      <c r="AA85" s="63">
        <f t="shared" si="17"/>
        <v>-1</v>
      </c>
      <c r="AB85" s="63">
        <f t="shared" si="47"/>
        <v>-0.29923137018799828</v>
      </c>
      <c r="AC85" s="63">
        <f t="shared" si="48"/>
        <v>24.70465824123913</v>
      </c>
      <c r="AD85" s="63" t="e">
        <f t="shared" si="46"/>
        <v>#VALUE!</v>
      </c>
      <c r="AF85" s="63" t="e">
        <f t="shared" si="18"/>
        <v>#VALUE!</v>
      </c>
    </row>
    <row r="86" spans="2:32" x14ac:dyDescent="0.25">
      <c r="B86">
        <v>65</v>
      </c>
      <c r="C86" s="69" t="s">
        <v>540</v>
      </c>
      <c r="D86" s="63" t="str">
        <f>DIST_PHASE_1_v2!E75</f>
        <v>N188_N189</v>
      </c>
      <c r="E86" s="63">
        <f>DIST_PHASE_1_v2!G75</f>
        <v>2.9028999999999999E-2</v>
      </c>
      <c r="F86" s="63">
        <f>DIST_PHASE_1_v2!L75</f>
        <v>200</v>
      </c>
      <c r="G86" s="63">
        <f>DIST_PHASE_1_v2!M75</f>
        <v>150</v>
      </c>
      <c r="H86" s="63">
        <f>DIST_PHASE_1_v2!N75</f>
        <v>263</v>
      </c>
      <c r="I86" s="63">
        <f t="shared" si="10"/>
        <v>665.34701736084105</v>
      </c>
      <c r="J86" s="63">
        <f t="shared" si="11"/>
        <v>-2.9028999999999999E-2</v>
      </c>
      <c r="K86" s="63">
        <f t="shared" si="12"/>
        <v>-0.94670183289969634</v>
      </c>
      <c r="L86" s="63">
        <f t="shared" si="38"/>
        <v>60.397939802619398</v>
      </c>
      <c r="M86" s="63">
        <f t="shared" si="13"/>
        <v>-2.2432064923816445E-2</v>
      </c>
      <c r="P86" s="63">
        <f t="shared" si="14"/>
        <v>65</v>
      </c>
      <c r="Q86" s="63">
        <v>65</v>
      </c>
      <c r="R86" s="63" t="str">
        <f>DIST_PHASE_1_v2!Q75</f>
        <v>-</v>
      </c>
      <c r="S86" s="63" t="str">
        <f>DIST_PHASE_1_v2!R75</f>
        <v>N188_N189</v>
      </c>
      <c r="T86" s="63">
        <f>DIST_PHASE_1_v2!T75</f>
        <v>2.9028999999999999E-2</v>
      </c>
      <c r="U86" s="63">
        <f>DIST_PHASE_1_v2!Y75</f>
        <v>200</v>
      </c>
      <c r="V86" s="63">
        <v>150</v>
      </c>
      <c r="W86" s="63">
        <f>DIST_PHASE_1_v2!AA75</f>
        <v>263</v>
      </c>
      <c r="X86" s="63">
        <f t="shared" si="15"/>
        <v>665.34701736084105</v>
      </c>
      <c r="Y86" s="63" cm="1">
        <f t="array" ref="Y86">INDEX($M$22:$M$91,P86,1)</f>
        <v>-2.2432064923816445E-2</v>
      </c>
      <c r="Z86" s="63" cm="1">
        <f t="array" ref="Z86">IF(P86&gt;0,
IF(INDEX($C$22:$C$91,P86,1)="positif",1,-1),0)</f>
        <v>-1</v>
      </c>
      <c r="AA86" s="63">
        <f t="shared" si="17"/>
        <v>-1</v>
      </c>
      <c r="AB86" s="63">
        <f t="shared" ref="AB86:AB91" si="53">X86*SIGN(Y86)*ABS(Y86)^1.852</f>
        <v>-0.58729739074211607</v>
      </c>
      <c r="AC86" s="63">
        <f t="shared" ref="AC86:AC91" si="54">1.852*X86*ABS(Y86)^(1.852-1)</f>
        <v>48.487500876461873</v>
      </c>
      <c r="AD86" s="63" t="e">
        <f t="shared" si="46"/>
        <v>#VALUE!</v>
      </c>
      <c r="AF86" s="63" t="e">
        <f t="shared" si="18"/>
        <v>#VALUE!</v>
      </c>
    </row>
    <row r="87" spans="2:32" x14ac:dyDescent="0.25">
      <c r="B87">
        <v>66</v>
      </c>
      <c r="C87" s="69" t="s">
        <v>540</v>
      </c>
      <c r="D87" s="63" t="str">
        <f>DIST_PHASE_1_v2!E76</f>
        <v>N189_N190</v>
      </c>
      <c r="E87" s="63">
        <f>DIST_PHASE_1_v2!G76</f>
        <v>2.9028999999999999E-2</v>
      </c>
      <c r="F87" s="63">
        <f>DIST_PHASE_1_v2!L76</f>
        <v>200</v>
      </c>
      <c r="G87" s="63">
        <f>DIST_PHASE_1_v2!M76</f>
        <v>150</v>
      </c>
      <c r="H87" s="63">
        <f>DIST_PHASE_1_v2!N76</f>
        <v>257</v>
      </c>
      <c r="I87" s="63">
        <f t="shared" ref="I87:I91" si="55" xml:space="preserve"> (10.679 * H87) / ((F87/1000)^4.871 * G87^1.852)</f>
        <v>650.16799795336942</v>
      </c>
      <c r="J87" s="63">
        <f t="shared" ref="J87:J91" si="56">IF(C87="positif",E87,IF(C87="negatif",-E87,""))</f>
        <v>-2.9028999999999999E-2</v>
      </c>
      <c r="K87" s="63">
        <f t="shared" ref="K87:K91" si="57">IF(J87&gt;0,I87*E87^1.852,-I87*E87^1.852)</f>
        <v>-0.92510407245331538</v>
      </c>
      <c r="L87" s="63">
        <f t="shared" si="38"/>
        <v>59.020040035259257</v>
      </c>
      <c r="M87" s="63">
        <f t="shared" ref="M87:M91" si="58">J87+$D$93</f>
        <v>-2.2432064923816445E-2</v>
      </c>
      <c r="P87" s="63">
        <f t="shared" ref="P87:P91" si="59">IFERROR(MATCH(S87,$D$22:$D$91,0),0)</f>
        <v>66</v>
      </c>
      <c r="Q87" s="63">
        <v>66</v>
      </c>
      <c r="R87" s="63" t="str">
        <f>DIST_PHASE_1_v2!Q76</f>
        <v>-</v>
      </c>
      <c r="S87" s="63" t="str">
        <f>DIST_PHASE_1_v2!R76</f>
        <v>N189_N190</v>
      </c>
      <c r="T87" s="63">
        <f>DIST_PHASE_1_v2!T76</f>
        <v>2.9028999999999999E-2</v>
      </c>
      <c r="U87" s="63">
        <f>DIST_PHASE_1_v2!Y76</f>
        <v>200</v>
      </c>
      <c r="V87" s="63">
        <v>150</v>
      </c>
      <c r="W87" s="63">
        <f>DIST_PHASE_1_v2!AA76</f>
        <v>257</v>
      </c>
      <c r="X87" s="63">
        <f t="shared" ref="X87:X91" si="60" xml:space="preserve"> (10.679 * W87) / ((U87/1000)^4.871 * V87^1.852)</f>
        <v>650.16799795336942</v>
      </c>
      <c r="Y87" s="63" cm="1">
        <f t="array" ref="Y87">INDEX($M$22:$M$91,P87,1)</f>
        <v>-2.2432064923816445E-2</v>
      </c>
      <c r="Z87" s="63" cm="1">
        <f t="array" ref="Z87">IF(P87&gt;0,
IF(INDEX($C$22:$C$91,P87,1)="positif",1,-1),0)</f>
        <v>-1</v>
      </c>
      <c r="AA87" s="63">
        <f t="shared" ref="AA87:AA91" si="61">IF(P87&gt;0,
        IF(R87="positif",1,-1),
        0)</f>
        <v>-1</v>
      </c>
      <c r="AB87" s="63">
        <f t="shared" si="53"/>
        <v>-0.57389897118145938</v>
      </c>
      <c r="AC87" s="63">
        <f t="shared" si="54"/>
        <v>47.381322149242209</v>
      </c>
      <c r="AD87" s="63" t="e">
        <f t="shared" si="46"/>
        <v>#VALUE!</v>
      </c>
      <c r="AF87" s="63" t="e">
        <f t="shared" ref="AF87:AF91" si="62">ABS(AD87)-ABS(Y87)</f>
        <v>#VALUE!</v>
      </c>
    </row>
    <row r="88" spans="2:32" x14ac:dyDescent="0.25">
      <c r="B88">
        <v>67</v>
      </c>
      <c r="C88" s="69" t="s">
        <v>540</v>
      </c>
      <c r="D88" s="63" t="str">
        <f>DIST_PHASE_1_v2!E77</f>
        <v>N190_N191</v>
      </c>
      <c r="E88" s="63">
        <f>DIST_PHASE_1_v2!G77</f>
        <v>2.9028999999999999E-2</v>
      </c>
      <c r="F88" s="63">
        <f>DIST_PHASE_1_v2!L77</f>
        <v>200</v>
      </c>
      <c r="G88" s="63">
        <f>DIST_PHASE_1_v2!M77</f>
        <v>150</v>
      </c>
      <c r="H88" s="63">
        <f>DIST_PHASE_1_v2!N77</f>
        <v>173</v>
      </c>
      <c r="I88" s="63">
        <f t="shared" si="55"/>
        <v>437.66172624876617</v>
      </c>
      <c r="J88" s="63">
        <f t="shared" si="56"/>
        <v>-2.9028999999999999E-2</v>
      </c>
      <c r="K88" s="63">
        <f t="shared" si="57"/>
        <v>-0.6227354262039827</v>
      </c>
      <c r="L88" s="63">
        <f t="shared" ref="L88:L91" si="63">1.852*I88*ABS(E88)^(1.852-1)</f>
        <v>39.729443292217326</v>
      </c>
      <c r="M88" s="63">
        <f t="shared" si="58"/>
        <v>-2.2432064923816445E-2</v>
      </c>
      <c r="P88" s="63">
        <f t="shared" si="59"/>
        <v>67</v>
      </c>
      <c r="Q88" s="63">
        <v>67</v>
      </c>
      <c r="R88" s="63" t="str">
        <f>DIST_PHASE_1_v2!Q77</f>
        <v>-</v>
      </c>
      <c r="S88" s="63" t="str">
        <f>DIST_PHASE_1_v2!R77</f>
        <v>N190_N191</v>
      </c>
      <c r="T88" s="63">
        <f>DIST_PHASE_1_v2!T77</f>
        <v>2.9028999999999999E-2</v>
      </c>
      <c r="U88" s="63">
        <f>DIST_PHASE_1_v2!Y77</f>
        <v>200</v>
      </c>
      <c r="V88" s="63">
        <v>150</v>
      </c>
      <c r="W88" s="63">
        <f>DIST_PHASE_1_v2!AA77</f>
        <v>173</v>
      </c>
      <c r="X88" s="63">
        <f t="shared" si="60"/>
        <v>437.66172624876617</v>
      </c>
      <c r="Y88" s="63" cm="1">
        <f t="array" ref="Y88">INDEX($M$22:$M$91,P88,1)</f>
        <v>-2.2432064923816445E-2</v>
      </c>
      <c r="Z88" s="63" cm="1">
        <f t="array" ref="Z88">IF(P88&gt;0,
IF(INDEX($C$22:$C$91,P88,1)="positif",1,-1),0)</f>
        <v>-1</v>
      </c>
      <c r="AA88" s="63">
        <f t="shared" si="61"/>
        <v>-1</v>
      </c>
      <c r="AB88" s="63">
        <f t="shared" si="53"/>
        <v>-0.38632109733226644</v>
      </c>
      <c r="AC88" s="63">
        <f t="shared" si="54"/>
        <v>31.894819968166935</v>
      </c>
      <c r="AD88" s="63" t="e">
        <f t="shared" si="46"/>
        <v>#VALUE!</v>
      </c>
      <c r="AF88" s="63" t="e">
        <f t="shared" si="62"/>
        <v>#VALUE!</v>
      </c>
    </row>
    <row r="89" spans="2:32" x14ac:dyDescent="0.25">
      <c r="B89">
        <v>68</v>
      </c>
      <c r="C89" s="69" t="s">
        <v>540</v>
      </c>
      <c r="D89" s="63" t="str">
        <f>DIST_PHASE_1_v2!E78</f>
        <v>N191_N192</v>
      </c>
      <c r="E89" s="63">
        <f>DIST_PHASE_1_v2!G78</f>
        <v>2.9028999999999999E-2</v>
      </c>
      <c r="F89" s="63">
        <f>DIST_PHASE_1_v2!L78</f>
        <v>200</v>
      </c>
      <c r="G89" s="63">
        <f>DIST_PHASE_1_v2!M78</f>
        <v>150</v>
      </c>
      <c r="H89" s="63">
        <f>DIST_PHASE_1_v2!N78</f>
        <v>47</v>
      </c>
      <c r="I89" s="63">
        <f t="shared" si="55"/>
        <v>118.90231869186132</v>
      </c>
      <c r="J89" s="63">
        <f t="shared" si="56"/>
        <v>-2.9028999999999999E-2</v>
      </c>
      <c r="K89" s="63">
        <f t="shared" si="57"/>
        <v>-0.16918245682998373</v>
      </c>
      <c r="L89" s="63">
        <f t="shared" si="63"/>
        <v>10.793548177654417</v>
      </c>
      <c r="M89" s="63">
        <f t="shared" si="58"/>
        <v>-2.2432064923816445E-2</v>
      </c>
      <c r="P89" s="63">
        <f t="shared" si="59"/>
        <v>68</v>
      </c>
      <c r="Q89" s="63">
        <v>68</v>
      </c>
      <c r="R89" s="63" t="str">
        <f>DIST_PHASE_1_v2!Q78</f>
        <v>-</v>
      </c>
      <c r="S89" s="63" t="str">
        <f>DIST_PHASE_1_v2!R78</f>
        <v>N191_N192</v>
      </c>
      <c r="T89" s="63">
        <f>DIST_PHASE_1_v2!T78</f>
        <v>2.9028999999999999E-2</v>
      </c>
      <c r="U89" s="63">
        <f>DIST_PHASE_1_v2!Y78</f>
        <v>200</v>
      </c>
      <c r="V89" s="63">
        <v>150</v>
      </c>
      <c r="W89" s="63">
        <f>DIST_PHASE_1_v2!AA78</f>
        <v>47</v>
      </c>
      <c r="X89" s="63">
        <f t="shared" si="60"/>
        <v>118.90231869186132</v>
      </c>
      <c r="Y89" s="63" cm="1">
        <f t="array" ref="Y89">INDEX($M$22:$M$91,P89,1)</f>
        <v>-2.2432064923816445E-2</v>
      </c>
      <c r="Z89" s="63" cm="1">
        <f t="array" ref="Z89">IF(P89&gt;0,
IF(INDEX($C$22:$C$91,P89,1)="positif",1,-1),0)</f>
        <v>-1</v>
      </c>
      <c r="AA89" s="63">
        <f t="shared" si="61"/>
        <v>-1</v>
      </c>
      <c r="AB89" s="63">
        <f t="shared" si="53"/>
        <v>-0.10495428655847701</v>
      </c>
      <c r="AC89" s="63">
        <f t="shared" si="54"/>
        <v>8.6650666965540228</v>
      </c>
      <c r="AD89" s="63" t="e">
        <f t="shared" si="46"/>
        <v>#VALUE!</v>
      </c>
      <c r="AF89" s="63" t="e">
        <f t="shared" si="62"/>
        <v>#VALUE!</v>
      </c>
    </row>
    <row r="90" spans="2:32" x14ac:dyDescent="0.25">
      <c r="B90">
        <v>69</v>
      </c>
      <c r="C90" s="69" t="s">
        <v>540</v>
      </c>
      <c r="D90" s="63" t="str">
        <f>DIST_PHASE_1_v2!E79</f>
        <v>N192_N193</v>
      </c>
      <c r="E90" s="63">
        <f>DIST_PHASE_1_v2!G79</f>
        <v>0.22842500000000002</v>
      </c>
      <c r="F90" s="63">
        <f>DIST_PHASE_1_v2!L79</f>
        <v>565</v>
      </c>
      <c r="G90" s="63">
        <f>DIST_PHASE_1_v2!M79</f>
        <v>150</v>
      </c>
      <c r="H90" s="63">
        <f>DIST_PHASE_1_v2!N79</f>
        <v>351</v>
      </c>
      <c r="I90" s="63">
        <f t="shared" si="55"/>
        <v>5.6427226167427849</v>
      </c>
      <c r="J90" s="63">
        <f t="shared" si="56"/>
        <v>-0.22842500000000002</v>
      </c>
      <c r="K90" s="63">
        <f t="shared" si="57"/>
        <v>-0.36633795039434436</v>
      </c>
      <c r="L90" s="63">
        <f t="shared" si="63"/>
        <v>2.9701559992572006</v>
      </c>
      <c r="M90" s="63">
        <f t="shared" si="58"/>
        <v>-0.22182806492381646</v>
      </c>
      <c r="P90" s="63">
        <f t="shared" si="59"/>
        <v>69</v>
      </c>
      <c r="Q90" s="63">
        <v>69</v>
      </c>
      <c r="R90" s="63" t="str">
        <f>DIST_PHASE_1_v2!Q79</f>
        <v>-</v>
      </c>
      <c r="S90" s="63" t="str">
        <f>DIST_PHASE_1_v2!R79</f>
        <v>N192_N193</v>
      </c>
      <c r="T90" s="63">
        <f>DIST_PHASE_1_v2!T79</f>
        <v>0.22842500000000002</v>
      </c>
      <c r="U90" s="63">
        <f>DIST_PHASE_1_v2!Y79</f>
        <v>565</v>
      </c>
      <c r="V90" s="63">
        <v>150</v>
      </c>
      <c r="W90" s="63">
        <f>DIST_PHASE_1_v2!AA79</f>
        <v>351</v>
      </c>
      <c r="X90" s="63">
        <f t="shared" si="60"/>
        <v>5.6427226167427849</v>
      </c>
      <c r="Y90" s="63" cm="1">
        <f t="array" ref="Y90">INDEX($M$22:$M$91,P90,1)</f>
        <v>-0.22182806492381646</v>
      </c>
      <c r="Z90" s="63" cm="1">
        <f t="array" ref="Z90">IF(P90&gt;0,
IF(INDEX($C$22:$C$91,P90,1)="positif",1,-1),0)</f>
        <v>-1</v>
      </c>
      <c r="AA90" s="63">
        <f t="shared" si="61"/>
        <v>-1</v>
      </c>
      <c r="AB90" s="63">
        <f t="shared" si="53"/>
        <v>-0.34698543293187428</v>
      </c>
      <c r="AC90" s="63">
        <f t="shared" si="54"/>
        <v>2.89691487869458</v>
      </c>
      <c r="AD90" s="63" t="e">
        <f t="shared" si="46"/>
        <v>#VALUE!</v>
      </c>
      <c r="AF90" s="63" t="e">
        <f t="shared" si="62"/>
        <v>#VALUE!</v>
      </c>
    </row>
    <row r="91" spans="2:32" x14ac:dyDescent="0.25">
      <c r="B91">
        <v>70</v>
      </c>
      <c r="C91" s="69" t="s">
        <v>540</v>
      </c>
      <c r="D91" s="63" t="str">
        <f>DIST_PHASE_1_v2!E80</f>
        <v>N193_N194</v>
      </c>
      <c r="E91" s="63">
        <f>DIST_PHASE_1_v2!G80</f>
        <v>0.22842500000000002</v>
      </c>
      <c r="F91" s="63">
        <f>DIST_PHASE_1_v2!L80</f>
        <v>565</v>
      </c>
      <c r="G91" s="63">
        <f>DIST_PHASE_1_v2!M80</f>
        <v>150</v>
      </c>
      <c r="H91" s="63">
        <f>DIST_PHASE_1_v2!N80</f>
        <v>169</v>
      </c>
      <c r="I91" s="63">
        <f t="shared" si="55"/>
        <v>2.7168664450983777</v>
      </c>
      <c r="J91" s="63">
        <f t="shared" si="56"/>
        <v>-0.22842500000000002</v>
      </c>
      <c r="K91" s="63">
        <f t="shared" si="57"/>
        <v>-0.17638493907875838</v>
      </c>
      <c r="L91" s="63">
        <f t="shared" si="63"/>
        <v>1.4300751107534666</v>
      </c>
      <c r="M91" s="63">
        <f t="shared" si="58"/>
        <v>-0.22182806492381646</v>
      </c>
      <c r="P91" s="63">
        <f t="shared" si="59"/>
        <v>70</v>
      </c>
      <c r="Q91" s="63">
        <v>70</v>
      </c>
      <c r="R91" s="63" t="str">
        <f>DIST_PHASE_1_v2!Q80</f>
        <v>-</v>
      </c>
      <c r="S91" s="63" t="str">
        <f>DIST_PHASE_1_v2!R80</f>
        <v>N193_N194</v>
      </c>
      <c r="T91" s="63">
        <f>DIST_PHASE_1_v2!T80</f>
        <v>0.22842500000000002</v>
      </c>
      <c r="U91" s="63">
        <f>DIST_PHASE_1_v2!Y80</f>
        <v>565</v>
      </c>
      <c r="V91" s="63">
        <v>150</v>
      </c>
      <c r="W91" s="63">
        <f>DIST_PHASE_1_v2!AA80</f>
        <v>169</v>
      </c>
      <c r="X91" s="63">
        <f t="shared" si="60"/>
        <v>2.7168664450983777</v>
      </c>
      <c r="Y91" s="63" cm="1">
        <f t="array" ref="Y91">INDEX($M$22:$M$91,P91,1)</f>
        <v>-0.22182806492381646</v>
      </c>
      <c r="Z91" s="63" cm="1">
        <f t="array" ref="Z91">IF(P91&gt;0,
IF(INDEX($C$22:$C$91,P91,1)="positif",1,-1),0)</f>
        <v>-1</v>
      </c>
      <c r="AA91" s="63">
        <f t="shared" si="61"/>
        <v>-1</v>
      </c>
      <c r="AB91" s="63">
        <f t="shared" si="53"/>
        <v>-0.16706706030053203</v>
      </c>
      <c r="AC91" s="63">
        <f t="shared" si="54"/>
        <v>1.3948108675196123</v>
      </c>
      <c r="AD91" s="63" t="e">
        <f t="shared" si="46"/>
        <v>#VALUE!</v>
      </c>
      <c r="AF91" s="63" t="e">
        <f t="shared" si="62"/>
        <v>#VALUE!</v>
      </c>
    </row>
    <row r="92" spans="2:32" x14ac:dyDescent="0.25">
      <c r="B92">
        <v>71</v>
      </c>
      <c r="C92" s="63" t="s">
        <v>380</v>
      </c>
      <c r="D92" s="63"/>
      <c r="E92" s="63"/>
      <c r="F92" s="63"/>
      <c r="G92" s="63"/>
      <c r="H92" s="63"/>
      <c r="I92" s="63"/>
      <c r="J92" s="63"/>
      <c r="K92" s="63">
        <f>SUM(K22:K91)</f>
        <v>-5.070376541099133</v>
      </c>
      <c r="L92" s="63">
        <f>SUM(L22:L91)</f>
        <v>768.59579221938282</v>
      </c>
      <c r="M92" s="63"/>
      <c r="P92" s="63">
        <f>COUNTIF(P22:P91,"&gt;0")</f>
        <v>44</v>
      </c>
      <c r="Q92" s="63">
        <v>71</v>
      </c>
      <c r="R92" s="63" t="s">
        <v>380</v>
      </c>
      <c r="S92" s="63"/>
      <c r="T92" s="63"/>
      <c r="U92" s="63"/>
      <c r="V92" s="63"/>
      <c r="W92" s="63"/>
      <c r="X92" s="63"/>
      <c r="Y92" s="63"/>
      <c r="Z92" s="63"/>
      <c r="AA92" s="63"/>
      <c r="AB92" s="63" t="e">
        <f>SUM(AB22:AB91)</f>
        <v>#VALUE!</v>
      </c>
      <c r="AC92" s="63" t="e">
        <f>SUM(AC22:AC91)</f>
        <v>#VALUE!</v>
      </c>
    </row>
    <row r="93" spans="2:32" x14ac:dyDescent="0.25">
      <c r="B93">
        <v>72</v>
      </c>
      <c r="C93" s="82" t="s">
        <v>381</v>
      </c>
      <c r="D93" s="240">
        <f>-(K92/L92)</f>
        <v>6.5969350761835542E-3</v>
      </c>
      <c r="E93" s="240"/>
      <c r="F93" s="240"/>
      <c r="G93" s="240"/>
      <c r="H93" s="240"/>
      <c r="I93" s="240"/>
      <c r="J93" s="240"/>
      <c r="K93" s="240"/>
      <c r="L93" s="240"/>
      <c r="M93" s="240"/>
      <c r="P93" s="63"/>
      <c r="Q93" s="63">
        <v>72</v>
      </c>
      <c r="R93" s="82" t="s">
        <v>381</v>
      </c>
      <c r="S93" s="240" t="e">
        <f>-(AB92/AC92)</f>
        <v>#VALUE!</v>
      </c>
      <c r="T93" s="240"/>
      <c r="U93" s="240"/>
      <c r="V93" s="240"/>
      <c r="W93" s="240"/>
      <c r="X93" s="240"/>
      <c r="Y93" s="240"/>
      <c r="Z93" s="240"/>
      <c r="AA93" s="240"/>
      <c r="AB93" s="240"/>
    </row>
    <row r="99" spans="1:144" ht="14.45" customHeight="1" x14ac:dyDescent="0.25">
      <c r="A99" s="224" t="s">
        <v>546</v>
      </c>
      <c r="B99" s="226"/>
      <c r="C99" s="226"/>
      <c r="D99" s="226"/>
      <c r="E99" s="224" t="s">
        <v>546</v>
      </c>
      <c r="F99" s="226"/>
      <c r="G99" s="226"/>
      <c r="H99" s="226"/>
      <c r="I99" s="224" t="s">
        <v>546</v>
      </c>
      <c r="J99" s="226"/>
      <c r="K99" s="226"/>
      <c r="L99" s="226"/>
      <c r="M99" s="224" t="s">
        <v>546</v>
      </c>
      <c r="N99" s="226"/>
      <c r="O99" s="226"/>
      <c r="P99" s="226"/>
      <c r="Q99" s="224" t="s">
        <v>546</v>
      </c>
      <c r="R99" s="224"/>
      <c r="S99" s="224"/>
      <c r="T99" s="224"/>
      <c r="U99" s="224" t="s">
        <v>546</v>
      </c>
      <c r="V99" s="224"/>
      <c r="W99" s="224"/>
      <c r="X99" s="224"/>
      <c r="Y99" s="224" t="s">
        <v>546</v>
      </c>
      <c r="Z99" s="224"/>
      <c r="AA99" s="224"/>
      <c r="AB99" s="224"/>
      <c r="AC99" s="224" t="s">
        <v>546</v>
      </c>
      <c r="AD99" s="224"/>
      <c r="AE99" s="224"/>
      <c r="AF99" s="224"/>
      <c r="AG99" s="224" t="s">
        <v>546</v>
      </c>
      <c r="AH99" s="224"/>
      <c r="AI99" s="224"/>
      <c r="AJ99" s="224"/>
      <c r="AK99" s="224" t="s">
        <v>546</v>
      </c>
      <c r="AL99" s="224"/>
      <c r="AM99" s="224"/>
      <c r="AN99" s="224"/>
      <c r="AO99" s="224" t="s">
        <v>546</v>
      </c>
      <c r="AP99" s="224"/>
      <c r="AQ99" s="224"/>
      <c r="AR99" s="224"/>
      <c r="AS99" s="224" t="s">
        <v>546</v>
      </c>
      <c r="AT99" s="224"/>
      <c r="AU99" s="224"/>
      <c r="AV99" s="224"/>
      <c r="AW99" s="224" t="s">
        <v>546</v>
      </c>
      <c r="AX99" s="224"/>
      <c r="AY99" s="224"/>
      <c r="AZ99" s="224"/>
      <c r="BA99" s="224" t="s">
        <v>546</v>
      </c>
      <c r="BB99" s="224"/>
      <c r="BC99" s="224"/>
      <c r="BD99" s="224"/>
      <c r="BE99" s="224" t="s">
        <v>546</v>
      </c>
      <c r="BF99" s="224"/>
      <c r="BG99" s="224"/>
      <c r="BH99" s="224"/>
      <c r="BI99" s="224" t="s">
        <v>546</v>
      </c>
      <c r="BJ99" s="224"/>
      <c r="BK99" s="224"/>
      <c r="BL99" s="224"/>
      <c r="BM99" s="224" t="s">
        <v>546</v>
      </c>
      <c r="BN99" s="224"/>
      <c r="BO99" s="224"/>
      <c r="BP99" s="224"/>
      <c r="BQ99" s="224" t="s">
        <v>546</v>
      </c>
      <c r="BR99" s="224"/>
      <c r="BS99" s="224"/>
      <c r="BT99" s="224"/>
      <c r="BU99" s="224" t="s">
        <v>546</v>
      </c>
      <c r="BV99" s="224"/>
      <c r="BW99" s="224"/>
      <c r="BX99" s="224"/>
      <c r="BY99" s="224" t="s">
        <v>546</v>
      </c>
      <c r="BZ99" s="224"/>
      <c r="CA99" s="224"/>
      <c r="CB99" s="224"/>
      <c r="CC99" s="224" t="s">
        <v>546</v>
      </c>
      <c r="CD99" s="224"/>
      <c r="CE99" s="224"/>
      <c r="CF99" s="224"/>
      <c r="CG99" s="224" t="s">
        <v>546</v>
      </c>
      <c r="CH99" s="224"/>
      <c r="CI99" s="224"/>
      <c r="CJ99" s="224"/>
      <c r="CK99" s="224" t="s">
        <v>546</v>
      </c>
      <c r="CL99" s="224"/>
      <c r="CM99" s="224"/>
      <c r="CN99" s="224"/>
      <c r="CO99" s="224" t="s">
        <v>546</v>
      </c>
      <c r="CP99" s="224"/>
      <c r="CQ99" s="224"/>
      <c r="CR99" s="224"/>
      <c r="CS99" s="224" t="s">
        <v>546</v>
      </c>
      <c r="CT99" s="224"/>
      <c r="CU99" s="224"/>
      <c r="CV99" s="224"/>
      <c r="CW99" s="224" t="s">
        <v>546</v>
      </c>
      <c r="CX99" s="224"/>
      <c r="CY99" s="224"/>
      <c r="CZ99" s="224"/>
      <c r="DA99" s="224" t="s">
        <v>546</v>
      </c>
      <c r="DB99" s="224"/>
      <c r="DC99" s="224"/>
      <c r="DD99" s="224"/>
      <c r="DE99" s="224" t="s">
        <v>546</v>
      </c>
      <c r="DF99" s="224"/>
      <c r="DG99" s="224"/>
      <c r="DH99" s="224"/>
      <c r="DI99" s="224" t="s">
        <v>546</v>
      </c>
      <c r="DJ99" s="224"/>
      <c r="DK99" s="224"/>
      <c r="DL99" s="224"/>
      <c r="DM99" s="224" t="s">
        <v>546</v>
      </c>
      <c r="DN99" s="224"/>
      <c r="DO99" s="224"/>
      <c r="DP99" s="224"/>
      <c r="DQ99" s="224" t="s">
        <v>546</v>
      </c>
      <c r="DR99" s="224"/>
      <c r="DS99" s="224"/>
      <c r="DT99" s="224"/>
      <c r="DU99" s="224" t="s">
        <v>546</v>
      </c>
      <c r="DV99" s="224"/>
      <c r="DW99" s="224"/>
      <c r="DX99" s="224"/>
      <c r="DY99" s="224" t="s">
        <v>546</v>
      </c>
      <c r="DZ99" s="224"/>
      <c r="EA99" s="224"/>
      <c r="EB99" s="224"/>
      <c r="EC99" s="224" t="s">
        <v>546</v>
      </c>
      <c r="ED99" s="224"/>
      <c r="EE99" s="224"/>
      <c r="EF99" s="224"/>
      <c r="EG99" s="224" t="s">
        <v>546</v>
      </c>
      <c r="EH99" s="224"/>
      <c r="EI99" s="224"/>
      <c r="EJ99" s="224"/>
      <c r="EK99" s="224" t="s">
        <v>546</v>
      </c>
      <c r="EL99" s="224"/>
      <c r="EM99" s="224"/>
      <c r="EN99" s="224"/>
    </row>
    <row r="100" spans="1:144" ht="14.45" customHeight="1" x14ac:dyDescent="0.25">
      <c r="A100" s="226"/>
      <c r="B100" s="226"/>
      <c r="C100" s="226"/>
      <c r="D100" s="226"/>
      <c r="E100" s="226"/>
      <c r="F100" s="226"/>
      <c r="G100" s="226"/>
      <c r="H100" s="226"/>
      <c r="I100" s="226"/>
      <c r="J100" s="226"/>
      <c r="K100" s="226"/>
      <c r="L100" s="226"/>
      <c r="M100" s="226"/>
      <c r="N100" s="226"/>
      <c r="O100" s="226"/>
      <c r="P100" s="226"/>
      <c r="Q100" s="224"/>
      <c r="R100" s="224"/>
      <c r="S100" s="224"/>
      <c r="T100" s="224"/>
      <c r="U100" s="224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224"/>
      <c r="AJ100" s="224"/>
      <c r="AK100" s="224"/>
      <c r="AL100" s="224"/>
      <c r="AM100" s="224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4"/>
      <c r="BE100" s="224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4"/>
      <c r="BW100" s="224"/>
      <c r="BX100" s="224"/>
      <c r="BY100" s="224"/>
      <c r="BZ100" s="224"/>
      <c r="CA100" s="224"/>
      <c r="CB100" s="224"/>
      <c r="CC100" s="224"/>
      <c r="CD100" s="224"/>
      <c r="CE100" s="224"/>
      <c r="CF100" s="224"/>
      <c r="CG100" s="224"/>
      <c r="CH100" s="224"/>
      <c r="CI100" s="224"/>
      <c r="CJ100" s="224"/>
      <c r="CK100" s="224"/>
      <c r="CL100" s="224"/>
      <c r="CM100" s="224"/>
      <c r="CN100" s="224"/>
      <c r="CO100" s="224"/>
      <c r="CP100" s="224"/>
      <c r="CQ100" s="224"/>
      <c r="CR100" s="224"/>
      <c r="CS100" s="224"/>
      <c r="CT100" s="224"/>
      <c r="CU100" s="224"/>
      <c r="CV100" s="224"/>
      <c r="CW100" s="224"/>
      <c r="CX100" s="224"/>
      <c r="CY100" s="224"/>
      <c r="CZ100" s="224"/>
      <c r="DA100" s="224"/>
      <c r="DB100" s="224"/>
      <c r="DC100" s="224"/>
      <c r="DD100" s="224"/>
      <c r="DE100" s="224"/>
      <c r="DF100" s="224"/>
      <c r="DG100" s="224"/>
      <c r="DH100" s="224"/>
      <c r="DI100" s="224"/>
      <c r="DJ100" s="224"/>
      <c r="DK100" s="224"/>
      <c r="DL100" s="224"/>
      <c r="DM100" s="224"/>
      <c r="DN100" s="224"/>
      <c r="DO100" s="224"/>
      <c r="DP100" s="224"/>
      <c r="DQ100" s="224"/>
      <c r="DR100" s="224"/>
      <c r="DS100" s="224"/>
      <c r="DT100" s="224"/>
      <c r="DU100" s="224"/>
      <c r="DV100" s="224"/>
      <c r="DW100" s="224"/>
      <c r="DX100" s="224"/>
      <c r="DY100" s="224"/>
      <c r="DZ100" s="224"/>
      <c r="EA100" s="224"/>
      <c r="EB100" s="224"/>
      <c r="EC100" s="224"/>
      <c r="ED100" s="224"/>
      <c r="EE100" s="224"/>
      <c r="EF100" s="224"/>
      <c r="EG100" s="224"/>
      <c r="EH100" s="224"/>
      <c r="EI100" s="224"/>
      <c r="EJ100" s="224"/>
      <c r="EK100" s="224"/>
      <c r="EL100" s="224"/>
      <c r="EM100" s="224"/>
      <c r="EN100" s="224"/>
    </row>
    <row r="101" spans="1:144" ht="14.45" customHeight="1" x14ac:dyDescent="0.25">
      <c r="A101" s="226"/>
      <c r="B101" s="226"/>
      <c r="C101" s="226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4"/>
      <c r="AI101" s="224"/>
      <c r="AJ101" s="224"/>
      <c r="AK101" s="224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4"/>
      <c r="BB101" s="224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4"/>
      <c r="BS101" s="224"/>
      <c r="BT101" s="224"/>
      <c r="BU101" s="224"/>
      <c r="BV101" s="224"/>
      <c r="BW101" s="224"/>
      <c r="BX101" s="224"/>
      <c r="BY101" s="224"/>
      <c r="BZ101" s="224"/>
      <c r="CA101" s="224"/>
      <c r="CB101" s="224"/>
      <c r="CC101" s="224"/>
      <c r="CD101" s="224"/>
      <c r="CE101" s="224"/>
      <c r="CF101" s="224"/>
      <c r="CG101" s="224"/>
      <c r="CH101" s="224"/>
      <c r="CI101" s="224"/>
      <c r="CJ101" s="224"/>
      <c r="CK101" s="224"/>
      <c r="CL101" s="224"/>
      <c r="CM101" s="224"/>
      <c r="CN101" s="224"/>
      <c r="CO101" s="224"/>
      <c r="CP101" s="224"/>
      <c r="CQ101" s="224"/>
      <c r="CR101" s="224"/>
      <c r="CS101" s="224"/>
      <c r="CT101" s="224"/>
      <c r="CU101" s="224"/>
      <c r="CV101" s="224"/>
      <c r="CW101" s="224"/>
      <c r="CX101" s="224"/>
      <c r="CY101" s="224"/>
      <c r="CZ101" s="224"/>
      <c r="DA101" s="224"/>
      <c r="DB101" s="224"/>
      <c r="DC101" s="224"/>
      <c r="DD101" s="224"/>
      <c r="DE101" s="224"/>
      <c r="DF101" s="224"/>
      <c r="DG101" s="224"/>
      <c r="DH101" s="224"/>
      <c r="DI101" s="224"/>
      <c r="DJ101" s="224"/>
      <c r="DK101" s="224"/>
      <c r="DL101" s="224"/>
      <c r="DM101" s="224"/>
      <c r="DN101" s="224"/>
      <c r="DO101" s="224"/>
      <c r="DP101" s="224"/>
      <c r="DQ101" s="224"/>
      <c r="DR101" s="224"/>
      <c r="DS101" s="224"/>
      <c r="DT101" s="224"/>
      <c r="DU101" s="224"/>
      <c r="DV101" s="224"/>
      <c r="DW101" s="224"/>
      <c r="DX101" s="224"/>
      <c r="DY101" s="224"/>
      <c r="DZ101" s="224"/>
      <c r="EA101" s="224"/>
      <c r="EB101" s="224"/>
      <c r="EC101" s="224"/>
      <c r="ED101" s="224"/>
      <c r="EE101" s="224"/>
      <c r="EF101" s="224"/>
      <c r="EG101" s="224"/>
      <c r="EH101" s="224"/>
      <c r="EI101" s="224"/>
      <c r="EJ101" s="224"/>
      <c r="EK101" s="224"/>
      <c r="EL101" s="224"/>
      <c r="EM101" s="224"/>
      <c r="EN101" s="224"/>
    </row>
    <row r="102" spans="1:144" ht="14.45" customHeight="1" x14ac:dyDescent="0.25">
      <c r="A102" s="226"/>
      <c r="B102" s="226"/>
      <c r="C102" s="226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  <c r="AA102" s="224"/>
      <c r="AB102" s="224"/>
      <c r="AC102" s="224"/>
      <c r="AD102" s="224"/>
      <c r="AE102" s="224"/>
      <c r="AF102" s="224"/>
      <c r="AG102" s="224"/>
      <c r="AH102" s="224"/>
      <c r="AI102" s="224"/>
      <c r="AJ102" s="224"/>
      <c r="AK102" s="224"/>
      <c r="AL102" s="224"/>
      <c r="AM102" s="224"/>
      <c r="AN102" s="224"/>
      <c r="AO102" s="224"/>
      <c r="AP102" s="224"/>
      <c r="AQ102" s="224"/>
      <c r="AR102" s="224"/>
      <c r="AS102" s="224"/>
      <c r="AT102" s="224"/>
      <c r="AU102" s="224"/>
      <c r="AV102" s="224"/>
      <c r="AW102" s="224"/>
      <c r="AX102" s="224"/>
      <c r="AY102" s="224"/>
      <c r="AZ102" s="224"/>
      <c r="BA102" s="224"/>
      <c r="BB102" s="224"/>
      <c r="BC102" s="224"/>
      <c r="BD102" s="224"/>
      <c r="BE102" s="224"/>
      <c r="BF102" s="224"/>
      <c r="BG102" s="224"/>
      <c r="BH102" s="224"/>
      <c r="BI102" s="224"/>
      <c r="BJ102" s="224"/>
      <c r="BK102" s="224"/>
      <c r="BL102" s="224"/>
      <c r="BM102" s="224"/>
      <c r="BN102" s="224"/>
      <c r="BO102" s="224"/>
      <c r="BP102" s="224"/>
      <c r="BQ102" s="224"/>
      <c r="BR102" s="224"/>
      <c r="BS102" s="224"/>
      <c r="BT102" s="224"/>
      <c r="BU102" s="224"/>
      <c r="BV102" s="224"/>
      <c r="BW102" s="224"/>
      <c r="BX102" s="224"/>
      <c r="BY102" s="224"/>
      <c r="BZ102" s="224"/>
      <c r="CA102" s="224"/>
      <c r="CB102" s="224"/>
      <c r="CC102" s="224"/>
      <c r="CD102" s="224"/>
      <c r="CE102" s="224"/>
      <c r="CF102" s="224"/>
      <c r="CG102" s="224"/>
      <c r="CH102" s="224"/>
      <c r="CI102" s="224"/>
      <c r="CJ102" s="224"/>
      <c r="CK102" s="224"/>
      <c r="CL102" s="224"/>
      <c r="CM102" s="224"/>
      <c r="CN102" s="224"/>
      <c r="CO102" s="224"/>
      <c r="CP102" s="224"/>
      <c r="CQ102" s="224"/>
      <c r="CR102" s="224"/>
      <c r="CS102" s="224"/>
      <c r="CT102" s="224"/>
      <c r="CU102" s="224"/>
      <c r="CV102" s="224"/>
      <c r="CW102" s="224"/>
      <c r="CX102" s="224"/>
      <c r="CY102" s="224"/>
      <c r="CZ102" s="224"/>
      <c r="DA102" s="224"/>
      <c r="DB102" s="224"/>
      <c r="DC102" s="224"/>
      <c r="DD102" s="224"/>
      <c r="DE102" s="224"/>
      <c r="DF102" s="224"/>
      <c r="DG102" s="224"/>
      <c r="DH102" s="224"/>
      <c r="DI102" s="224"/>
      <c r="DJ102" s="224"/>
      <c r="DK102" s="224"/>
      <c r="DL102" s="224"/>
      <c r="DM102" s="224"/>
      <c r="DN102" s="224"/>
      <c r="DO102" s="224"/>
      <c r="DP102" s="224"/>
      <c r="DQ102" s="224"/>
      <c r="DR102" s="224"/>
      <c r="DS102" s="224"/>
      <c r="DT102" s="224"/>
      <c r="DU102" s="224"/>
      <c r="DV102" s="224"/>
      <c r="DW102" s="224"/>
      <c r="DX102" s="224"/>
      <c r="DY102" s="224"/>
      <c r="DZ102" s="224"/>
      <c r="EA102" s="224"/>
      <c r="EB102" s="224"/>
      <c r="EC102" s="224"/>
      <c r="ED102" s="224"/>
      <c r="EE102" s="224"/>
      <c r="EF102" s="224"/>
      <c r="EG102" s="224"/>
      <c r="EH102" s="224"/>
      <c r="EI102" s="224"/>
      <c r="EJ102" s="224"/>
      <c r="EK102" s="224"/>
      <c r="EL102" s="224"/>
      <c r="EM102" s="224"/>
      <c r="EN102" s="224"/>
    </row>
    <row r="106" spans="1:144" x14ac:dyDescent="0.25">
      <c r="H106" s="234" t="s">
        <v>111</v>
      </c>
      <c r="I106" s="237"/>
      <c r="J106" s="237"/>
      <c r="K106" s="237"/>
      <c r="L106" s="237"/>
      <c r="M106" s="237"/>
      <c r="S106" s="96"/>
      <c r="W106" s="235" t="s">
        <v>203</v>
      </c>
      <c r="X106" s="235"/>
      <c r="Y106" s="235"/>
      <c r="Z106" s="235"/>
      <c r="AA106" s="235"/>
      <c r="AB106" s="235"/>
      <c r="AC106" s="235"/>
      <c r="AD106" s="235"/>
      <c r="AL106" s="98"/>
      <c r="AM106" s="95"/>
      <c r="AN106" s="63"/>
      <c r="AO106" s="63"/>
      <c r="AU106" s="63"/>
      <c r="AV106" s="63"/>
      <c r="AW106" s="239" t="s">
        <v>233</v>
      </c>
      <c r="AX106" s="239"/>
      <c r="AY106" s="239"/>
      <c r="AZ106" s="239"/>
      <c r="BA106" s="239"/>
      <c r="BB106" s="239"/>
      <c r="BC106" s="239"/>
      <c r="BD106" s="239"/>
      <c r="BE106" s="239"/>
      <c r="BF106" s="239"/>
      <c r="BG106" s="239"/>
    </row>
    <row r="107" spans="1:144" x14ac:dyDescent="0.25">
      <c r="H107" s="63" t="s">
        <v>102</v>
      </c>
      <c r="I107" s="63" t="s">
        <v>379</v>
      </c>
      <c r="J107" s="63" t="s">
        <v>385</v>
      </c>
      <c r="K107" s="82" t="s">
        <v>387</v>
      </c>
      <c r="L107" s="63" t="s">
        <v>388</v>
      </c>
      <c r="M107" s="63" t="s">
        <v>386</v>
      </c>
      <c r="P107" s="78"/>
      <c r="U107" t="str">
        <f>P21</f>
        <v>EQUIV</v>
      </c>
      <c r="V107" t="str">
        <f>Q21</f>
        <v>INDEX</v>
      </c>
      <c r="W107" s="63" t="s">
        <v>102</v>
      </c>
      <c r="X107" s="63" t="s">
        <v>379</v>
      </c>
      <c r="Y107" s="63" t="s">
        <v>385</v>
      </c>
      <c r="Z107" s="63" t="str">
        <f>Z21</f>
        <v>Signe_M1</v>
      </c>
      <c r="AA107" s="63" t="str">
        <f>AA21</f>
        <v>Signe_M2</v>
      </c>
      <c r="AB107" s="82" t="s">
        <v>387</v>
      </c>
      <c r="AC107" s="63" t="s">
        <v>388</v>
      </c>
      <c r="AD107" s="63" t="s">
        <v>386</v>
      </c>
      <c r="AJ107" s="63" t="s">
        <v>544</v>
      </c>
      <c r="AK107" s="63" t="s">
        <v>545</v>
      </c>
      <c r="AL107" s="69" t="s">
        <v>542</v>
      </c>
      <c r="AM107" s="63" t="s">
        <v>102</v>
      </c>
      <c r="AN107" s="90" t="s">
        <v>384</v>
      </c>
      <c r="AO107" s="63" t="s">
        <v>440</v>
      </c>
      <c r="AP107" s="63" t="s">
        <v>106</v>
      </c>
      <c r="AQ107" s="63" t="s">
        <v>107</v>
      </c>
      <c r="AR107" s="63" t="s">
        <v>379</v>
      </c>
      <c r="AS107" s="63" t="s">
        <v>385</v>
      </c>
      <c r="AT107" s="82" t="s">
        <v>387</v>
      </c>
      <c r="AU107" s="63" t="s">
        <v>388</v>
      </c>
      <c r="AV107" s="63" t="s">
        <v>386</v>
      </c>
    </row>
    <row r="108" spans="1:144" x14ac:dyDescent="0.25">
      <c r="H108" s="63" t="str">
        <f t="shared" ref="H108:H139" si="64">D22</f>
        <v>N165_N84</v>
      </c>
      <c r="I108" s="63">
        <f t="shared" ref="I108:I139" si="65">I22</f>
        <v>15.904695680187142</v>
      </c>
      <c r="J108" s="63">
        <f>M22</f>
        <v>0.10259693507618356</v>
      </c>
      <c r="K108" s="63">
        <f>I108*SIGN(J108)*ABS(J108)^1.821</f>
        <v>0.25165240350588952</v>
      </c>
      <c r="L108" s="63">
        <f>1.852*I108*ABS(J108)^(1.852-1)</f>
        <v>4.2330445962182184</v>
      </c>
      <c r="M108" s="63">
        <f>J108+$I$179</f>
        <v>0.10364713569819733</v>
      </c>
      <c r="U108">
        <f t="shared" ref="U108:U171" si="66">P22</f>
        <v>0</v>
      </c>
      <c r="V108">
        <f t="shared" ref="V108:V171" si="67">Q22</f>
        <v>1</v>
      </c>
      <c r="W108" s="69" t="str">
        <f t="shared" ref="W108:W139" si="68">S22</f>
        <v>N81_N82</v>
      </c>
      <c r="X108" s="63">
        <f t="shared" ref="X108:X139" si="69">X22</f>
        <v>11.265826106799226</v>
      </c>
      <c r="Y108" s="63" t="e">
        <f t="shared" ref="Y108:Y139" si="70">AD22</f>
        <v>#VALUE!</v>
      </c>
      <c r="Z108" s="63">
        <f>Z22</f>
        <v>0</v>
      </c>
      <c r="AA108" s="63">
        <f t="shared" ref="AA108:AA171" si="71">AA22</f>
        <v>0</v>
      </c>
      <c r="AB108" s="63" t="e">
        <f t="shared" ref="AB108:AB139" si="72">X108*SIGN(Y108)*ABS(Y108)^1.821</f>
        <v>#VALUE!</v>
      </c>
      <c r="AC108" s="63" t="e">
        <f t="shared" ref="AC108:AC139" si="73">1.852*X108*ABS(Y108)^(1.852-1)</f>
        <v>#VALUE!</v>
      </c>
      <c r="AD108" s="63" t="e">
        <f>IF(U108&gt;0,
Y108+($I$179*Z108)+(AA108*X180),
Y108+$S$93)</f>
        <v>#VALUE!</v>
      </c>
      <c r="AF108" s="63" t="e">
        <f t="shared" ref="AF108:AF139" si="74">ABS(AD108)-ABS(Y108)</f>
        <v>#VALUE!</v>
      </c>
      <c r="AJ108" s="63">
        <v>0</v>
      </c>
      <c r="AK108" s="63">
        <v>1</v>
      </c>
      <c r="AL108" s="63" t="s">
        <v>539</v>
      </c>
      <c r="AM108" s="63" t="s">
        <v>421</v>
      </c>
      <c r="AN108" s="63" t="e">
        <f t="shared" ref="AN108:AN144" si="75">ABS(AV22)</f>
        <v>#VALUE!</v>
      </c>
      <c r="AO108" s="63">
        <v>250</v>
      </c>
      <c r="AP108" s="63">
        <v>150</v>
      </c>
      <c r="AQ108" s="63">
        <v>42</v>
      </c>
      <c r="AR108" s="63">
        <f xml:space="preserve"> (10.679 * AQ108) / ((AO108/1000)^4.871 * AP108^1.852)</f>
        <v>35.833817943811347</v>
      </c>
      <c r="AS108" s="63" t="e">
        <f>IF(AL108="positif",AN108,IF(AL108="negatif",-AN108,""))</f>
        <v>#VALUE!</v>
      </c>
      <c r="AT108" s="63" t="e">
        <f>IF(AJ108&gt;0,
        IF(AS108&gt;0, AR108*AS108^1.852,-AR108*ABS(AS108)^1.852),
        IF(AS108&gt;0, AR108*AN108^1.852, -AR108*AN108^1.852))</f>
        <v>#VALUE!</v>
      </c>
      <c r="AU108" s="63" t="e">
        <f>1.852*AR108*ABS(AS108)^(1.852-1)</f>
        <v>#VALUE!</v>
      </c>
      <c r="AV108" s="63" t="e">
        <f>AS108+$AN$146</f>
        <v>#VALUE!</v>
      </c>
    </row>
    <row r="109" spans="1:144" x14ac:dyDescent="0.25">
      <c r="H109" s="63" t="str">
        <f t="shared" si="64"/>
        <v>N84_N85</v>
      </c>
      <c r="I109" s="63">
        <f t="shared" si="65"/>
        <v>15.739021766851859</v>
      </c>
      <c r="J109" s="63">
        <f t="shared" ref="J109:J172" si="76">M23</f>
        <v>0.10159693507618356</v>
      </c>
      <c r="K109" s="63">
        <f>I109*SIGN(J109)*ABS(J109)^1.821</f>
        <v>0.24462865108865761</v>
      </c>
      <c r="L109" s="63">
        <f t="shared" ref="L109:L172" si="77">1.852*I109*ABS(J109)^(1.852-1)</f>
        <v>4.1541387221103943</v>
      </c>
      <c r="M109" s="63">
        <f t="shared" ref="M109:M172" si="78">J109+$I$179</f>
        <v>0.10264713569819733</v>
      </c>
      <c r="U109">
        <f t="shared" si="66"/>
        <v>0</v>
      </c>
      <c r="V109">
        <f t="shared" si="67"/>
        <v>2</v>
      </c>
      <c r="W109" s="69" t="str">
        <f t="shared" si="68"/>
        <v>N81_N135</v>
      </c>
      <c r="X109" s="63">
        <f t="shared" si="69"/>
        <v>30.891188328490372</v>
      </c>
      <c r="Y109" s="63" t="e">
        <f t="shared" si="70"/>
        <v>#VALUE!</v>
      </c>
      <c r="Z109" s="63">
        <f t="shared" ref="Z109:AA172" si="79">Z23</f>
        <v>0</v>
      </c>
      <c r="AA109" s="63">
        <f t="shared" si="71"/>
        <v>0</v>
      </c>
      <c r="AB109" s="63" t="e">
        <f t="shared" si="72"/>
        <v>#VALUE!</v>
      </c>
      <c r="AC109" s="63" t="e">
        <f t="shared" si="73"/>
        <v>#VALUE!</v>
      </c>
      <c r="AD109" s="63" t="e">
        <f t="shared" ref="AD109:AD172" si="80">IF(U109&gt;0,
Y109+($I$179*Z109)+(AA109*X181),
Y109+$S$93)</f>
        <v>#VALUE!</v>
      </c>
      <c r="AF109" s="63" t="e">
        <f t="shared" si="74"/>
        <v>#VALUE!</v>
      </c>
      <c r="AJ109" s="63">
        <v>0</v>
      </c>
      <c r="AK109" s="63">
        <v>2</v>
      </c>
      <c r="AL109" s="63" t="s">
        <v>540</v>
      </c>
      <c r="AM109" s="63" t="s">
        <v>413</v>
      </c>
      <c r="AN109" s="63" t="e">
        <f t="shared" si="75"/>
        <v>#VALUE!</v>
      </c>
      <c r="AO109" s="63">
        <v>250</v>
      </c>
      <c r="AP109" s="63">
        <v>150</v>
      </c>
      <c r="AQ109" s="63">
        <v>42</v>
      </c>
      <c r="AR109" s="63">
        <f t="shared" ref="AR109:AR144" si="81" xml:space="preserve"> (10.679 * AQ109) / ((AO109/1000)^4.871 * AP109^1.852)</f>
        <v>35.833817943811347</v>
      </c>
      <c r="AS109" s="63" t="e">
        <f t="shared" ref="AS109:AS118" si="82">IF(AL109="positif",AN109,IF(AL109="negatif",-AN109,""))</f>
        <v>#VALUE!</v>
      </c>
      <c r="AT109" s="63" t="e">
        <f>IF(AJ109&gt;0,
        IF(AS109&gt;0, AR109*AS109^1.852,-AR109*ABS(AS109)^1.852),
        IF(AS109&gt;0, AR109*AN109^1.852, -AR109*AN109^1.852))</f>
        <v>#VALUE!</v>
      </c>
      <c r="AU109" s="63" t="e">
        <f t="shared" ref="AU109:AU144" si="83">1.852*AR109*ABS(AS109)^(1.852-1)</f>
        <v>#VALUE!</v>
      </c>
      <c r="AV109" s="63" t="e">
        <f t="shared" ref="AV109:AV144" si="84">AS109+$AN$146</f>
        <v>#VALUE!</v>
      </c>
    </row>
    <row r="110" spans="1:144" x14ac:dyDescent="0.25">
      <c r="H110" s="63" t="str">
        <f t="shared" si="64"/>
        <v>N85_N86</v>
      </c>
      <c r="I110" s="63">
        <f t="shared" si="65"/>
        <v>12.094195673475639</v>
      </c>
      <c r="J110" s="63">
        <f t="shared" si="76"/>
        <v>7.9596935076183553E-2</v>
      </c>
      <c r="K110" s="63">
        <f t="shared" ref="K110:K173" si="85">I110*SIGN(J110)*ABS(J110)^1.821</f>
        <v>0.12053390743894396</v>
      </c>
      <c r="L110" s="63">
        <f t="shared" si="77"/>
        <v>2.5928754718061979</v>
      </c>
      <c r="M110" s="63">
        <f t="shared" si="78"/>
        <v>8.0647135698197328E-2</v>
      </c>
      <c r="U110">
        <f t="shared" si="66"/>
        <v>0</v>
      </c>
      <c r="V110">
        <f t="shared" si="67"/>
        <v>3</v>
      </c>
      <c r="W110" s="69" t="str">
        <f t="shared" si="68"/>
        <v>N82_N83</v>
      </c>
      <c r="X110" s="63">
        <f t="shared" si="69"/>
        <v>25.182434826962975</v>
      </c>
      <c r="Y110" s="63" t="e">
        <f t="shared" si="70"/>
        <v>#VALUE!</v>
      </c>
      <c r="Z110" s="63">
        <f t="shared" si="79"/>
        <v>0</v>
      </c>
      <c r="AA110" s="63">
        <f t="shared" si="71"/>
        <v>0</v>
      </c>
      <c r="AB110" s="63" t="e">
        <f t="shared" si="72"/>
        <v>#VALUE!</v>
      </c>
      <c r="AC110" s="63" t="e">
        <f t="shared" si="73"/>
        <v>#VALUE!</v>
      </c>
      <c r="AD110" s="63" t="e">
        <f t="shared" si="80"/>
        <v>#VALUE!</v>
      </c>
      <c r="AF110" s="63" t="e">
        <f t="shared" si="74"/>
        <v>#VALUE!</v>
      </c>
      <c r="AJ110" s="63">
        <v>0</v>
      </c>
      <c r="AK110" s="63">
        <v>3</v>
      </c>
      <c r="AL110" s="63" t="s">
        <v>539</v>
      </c>
      <c r="AM110" s="63" t="s">
        <v>181</v>
      </c>
      <c r="AN110" s="63" t="e">
        <f t="shared" si="75"/>
        <v>#VALUE!</v>
      </c>
      <c r="AO110" s="63">
        <v>250</v>
      </c>
      <c r="AP110" s="63">
        <v>150</v>
      </c>
      <c r="AQ110" s="63">
        <v>72</v>
      </c>
      <c r="AR110" s="63">
        <f t="shared" si="81"/>
        <v>61.429402189390885</v>
      </c>
      <c r="AS110" s="63" t="e">
        <f t="shared" si="82"/>
        <v>#VALUE!</v>
      </c>
      <c r="AT110" s="63" t="e">
        <f>IF(AJ110&gt;0,
        IF(AS110&gt;0, AR110*AS110^1.852,-AR110*ABS(AS110)^1.852),
        IF(AS110&gt;0, AR110*AN110^1.852, -AR110*AN110^1.852))</f>
        <v>#VALUE!</v>
      </c>
      <c r="AU110" s="63" t="e">
        <f t="shared" si="83"/>
        <v>#VALUE!</v>
      </c>
      <c r="AV110" s="63" t="e">
        <f t="shared" si="84"/>
        <v>#VALUE!</v>
      </c>
    </row>
    <row r="111" spans="1:144" x14ac:dyDescent="0.25">
      <c r="H111" s="63" t="str">
        <f t="shared" si="64"/>
        <v>N86_N87</v>
      </c>
      <c r="I111" s="63">
        <f t="shared" si="65"/>
        <v>12.756891326816771</v>
      </c>
      <c r="J111" s="63">
        <f t="shared" si="76"/>
        <v>8.3596935076183557E-2</v>
      </c>
      <c r="K111" s="63">
        <f t="shared" si="85"/>
        <v>0.13901238439754166</v>
      </c>
      <c r="L111" s="63">
        <f t="shared" si="77"/>
        <v>2.8516224216427761</v>
      </c>
      <c r="M111" s="63">
        <f t="shared" si="78"/>
        <v>8.4647135698197332E-2</v>
      </c>
      <c r="U111">
        <f t="shared" si="66"/>
        <v>0</v>
      </c>
      <c r="V111">
        <f t="shared" si="67"/>
        <v>4</v>
      </c>
      <c r="W111" s="69" t="str">
        <f t="shared" si="68"/>
        <v>N83_N84</v>
      </c>
      <c r="X111" s="63">
        <f t="shared" si="69"/>
        <v>12.425543500146206</v>
      </c>
      <c r="Y111" s="63" t="e">
        <f t="shared" si="70"/>
        <v>#VALUE!</v>
      </c>
      <c r="Z111" s="63">
        <f t="shared" si="79"/>
        <v>0</v>
      </c>
      <c r="AA111" s="63">
        <f t="shared" si="71"/>
        <v>0</v>
      </c>
      <c r="AB111" s="63" t="e">
        <f t="shared" si="72"/>
        <v>#VALUE!</v>
      </c>
      <c r="AC111" s="63" t="e">
        <f t="shared" si="73"/>
        <v>#VALUE!</v>
      </c>
      <c r="AD111" s="63" t="e">
        <f t="shared" si="80"/>
        <v>#VALUE!</v>
      </c>
      <c r="AF111" s="63" t="e">
        <f t="shared" si="74"/>
        <v>#VALUE!</v>
      </c>
      <c r="AJ111" s="63">
        <v>0</v>
      </c>
      <c r="AK111" s="63">
        <v>4</v>
      </c>
      <c r="AL111" s="63" t="s">
        <v>539</v>
      </c>
      <c r="AM111" s="63" t="s">
        <v>179</v>
      </c>
      <c r="AN111" s="63" t="e">
        <f t="shared" si="75"/>
        <v>#VALUE!</v>
      </c>
      <c r="AO111" s="63">
        <v>250</v>
      </c>
      <c r="AP111" s="63">
        <v>150</v>
      </c>
      <c r="AQ111" s="63">
        <v>73</v>
      </c>
      <c r="AR111" s="63">
        <f t="shared" si="81"/>
        <v>62.282588330910201</v>
      </c>
      <c r="AS111" s="63" t="e">
        <f t="shared" si="82"/>
        <v>#VALUE!</v>
      </c>
      <c r="AT111" s="63" t="e">
        <f t="shared" ref="AT111:AT135" si="86">IF(AJ111&gt;0,
        IF(AS111&gt;0, AR111*AS111^1.852,-AR111*ABS(AS111)^1.852),
        IF(AS111&gt;0, AR111*AN111^1.852, -AR111*AN111^1.852))</f>
        <v>#VALUE!</v>
      </c>
      <c r="AU111" s="63" t="e">
        <f t="shared" si="83"/>
        <v>#VALUE!</v>
      </c>
      <c r="AV111" s="63" t="e">
        <f t="shared" si="84"/>
        <v>#VALUE!</v>
      </c>
    </row>
    <row r="112" spans="1:144" x14ac:dyDescent="0.25">
      <c r="H112" s="63" t="str">
        <f t="shared" si="64"/>
        <v>N87_N88</v>
      </c>
      <c r="I112" s="63">
        <f t="shared" si="65"/>
        <v>4.0190332028082514</v>
      </c>
      <c r="J112" s="63">
        <f t="shared" si="76"/>
        <v>0.25659693507618353</v>
      </c>
      <c r="K112" s="63">
        <f t="shared" si="85"/>
        <v>0.33757362796544227</v>
      </c>
      <c r="L112" s="63">
        <f t="shared" si="77"/>
        <v>2.3358493213153206</v>
      </c>
      <c r="M112" s="63">
        <f t="shared" si="78"/>
        <v>0.2576471356981973</v>
      </c>
      <c r="U112">
        <f t="shared" si="66"/>
        <v>0</v>
      </c>
      <c r="V112">
        <f t="shared" si="67"/>
        <v>5</v>
      </c>
      <c r="W112" s="69" t="str">
        <f t="shared" si="68"/>
        <v>N84_N165</v>
      </c>
      <c r="X112" s="63">
        <f t="shared" si="69"/>
        <v>242.86431051954654</v>
      </c>
      <c r="Y112" s="63" t="e">
        <f t="shared" si="70"/>
        <v>#VALUE!</v>
      </c>
      <c r="Z112" s="63">
        <f t="shared" si="79"/>
        <v>0</v>
      </c>
      <c r="AA112" s="63">
        <f t="shared" si="71"/>
        <v>0</v>
      </c>
      <c r="AB112" s="63" t="e">
        <f t="shared" si="72"/>
        <v>#VALUE!</v>
      </c>
      <c r="AC112" s="63" t="e">
        <f t="shared" si="73"/>
        <v>#VALUE!</v>
      </c>
      <c r="AD112" s="63" t="e">
        <f t="shared" si="80"/>
        <v>#VALUE!</v>
      </c>
      <c r="AF112" s="63" t="e">
        <f t="shared" si="74"/>
        <v>#VALUE!</v>
      </c>
      <c r="AJ112" s="63">
        <v>0</v>
      </c>
      <c r="AK112" s="63">
        <v>5</v>
      </c>
      <c r="AL112" s="63" t="s">
        <v>539</v>
      </c>
      <c r="AM112" s="63" t="s">
        <v>180</v>
      </c>
      <c r="AN112" s="63" t="e">
        <f t="shared" si="75"/>
        <v>#VALUE!</v>
      </c>
      <c r="AO112" s="63">
        <v>250</v>
      </c>
      <c r="AP112" s="63">
        <v>150</v>
      </c>
      <c r="AQ112" s="63">
        <v>74</v>
      </c>
      <c r="AR112" s="63">
        <f t="shared" si="81"/>
        <v>63.135774472429517</v>
      </c>
      <c r="AS112" s="63" t="e">
        <f t="shared" si="82"/>
        <v>#VALUE!</v>
      </c>
      <c r="AT112" s="63" t="e">
        <f t="shared" si="86"/>
        <v>#VALUE!</v>
      </c>
      <c r="AU112" s="63" t="e">
        <f t="shared" si="83"/>
        <v>#VALUE!</v>
      </c>
      <c r="AV112" s="63" t="e">
        <f t="shared" si="84"/>
        <v>#VALUE!</v>
      </c>
    </row>
    <row r="113" spans="8:48" x14ac:dyDescent="0.25">
      <c r="H113" s="63" t="str">
        <f t="shared" si="64"/>
        <v>N88_N89</v>
      </c>
      <c r="I113" s="63">
        <f t="shared" si="65"/>
        <v>22.115282553351062</v>
      </c>
      <c r="J113" s="63">
        <f t="shared" si="76"/>
        <v>6.9596935076183558E-2</v>
      </c>
      <c r="K113" s="63">
        <f t="shared" si="85"/>
        <v>0.17260329849021194</v>
      </c>
      <c r="L113" s="63">
        <f t="shared" si="77"/>
        <v>4.2288302491480989</v>
      </c>
      <c r="M113" s="63">
        <f t="shared" si="78"/>
        <v>7.0647135698197333E-2</v>
      </c>
      <c r="U113">
        <f t="shared" si="66"/>
        <v>0</v>
      </c>
      <c r="V113">
        <f t="shared" si="67"/>
        <v>6</v>
      </c>
      <c r="W113" s="69" t="str">
        <f t="shared" si="68"/>
        <v>N127_N136</v>
      </c>
      <c r="X113" s="63">
        <f t="shared" si="69"/>
        <v>77.930043283237083</v>
      </c>
      <c r="Y113" s="63" t="e">
        <f t="shared" si="70"/>
        <v>#VALUE!</v>
      </c>
      <c r="Z113" s="63">
        <f t="shared" si="79"/>
        <v>0</v>
      </c>
      <c r="AA113" s="63">
        <f t="shared" si="71"/>
        <v>0</v>
      </c>
      <c r="AB113" s="63" t="e">
        <f t="shared" si="72"/>
        <v>#VALUE!</v>
      </c>
      <c r="AC113" s="63" t="e">
        <f t="shared" si="73"/>
        <v>#VALUE!</v>
      </c>
      <c r="AD113" s="63" t="e">
        <f t="shared" si="80"/>
        <v>#VALUE!</v>
      </c>
      <c r="AF113" s="63" t="e">
        <f t="shared" si="74"/>
        <v>#VALUE!</v>
      </c>
      <c r="AJ113" s="63">
        <v>0</v>
      </c>
      <c r="AK113" s="63">
        <v>6</v>
      </c>
      <c r="AL113" s="63" t="s">
        <v>539</v>
      </c>
      <c r="AM113" s="63" t="s">
        <v>178</v>
      </c>
      <c r="AN113" s="63" t="e">
        <f t="shared" si="75"/>
        <v>#VALUE!</v>
      </c>
      <c r="AO113" s="63">
        <v>250</v>
      </c>
      <c r="AP113" s="63">
        <v>150</v>
      </c>
      <c r="AQ113" s="63">
        <v>75</v>
      </c>
      <c r="AR113" s="63">
        <f t="shared" si="81"/>
        <v>63.988960613948841</v>
      </c>
      <c r="AS113" s="63" t="e">
        <f t="shared" si="82"/>
        <v>#VALUE!</v>
      </c>
      <c r="AT113" s="63" t="e">
        <f t="shared" si="86"/>
        <v>#VALUE!</v>
      </c>
      <c r="AU113" s="63" t="e">
        <f t="shared" si="83"/>
        <v>#VALUE!</v>
      </c>
      <c r="AV113" s="63" t="e">
        <f t="shared" si="84"/>
        <v>#VALUE!</v>
      </c>
    </row>
    <row r="114" spans="8:48" x14ac:dyDescent="0.25">
      <c r="H114" s="63" t="str">
        <f t="shared" si="64"/>
        <v>N89_N90</v>
      </c>
      <c r="I114" s="63">
        <f t="shared" si="65"/>
        <v>34.980631802292031</v>
      </c>
      <c r="J114" s="63">
        <f t="shared" si="76"/>
        <v>4.7596935076183552E-2</v>
      </c>
      <c r="K114" s="63">
        <f t="shared" si="85"/>
        <v>0.13667811679991629</v>
      </c>
      <c r="L114" s="63">
        <f t="shared" si="77"/>
        <v>4.8391148463645797</v>
      </c>
      <c r="M114" s="63">
        <f t="shared" si="78"/>
        <v>4.8647135698197334E-2</v>
      </c>
      <c r="U114">
        <f t="shared" si="66"/>
        <v>0</v>
      </c>
      <c r="V114">
        <f t="shared" si="67"/>
        <v>7</v>
      </c>
      <c r="W114" s="69" t="str">
        <f t="shared" si="68"/>
        <v>N127_N128</v>
      </c>
      <c r="X114" s="63">
        <f t="shared" si="69"/>
        <v>66.696883891058746</v>
      </c>
      <c r="Y114" s="63" t="e">
        <f t="shared" si="70"/>
        <v>#VALUE!</v>
      </c>
      <c r="Z114" s="63">
        <f t="shared" si="79"/>
        <v>0</v>
      </c>
      <c r="AA114" s="63">
        <f t="shared" si="71"/>
        <v>0</v>
      </c>
      <c r="AB114" s="63" t="e">
        <f t="shared" si="72"/>
        <v>#VALUE!</v>
      </c>
      <c r="AC114" s="63" t="e">
        <f t="shared" si="73"/>
        <v>#VALUE!</v>
      </c>
      <c r="AD114" s="63" t="e">
        <f t="shared" si="80"/>
        <v>#VALUE!</v>
      </c>
      <c r="AF114" s="63" t="e">
        <f t="shared" si="74"/>
        <v>#VALUE!</v>
      </c>
      <c r="AJ114" s="63">
        <v>0</v>
      </c>
      <c r="AK114" s="63">
        <v>7</v>
      </c>
      <c r="AL114" s="63" t="s">
        <v>539</v>
      </c>
      <c r="AM114" s="63" t="s">
        <v>189</v>
      </c>
      <c r="AN114" s="63" t="e">
        <f t="shared" si="75"/>
        <v>#VALUE!</v>
      </c>
      <c r="AO114" s="63">
        <v>250</v>
      </c>
      <c r="AP114" s="63">
        <v>150</v>
      </c>
      <c r="AQ114" s="63">
        <v>76</v>
      </c>
      <c r="AR114" s="63">
        <f t="shared" si="81"/>
        <v>64.84214675546815</v>
      </c>
      <c r="AS114" s="63" t="e">
        <f t="shared" si="82"/>
        <v>#VALUE!</v>
      </c>
      <c r="AT114" s="63" t="e">
        <f t="shared" si="86"/>
        <v>#VALUE!</v>
      </c>
      <c r="AU114" s="63" t="e">
        <f t="shared" si="83"/>
        <v>#VALUE!</v>
      </c>
      <c r="AV114" s="63" t="e">
        <f t="shared" si="84"/>
        <v>#VALUE!</v>
      </c>
    </row>
    <row r="115" spans="8:48" x14ac:dyDescent="0.25">
      <c r="H115" s="63" t="str">
        <f t="shared" si="64"/>
        <v>N90_N91</v>
      </c>
      <c r="I115" s="63">
        <f t="shared" si="65"/>
        <v>3.2313026950578347</v>
      </c>
      <c r="J115" s="63">
        <f t="shared" si="76"/>
        <v>0.20759693507618357</v>
      </c>
      <c r="K115" s="63">
        <f t="shared" si="85"/>
        <v>0.18451724848413117</v>
      </c>
      <c r="L115" s="63">
        <f t="shared" si="77"/>
        <v>1.5678007354038026</v>
      </c>
      <c r="M115" s="63">
        <f t="shared" si="78"/>
        <v>0.20864713569819734</v>
      </c>
      <c r="U115">
        <f t="shared" si="66"/>
        <v>0</v>
      </c>
      <c r="V115">
        <f t="shared" si="67"/>
        <v>8</v>
      </c>
      <c r="W115" s="69" t="str">
        <f t="shared" si="68"/>
        <v>N128_N129</v>
      </c>
      <c r="X115" s="63">
        <f t="shared" si="69"/>
        <v>101.80050699161599</v>
      </c>
      <c r="Y115" s="63" t="e">
        <f t="shared" si="70"/>
        <v>#VALUE!</v>
      </c>
      <c r="Z115" s="63">
        <f t="shared" si="79"/>
        <v>0</v>
      </c>
      <c r="AA115" s="63">
        <f t="shared" si="71"/>
        <v>0</v>
      </c>
      <c r="AB115" s="63" t="e">
        <f t="shared" si="72"/>
        <v>#VALUE!</v>
      </c>
      <c r="AC115" s="63" t="e">
        <f t="shared" si="73"/>
        <v>#VALUE!</v>
      </c>
      <c r="AD115" s="63" t="e">
        <f t="shared" si="80"/>
        <v>#VALUE!</v>
      </c>
      <c r="AF115" s="63" t="e">
        <f t="shared" si="74"/>
        <v>#VALUE!</v>
      </c>
      <c r="AJ115" s="63">
        <v>0</v>
      </c>
      <c r="AK115" s="63">
        <v>8</v>
      </c>
      <c r="AL115" s="63" t="s">
        <v>539</v>
      </c>
      <c r="AM115" s="63" t="s">
        <v>188</v>
      </c>
      <c r="AN115" s="63" t="e">
        <f t="shared" si="75"/>
        <v>#VALUE!</v>
      </c>
      <c r="AO115" s="63">
        <v>250</v>
      </c>
      <c r="AP115" s="63">
        <v>150</v>
      </c>
      <c r="AQ115" s="63">
        <v>77</v>
      </c>
      <c r="AR115" s="63">
        <f t="shared" si="81"/>
        <v>65.695332896987466</v>
      </c>
      <c r="AS115" s="63" t="e">
        <f t="shared" si="82"/>
        <v>#VALUE!</v>
      </c>
      <c r="AT115" s="63" t="e">
        <f t="shared" si="86"/>
        <v>#VALUE!</v>
      </c>
      <c r="AU115" s="63" t="e">
        <f t="shared" si="83"/>
        <v>#VALUE!</v>
      </c>
      <c r="AV115" s="63" t="e">
        <f t="shared" si="84"/>
        <v>#VALUE!</v>
      </c>
    </row>
    <row r="116" spans="8:48" x14ac:dyDescent="0.25">
      <c r="H116" s="63" t="str">
        <f t="shared" si="64"/>
        <v>N91_N92</v>
      </c>
      <c r="I116" s="63">
        <f t="shared" si="65"/>
        <v>8.6920295923619637</v>
      </c>
      <c r="J116" s="63">
        <f t="shared" si="76"/>
        <v>0.13559693507618356</v>
      </c>
      <c r="K116" s="63">
        <f t="shared" si="85"/>
        <v>0.22853262879498543</v>
      </c>
      <c r="L116" s="63">
        <f t="shared" si="77"/>
        <v>2.9338578686825989</v>
      </c>
      <c r="M116" s="63">
        <f t="shared" si="78"/>
        <v>0.13664713569819734</v>
      </c>
      <c r="U116">
        <f t="shared" si="66"/>
        <v>0</v>
      </c>
      <c r="V116">
        <f t="shared" si="67"/>
        <v>9</v>
      </c>
      <c r="W116" s="69" t="str">
        <f t="shared" si="68"/>
        <v>N129_N130</v>
      </c>
      <c r="X116" s="63">
        <f t="shared" si="69"/>
        <v>28.784970942456937</v>
      </c>
      <c r="Y116" s="63" t="e">
        <f t="shared" si="70"/>
        <v>#VALUE!</v>
      </c>
      <c r="Z116" s="63">
        <f t="shared" si="79"/>
        <v>0</v>
      </c>
      <c r="AA116" s="63">
        <f t="shared" si="71"/>
        <v>0</v>
      </c>
      <c r="AB116" s="63" t="e">
        <f t="shared" si="72"/>
        <v>#VALUE!</v>
      </c>
      <c r="AC116" s="63" t="e">
        <f t="shared" si="73"/>
        <v>#VALUE!</v>
      </c>
      <c r="AD116" s="63" t="e">
        <f t="shared" si="80"/>
        <v>#VALUE!</v>
      </c>
      <c r="AF116" s="63" t="e">
        <f t="shared" si="74"/>
        <v>#VALUE!</v>
      </c>
      <c r="AJ116" s="63">
        <v>0</v>
      </c>
      <c r="AK116" s="63">
        <v>9</v>
      </c>
      <c r="AL116" s="63" t="s">
        <v>539</v>
      </c>
      <c r="AM116" s="63" t="s">
        <v>186</v>
      </c>
      <c r="AN116" s="63" t="e">
        <f t="shared" si="75"/>
        <v>#VALUE!</v>
      </c>
      <c r="AO116" s="63">
        <v>250</v>
      </c>
      <c r="AP116" s="63">
        <v>150</v>
      </c>
      <c r="AQ116" s="63">
        <v>78</v>
      </c>
      <c r="AR116" s="63">
        <f t="shared" si="81"/>
        <v>66.548519038506782</v>
      </c>
      <c r="AS116" s="63" t="e">
        <f t="shared" si="82"/>
        <v>#VALUE!</v>
      </c>
      <c r="AT116" s="63" t="e">
        <f t="shared" si="86"/>
        <v>#VALUE!</v>
      </c>
      <c r="AU116" s="63" t="e">
        <f t="shared" si="83"/>
        <v>#VALUE!</v>
      </c>
      <c r="AV116" s="63" t="e">
        <f t="shared" si="84"/>
        <v>#VALUE!</v>
      </c>
    </row>
    <row r="117" spans="8:48" x14ac:dyDescent="0.25">
      <c r="H117" s="63" t="str">
        <f t="shared" si="64"/>
        <v>N92_N93</v>
      </c>
      <c r="I117" s="63">
        <f t="shared" si="65"/>
        <v>9.5961788981398755</v>
      </c>
      <c r="J117" s="63">
        <f t="shared" si="76"/>
        <v>0.11759693507618356</v>
      </c>
      <c r="K117" s="63">
        <f t="shared" si="85"/>
        <v>0.19466570952132831</v>
      </c>
      <c r="L117" s="63">
        <f t="shared" si="77"/>
        <v>2.8689086014063898</v>
      </c>
      <c r="M117" s="63">
        <f t="shared" si="78"/>
        <v>0.11864713569819733</v>
      </c>
      <c r="U117">
        <f t="shared" si="66"/>
        <v>0</v>
      </c>
      <c r="V117">
        <f t="shared" si="67"/>
        <v>10</v>
      </c>
      <c r="W117" s="69" t="str">
        <f t="shared" si="68"/>
        <v>N130_N131</v>
      </c>
      <c r="X117" s="63">
        <f t="shared" si="69"/>
        <v>26.327717325417932</v>
      </c>
      <c r="Y117" s="63" t="e">
        <f t="shared" si="70"/>
        <v>#VALUE!</v>
      </c>
      <c r="Z117" s="63">
        <f t="shared" si="79"/>
        <v>0</v>
      </c>
      <c r="AA117" s="63">
        <f t="shared" si="71"/>
        <v>0</v>
      </c>
      <c r="AB117" s="63" t="e">
        <f t="shared" si="72"/>
        <v>#VALUE!</v>
      </c>
      <c r="AC117" s="63" t="e">
        <f t="shared" si="73"/>
        <v>#VALUE!</v>
      </c>
      <c r="AD117" s="63" t="e">
        <f t="shared" si="80"/>
        <v>#VALUE!</v>
      </c>
      <c r="AF117" s="63" t="e">
        <f t="shared" si="74"/>
        <v>#VALUE!</v>
      </c>
      <c r="AJ117" s="63">
        <v>0</v>
      </c>
      <c r="AK117" s="63">
        <v>10</v>
      </c>
      <c r="AL117" s="63" t="s">
        <v>539</v>
      </c>
      <c r="AM117" s="63" t="s">
        <v>187</v>
      </c>
      <c r="AN117" s="63" t="e">
        <f t="shared" si="75"/>
        <v>#VALUE!</v>
      </c>
      <c r="AO117" s="63">
        <v>250</v>
      </c>
      <c r="AP117" s="63">
        <v>150</v>
      </c>
      <c r="AQ117" s="63">
        <v>79</v>
      </c>
      <c r="AR117" s="63">
        <f t="shared" si="81"/>
        <v>67.401705180026113</v>
      </c>
      <c r="AS117" s="63" t="e">
        <f t="shared" si="82"/>
        <v>#VALUE!</v>
      </c>
      <c r="AT117" s="63" t="e">
        <f t="shared" si="86"/>
        <v>#VALUE!</v>
      </c>
      <c r="AU117" s="63" t="e">
        <f t="shared" si="83"/>
        <v>#VALUE!</v>
      </c>
      <c r="AV117" s="63" t="e">
        <f t="shared" si="84"/>
        <v>#VALUE!</v>
      </c>
    </row>
    <row r="118" spans="8:48" x14ac:dyDescent="0.25">
      <c r="H118" s="63" t="str">
        <f t="shared" si="64"/>
        <v>N93_N94</v>
      </c>
      <c r="I118" s="63">
        <f t="shared" si="65"/>
        <v>14.579304373504881</v>
      </c>
      <c r="J118" s="63">
        <f t="shared" si="76"/>
        <v>9.4596935076183553E-2</v>
      </c>
      <c r="K118" s="63">
        <f t="shared" si="85"/>
        <v>0.19897977674673265</v>
      </c>
      <c r="L118" s="63">
        <f t="shared" si="77"/>
        <v>3.6209709871528317</v>
      </c>
      <c r="M118" s="63">
        <f t="shared" si="78"/>
        <v>9.5647135698197328E-2</v>
      </c>
      <c r="U118">
        <f t="shared" si="66"/>
        <v>0</v>
      </c>
      <c r="V118">
        <f t="shared" si="67"/>
        <v>11</v>
      </c>
      <c r="W118" s="69" t="str">
        <f t="shared" si="68"/>
        <v>N131_N132</v>
      </c>
      <c r="X118" s="63">
        <f t="shared" si="69"/>
        <v>37.911912948601824</v>
      </c>
      <c r="Y118" s="63" t="e">
        <f t="shared" si="70"/>
        <v>#VALUE!</v>
      </c>
      <c r="Z118" s="63">
        <f t="shared" si="79"/>
        <v>0</v>
      </c>
      <c r="AA118" s="63">
        <f t="shared" si="71"/>
        <v>0</v>
      </c>
      <c r="AB118" s="63" t="e">
        <f t="shared" si="72"/>
        <v>#VALUE!</v>
      </c>
      <c r="AC118" s="63" t="e">
        <f t="shared" si="73"/>
        <v>#VALUE!</v>
      </c>
      <c r="AD118" s="63" t="e">
        <f t="shared" si="80"/>
        <v>#VALUE!</v>
      </c>
      <c r="AF118" s="63" t="e">
        <f t="shared" si="74"/>
        <v>#VALUE!</v>
      </c>
      <c r="AJ118" s="63">
        <v>0</v>
      </c>
      <c r="AK118" s="63">
        <v>11</v>
      </c>
      <c r="AL118" s="63" t="s">
        <v>539</v>
      </c>
      <c r="AM118" s="63" t="s">
        <v>185</v>
      </c>
      <c r="AN118" s="63" t="e">
        <f t="shared" si="75"/>
        <v>#VALUE!</v>
      </c>
      <c r="AO118" s="63">
        <v>250</v>
      </c>
      <c r="AP118" s="63">
        <v>150</v>
      </c>
      <c r="AQ118" s="63">
        <v>80</v>
      </c>
      <c r="AR118" s="63">
        <f t="shared" si="81"/>
        <v>68.254891321545429</v>
      </c>
      <c r="AS118" s="63" t="e">
        <f t="shared" si="82"/>
        <v>#VALUE!</v>
      </c>
      <c r="AT118" s="63" t="e">
        <f t="shared" si="86"/>
        <v>#VALUE!</v>
      </c>
      <c r="AU118" s="63" t="e">
        <f t="shared" si="83"/>
        <v>#VALUE!</v>
      </c>
      <c r="AV118" s="63" t="e">
        <f t="shared" si="84"/>
        <v>#VALUE!</v>
      </c>
    </row>
    <row r="119" spans="8:48" x14ac:dyDescent="0.25">
      <c r="H119" s="63" t="str">
        <f t="shared" si="64"/>
        <v>N94_N95</v>
      </c>
      <c r="I119" s="63">
        <f t="shared" si="65"/>
        <v>12.259869586810922</v>
      </c>
      <c r="J119" s="63">
        <f t="shared" si="76"/>
        <v>8.0596935076183554E-2</v>
      </c>
      <c r="K119" s="63">
        <f t="shared" si="85"/>
        <v>0.12499478326836462</v>
      </c>
      <c r="L119" s="63">
        <f t="shared" si="77"/>
        <v>2.6565024309673393</v>
      </c>
      <c r="M119" s="63">
        <f t="shared" si="78"/>
        <v>8.1647135698197329E-2</v>
      </c>
      <c r="U119">
        <f t="shared" si="66"/>
        <v>0</v>
      </c>
      <c r="V119">
        <f t="shared" si="67"/>
        <v>12</v>
      </c>
      <c r="W119" s="69" t="str">
        <f t="shared" si="68"/>
        <v>N132_N133</v>
      </c>
      <c r="X119" s="63">
        <f t="shared" si="69"/>
        <v>52.655434650835865</v>
      </c>
      <c r="Y119" s="63" t="e">
        <f t="shared" si="70"/>
        <v>#VALUE!</v>
      </c>
      <c r="Z119" s="63">
        <f t="shared" si="79"/>
        <v>0</v>
      </c>
      <c r="AA119" s="63">
        <f t="shared" si="71"/>
        <v>0</v>
      </c>
      <c r="AB119" s="63" t="e">
        <f t="shared" si="72"/>
        <v>#VALUE!</v>
      </c>
      <c r="AC119" s="63" t="e">
        <f t="shared" si="73"/>
        <v>#VALUE!</v>
      </c>
      <c r="AD119" s="63" t="e">
        <f t="shared" si="80"/>
        <v>#VALUE!</v>
      </c>
      <c r="AF119" s="63" t="e">
        <f t="shared" si="74"/>
        <v>#VALUE!</v>
      </c>
      <c r="AJ119" s="63">
        <v>2</v>
      </c>
      <c r="AK119" s="63">
        <v>12</v>
      </c>
      <c r="AL119" s="63" t="s">
        <v>540</v>
      </c>
      <c r="AM119" s="63" t="s">
        <v>422</v>
      </c>
      <c r="AN119" s="63" t="e">
        <f t="shared" si="75"/>
        <v>#VALUE!</v>
      </c>
      <c r="AO119" s="63">
        <v>300</v>
      </c>
      <c r="AP119" s="63">
        <v>150</v>
      </c>
      <c r="AQ119" s="63">
        <v>81</v>
      </c>
      <c r="AR119" s="63">
        <f t="shared" si="81"/>
        <v>28.433934711451364</v>
      </c>
      <c r="AS119" s="63" t="e" cm="1">
        <f t="array" ref="AS119">INDEX(AD108:AD177,AJ119,1)</f>
        <v>#VALUE!</v>
      </c>
      <c r="AT119" s="63" t="e">
        <f t="shared" si="86"/>
        <v>#VALUE!</v>
      </c>
      <c r="AU119" s="63" t="e">
        <f t="shared" si="83"/>
        <v>#VALUE!</v>
      </c>
      <c r="AV119" s="63" t="e">
        <f t="shared" si="84"/>
        <v>#VALUE!</v>
      </c>
    </row>
    <row r="120" spans="8:48" x14ac:dyDescent="0.25">
      <c r="H120" s="63" t="str">
        <f t="shared" si="64"/>
        <v>N95_N96</v>
      </c>
      <c r="I120" s="63">
        <f t="shared" si="65"/>
        <v>3.9868809371857856</v>
      </c>
      <c r="J120" s="63">
        <f t="shared" si="76"/>
        <v>0.25459693507618353</v>
      </c>
      <c r="K120" s="63">
        <f t="shared" si="85"/>
        <v>0.33013524436163599</v>
      </c>
      <c r="L120" s="63">
        <f t="shared" si="77"/>
        <v>2.3017658925256761</v>
      </c>
      <c r="M120" s="63">
        <f t="shared" si="78"/>
        <v>0.2556471356981973</v>
      </c>
      <c r="U120">
        <f t="shared" si="66"/>
        <v>0</v>
      </c>
      <c r="V120">
        <f t="shared" si="67"/>
        <v>13</v>
      </c>
      <c r="W120" s="69" t="str">
        <f t="shared" si="68"/>
        <v>N133_N134</v>
      </c>
      <c r="X120" s="63">
        <f t="shared" si="69"/>
        <v>18.955956474300912</v>
      </c>
      <c r="Y120" s="63" t="e">
        <f t="shared" si="70"/>
        <v>#VALUE!</v>
      </c>
      <c r="Z120" s="63">
        <f t="shared" si="79"/>
        <v>0</v>
      </c>
      <c r="AA120" s="63">
        <f t="shared" si="71"/>
        <v>0</v>
      </c>
      <c r="AB120" s="63" t="e">
        <f t="shared" si="72"/>
        <v>#VALUE!</v>
      </c>
      <c r="AC120" s="63" t="e">
        <f t="shared" si="73"/>
        <v>#VALUE!</v>
      </c>
      <c r="AD120" s="63" t="e">
        <f t="shared" si="80"/>
        <v>#VALUE!</v>
      </c>
      <c r="AF120" s="63" t="e">
        <f t="shared" si="74"/>
        <v>#VALUE!</v>
      </c>
      <c r="AJ120" s="63">
        <v>0</v>
      </c>
      <c r="AK120" s="63">
        <v>13</v>
      </c>
      <c r="AL120" s="63" t="s">
        <v>540</v>
      </c>
      <c r="AM120" s="63" t="s">
        <v>263</v>
      </c>
      <c r="AN120" s="63" t="e">
        <f t="shared" si="75"/>
        <v>#VALUE!</v>
      </c>
      <c r="AO120" s="63">
        <v>250</v>
      </c>
      <c r="AP120" s="63">
        <v>150</v>
      </c>
      <c r="AQ120" s="63">
        <v>111</v>
      </c>
      <c r="AR120" s="63">
        <f t="shared" si="81"/>
        <v>94.70366170864429</v>
      </c>
      <c r="AS120" s="63" t="e">
        <f t="shared" ref="AS120:AS136" si="87">IF(AL120="positif",AN120,IF(AL120="negatif",-AN120,""))</f>
        <v>#VALUE!</v>
      </c>
      <c r="AT120" s="63" t="e">
        <f t="shared" si="86"/>
        <v>#VALUE!</v>
      </c>
      <c r="AU120" s="63" t="e">
        <f t="shared" si="83"/>
        <v>#VALUE!</v>
      </c>
      <c r="AV120" s="63" t="e">
        <f t="shared" si="84"/>
        <v>#VALUE!</v>
      </c>
    </row>
    <row r="121" spans="8:48" x14ac:dyDescent="0.25">
      <c r="H121" s="63" t="str">
        <f t="shared" si="64"/>
        <v>N96_N97</v>
      </c>
      <c r="I121" s="63">
        <f t="shared" si="65"/>
        <v>10.028439208866896</v>
      </c>
      <c r="J121" s="63">
        <f t="shared" si="76"/>
        <v>0.12259693507618356</v>
      </c>
      <c r="K121" s="63">
        <f t="shared" si="85"/>
        <v>0.21945966978787168</v>
      </c>
      <c r="L121" s="63">
        <f t="shared" si="77"/>
        <v>3.1064113103341242</v>
      </c>
      <c r="M121" s="63">
        <f t="shared" si="78"/>
        <v>0.12364713569819734</v>
      </c>
      <c r="U121">
        <f t="shared" si="66"/>
        <v>0</v>
      </c>
      <c r="V121">
        <f t="shared" si="67"/>
        <v>14</v>
      </c>
      <c r="W121" s="69" t="str">
        <f t="shared" si="68"/>
        <v>N134_N135</v>
      </c>
      <c r="X121" s="63">
        <f t="shared" si="69"/>
        <v>32.646369483518235</v>
      </c>
      <c r="Y121" s="63" t="e">
        <f t="shared" si="70"/>
        <v>#VALUE!</v>
      </c>
      <c r="Z121" s="63">
        <f t="shared" si="79"/>
        <v>0</v>
      </c>
      <c r="AA121" s="63">
        <f t="shared" si="71"/>
        <v>0</v>
      </c>
      <c r="AB121" s="63" t="e">
        <f t="shared" si="72"/>
        <v>#VALUE!</v>
      </c>
      <c r="AC121" s="63" t="e">
        <f t="shared" si="73"/>
        <v>#VALUE!</v>
      </c>
      <c r="AD121" s="63" t="e">
        <f t="shared" si="80"/>
        <v>#VALUE!</v>
      </c>
      <c r="AF121" s="63" t="e">
        <f t="shared" si="74"/>
        <v>#VALUE!</v>
      </c>
      <c r="AJ121" s="63">
        <v>0</v>
      </c>
      <c r="AK121" s="63">
        <v>14</v>
      </c>
      <c r="AL121" s="63" t="s">
        <v>540</v>
      </c>
      <c r="AM121" s="63" t="s">
        <v>264</v>
      </c>
      <c r="AN121" s="63" t="e">
        <f t="shared" si="75"/>
        <v>#VALUE!</v>
      </c>
      <c r="AO121" s="63">
        <v>250</v>
      </c>
      <c r="AP121" s="63">
        <v>150</v>
      </c>
      <c r="AQ121" s="63">
        <v>112</v>
      </c>
      <c r="AR121" s="63">
        <f t="shared" si="81"/>
        <v>95.556847850163592</v>
      </c>
      <c r="AS121" s="63" t="e">
        <f t="shared" si="87"/>
        <v>#VALUE!</v>
      </c>
      <c r="AT121" s="63" t="e">
        <f t="shared" si="86"/>
        <v>#VALUE!</v>
      </c>
      <c r="AU121" s="63" t="e">
        <f t="shared" si="83"/>
        <v>#VALUE!</v>
      </c>
      <c r="AV121" s="63" t="e">
        <f t="shared" si="84"/>
        <v>#VALUE!</v>
      </c>
    </row>
    <row r="122" spans="8:48" x14ac:dyDescent="0.25">
      <c r="H122" s="63" t="str">
        <f t="shared" si="64"/>
        <v>N97_N98</v>
      </c>
      <c r="I122" s="63">
        <f t="shared" si="65"/>
        <v>8.6246495180025686</v>
      </c>
      <c r="J122" s="63">
        <f t="shared" si="76"/>
        <v>0.13459693507618356</v>
      </c>
      <c r="K122" s="63">
        <f t="shared" si="85"/>
        <v>0.22372499203005927</v>
      </c>
      <c r="L122" s="63">
        <f t="shared" si="77"/>
        <v>2.8928132852088351</v>
      </c>
      <c r="M122" s="63">
        <f t="shared" si="78"/>
        <v>0.13564713569819734</v>
      </c>
      <c r="U122">
        <f t="shared" si="66"/>
        <v>0</v>
      </c>
      <c r="V122">
        <f t="shared" si="67"/>
        <v>15</v>
      </c>
      <c r="W122" s="69" t="str">
        <f t="shared" si="68"/>
        <v>N136_N137</v>
      </c>
      <c r="X122" s="63">
        <f t="shared" si="69"/>
        <v>126.37304316200606</v>
      </c>
      <c r="Y122" s="63" t="e">
        <f t="shared" si="70"/>
        <v>#VALUE!</v>
      </c>
      <c r="Z122" s="63">
        <f t="shared" si="79"/>
        <v>0</v>
      </c>
      <c r="AA122" s="63">
        <f t="shared" si="71"/>
        <v>0</v>
      </c>
      <c r="AB122" s="63" t="e">
        <f t="shared" si="72"/>
        <v>#VALUE!</v>
      </c>
      <c r="AC122" s="63" t="e">
        <f t="shared" si="73"/>
        <v>#VALUE!</v>
      </c>
      <c r="AD122" s="63" t="e">
        <f t="shared" si="80"/>
        <v>#VALUE!</v>
      </c>
      <c r="AF122" s="63" t="e">
        <f t="shared" si="74"/>
        <v>#VALUE!</v>
      </c>
      <c r="AJ122" s="63">
        <v>0</v>
      </c>
      <c r="AK122" s="63">
        <v>15</v>
      </c>
      <c r="AL122" s="63" t="s">
        <v>540</v>
      </c>
      <c r="AM122" s="63" t="s">
        <v>266</v>
      </c>
      <c r="AN122" s="63" t="e">
        <f t="shared" si="75"/>
        <v>#VALUE!</v>
      </c>
      <c r="AO122" s="63">
        <v>250</v>
      </c>
      <c r="AP122" s="63">
        <v>150</v>
      </c>
      <c r="AQ122" s="63">
        <v>113</v>
      </c>
      <c r="AR122" s="63">
        <f t="shared" si="81"/>
        <v>96.410033991682923</v>
      </c>
      <c r="AS122" s="63" t="e">
        <f t="shared" si="87"/>
        <v>#VALUE!</v>
      </c>
      <c r="AT122" s="63" t="e">
        <f t="shared" si="86"/>
        <v>#VALUE!</v>
      </c>
      <c r="AU122" s="63" t="e">
        <f t="shared" si="83"/>
        <v>#VALUE!</v>
      </c>
      <c r="AV122" s="63" t="e">
        <f t="shared" si="84"/>
        <v>#VALUE!</v>
      </c>
    </row>
    <row r="123" spans="8:48" x14ac:dyDescent="0.25">
      <c r="H123" s="63" t="str">
        <f t="shared" si="64"/>
        <v>N98_N99</v>
      </c>
      <c r="I123" s="63">
        <f t="shared" si="65"/>
        <v>9.2984502615965194</v>
      </c>
      <c r="J123" s="63">
        <f t="shared" si="76"/>
        <v>0.14459693507618357</v>
      </c>
      <c r="K123" s="63">
        <f t="shared" si="85"/>
        <v>0.27482755289802696</v>
      </c>
      <c r="L123" s="63">
        <f t="shared" si="77"/>
        <v>3.3151798749090773</v>
      </c>
      <c r="M123" s="63">
        <f t="shared" si="78"/>
        <v>0.14564713569819734</v>
      </c>
      <c r="U123">
        <f t="shared" si="66"/>
        <v>0</v>
      </c>
      <c r="V123">
        <f t="shared" si="67"/>
        <v>16</v>
      </c>
      <c r="W123" s="69" t="str">
        <f t="shared" si="68"/>
        <v>N137_N138</v>
      </c>
      <c r="X123" s="63">
        <f t="shared" si="69"/>
        <v>110.57641276675531</v>
      </c>
      <c r="Y123" s="63" t="e">
        <f t="shared" si="70"/>
        <v>#VALUE!</v>
      </c>
      <c r="Z123" s="63">
        <f t="shared" si="79"/>
        <v>0</v>
      </c>
      <c r="AA123" s="63">
        <f t="shared" si="71"/>
        <v>0</v>
      </c>
      <c r="AB123" s="63" t="e">
        <f t="shared" si="72"/>
        <v>#VALUE!</v>
      </c>
      <c r="AC123" s="63" t="e">
        <f t="shared" si="73"/>
        <v>#VALUE!</v>
      </c>
      <c r="AD123" s="63" t="e">
        <f t="shared" si="80"/>
        <v>#VALUE!</v>
      </c>
      <c r="AF123" s="63" t="e">
        <f t="shared" si="74"/>
        <v>#VALUE!</v>
      </c>
      <c r="AJ123" s="63">
        <v>0</v>
      </c>
      <c r="AK123" s="63">
        <v>16</v>
      </c>
      <c r="AL123" s="63" t="s">
        <v>540</v>
      </c>
      <c r="AM123" s="63" t="s">
        <v>276</v>
      </c>
      <c r="AN123" s="63" t="e">
        <f t="shared" si="75"/>
        <v>#VALUE!</v>
      </c>
      <c r="AO123" s="63">
        <v>250</v>
      </c>
      <c r="AP123" s="63">
        <v>150</v>
      </c>
      <c r="AQ123" s="63">
        <v>114</v>
      </c>
      <c r="AR123" s="63">
        <f t="shared" si="81"/>
        <v>97.263220133202225</v>
      </c>
      <c r="AS123" s="63" t="e">
        <f t="shared" si="87"/>
        <v>#VALUE!</v>
      </c>
      <c r="AT123" s="63" t="e">
        <f t="shared" si="86"/>
        <v>#VALUE!</v>
      </c>
      <c r="AU123" s="63" t="e">
        <f t="shared" si="83"/>
        <v>#VALUE!</v>
      </c>
      <c r="AV123" s="63" t="e">
        <f t="shared" si="84"/>
        <v>#VALUE!</v>
      </c>
    </row>
    <row r="124" spans="8:48" x14ac:dyDescent="0.25">
      <c r="H124" s="63" t="str">
        <f t="shared" si="64"/>
        <v>N194_N99</v>
      </c>
      <c r="I124" s="63">
        <f t="shared" si="65"/>
        <v>2.9580084372668733</v>
      </c>
      <c r="J124" s="63">
        <f t="shared" si="76"/>
        <v>-0.17740306492381644</v>
      </c>
      <c r="K124" s="63">
        <f t="shared" si="85"/>
        <v>-0.12686961021375762</v>
      </c>
      <c r="L124" s="63">
        <f t="shared" si="77"/>
        <v>1.2553223579243351</v>
      </c>
      <c r="M124" s="63">
        <f t="shared" si="78"/>
        <v>-0.17635286430180266</v>
      </c>
      <c r="U124">
        <f t="shared" si="66"/>
        <v>0</v>
      </c>
      <c r="V124">
        <f t="shared" si="67"/>
        <v>17</v>
      </c>
      <c r="W124" s="69" t="str">
        <f t="shared" si="68"/>
        <v>N138_N139</v>
      </c>
      <c r="X124" s="63">
        <f t="shared" si="69"/>
        <v>94.779782371504538</v>
      </c>
      <c r="Y124" s="63" t="e">
        <f t="shared" si="70"/>
        <v>#VALUE!</v>
      </c>
      <c r="Z124" s="63">
        <f t="shared" si="79"/>
        <v>0</v>
      </c>
      <c r="AA124" s="63">
        <f t="shared" si="71"/>
        <v>0</v>
      </c>
      <c r="AB124" s="63" t="e">
        <f t="shared" si="72"/>
        <v>#VALUE!</v>
      </c>
      <c r="AC124" s="63" t="e">
        <f t="shared" si="73"/>
        <v>#VALUE!</v>
      </c>
      <c r="AD124" s="63" t="e">
        <f t="shared" si="80"/>
        <v>#VALUE!</v>
      </c>
      <c r="AF124" s="63" t="e">
        <f t="shared" si="74"/>
        <v>#VALUE!</v>
      </c>
      <c r="AJ124" s="63">
        <v>0</v>
      </c>
      <c r="AK124" s="63">
        <v>17</v>
      </c>
      <c r="AL124" s="63" t="s">
        <v>540</v>
      </c>
      <c r="AM124" s="63" t="s">
        <v>316</v>
      </c>
      <c r="AN124" s="63" t="e">
        <f t="shared" si="75"/>
        <v>#VALUE!</v>
      </c>
      <c r="AO124" s="63">
        <v>250</v>
      </c>
      <c r="AP124" s="63">
        <v>150</v>
      </c>
      <c r="AQ124" s="63">
        <v>115</v>
      </c>
      <c r="AR124" s="63">
        <f t="shared" si="81"/>
        <v>98.116406274721555</v>
      </c>
      <c r="AS124" s="63" t="e">
        <f t="shared" si="87"/>
        <v>#VALUE!</v>
      </c>
      <c r="AT124" s="63" t="e">
        <f t="shared" si="86"/>
        <v>#VALUE!</v>
      </c>
      <c r="AU124" s="63" t="e">
        <f t="shared" si="83"/>
        <v>#VALUE!</v>
      </c>
      <c r="AV124" s="63" t="e">
        <f t="shared" si="84"/>
        <v>#VALUE!</v>
      </c>
    </row>
    <row r="125" spans="8:48" x14ac:dyDescent="0.25">
      <c r="H125" s="63" t="str">
        <f t="shared" si="64"/>
        <v>N99_N100</v>
      </c>
      <c r="I125" s="63">
        <f t="shared" si="65"/>
        <v>1.6361942593429444</v>
      </c>
      <c r="J125" s="63">
        <f t="shared" si="76"/>
        <v>0.29559693507618351</v>
      </c>
      <c r="K125" s="63">
        <f t="shared" si="85"/>
        <v>0.17781951900123796</v>
      </c>
      <c r="L125" s="63">
        <f t="shared" si="77"/>
        <v>1.0727837452764963</v>
      </c>
      <c r="M125" s="63">
        <f t="shared" si="78"/>
        <v>0.29664713569819728</v>
      </c>
      <c r="U125">
        <f t="shared" si="66"/>
        <v>0</v>
      </c>
      <c r="V125">
        <f t="shared" si="67"/>
        <v>18</v>
      </c>
      <c r="W125" s="69" t="str">
        <f t="shared" si="68"/>
        <v>N139_N140</v>
      </c>
      <c r="X125" s="63">
        <f t="shared" si="69"/>
        <v>63.186521581003028</v>
      </c>
      <c r="Y125" s="63" t="e">
        <f t="shared" si="70"/>
        <v>#VALUE!</v>
      </c>
      <c r="Z125" s="63">
        <f t="shared" si="79"/>
        <v>0</v>
      </c>
      <c r="AA125" s="63">
        <f t="shared" si="71"/>
        <v>0</v>
      </c>
      <c r="AB125" s="63" t="e">
        <f t="shared" si="72"/>
        <v>#VALUE!</v>
      </c>
      <c r="AC125" s="63" t="e">
        <f t="shared" si="73"/>
        <v>#VALUE!</v>
      </c>
      <c r="AD125" s="63" t="e">
        <f t="shared" si="80"/>
        <v>#VALUE!</v>
      </c>
      <c r="AF125" s="63" t="e">
        <f t="shared" si="74"/>
        <v>#VALUE!</v>
      </c>
      <c r="AJ125" s="63">
        <v>0</v>
      </c>
      <c r="AK125" s="63">
        <v>18</v>
      </c>
      <c r="AL125" s="63" t="s">
        <v>540</v>
      </c>
      <c r="AM125" s="63" t="s">
        <v>412</v>
      </c>
      <c r="AN125" s="63" t="e">
        <f t="shared" si="75"/>
        <v>#VALUE!</v>
      </c>
      <c r="AO125" s="63">
        <v>250</v>
      </c>
      <c r="AP125" s="63">
        <v>150</v>
      </c>
      <c r="AQ125" s="63">
        <v>116</v>
      </c>
      <c r="AR125" s="63">
        <f t="shared" si="81"/>
        <v>98.969592416240872</v>
      </c>
      <c r="AS125" s="63" t="e">
        <f t="shared" si="87"/>
        <v>#VALUE!</v>
      </c>
      <c r="AT125" s="63" t="e">
        <f t="shared" si="86"/>
        <v>#VALUE!</v>
      </c>
      <c r="AU125" s="63" t="e">
        <f t="shared" si="83"/>
        <v>#VALUE!</v>
      </c>
      <c r="AV125" s="63" t="e">
        <f t="shared" si="84"/>
        <v>#VALUE!</v>
      </c>
    </row>
    <row r="126" spans="8:48" x14ac:dyDescent="0.25">
      <c r="H126" s="63" t="str">
        <f t="shared" si="64"/>
        <v>N100_N101</v>
      </c>
      <c r="I126" s="63">
        <f t="shared" si="65"/>
        <v>6.2862725331507194</v>
      </c>
      <c r="J126" s="63">
        <f t="shared" si="76"/>
        <v>0.15959693507618355</v>
      </c>
      <c r="K126" s="63">
        <f t="shared" si="85"/>
        <v>0.22238265204864827</v>
      </c>
      <c r="L126" s="63">
        <f t="shared" si="77"/>
        <v>2.4378731354774583</v>
      </c>
      <c r="M126" s="63">
        <f t="shared" si="78"/>
        <v>0.16064713569819733</v>
      </c>
      <c r="U126">
        <f t="shared" si="66"/>
        <v>0</v>
      </c>
      <c r="V126">
        <f t="shared" si="67"/>
        <v>19</v>
      </c>
      <c r="W126" s="69" t="str">
        <f t="shared" si="68"/>
        <v>N140_N141</v>
      </c>
      <c r="X126" s="63">
        <f t="shared" si="69"/>
        <v>73.717608511170198</v>
      </c>
      <c r="Y126" s="63" t="e">
        <f t="shared" si="70"/>
        <v>#VALUE!</v>
      </c>
      <c r="Z126" s="63">
        <f t="shared" si="79"/>
        <v>0</v>
      </c>
      <c r="AA126" s="63">
        <f t="shared" si="71"/>
        <v>0</v>
      </c>
      <c r="AB126" s="63" t="e">
        <f t="shared" si="72"/>
        <v>#VALUE!</v>
      </c>
      <c r="AC126" s="63" t="e">
        <f t="shared" si="73"/>
        <v>#VALUE!</v>
      </c>
      <c r="AD126" s="63" t="e">
        <f t="shared" si="80"/>
        <v>#VALUE!</v>
      </c>
      <c r="AF126" s="63" t="e">
        <f t="shared" si="74"/>
        <v>#VALUE!</v>
      </c>
      <c r="AJ126" s="63">
        <v>0</v>
      </c>
      <c r="AK126" s="63">
        <v>19</v>
      </c>
      <c r="AL126" s="63" t="s">
        <v>540</v>
      </c>
      <c r="AM126" s="63" t="s">
        <v>308</v>
      </c>
      <c r="AN126" s="63" t="e">
        <f t="shared" si="75"/>
        <v>#VALUE!</v>
      </c>
      <c r="AO126" s="63">
        <v>250</v>
      </c>
      <c r="AP126" s="63">
        <v>150</v>
      </c>
      <c r="AQ126" s="63">
        <v>117</v>
      </c>
      <c r="AR126" s="63">
        <f t="shared" si="81"/>
        <v>99.822778557760188</v>
      </c>
      <c r="AS126" s="63" t="e">
        <f t="shared" si="87"/>
        <v>#VALUE!</v>
      </c>
      <c r="AT126" s="63" t="e">
        <f t="shared" si="86"/>
        <v>#VALUE!</v>
      </c>
      <c r="AU126" s="63" t="e">
        <f t="shared" si="83"/>
        <v>#VALUE!</v>
      </c>
      <c r="AV126" s="63" t="e">
        <f t="shared" si="84"/>
        <v>#VALUE!</v>
      </c>
    </row>
    <row r="127" spans="8:48" x14ac:dyDescent="0.25">
      <c r="H127" s="63" t="str">
        <f t="shared" si="64"/>
        <v>N101_N102</v>
      </c>
      <c r="I127" s="63">
        <f t="shared" si="65"/>
        <v>12.094195673475639</v>
      </c>
      <c r="J127" s="63">
        <f t="shared" si="76"/>
        <v>7.9596935076183553E-2</v>
      </c>
      <c r="K127" s="63">
        <f t="shared" si="85"/>
        <v>0.12053390743894396</v>
      </c>
      <c r="L127" s="63">
        <f t="shared" si="77"/>
        <v>2.5928754718061979</v>
      </c>
      <c r="M127" s="63">
        <f t="shared" si="78"/>
        <v>8.0647135698197328E-2</v>
      </c>
      <c r="U127">
        <f t="shared" si="66"/>
        <v>0</v>
      </c>
      <c r="V127">
        <f t="shared" si="67"/>
        <v>20</v>
      </c>
      <c r="W127" s="69" t="str">
        <f t="shared" si="68"/>
        <v>N141_N142</v>
      </c>
      <c r="X127" s="63">
        <f t="shared" si="69"/>
        <v>35.103623100557243</v>
      </c>
      <c r="Y127" s="63" t="e">
        <f t="shared" si="70"/>
        <v>#VALUE!</v>
      </c>
      <c r="Z127" s="63">
        <f t="shared" si="79"/>
        <v>0</v>
      </c>
      <c r="AA127" s="63">
        <f t="shared" si="71"/>
        <v>0</v>
      </c>
      <c r="AB127" s="63" t="e">
        <f t="shared" si="72"/>
        <v>#VALUE!</v>
      </c>
      <c r="AC127" s="63" t="e">
        <f t="shared" si="73"/>
        <v>#VALUE!</v>
      </c>
      <c r="AD127" s="63" t="e">
        <f t="shared" si="80"/>
        <v>#VALUE!</v>
      </c>
      <c r="AF127" s="63" t="e">
        <f t="shared" si="74"/>
        <v>#VALUE!</v>
      </c>
      <c r="AJ127" s="63">
        <v>0</v>
      </c>
      <c r="AK127" s="63">
        <v>20</v>
      </c>
      <c r="AL127" s="63" t="s">
        <v>540</v>
      </c>
      <c r="AM127" s="63" t="s">
        <v>411</v>
      </c>
      <c r="AN127" s="63" t="e">
        <f t="shared" si="75"/>
        <v>#VALUE!</v>
      </c>
      <c r="AO127" s="63">
        <v>250</v>
      </c>
      <c r="AP127" s="63">
        <v>150</v>
      </c>
      <c r="AQ127" s="63">
        <v>117</v>
      </c>
      <c r="AR127" s="63">
        <f t="shared" si="81"/>
        <v>99.822778557760188</v>
      </c>
      <c r="AS127" s="63" t="e">
        <f t="shared" si="87"/>
        <v>#VALUE!</v>
      </c>
      <c r="AT127" s="63" t="e">
        <f t="shared" si="86"/>
        <v>#VALUE!</v>
      </c>
      <c r="AU127" s="63" t="e">
        <f t="shared" si="83"/>
        <v>#VALUE!</v>
      </c>
      <c r="AV127" s="63" t="e">
        <f t="shared" si="84"/>
        <v>#VALUE!</v>
      </c>
    </row>
    <row r="128" spans="8:48" x14ac:dyDescent="0.25">
      <c r="H128" s="63" t="str">
        <f t="shared" si="64"/>
        <v>N102_N103</v>
      </c>
      <c r="I128" s="63">
        <f t="shared" si="65"/>
        <v>19.658028936312054</v>
      </c>
      <c r="J128" s="63">
        <f t="shared" si="76"/>
        <v>6.2596935076183552E-2</v>
      </c>
      <c r="K128" s="63">
        <f t="shared" si="85"/>
        <v>0.12649201458501466</v>
      </c>
      <c r="L128" s="63">
        <f t="shared" si="77"/>
        <v>3.4343469539018665</v>
      </c>
      <c r="M128" s="63">
        <f t="shared" si="78"/>
        <v>6.3647135698197327E-2</v>
      </c>
      <c r="U128">
        <f t="shared" si="66"/>
        <v>0</v>
      </c>
      <c r="V128">
        <f t="shared" si="67"/>
        <v>21</v>
      </c>
      <c r="W128" s="69" t="str">
        <f t="shared" si="68"/>
        <v>N142_N143</v>
      </c>
      <c r="X128" s="63">
        <f t="shared" si="69"/>
        <v>149.89247063937941</v>
      </c>
      <c r="Y128" s="63" t="e">
        <f t="shared" si="70"/>
        <v>#VALUE!</v>
      </c>
      <c r="Z128" s="63">
        <f t="shared" si="79"/>
        <v>0</v>
      </c>
      <c r="AA128" s="63">
        <f t="shared" si="71"/>
        <v>0</v>
      </c>
      <c r="AB128" s="63" t="e">
        <f t="shared" si="72"/>
        <v>#VALUE!</v>
      </c>
      <c r="AC128" s="63" t="e">
        <f t="shared" si="73"/>
        <v>#VALUE!</v>
      </c>
      <c r="AD128" s="63" t="e">
        <f t="shared" si="80"/>
        <v>#VALUE!</v>
      </c>
      <c r="AF128" s="63" t="e">
        <f t="shared" si="74"/>
        <v>#VALUE!</v>
      </c>
      <c r="AJ128" s="63">
        <v>0</v>
      </c>
      <c r="AK128" s="63">
        <v>21</v>
      </c>
      <c r="AL128" s="63" t="s">
        <v>540</v>
      </c>
      <c r="AM128" s="63" t="s">
        <v>309</v>
      </c>
      <c r="AN128" s="63" t="e">
        <f t="shared" si="75"/>
        <v>#VALUE!</v>
      </c>
      <c r="AO128" s="63">
        <v>250</v>
      </c>
      <c r="AP128" s="63">
        <v>150</v>
      </c>
      <c r="AQ128" s="63">
        <v>118</v>
      </c>
      <c r="AR128" s="63">
        <f t="shared" si="81"/>
        <v>100.6759646992795</v>
      </c>
      <c r="AS128" s="63" t="e">
        <f t="shared" si="87"/>
        <v>#VALUE!</v>
      </c>
      <c r="AT128" s="63" t="e">
        <f t="shared" si="86"/>
        <v>#VALUE!</v>
      </c>
      <c r="AU128" s="63" t="e">
        <f t="shared" si="83"/>
        <v>#VALUE!</v>
      </c>
      <c r="AV128" s="63" t="e">
        <f t="shared" si="84"/>
        <v>#VALUE!</v>
      </c>
    </row>
    <row r="129" spans="8:48" x14ac:dyDescent="0.25">
      <c r="H129" s="63" t="str">
        <f t="shared" si="64"/>
        <v>N103_N104</v>
      </c>
      <c r="I129" s="63">
        <f t="shared" si="65"/>
        <v>55.656404494062755</v>
      </c>
      <c r="J129" s="63">
        <f t="shared" si="76"/>
        <v>2.8596935076183553E-2</v>
      </c>
      <c r="K129" s="63">
        <f t="shared" si="85"/>
        <v>8.5994947732859275E-2</v>
      </c>
      <c r="L129" s="63">
        <f t="shared" si="77"/>
        <v>4.9881595239424179</v>
      </c>
      <c r="M129" s="63">
        <f t="shared" si="78"/>
        <v>2.9647135698197331E-2</v>
      </c>
      <c r="U129">
        <f t="shared" si="66"/>
        <v>0</v>
      </c>
      <c r="V129">
        <f t="shared" si="67"/>
        <v>22</v>
      </c>
      <c r="W129" s="69" t="str">
        <f t="shared" si="68"/>
        <v>N143_N144</v>
      </c>
      <c r="X129" s="63">
        <f t="shared" si="69"/>
        <v>30.540152097484796</v>
      </c>
      <c r="Y129" s="63" t="e">
        <f t="shared" si="70"/>
        <v>#VALUE!</v>
      </c>
      <c r="Z129" s="63">
        <f t="shared" si="79"/>
        <v>0</v>
      </c>
      <c r="AA129" s="63">
        <f t="shared" si="71"/>
        <v>0</v>
      </c>
      <c r="AB129" s="63" t="e">
        <f t="shared" si="72"/>
        <v>#VALUE!</v>
      </c>
      <c r="AC129" s="63" t="e">
        <f t="shared" si="73"/>
        <v>#VALUE!</v>
      </c>
      <c r="AD129" s="63" t="e">
        <f t="shared" si="80"/>
        <v>#VALUE!</v>
      </c>
      <c r="AF129" s="63" t="e">
        <f t="shared" si="74"/>
        <v>#VALUE!</v>
      </c>
      <c r="AJ129" s="63">
        <v>0</v>
      </c>
      <c r="AK129" s="63">
        <v>22</v>
      </c>
      <c r="AL129" s="63" t="s">
        <v>540</v>
      </c>
      <c r="AM129" s="63" t="s">
        <v>310</v>
      </c>
      <c r="AN129" s="63" t="e">
        <f t="shared" si="75"/>
        <v>#VALUE!</v>
      </c>
      <c r="AO129" s="63">
        <v>250</v>
      </c>
      <c r="AP129" s="63">
        <v>150</v>
      </c>
      <c r="AQ129" s="63">
        <v>119</v>
      </c>
      <c r="AR129" s="63">
        <f t="shared" si="81"/>
        <v>101.52915084079882</v>
      </c>
      <c r="AS129" s="63" t="e">
        <f t="shared" si="87"/>
        <v>#VALUE!</v>
      </c>
      <c r="AT129" s="63" t="e">
        <f t="shared" si="86"/>
        <v>#VALUE!</v>
      </c>
      <c r="AU129" s="63" t="e">
        <f t="shared" si="83"/>
        <v>#VALUE!</v>
      </c>
      <c r="AV129" s="63" t="e">
        <f t="shared" si="84"/>
        <v>#VALUE!</v>
      </c>
    </row>
    <row r="130" spans="8:48" x14ac:dyDescent="0.25">
      <c r="H130" s="63" t="str">
        <f t="shared" si="64"/>
        <v>N104_N105</v>
      </c>
      <c r="I130" s="63">
        <f t="shared" si="65"/>
        <v>18.955956474300912</v>
      </c>
      <c r="J130" s="63">
        <f t="shared" si="76"/>
        <v>6.059693507618355E-2</v>
      </c>
      <c r="K130" s="63">
        <f t="shared" si="85"/>
        <v>0.11497101147218242</v>
      </c>
      <c r="L130" s="63">
        <f t="shared" si="77"/>
        <v>3.2213257656835101</v>
      </c>
      <c r="M130" s="63">
        <f t="shared" si="78"/>
        <v>6.1647135698197332E-2</v>
      </c>
      <c r="U130">
        <f t="shared" si="66"/>
        <v>0</v>
      </c>
      <c r="V130">
        <f t="shared" si="67"/>
        <v>23</v>
      </c>
      <c r="W130" s="69" t="str">
        <f t="shared" si="68"/>
        <v>N144_N145</v>
      </c>
      <c r="X130" s="63">
        <f t="shared" si="69"/>
        <v>40.369166565640825</v>
      </c>
      <c r="Y130" s="63" t="e">
        <f t="shared" si="70"/>
        <v>#VALUE!</v>
      </c>
      <c r="Z130" s="63">
        <f t="shared" si="79"/>
        <v>0</v>
      </c>
      <c r="AA130" s="63">
        <f t="shared" si="71"/>
        <v>0</v>
      </c>
      <c r="AB130" s="63" t="e">
        <f t="shared" si="72"/>
        <v>#VALUE!</v>
      </c>
      <c r="AC130" s="63" t="e">
        <f t="shared" si="73"/>
        <v>#VALUE!</v>
      </c>
      <c r="AD130" s="63" t="e">
        <f t="shared" si="80"/>
        <v>#VALUE!</v>
      </c>
      <c r="AF130" s="63" t="e">
        <f t="shared" si="74"/>
        <v>#VALUE!</v>
      </c>
      <c r="AJ130" s="63">
        <v>0</v>
      </c>
      <c r="AK130" s="63">
        <v>23</v>
      </c>
      <c r="AL130" s="63" t="s">
        <v>540</v>
      </c>
      <c r="AM130" s="63" t="s">
        <v>312</v>
      </c>
      <c r="AN130" s="63" t="e">
        <f t="shared" si="75"/>
        <v>#VALUE!</v>
      </c>
      <c r="AO130" s="63">
        <v>250</v>
      </c>
      <c r="AP130" s="63">
        <v>150</v>
      </c>
      <c r="AQ130" s="63">
        <v>120</v>
      </c>
      <c r="AR130" s="63">
        <f t="shared" si="81"/>
        <v>102.38233698231814</v>
      </c>
      <c r="AS130" s="63" t="e">
        <f t="shared" si="87"/>
        <v>#VALUE!</v>
      </c>
      <c r="AT130" s="63" t="e">
        <f t="shared" si="86"/>
        <v>#VALUE!</v>
      </c>
      <c r="AU130" s="63" t="e">
        <f t="shared" si="83"/>
        <v>#VALUE!</v>
      </c>
      <c r="AV130" s="63" t="e">
        <f t="shared" si="84"/>
        <v>#VALUE!</v>
      </c>
    </row>
    <row r="131" spans="8:48" x14ac:dyDescent="0.25">
      <c r="H131" s="63" t="str">
        <f t="shared" si="64"/>
        <v>N105_R1</v>
      </c>
      <c r="I131" s="63">
        <f t="shared" si="65"/>
        <v>75.895097037358298</v>
      </c>
      <c r="J131" s="63">
        <f t="shared" si="76"/>
        <v>3.6596935076183557E-2</v>
      </c>
      <c r="K131" s="63">
        <f t="shared" si="85"/>
        <v>0.18375812365496721</v>
      </c>
      <c r="L131" s="63">
        <f t="shared" si="77"/>
        <v>8.392852691678792</v>
      </c>
      <c r="M131" s="63">
        <f t="shared" si="78"/>
        <v>3.7647135698197338E-2</v>
      </c>
      <c r="U131">
        <f t="shared" si="66"/>
        <v>0</v>
      </c>
      <c r="V131">
        <f t="shared" si="67"/>
        <v>24</v>
      </c>
      <c r="W131" s="69" t="str">
        <f t="shared" si="68"/>
        <v>N145_N146</v>
      </c>
      <c r="X131" s="63">
        <f t="shared" si="69"/>
        <v>58.974086808936164</v>
      </c>
      <c r="Y131" s="63" t="e">
        <f t="shared" si="70"/>
        <v>#VALUE!</v>
      </c>
      <c r="Z131" s="63">
        <f t="shared" si="79"/>
        <v>0</v>
      </c>
      <c r="AA131" s="63">
        <f t="shared" si="71"/>
        <v>0</v>
      </c>
      <c r="AB131" s="63" t="e">
        <f t="shared" si="72"/>
        <v>#VALUE!</v>
      </c>
      <c r="AC131" s="63" t="e">
        <f t="shared" si="73"/>
        <v>#VALUE!</v>
      </c>
      <c r="AD131" s="63" t="e">
        <f t="shared" si="80"/>
        <v>#VALUE!</v>
      </c>
      <c r="AF131" s="63" t="e">
        <f t="shared" si="74"/>
        <v>#VALUE!</v>
      </c>
      <c r="AJ131" s="63">
        <v>0</v>
      </c>
      <c r="AK131" s="63">
        <v>24</v>
      </c>
      <c r="AL131" s="63" t="s">
        <v>540</v>
      </c>
      <c r="AM131" s="63" t="s">
        <v>311</v>
      </c>
      <c r="AN131" s="63" t="e">
        <f t="shared" si="75"/>
        <v>#VALUE!</v>
      </c>
      <c r="AO131" s="63">
        <v>400</v>
      </c>
      <c r="AP131" s="63">
        <v>150</v>
      </c>
      <c r="AQ131" s="63">
        <v>121</v>
      </c>
      <c r="AR131" s="63">
        <f t="shared" si="81"/>
        <v>10.460699519593918</v>
      </c>
      <c r="AS131" s="63" t="e">
        <f t="shared" si="87"/>
        <v>#VALUE!</v>
      </c>
      <c r="AT131" s="63" t="e">
        <f t="shared" si="86"/>
        <v>#VALUE!</v>
      </c>
      <c r="AU131" s="63" t="e">
        <f t="shared" si="83"/>
        <v>#VALUE!</v>
      </c>
      <c r="AV131" s="63" t="e">
        <f t="shared" si="84"/>
        <v>#VALUE!</v>
      </c>
    </row>
    <row r="132" spans="8:48" x14ac:dyDescent="0.25">
      <c r="H132" s="63" t="str">
        <f t="shared" si="64"/>
        <v>N148_N149</v>
      </c>
      <c r="I132" s="63">
        <f t="shared" si="65"/>
        <v>15.076326113510728</v>
      </c>
      <c r="J132" s="63">
        <f t="shared" si="76"/>
        <v>9.7596935076183555E-2</v>
      </c>
      <c r="K132" s="63">
        <f t="shared" si="85"/>
        <v>0.21780046649600782</v>
      </c>
      <c r="L132" s="63">
        <f t="shared" si="77"/>
        <v>3.845352259438108</v>
      </c>
      <c r="M132" s="63">
        <f t="shared" si="78"/>
        <v>9.864713569819733E-2</v>
      </c>
      <c r="U132">
        <f t="shared" si="66"/>
        <v>0</v>
      </c>
      <c r="V132">
        <f t="shared" si="67"/>
        <v>25</v>
      </c>
      <c r="W132" s="69" t="str">
        <f t="shared" si="68"/>
        <v>N146_N147</v>
      </c>
      <c r="X132" s="63">
        <f t="shared" si="69"/>
        <v>75.121753435192488</v>
      </c>
      <c r="Y132" s="63" t="e">
        <f t="shared" si="70"/>
        <v>#VALUE!</v>
      </c>
      <c r="Z132" s="63">
        <f t="shared" si="79"/>
        <v>0</v>
      </c>
      <c r="AA132" s="63">
        <f t="shared" si="71"/>
        <v>0</v>
      </c>
      <c r="AB132" s="63" t="e">
        <f t="shared" si="72"/>
        <v>#VALUE!</v>
      </c>
      <c r="AC132" s="63" t="e">
        <f t="shared" si="73"/>
        <v>#VALUE!</v>
      </c>
      <c r="AD132" s="63" t="e">
        <f t="shared" si="80"/>
        <v>#VALUE!</v>
      </c>
      <c r="AF132" s="63" t="e">
        <f t="shared" si="74"/>
        <v>#VALUE!</v>
      </c>
      <c r="AJ132" s="63">
        <v>0</v>
      </c>
      <c r="AK132" s="63">
        <v>25</v>
      </c>
      <c r="AL132" s="63" t="s">
        <v>540</v>
      </c>
      <c r="AM132" s="63" t="s">
        <v>313</v>
      </c>
      <c r="AN132" s="63" t="e">
        <f t="shared" si="75"/>
        <v>#VALUE!</v>
      </c>
      <c r="AO132" s="63">
        <v>400</v>
      </c>
      <c r="AP132" s="63">
        <v>150</v>
      </c>
      <c r="AQ132" s="63">
        <v>122</v>
      </c>
      <c r="AR132" s="63">
        <f t="shared" si="81"/>
        <v>10.547151581739321</v>
      </c>
      <c r="AS132" s="63" t="e">
        <f t="shared" si="87"/>
        <v>#VALUE!</v>
      </c>
      <c r="AT132" s="63" t="e">
        <f t="shared" si="86"/>
        <v>#VALUE!</v>
      </c>
      <c r="AU132" s="63" t="e">
        <f t="shared" si="83"/>
        <v>#VALUE!</v>
      </c>
      <c r="AV132" s="63" t="e">
        <f t="shared" si="84"/>
        <v>#VALUE!</v>
      </c>
    </row>
    <row r="133" spans="8:48" x14ac:dyDescent="0.25">
      <c r="H133" s="63" t="str">
        <f t="shared" si="64"/>
        <v>N148_N166</v>
      </c>
      <c r="I133" s="63">
        <f t="shared" si="65"/>
        <v>8.7316582766858311</v>
      </c>
      <c r="J133" s="63">
        <f t="shared" si="76"/>
        <v>-9.4403064923816449E-2</v>
      </c>
      <c r="K133" s="63">
        <f t="shared" si="85"/>
        <v>-0.11872615653584337</v>
      </c>
      <c r="L133" s="63">
        <f t="shared" si="77"/>
        <v>2.1648403079389102</v>
      </c>
      <c r="M133" s="63">
        <f t="shared" si="78"/>
        <v>-9.3352864301802674E-2</v>
      </c>
      <c r="U133">
        <f t="shared" si="66"/>
        <v>0</v>
      </c>
      <c r="V133">
        <f t="shared" si="67"/>
        <v>26</v>
      </c>
      <c r="W133" s="69" t="str">
        <f t="shared" si="68"/>
        <v>N147_N148</v>
      </c>
      <c r="X133" s="63">
        <f t="shared" si="69"/>
        <v>24.572536170390066</v>
      </c>
      <c r="Y133" s="63" t="e">
        <f t="shared" si="70"/>
        <v>#VALUE!</v>
      </c>
      <c r="Z133" s="63">
        <f t="shared" si="79"/>
        <v>0</v>
      </c>
      <c r="AA133" s="63">
        <f t="shared" si="71"/>
        <v>0</v>
      </c>
      <c r="AB133" s="63" t="e">
        <f t="shared" si="72"/>
        <v>#VALUE!</v>
      </c>
      <c r="AC133" s="63" t="e">
        <f t="shared" si="73"/>
        <v>#VALUE!</v>
      </c>
      <c r="AD133" s="63" t="e">
        <f t="shared" si="80"/>
        <v>#VALUE!</v>
      </c>
      <c r="AF133" s="63" t="e">
        <f t="shared" si="74"/>
        <v>#VALUE!</v>
      </c>
      <c r="AJ133" s="63">
        <v>0</v>
      </c>
      <c r="AK133" s="63">
        <v>26</v>
      </c>
      <c r="AL133" s="63" t="s">
        <v>540</v>
      </c>
      <c r="AM133" s="63" t="s">
        <v>314</v>
      </c>
      <c r="AN133" s="63" t="e">
        <f t="shared" si="75"/>
        <v>#VALUE!</v>
      </c>
      <c r="AO133" s="63">
        <v>400</v>
      </c>
      <c r="AP133" s="63">
        <v>150</v>
      </c>
      <c r="AQ133" s="63">
        <v>123</v>
      </c>
      <c r="AR133" s="63">
        <f t="shared" si="81"/>
        <v>10.633603643884726</v>
      </c>
      <c r="AS133" s="63" t="e">
        <f t="shared" si="87"/>
        <v>#VALUE!</v>
      </c>
      <c r="AT133" s="63" t="e">
        <f t="shared" si="86"/>
        <v>#VALUE!</v>
      </c>
      <c r="AU133" s="63" t="e">
        <f t="shared" si="83"/>
        <v>#VALUE!</v>
      </c>
      <c r="AV133" s="63" t="e">
        <f t="shared" si="84"/>
        <v>#VALUE!</v>
      </c>
    </row>
    <row r="134" spans="8:48" x14ac:dyDescent="0.25">
      <c r="H134" s="63" t="str">
        <f t="shared" si="64"/>
        <v>N149_N150</v>
      </c>
      <c r="I134" s="63">
        <f t="shared" si="65"/>
        <v>75.895097037358298</v>
      </c>
      <c r="J134" s="63">
        <f t="shared" si="76"/>
        <v>3.6596935076183557E-2</v>
      </c>
      <c r="K134" s="63">
        <f t="shared" si="85"/>
        <v>0.18375812365496721</v>
      </c>
      <c r="L134" s="63">
        <f t="shared" si="77"/>
        <v>8.392852691678792</v>
      </c>
      <c r="M134" s="63">
        <f t="shared" si="78"/>
        <v>3.7647135698197338E-2</v>
      </c>
      <c r="U134">
        <f t="shared" si="66"/>
        <v>25</v>
      </c>
      <c r="V134">
        <f t="shared" si="67"/>
        <v>27</v>
      </c>
      <c r="W134" s="69" t="str">
        <f t="shared" si="68"/>
        <v>N148_N149</v>
      </c>
      <c r="X134" s="63">
        <f t="shared" si="69"/>
        <v>230.21512767998681</v>
      </c>
      <c r="Y134" s="63" t="e">
        <f t="shared" si="70"/>
        <v>#VALUE!</v>
      </c>
      <c r="Z134" s="63">
        <f t="shared" si="79"/>
        <v>1</v>
      </c>
      <c r="AA134" s="63">
        <f t="shared" si="71"/>
        <v>-1</v>
      </c>
      <c r="AB134" s="63" t="e">
        <f t="shared" si="72"/>
        <v>#VALUE!</v>
      </c>
      <c r="AC134" s="63" t="e">
        <f t="shared" si="73"/>
        <v>#VALUE!</v>
      </c>
      <c r="AD134" s="63" t="e">
        <f t="shared" si="80"/>
        <v>#VALUE!</v>
      </c>
      <c r="AF134" s="63" t="e">
        <f t="shared" si="74"/>
        <v>#VALUE!</v>
      </c>
      <c r="AJ134" s="63">
        <v>0</v>
      </c>
      <c r="AK134" s="63">
        <v>27</v>
      </c>
      <c r="AL134" s="63" t="s">
        <v>540</v>
      </c>
      <c r="AM134" s="63" t="s">
        <v>420</v>
      </c>
      <c r="AN134" s="63" t="e">
        <f t="shared" si="75"/>
        <v>#VALUE!</v>
      </c>
      <c r="AO134" s="63">
        <v>400</v>
      </c>
      <c r="AP134" s="63">
        <v>150</v>
      </c>
      <c r="AQ134" s="63">
        <v>124</v>
      </c>
      <c r="AR134" s="63">
        <f t="shared" si="81"/>
        <v>10.720055706030131</v>
      </c>
      <c r="AS134" s="63" t="e">
        <f t="shared" si="87"/>
        <v>#VALUE!</v>
      </c>
      <c r="AT134" s="63" t="e">
        <f t="shared" si="86"/>
        <v>#VALUE!</v>
      </c>
      <c r="AU134" s="63" t="e">
        <f t="shared" si="83"/>
        <v>#VALUE!</v>
      </c>
      <c r="AV134" s="63" t="e">
        <f t="shared" si="84"/>
        <v>#VALUE!</v>
      </c>
    </row>
    <row r="135" spans="8:48" x14ac:dyDescent="0.25">
      <c r="H135" s="63" t="str">
        <f t="shared" si="64"/>
        <v>N150_N151</v>
      </c>
      <c r="I135" s="63">
        <f t="shared" si="65"/>
        <v>29.861514953176123</v>
      </c>
      <c r="J135" s="63">
        <f t="shared" si="76"/>
        <v>4.1596935076183561E-2</v>
      </c>
      <c r="K135" s="63">
        <f t="shared" si="85"/>
        <v>9.1289856215096776E-2</v>
      </c>
      <c r="L135" s="63">
        <f t="shared" si="77"/>
        <v>3.6829266917106089</v>
      </c>
      <c r="M135" s="63">
        <f t="shared" si="78"/>
        <v>4.2647135698197343E-2</v>
      </c>
      <c r="U135">
        <f t="shared" si="66"/>
        <v>27</v>
      </c>
      <c r="V135">
        <f t="shared" si="67"/>
        <v>28</v>
      </c>
      <c r="W135" s="69" t="str">
        <f t="shared" si="68"/>
        <v>N149_N150</v>
      </c>
      <c r="X135" s="63">
        <f t="shared" si="69"/>
        <v>75.895097037358298</v>
      </c>
      <c r="Y135" s="63" t="e">
        <f t="shared" si="70"/>
        <v>#VALUE!</v>
      </c>
      <c r="Z135" s="63">
        <f t="shared" si="79"/>
        <v>1</v>
      </c>
      <c r="AA135" s="63">
        <f t="shared" si="71"/>
        <v>-1</v>
      </c>
      <c r="AB135" s="63" t="e">
        <f t="shared" si="72"/>
        <v>#VALUE!</v>
      </c>
      <c r="AC135" s="63" t="e">
        <f t="shared" si="73"/>
        <v>#VALUE!</v>
      </c>
      <c r="AD135" s="63" t="e">
        <f t="shared" si="80"/>
        <v>#VALUE!</v>
      </c>
      <c r="AF135" s="63" t="e">
        <f t="shared" si="74"/>
        <v>#VALUE!</v>
      </c>
      <c r="AJ135" s="63">
        <v>0</v>
      </c>
      <c r="AK135" s="63">
        <v>28</v>
      </c>
      <c r="AL135" s="63" t="s">
        <v>540</v>
      </c>
      <c r="AM135" s="63" t="s">
        <v>288</v>
      </c>
      <c r="AN135" s="63" t="e">
        <f t="shared" si="75"/>
        <v>#VALUE!</v>
      </c>
      <c r="AO135" s="63">
        <v>400</v>
      </c>
      <c r="AP135" s="63">
        <v>150</v>
      </c>
      <c r="AQ135" s="63">
        <v>125</v>
      </c>
      <c r="AR135" s="63">
        <f t="shared" si="81"/>
        <v>10.806507768175534</v>
      </c>
      <c r="AS135" s="63" t="e">
        <f t="shared" si="87"/>
        <v>#VALUE!</v>
      </c>
      <c r="AT135" s="63" t="e">
        <f t="shared" si="86"/>
        <v>#VALUE!</v>
      </c>
      <c r="AU135" s="63" t="e">
        <f t="shared" si="83"/>
        <v>#VALUE!</v>
      </c>
      <c r="AV135" s="63" t="e">
        <f t="shared" si="84"/>
        <v>#VALUE!</v>
      </c>
    </row>
    <row r="136" spans="8:48" x14ac:dyDescent="0.25">
      <c r="H136" s="63" t="str">
        <f t="shared" si="64"/>
        <v>N151_N152</v>
      </c>
      <c r="I136" s="63">
        <f t="shared" si="65"/>
        <v>41.806120934446568</v>
      </c>
      <c r="J136" s="63">
        <f t="shared" si="76"/>
        <v>5.559693507618356E-2</v>
      </c>
      <c r="K136" s="63">
        <f t="shared" si="85"/>
        <v>0.21675916609561818</v>
      </c>
      <c r="L136" s="63">
        <f t="shared" si="77"/>
        <v>6.6018276096794732</v>
      </c>
      <c r="M136" s="63">
        <f t="shared" si="78"/>
        <v>5.6647135698197341E-2</v>
      </c>
      <c r="U136">
        <f t="shared" si="66"/>
        <v>28</v>
      </c>
      <c r="V136">
        <f t="shared" si="67"/>
        <v>29</v>
      </c>
      <c r="W136" s="69" t="str">
        <f t="shared" si="68"/>
        <v>N150_N151</v>
      </c>
      <c r="X136" s="63">
        <f t="shared" si="69"/>
        <v>88.544279876918011</v>
      </c>
      <c r="Y136" s="63" t="e">
        <f t="shared" si="70"/>
        <v>#VALUE!</v>
      </c>
      <c r="Z136" s="63">
        <f t="shared" si="79"/>
        <v>1</v>
      </c>
      <c r="AA136" s="63">
        <f t="shared" si="71"/>
        <v>-1</v>
      </c>
      <c r="AB136" s="63" t="e">
        <f t="shared" si="72"/>
        <v>#VALUE!</v>
      </c>
      <c r="AC136" s="63" t="e">
        <f t="shared" si="73"/>
        <v>#VALUE!</v>
      </c>
      <c r="AD136" s="63" t="e">
        <f t="shared" si="80"/>
        <v>#VALUE!</v>
      </c>
      <c r="AF136" s="63" t="e">
        <f t="shared" si="74"/>
        <v>#VALUE!</v>
      </c>
      <c r="AJ136" s="63">
        <v>0</v>
      </c>
      <c r="AK136" s="63">
        <v>29</v>
      </c>
      <c r="AL136" s="63" t="s">
        <v>540</v>
      </c>
      <c r="AM136" s="63" t="s">
        <v>423</v>
      </c>
      <c r="AN136" s="63" t="e">
        <f t="shared" si="75"/>
        <v>#VALUE!</v>
      </c>
      <c r="AO136" s="63">
        <v>400</v>
      </c>
      <c r="AP136" s="63">
        <v>150</v>
      </c>
      <c r="AQ136" s="63">
        <v>126</v>
      </c>
      <c r="AR136" s="63">
        <f t="shared" si="81"/>
        <v>10.892959830320939</v>
      </c>
      <c r="AS136" s="63" t="e">
        <f t="shared" si="87"/>
        <v>#VALUE!</v>
      </c>
      <c r="AT136" s="63" t="e">
        <f>IF(AJ136&gt;0,
        IF(AS136&gt;0, AR136*AS136^1.852,-AR136*ABS(AS136)^1.852),
        IF(AS136&gt;0, AR136*AN136^1.852, -AR136*AN136^1.852))</f>
        <v>#VALUE!</v>
      </c>
      <c r="AU136" s="63" t="e">
        <f t="shared" si="83"/>
        <v>#VALUE!</v>
      </c>
      <c r="AV136" s="63" t="e">
        <f t="shared" si="84"/>
        <v>#VALUE!</v>
      </c>
    </row>
    <row r="137" spans="8:48" x14ac:dyDescent="0.25">
      <c r="H137" s="63" t="str">
        <f t="shared" si="64"/>
        <v>N152_N153</v>
      </c>
      <c r="I137" s="63">
        <f t="shared" si="65"/>
        <v>14.744978286840164</v>
      </c>
      <c r="J137" s="63">
        <f t="shared" si="76"/>
        <v>9.5596935076183553E-2</v>
      </c>
      <c r="K137" s="63">
        <f t="shared" si="85"/>
        <v>0.20513161735603916</v>
      </c>
      <c r="L137" s="63">
        <f t="shared" si="77"/>
        <v>3.6950760477954505</v>
      </c>
      <c r="M137" s="63">
        <f t="shared" si="78"/>
        <v>9.6647135698197328E-2</v>
      </c>
      <c r="U137">
        <f t="shared" si="66"/>
        <v>29</v>
      </c>
      <c r="V137">
        <f t="shared" si="67"/>
        <v>30</v>
      </c>
      <c r="W137" s="69" t="str">
        <f t="shared" si="68"/>
        <v>N151_N152</v>
      </c>
      <c r="X137" s="63">
        <f t="shared" si="69"/>
        <v>123.9619918276852</v>
      </c>
      <c r="Y137" s="63" t="e">
        <f t="shared" si="70"/>
        <v>#VALUE!</v>
      </c>
      <c r="Z137" s="63">
        <f t="shared" si="79"/>
        <v>1</v>
      </c>
      <c r="AA137" s="63">
        <f t="shared" si="71"/>
        <v>-1</v>
      </c>
      <c r="AB137" s="63" t="e">
        <f t="shared" si="72"/>
        <v>#VALUE!</v>
      </c>
      <c r="AC137" s="63" t="e">
        <f t="shared" si="73"/>
        <v>#VALUE!</v>
      </c>
      <c r="AD137" s="63" t="e">
        <f t="shared" si="80"/>
        <v>#VALUE!</v>
      </c>
      <c r="AF137" s="63" t="e">
        <f t="shared" si="74"/>
        <v>#VALUE!</v>
      </c>
      <c r="AJ137" s="63">
        <v>7</v>
      </c>
      <c r="AK137" s="63">
        <v>30</v>
      </c>
      <c r="AL137" s="63" t="s">
        <v>540</v>
      </c>
      <c r="AM137" s="63" t="s">
        <v>292</v>
      </c>
      <c r="AN137" s="63" t="e">
        <f t="shared" si="75"/>
        <v>#VALUE!</v>
      </c>
      <c r="AO137" s="63">
        <v>300</v>
      </c>
      <c r="AP137" s="63">
        <v>150</v>
      </c>
      <c r="AQ137" s="63">
        <v>127</v>
      </c>
      <c r="AR137" s="63">
        <f t="shared" si="81"/>
        <v>44.581601337707689</v>
      </c>
      <c r="AS137" s="63" t="e" cm="1">
        <f t="array" ref="AS137">INDEX(AB126:AB195,AJ137,1)</f>
        <v>#VALUE!</v>
      </c>
      <c r="AT137" s="63" t="e">
        <f>IF(AJ137&gt;0,
        IF(AS137&gt;0, AR137*AS137^1.852,-AR137*ABS(AS137)^1.852),
        IF(AS137&gt;0, AR137*AN137^1.852, -AR137*AN137^1.852))</f>
        <v>#VALUE!</v>
      </c>
      <c r="AU137" s="63" t="e">
        <f t="shared" si="83"/>
        <v>#VALUE!</v>
      </c>
      <c r="AV137" s="63" t="e">
        <f t="shared" si="84"/>
        <v>#VALUE!</v>
      </c>
    </row>
    <row r="138" spans="8:48" x14ac:dyDescent="0.25">
      <c r="H138" s="63" t="str">
        <f t="shared" si="64"/>
        <v>N153_N154</v>
      </c>
      <c r="I138" s="63">
        <f t="shared" si="65"/>
        <v>12.756891326816771</v>
      </c>
      <c r="J138" s="63">
        <f t="shared" si="76"/>
        <v>8.3596935076183557E-2</v>
      </c>
      <c r="K138" s="63">
        <f t="shared" si="85"/>
        <v>0.13901238439754166</v>
      </c>
      <c r="L138" s="63">
        <f t="shared" si="77"/>
        <v>2.8516224216427761</v>
      </c>
      <c r="M138" s="63">
        <f t="shared" si="78"/>
        <v>8.4647135698197332E-2</v>
      </c>
      <c r="U138">
        <f t="shared" si="66"/>
        <v>30</v>
      </c>
      <c r="V138">
        <f t="shared" si="67"/>
        <v>31</v>
      </c>
      <c r="W138" s="69" t="str">
        <f t="shared" si="68"/>
        <v>N152_N153</v>
      </c>
      <c r="X138" s="63">
        <f t="shared" si="69"/>
        <v>225.15545454416295</v>
      </c>
      <c r="Y138" s="63" t="e">
        <f t="shared" si="70"/>
        <v>#VALUE!</v>
      </c>
      <c r="Z138" s="63">
        <f t="shared" si="79"/>
        <v>1</v>
      </c>
      <c r="AA138" s="63">
        <f t="shared" si="71"/>
        <v>-1</v>
      </c>
      <c r="AB138" s="63" t="e">
        <f t="shared" si="72"/>
        <v>#VALUE!</v>
      </c>
      <c r="AC138" s="63" t="e">
        <f t="shared" si="73"/>
        <v>#VALUE!</v>
      </c>
      <c r="AD138" s="63" t="e">
        <f t="shared" si="80"/>
        <v>#VALUE!</v>
      </c>
      <c r="AF138" s="63" t="e">
        <f t="shared" si="74"/>
        <v>#VALUE!</v>
      </c>
      <c r="AJ138" s="63">
        <v>8</v>
      </c>
      <c r="AK138" s="63">
        <v>31</v>
      </c>
      <c r="AL138" s="63" t="s">
        <v>540</v>
      </c>
      <c r="AM138" s="63" t="s">
        <v>291</v>
      </c>
      <c r="AN138" s="63" t="e">
        <f t="shared" si="75"/>
        <v>#VALUE!</v>
      </c>
      <c r="AO138" s="63">
        <v>300</v>
      </c>
      <c r="AP138" s="63">
        <v>150</v>
      </c>
      <c r="AQ138" s="63">
        <v>128</v>
      </c>
      <c r="AR138" s="63">
        <f t="shared" si="81"/>
        <v>44.932637568713268</v>
      </c>
      <c r="AS138" s="63" t="e" cm="1">
        <f t="array" ref="AS138">INDEX(AB127:AB196,AJ138,1)</f>
        <v>#VALUE!</v>
      </c>
      <c r="AT138" s="63" t="e">
        <f>IF(AJ138&gt;0,
        IF(AS138&gt;0, AR138*AS138^1.852,-AR138*ABS(AS138)^1.852),
        IF(AS138&gt;0, AR138*AN138^1.852, -AR138*AN138^1.852))</f>
        <v>#VALUE!</v>
      </c>
      <c r="AU138" s="63" t="e">
        <f t="shared" si="83"/>
        <v>#VALUE!</v>
      </c>
      <c r="AV138" s="63" t="e">
        <f t="shared" si="84"/>
        <v>#VALUE!</v>
      </c>
    </row>
    <row r="139" spans="8:48" x14ac:dyDescent="0.25">
      <c r="H139" s="63" t="str">
        <f t="shared" si="64"/>
        <v>N154_N155</v>
      </c>
      <c r="I139" s="63">
        <f t="shared" si="65"/>
        <v>31.567887236214759</v>
      </c>
      <c r="J139" s="63">
        <f t="shared" si="76"/>
        <v>4.3596935076183549E-2</v>
      </c>
      <c r="K139" s="63">
        <f t="shared" si="85"/>
        <v>0.10512229110714678</v>
      </c>
      <c r="L139" s="63">
        <f t="shared" si="77"/>
        <v>4.0523129349812486</v>
      </c>
      <c r="M139" s="63">
        <f t="shared" si="78"/>
        <v>4.4647135698197331E-2</v>
      </c>
      <c r="U139">
        <f t="shared" si="66"/>
        <v>31</v>
      </c>
      <c r="V139">
        <f t="shared" si="67"/>
        <v>32</v>
      </c>
      <c r="W139" s="69" t="str">
        <f t="shared" si="68"/>
        <v>N153_N154</v>
      </c>
      <c r="X139" s="63">
        <f t="shared" si="69"/>
        <v>194.79741572921961</v>
      </c>
      <c r="Y139" s="63" t="e">
        <f t="shared" si="70"/>
        <v>#VALUE!</v>
      </c>
      <c r="Z139" s="63">
        <f t="shared" si="79"/>
        <v>1</v>
      </c>
      <c r="AA139" s="63">
        <f t="shared" si="71"/>
        <v>-1</v>
      </c>
      <c r="AB139" s="63" t="e">
        <f t="shared" si="72"/>
        <v>#VALUE!</v>
      </c>
      <c r="AC139" s="63" t="e">
        <f t="shared" si="73"/>
        <v>#VALUE!</v>
      </c>
      <c r="AD139" s="63" t="e">
        <f t="shared" si="80"/>
        <v>#VALUE!</v>
      </c>
      <c r="AF139" s="63" t="e">
        <f t="shared" si="74"/>
        <v>#VALUE!</v>
      </c>
      <c r="AJ139" s="63">
        <v>9</v>
      </c>
      <c r="AK139" s="63">
        <v>32</v>
      </c>
      <c r="AL139" s="63" t="s">
        <v>540</v>
      </c>
      <c r="AM139" s="63" t="s">
        <v>293</v>
      </c>
      <c r="AN139" s="63" t="e">
        <f t="shared" si="75"/>
        <v>#VALUE!</v>
      </c>
      <c r="AO139" s="63">
        <v>300</v>
      </c>
      <c r="AP139" s="63">
        <v>150</v>
      </c>
      <c r="AQ139" s="63">
        <v>129</v>
      </c>
      <c r="AR139" s="63">
        <f t="shared" si="81"/>
        <v>45.283673799718841</v>
      </c>
      <c r="AS139" s="63" t="e" cm="1">
        <f t="array" ref="AS139">INDEX(AB128:AB197,AJ139,1)</f>
        <v>#VALUE!</v>
      </c>
      <c r="AT139" s="63" t="e">
        <f>IF(AJ139&gt;0,
        IF(AS139&gt;0, AR139*AS139^1.852,-AR139*ABS(AS139)^1.852),
        IF(AS139&gt;0, AR139*AN139^1.852, -AR139*AN139^1.852))</f>
        <v>#VALUE!</v>
      </c>
      <c r="AU139" s="63" t="e">
        <f t="shared" si="83"/>
        <v>#VALUE!</v>
      </c>
      <c r="AV139" s="63" t="e">
        <f t="shared" si="84"/>
        <v>#VALUE!</v>
      </c>
    </row>
    <row r="140" spans="8:48" x14ac:dyDescent="0.25">
      <c r="H140" s="63" t="str">
        <f t="shared" ref="H140:H171" si="88">D54</f>
        <v>N155_N156</v>
      </c>
      <c r="I140" s="63">
        <f t="shared" ref="I140:I171" si="89">I54</f>
        <v>8.6920295923619637</v>
      </c>
      <c r="J140" s="63">
        <f t="shared" si="76"/>
        <v>0.13559693507618356</v>
      </c>
      <c r="K140" s="63">
        <f t="shared" si="85"/>
        <v>0.22853262879498543</v>
      </c>
      <c r="L140" s="63">
        <f t="shared" si="77"/>
        <v>2.9338578686825989</v>
      </c>
      <c r="M140" s="63">
        <f t="shared" si="78"/>
        <v>0.13664713569819734</v>
      </c>
      <c r="U140">
        <f t="shared" si="66"/>
        <v>32</v>
      </c>
      <c r="V140">
        <f t="shared" si="67"/>
        <v>33</v>
      </c>
      <c r="W140" s="69" t="str">
        <f t="shared" ref="W140:W171" si="90">S54</f>
        <v>N154_N155</v>
      </c>
      <c r="X140" s="63">
        <f t="shared" ref="X140:X171" si="91">X54</f>
        <v>93.603953012741897</v>
      </c>
      <c r="Y140" s="63" t="e">
        <f t="shared" ref="Y140:Y171" si="92">AD54</f>
        <v>#VALUE!</v>
      </c>
      <c r="Z140" s="63">
        <f t="shared" si="79"/>
        <v>1</v>
      </c>
      <c r="AA140" s="63">
        <f t="shared" si="71"/>
        <v>-1</v>
      </c>
      <c r="AB140" s="63" t="e">
        <f t="shared" ref="AB140:AB171" si="93">X140*SIGN(Y140)*ABS(Y140)^1.821</f>
        <v>#VALUE!</v>
      </c>
      <c r="AC140" s="63" t="e">
        <f t="shared" ref="AC140:AC171" si="94">1.852*X140*ABS(Y140)^(1.852-1)</f>
        <v>#VALUE!</v>
      </c>
      <c r="AD140" s="63" t="e">
        <f t="shared" si="80"/>
        <v>#VALUE!</v>
      </c>
      <c r="AF140" s="63" t="e">
        <f t="shared" ref="AF140:AF176" si="95">ABS(AD140)-ABS(Y140)</f>
        <v>#VALUE!</v>
      </c>
      <c r="AJ140" s="63">
        <v>10</v>
      </c>
      <c r="AK140" s="63">
        <v>33</v>
      </c>
      <c r="AL140" s="63" t="s">
        <v>540</v>
      </c>
      <c r="AM140" s="63" t="s">
        <v>294</v>
      </c>
      <c r="AN140" s="63" t="e">
        <f t="shared" si="75"/>
        <v>#VALUE!</v>
      </c>
      <c r="AO140" s="63">
        <v>300</v>
      </c>
      <c r="AP140" s="63">
        <v>150</v>
      </c>
      <c r="AQ140" s="63">
        <v>130</v>
      </c>
      <c r="AR140" s="63">
        <f t="shared" si="81"/>
        <v>45.634710030724406</v>
      </c>
      <c r="AS140" s="63" t="e" cm="1">
        <f t="array" ref="AS140">INDEX(AB129:AB198,AJ140,1)</f>
        <v>#VALUE!</v>
      </c>
      <c r="AT140" s="63" t="e">
        <f>IF(AJ140&gt;0,
        IF(AS140&gt;0, AR140*AS140^1.852,-AR140*ABS(AS140)^1.852),
        IF(AS140&gt;0, AR140*AN140^1.852, -AR140*AN140^1.852))</f>
        <v>#VALUE!</v>
      </c>
      <c r="AU140" s="63" t="e">
        <f t="shared" si="83"/>
        <v>#VALUE!</v>
      </c>
      <c r="AV140" s="63" t="e">
        <f t="shared" si="84"/>
        <v>#VALUE!</v>
      </c>
    </row>
    <row r="141" spans="8:48" x14ac:dyDescent="0.25">
      <c r="H141" s="63" t="str">
        <f t="shared" si="88"/>
        <v>N156_N157</v>
      </c>
      <c r="I141" s="63">
        <f t="shared" si="89"/>
        <v>14.082282633499032</v>
      </c>
      <c r="J141" s="63">
        <f t="shared" si="76"/>
        <v>9.1596935076183564E-2</v>
      </c>
      <c r="K141" s="63">
        <f t="shared" si="85"/>
        <v>0.18124175203660975</v>
      </c>
      <c r="L141" s="63">
        <f t="shared" si="77"/>
        <v>3.4028013884990242</v>
      </c>
      <c r="M141" s="63">
        <f t="shared" si="78"/>
        <v>9.2647135698197339E-2</v>
      </c>
      <c r="U141">
        <f t="shared" si="66"/>
        <v>33</v>
      </c>
      <c r="V141">
        <f t="shared" si="67"/>
        <v>34</v>
      </c>
      <c r="W141" s="69" t="str">
        <f t="shared" si="90"/>
        <v>N155_N156</v>
      </c>
      <c r="X141" s="63">
        <f t="shared" si="91"/>
        <v>326.34891726064069</v>
      </c>
      <c r="Y141" s="63" t="e">
        <f t="shared" si="92"/>
        <v>#VALUE!</v>
      </c>
      <c r="Z141" s="63">
        <f t="shared" si="79"/>
        <v>1</v>
      </c>
      <c r="AA141" s="63">
        <f t="shared" si="71"/>
        <v>-1</v>
      </c>
      <c r="AB141" s="63" t="e">
        <f t="shared" si="93"/>
        <v>#VALUE!</v>
      </c>
      <c r="AC141" s="63" t="e">
        <f t="shared" si="94"/>
        <v>#VALUE!</v>
      </c>
      <c r="AD141" s="63" t="e">
        <f t="shared" si="80"/>
        <v>#VALUE!</v>
      </c>
      <c r="AF141" s="63" t="e">
        <f t="shared" si="95"/>
        <v>#VALUE!</v>
      </c>
      <c r="AJ141" s="63">
        <v>11</v>
      </c>
      <c r="AK141" s="63">
        <v>34</v>
      </c>
      <c r="AL141" s="63" t="s">
        <v>540</v>
      </c>
      <c r="AM141" s="63" t="s">
        <v>295</v>
      </c>
      <c r="AN141" s="63" t="e">
        <f t="shared" si="75"/>
        <v>#VALUE!</v>
      </c>
      <c r="AO141" s="63">
        <v>300</v>
      </c>
      <c r="AP141" s="63">
        <v>150</v>
      </c>
      <c r="AQ141" s="63">
        <v>131</v>
      </c>
      <c r="AR141" s="63">
        <f t="shared" si="81"/>
        <v>45.985746261729986</v>
      </c>
      <c r="AS141" s="63" t="e" cm="1">
        <f t="array" ref="AS141">INDEX(AB130:AB199,AJ141,1)</f>
        <v>#VALUE!</v>
      </c>
      <c r="AT141" s="63" t="e">
        <f t="shared" ref="AT141:AT144" si="96">IF(AJ141&gt;0,
        IF(AS141&gt;0, AR141*AS141^1.852,-AR141*ABS(AS141)^1.852),
        IF(AS141&gt;0, AR141*AN141^1.852, -AR141*AN141^1.852))</f>
        <v>#VALUE!</v>
      </c>
      <c r="AU141" s="63" t="e">
        <f t="shared" si="83"/>
        <v>#VALUE!</v>
      </c>
      <c r="AV141" s="63" t="e">
        <f t="shared" si="84"/>
        <v>#VALUE!</v>
      </c>
    </row>
    <row r="142" spans="8:48" x14ac:dyDescent="0.25">
      <c r="H142" s="63" t="str">
        <f t="shared" si="88"/>
        <v>N157_N158</v>
      </c>
      <c r="I142" s="63">
        <f t="shared" si="89"/>
        <v>12.425543500146206</v>
      </c>
      <c r="J142" s="63">
        <f t="shared" si="76"/>
        <v>8.1596935076183555E-2</v>
      </c>
      <c r="K142" s="63">
        <f t="shared" si="85"/>
        <v>0.12956075436882397</v>
      </c>
      <c r="L142" s="63">
        <f t="shared" si="77"/>
        <v>2.7208368031498931</v>
      </c>
      <c r="M142" s="63">
        <f t="shared" si="78"/>
        <v>8.264713569819733E-2</v>
      </c>
      <c r="U142">
        <f t="shared" si="66"/>
        <v>34</v>
      </c>
      <c r="V142">
        <f t="shared" si="67"/>
        <v>35</v>
      </c>
      <c r="W142" s="69" t="str">
        <f t="shared" si="90"/>
        <v>N156_N157</v>
      </c>
      <c r="X142" s="63">
        <f t="shared" si="91"/>
        <v>215.03610827251518</v>
      </c>
      <c r="Y142" s="63" t="e">
        <f t="shared" si="92"/>
        <v>#VALUE!</v>
      </c>
      <c r="Z142" s="63">
        <f t="shared" si="79"/>
        <v>1</v>
      </c>
      <c r="AA142" s="63">
        <f t="shared" si="71"/>
        <v>-1</v>
      </c>
      <c r="AB142" s="63" t="e">
        <f t="shared" si="93"/>
        <v>#VALUE!</v>
      </c>
      <c r="AC142" s="63" t="e">
        <f t="shared" si="94"/>
        <v>#VALUE!</v>
      </c>
      <c r="AD142" s="63" t="e">
        <f t="shared" si="80"/>
        <v>#VALUE!</v>
      </c>
      <c r="AF142" s="63" t="e">
        <f t="shared" si="95"/>
        <v>#VALUE!</v>
      </c>
      <c r="AJ142" s="63">
        <v>12</v>
      </c>
      <c r="AK142" s="63">
        <v>35</v>
      </c>
      <c r="AL142" s="63" t="s">
        <v>540</v>
      </c>
      <c r="AM142" s="63" t="s">
        <v>296</v>
      </c>
      <c r="AN142" s="63" t="e">
        <f t="shared" si="75"/>
        <v>#VALUE!</v>
      </c>
      <c r="AO142" s="63">
        <v>300</v>
      </c>
      <c r="AP142" s="63">
        <v>150</v>
      </c>
      <c r="AQ142" s="63">
        <v>132</v>
      </c>
      <c r="AR142" s="63">
        <f t="shared" si="81"/>
        <v>46.336782492735551</v>
      </c>
      <c r="AS142" s="63" t="e" cm="1">
        <f t="array" ref="AS142">INDEX(AB131:AB200,AJ142,1)</f>
        <v>#VALUE!</v>
      </c>
      <c r="AT142" s="63" t="e">
        <f t="shared" si="96"/>
        <v>#VALUE!</v>
      </c>
      <c r="AU142" s="63" t="e">
        <f t="shared" si="83"/>
        <v>#VALUE!</v>
      </c>
      <c r="AV142" s="63" t="e">
        <f t="shared" si="84"/>
        <v>#VALUE!</v>
      </c>
    </row>
    <row r="143" spans="8:48" x14ac:dyDescent="0.25">
      <c r="H143" s="63" t="str">
        <f t="shared" si="88"/>
        <v>N158_N159</v>
      </c>
      <c r="I143" s="63">
        <f t="shared" si="89"/>
        <v>13.750934806828466</v>
      </c>
      <c r="J143" s="63">
        <f t="shared" si="76"/>
        <v>8.9596935076183562E-2</v>
      </c>
      <c r="K143" s="63">
        <f t="shared" si="85"/>
        <v>0.17000357561466239</v>
      </c>
      <c r="L143" s="63">
        <f t="shared" si="77"/>
        <v>3.2608210981659727</v>
      </c>
      <c r="M143" s="63">
        <f t="shared" si="78"/>
        <v>9.0647135698197337E-2</v>
      </c>
      <c r="U143">
        <f t="shared" si="66"/>
        <v>35</v>
      </c>
      <c r="V143">
        <f t="shared" si="67"/>
        <v>36</v>
      </c>
      <c r="W143" s="69" t="str">
        <f t="shared" si="90"/>
        <v>N157_N158</v>
      </c>
      <c r="X143" s="63">
        <f t="shared" si="91"/>
        <v>189.73774259339575</v>
      </c>
      <c r="Y143" s="63" t="e">
        <f t="shared" si="92"/>
        <v>#VALUE!</v>
      </c>
      <c r="Z143" s="63">
        <f t="shared" si="79"/>
        <v>1</v>
      </c>
      <c r="AA143" s="63">
        <f t="shared" si="71"/>
        <v>-1</v>
      </c>
      <c r="AB143" s="63" t="e">
        <f t="shared" si="93"/>
        <v>#VALUE!</v>
      </c>
      <c r="AC143" s="63" t="e">
        <f t="shared" si="94"/>
        <v>#VALUE!</v>
      </c>
      <c r="AD143" s="63" t="e">
        <f t="shared" si="80"/>
        <v>#VALUE!</v>
      </c>
      <c r="AF143" s="63" t="e">
        <f t="shared" si="95"/>
        <v>#VALUE!</v>
      </c>
      <c r="AJ143" s="63">
        <v>13</v>
      </c>
      <c r="AK143" s="63">
        <v>36</v>
      </c>
      <c r="AL143" s="63" t="s">
        <v>540</v>
      </c>
      <c r="AM143" s="63" t="s">
        <v>297</v>
      </c>
      <c r="AN143" s="63" t="e">
        <f t="shared" si="75"/>
        <v>#VALUE!</v>
      </c>
      <c r="AO143" s="63">
        <v>300</v>
      </c>
      <c r="AP143" s="63">
        <v>150</v>
      </c>
      <c r="AQ143" s="63">
        <v>133</v>
      </c>
      <c r="AR143" s="63">
        <f t="shared" si="81"/>
        <v>46.687818723741124</v>
      </c>
      <c r="AS143" s="63" t="e" cm="1">
        <f t="array" ref="AS143">INDEX(AB132:AB201,AJ143,1)</f>
        <v>#VALUE!</v>
      </c>
      <c r="AT143" s="63" t="e">
        <f t="shared" si="96"/>
        <v>#VALUE!</v>
      </c>
      <c r="AU143" s="63" t="e">
        <f t="shared" si="83"/>
        <v>#VALUE!</v>
      </c>
      <c r="AV143" s="63" t="e">
        <f t="shared" si="84"/>
        <v>#VALUE!</v>
      </c>
    </row>
    <row r="144" spans="8:48" x14ac:dyDescent="0.25">
      <c r="H144" s="63" t="str">
        <f t="shared" si="88"/>
        <v>N159_N160</v>
      </c>
      <c r="I144" s="63">
        <f t="shared" si="89"/>
        <v>13.916608720163751</v>
      </c>
      <c r="J144" s="63">
        <f t="shared" si="76"/>
        <v>9.0596935076183563E-2</v>
      </c>
      <c r="K144" s="63">
        <f t="shared" si="85"/>
        <v>0.17556466432534371</v>
      </c>
      <c r="L144" s="63">
        <f t="shared" si="77"/>
        <v>3.3314638563462879</v>
      </c>
      <c r="M144" s="63">
        <f t="shared" si="78"/>
        <v>9.1647135698197338E-2</v>
      </c>
      <c r="U144">
        <f t="shared" si="66"/>
        <v>36</v>
      </c>
      <c r="V144">
        <f t="shared" si="67"/>
        <v>37</v>
      </c>
      <c r="W144" s="69" t="str">
        <f t="shared" si="90"/>
        <v>N158_N159</v>
      </c>
      <c r="X144" s="63">
        <f t="shared" si="91"/>
        <v>209.97643513669126</v>
      </c>
      <c r="Y144" s="63" t="e">
        <f t="shared" si="92"/>
        <v>#VALUE!</v>
      </c>
      <c r="Z144" s="63">
        <f t="shared" si="79"/>
        <v>1</v>
      </c>
      <c r="AA144" s="63">
        <f t="shared" si="71"/>
        <v>-1</v>
      </c>
      <c r="AB144" s="63" t="e">
        <f t="shared" si="93"/>
        <v>#VALUE!</v>
      </c>
      <c r="AC144" s="63" t="e">
        <f t="shared" si="94"/>
        <v>#VALUE!</v>
      </c>
      <c r="AD144" s="63" t="e">
        <f t="shared" si="80"/>
        <v>#VALUE!</v>
      </c>
      <c r="AF144" s="63" t="e">
        <f t="shared" si="95"/>
        <v>#VALUE!</v>
      </c>
      <c r="AJ144" s="63">
        <v>14</v>
      </c>
      <c r="AK144" s="63">
        <v>37</v>
      </c>
      <c r="AL144" s="63" t="s">
        <v>540</v>
      </c>
      <c r="AM144" s="63" t="s">
        <v>298</v>
      </c>
      <c r="AN144" s="63" t="e">
        <f t="shared" si="75"/>
        <v>#VALUE!</v>
      </c>
      <c r="AO144" s="63">
        <v>300</v>
      </c>
      <c r="AP144" s="63">
        <v>150</v>
      </c>
      <c r="AQ144" s="63">
        <v>134</v>
      </c>
      <c r="AR144" s="63">
        <f t="shared" si="81"/>
        <v>47.038854954746704</v>
      </c>
      <c r="AS144" s="63" t="e" cm="1">
        <f t="array" ref="AS144">INDEX(AB133:AB202,AJ144,1)</f>
        <v>#VALUE!</v>
      </c>
      <c r="AT144" s="63" t="e">
        <f t="shared" si="96"/>
        <v>#VALUE!</v>
      </c>
      <c r="AU144" s="63" t="e">
        <f t="shared" si="83"/>
        <v>#VALUE!</v>
      </c>
      <c r="AV144" s="63" t="e">
        <f t="shared" si="84"/>
        <v>#VALUE!</v>
      </c>
    </row>
    <row r="145" spans="8:49" x14ac:dyDescent="0.25">
      <c r="H145" s="63" t="str">
        <f t="shared" si="88"/>
        <v>N160_N161</v>
      </c>
      <c r="I145" s="63">
        <f t="shared" si="89"/>
        <v>12.922565240152053</v>
      </c>
      <c r="J145" s="63">
        <f t="shared" si="76"/>
        <v>8.4596935076183558E-2</v>
      </c>
      <c r="K145" s="63">
        <f t="shared" si="85"/>
        <v>0.14390023816507702</v>
      </c>
      <c r="L145" s="63">
        <f t="shared" si="77"/>
        <v>2.9180710339200808</v>
      </c>
      <c r="M145" s="63">
        <f t="shared" si="78"/>
        <v>8.5647135698197333E-2</v>
      </c>
      <c r="U145">
        <f t="shared" si="66"/>
        <v>37</v>
      </c>
      <c r="V145">
        <f t="shared" si="67"/>
        <v>38</v>
      </c>
      <c r="W145" s="69" t="str">
        <f t="shared" si="90"/>
        <v>N159_N160</v>
      </c>
      <c r="X145" s="63">
        <f t="shared" si="91"/>
        <v>212.50627170460322</v>
      </c>
      <c r="Y145" s="63" t="e">
        <f t="shared" si="92"/>
        <v>#VALUE!</v>
      </c>
      <c r="Z145" s="63">
        <f t="shared" si="79"/>
        <v>1</v>
      </c>
      <c r="AA145" s="63">
        <f t="shared" si="71"/>
        <v>-1</v>
      </c>
      <c r="AB145" s="63" t="e">
        <f t="shared" si="93"/>
        <v>#VALUE!</v>
      </c>
      <c r="AC145" s="63" t="e">
        <f t="shared" si="94"/>
        <v>#VALUE!</v>
      </c>
      <c r="AD145" s="63" t="e">
        <f t="shared" si="80"/>
        <v>#VALUE!</v>
      </c>
      <c r="AF145" s="63" t="e">
        <f t="shared" si="95"/>
        <v>#VALUE!</v>
      </c>
      <c r="AJ145" s="63">
        <f>COUNTIF(AJ108:AJ144,"&gt;0")</f>
        <v>9</v>
      </c>
      <c r="AK145" s="63"/>
      <c r="AL145" s="63"/>
      <c r="AM145" s="63" t="s">
        <v>380</v>
      </c>
      <c r="AN145" s="63"/>
      <c r="AO145" s="63"/>
      <c r="AP145" s="63"/>
      <c r="AQ145" s="63"/>
      <c r="AR145" s="63"/>
      <c r="AS145" s="63"/>
      <c r="AT145" s="63" t="e">
        <f>SUM(AT108:AT144)</f>
        <v>#VALUE!</v>
      </c>
      <c r="AU145" s="63" t="e">
        <f>SUM(AU108:AU144)</f>
        <v>#VALUE!</v>
      </c>
      <c r="AV145" s="63"/>
    </row>
    <row r="146" spans="8:49" x14ac:dyDescent="0.25">
      <c r="H146" s="63" t="str">
        <f t="shared" si="88"/>
        <v>N161_N162</v>
      </c>
      <c r="I146" s="63">
        <f t="shared" si="89"/>
        <v>6.204099035985351</v>
      </c>
      <c r="J146" s="63">
        <f t="shared" si="76"/>
        <v>0.15759693507618355</v>
      </c>
      <c r="K146" s="63">
        <f t="shared" si="85"/>
        <v>0.21449304063759819</v>
      </c>
      <c r="L146" s="63">
        <f t="shared" si="77"/>
        <v>2.3802929032678222</v>
      </c>
      <c r="M146" s="63">
        <f t="shared" si="78"/>
        <v>0.15864713569819733</v>
      </c>
      <c r="U146">
        <f t="shared" si="66"/>
        <v>38</v>
      </c>
      <c r="V146">
        <f t="shared" si="67"/>
        <v>39</v>
      </c>
      <c r="W146" s="69" t="str">
        <f t="shared" si="90"/>
        <v>N160_N161</v>
      </c>
      <c r="X146" s="63">
        <f t="shared" si="91"/>
        <v>197.32725229713157</v>
      </c>
      <c r="Y146" s="63" t="e">
        <f t="shared" si="92"/>
        <v>#VALUE!</v>
      </c>
      <c r="Z146" s="63">
        <f t="shared" si="79"/>
        <v>1</v>
      </c>
      <c r="AA146" s="63">
        <f t="shared" si="71"/>
        <v>-1</v>
      </c>
      <c r="AB146" s="63" t="e">
        <f t="shared" si="93"/>
        <v>#VALUE!</v>
      </c>
      <c r="AC146" s="63" t="e">
        <f t="shared" si="94"/>
        <v>#VALUE!</v>
      </c>
      <c r="AD146" s="63" t="e">
        <f t="shared" si="80"/>
        <v>#VALUE!</v>
      </c>
      <c r="AF146" s="63" t="e">
        <f t="shared" si="95"/>
        <v>#VALUE!</v>
      </c>
      <c r="AJ146" s="63"/>
      <c r="AK146" s="63"/>
      <c r="AL146" s="63"/>
      <c r="AM146" s="82" t="s">
        <v>381</v>
      </c>
      <c r="AN146" s="238" t="e">
        <f>ABS(AT145/(1.852*AU145))</f>
        <v>#VALUE!</v>
      </c>
      <c r="AO146" s="238"/>
      <c r="AP146" s="238"/>
      <c r="AQ146" s="238"/>
      <c r="AR146" s="238"/>
      <c r="AS146" s="238"/>
      <c r="AT146" s="238"/>
      <c r="AU146" s="238"/>
      <c r="AV146" s="63"/>
    </row>
    <row r="147" spans="8:49" x14ac:dyDescent="0.25">
      <c r="H147" s="63" t="str">
        <f t="shared" si="88"/>
        <v>N162_N163</v>
      </c>
      <c r="I147" s="63">
        <f t="shared" si="89"/>
        <v>18.955956474300912</v>
      </c>
      <c r="J147" s="63">
        <f t="shared" si="76"/>
        <v>6.059693507618355E-2</v>
      </c>
      <c r="K147" s="63">
        <f t="shared" si="85"/>
        <v>0.11497101147218242</v>
      </c>
      <c r="L147" s="63">
        <f t="shared" si="77"/>
        <v>3.2213257656835101</v>
      </c>
      <c r="M147" s="63">
        <f t="shared" si="78"/>
        <v>6.1647135698197332E-2</v>
      </c>
      <c r="U147">
        <f t="shared" si="66"/>
        <v>39</v>
      </c>
      <c r="V147">
        <f t="shared" si="67"/>
        <v>40</v>
      </c>
      <c r="W147" s="69" t="str">
        <f t="shared" si="90"/>
        <v>N161_N162</v>
      </c>
      <c r="X147" s="63">
        <f t="shared" si="91"/>
        <v>382.0053217547034</v>
      </c>
      <c r="Y147" s="63" t="e">
        <f t="shared" si="92"/>
        <v>#VALUE!</v>
      </c>
      <c r="Z147" s="63">
        <f t="shared" si="79"/>
        <v>1</v>
      </c>
      <c r="AA147" s="63">
        <f t="shared" si="71"/>
        <v>-1</v>
      </c>
      <c r="AB147" s="63" t="e">
        <f t="shared" si="93"/>
        <v>#VALUE!</v>
      </c>
      <c r="AC147" s="63" t="e">
        <f t="shared" si="94"/>
        <v>#VALUE!</v>
      </c>
      <c r="AD147" s="63" t="e">
        <f t="shared" si="80"/>
        <v>#VALUE!</v>
      </c>
      <c r="AF147" s="63" t="e">
        <f t="shared" si="95"/>
        <v>#VALUE!</v>
      </c>
      <c r="AM147" s="63" t="s">
        <v>547</v>
      </c>
      <c r="AN147" s="238" t="e">
        <f>AN60-AN146</f>
        <v>#VALUE!</v>
      </c>
      <c r="AO147" s="238"/>
      <c r="AP147" s="238"/>
      <c r="AQ147" s="238"/>
      <c r="AR147" s="238"/>
      <c r="AS147" s="238"/>
      <c r="AT147" s="238"/>
      <c r="AU147" s="238"/>
      <c r="AV147" s="238"/>
      <c r="AW147" s="238"/>
    </row>
    <row r="148" spans="8:49" x14ac:dyDescent="0.25">
      <c r="H148" s="63" t="str">
        <f t="shared" si="88"/>
        <v>N163_N164</v>
      </c>
      <c r="I148" s="63">
        <f t="shared" si="89"/>
        <v>29.861514953176123</v>
      </c>
      <c r="J148" s="63">
        <f t="shared" si="76"/>
        <v>4.1596935076183561E-2</v>
      </c>
      <c r="K148" s="63">
        <f t="shared" si="85"/>
        <v>9.1289856215096776E-2</v>
      </c>
      <c r="L148" s="63">
        <f t="shared" si="77"/>
        <v>3.6829266917106089</v>
      </c>
      <c r="M148" s="63">
        <f t="shared" si="78"/>
        <v>4.2647135698197343E-2</v>
      </c>
      <c r="U148">
        <f t="shared" si="66"/>
        <v>40</v>
      </c>
      <c r="V148">
        <f t="shared" si="67"/>
        <v>41</v>
      </c>
      <c r="W148" s="69" t="str">
        <f t="shared" si="90"/>
        <v>N162_N163</v>
      </c>
      <c r="X148" s="63">
        <f t="shared" si="91"/>
        <v>136.61117466724494</v>
      </c>
      <c r="Y148" s="63" t="e">
        <f t="shared" si="92"/>
        <v>#VALUE!</v>
      </c>
      <c r="Z148" s="63">
        <f t="shared" si="79"/>
        <v>1</v>
      </c>
      <c r="AA148" s="63">
        <f t="shared" si="71"/>
        <v>-1</v>
      </c>
      <c r="AB148" s="63" t="e">
        <f t="shared" si="93"/>
        <v>#VALUE!</v>
      </c>
      <c r="AC148" s="63" t="e">
        <f t="shared" si="94"/>
        <v>#VALUE!</v>
      </c>
      <c r="AD148" s="63" t="e">
        <f t="shared" si="80"/>
        <v>#VALUE!</v>
      </c>
      <c r="AF148" s="63" t="e">
        <f t="shared" si="95"/>
        <v>#VALUE!</v>
      </c>
      <c r="AM148" s="63" t="s">
        <v>548</v>
      </c>
      <c r="AN148" s="238" t="e">
        <f>IF(AN147&gt;0, "L'agorithme est fonctionel","L'algorithme n'est pas fonctionnel; maille à revérifier")</f>
        <v>#VALUE!</v>
      </c>
      <c r="AO148" s="238"/>
      <c r="AP148" s="238"/>
      <c r="AQ148" s="238"/>
      <c r="AR148" s="238"/>
      <c r="AS148" s="238"/>
      <c r="AT148" s="238"/>
      <c r="AU148" s="238"/>
      <c r="AV148" s="238"/>
      <c r="AW148" s="238"/>
    </row>
    <row r="149" spans="8:49" x14ac:dyDescent="0.25">
      <c r="H149" s="63" t="str">
        <f t="shared" si="88"/>
        <v>N164_N165</v>
      </c>
      <c r="I149" s="63">
        <f t="shared" si="89"/>
        <v>14.579304373504881</v>
      </c>
      <c r="J149" s="63">
        <f t="shared" si="76"/>
        <v>9.4596935076183553E-2</v>
      </c>
      <c r="K149" s="63">
        <f t="shared" si="85"/>
        <v>0.19897977674673265</v>
      </c>
      <c r="L149" s="63">
        <f t="shared" si="77"/>
        <v>3.6209709871528317</v>
      </c>
      <c r="M149" s="63">
        <f t="shared" si="78"/>
        <v>9.5647135698197328E-2</v>
      </c>
      <c r="U149">
        <f t="shared" si="66"/>
        <v>41</v>
      </c>
      <c r="V149">
        <f t="shared" si="67"/>
        <v>42</v>
      </c>
      <c r="W149" s="69" t="str">
        <f t="shared" si="90"/>
        <v>N163_N164</v>
      </c>
      <c r="X149" s="63">
        <f t="shared" si="91"/>
        <v>88.544279876918011</v>
      </c>
      <c r="Y149" s="63" t="e">
        <f t="shared" si="92"/>
        <v>#VALUE!</v>
      </c>
      <c r="Z149" s="63">
        <f t="shared" si="79"/>
        <v>1</v>
      </c>
      <c r="AA149" s="63">
        <f t="shared" si="71"/>
        <v>-1</v>
      </c>
      <c r="AB149" s="63" t="e">
        <f t="shared" si="93"/>
        <v>#VALUE!</v>
      </c>
      <c r="AC149" s="63" t="e">
        <f t="shared" si="94"/>
        <v>#VALUE!</v>
      </c>
      <c r="AD149" s="63" t="e">
        <f t="shared" si="80"/>
        <v>#VALUE!</v>
      </c>
      <c r="AF149" s="63" t="e">
        <f t="shared" si="95"/>
        <v>#VALUE!</v>
      </c>
    </row>
    <row r="150" spans="8:49" x14ac:dyDescent="0.25">
      <c r="H150" s="63" t="str">
        <f t="shared" si="88"/>
        <v>N166_N167</v>
      </c>
      <c r="I150" s="63">
        <f t="shared" si="89"/>
        <v>3.6975105465835916</v>
      </c>
      <c r="J150" s="63">
        <f t="shared" si="76"/>
        <v>-0.22340306492381645</v>
      </c>
      <c r="K150" s="63">
        <f t="shared" si="85"/>
        <v>-0.24132411474282436</v>
      </c>
      <c r="L150" s="63">
        <f t="shared" si="77"/>
        <v>1.9097404194675325</v>
      </c>
      <c r="M150" s="63">
        <f t="shared" si="78"/>
        <v>-0.22235286430180268</v>
      </c>
      <c r="U150">
        <f t="shared" si="66"/>
        <v>42</v>
      </c>
      <c r="V150">
        <f t="shared" si="67"/>
        <v>43</v>
      </c>
      <c r="W150" s="69" t="str">
        <f t="shared" si="90"/>
        <v>N164_N165</v>
      </c>
      <c r="X150" s="63">
        <f t="shared" si="91"/>
        <v>222.62561797625102</v>
      </c>
      <c r="Y150" s="63" t="e">
        <f t="shared" si="92"/>
        <v>#VALUE!</v>
      </c>
      <c r="Z150" s="63">
        <f t="shared" si="79"/>
        <v>1</v>
      </c>
      <c r="AA150" s="63">
        <f t="shared" si="71"/>
        <v>-1</v>
      </c>
      <c r="AB150" s="63" t="e">
        <f t="shared" si="93"/>
        <v>#VALUE!</v>
      </c>
      <c r="AC150" s="63" t="e">
        <f t="shared" si="94"/>
        <v>#VALUE!</v>
      </c>
      <c r="AD150" s="63" t="e">
        <f t="shared" si="80"/>
        <v>#VALUE!</v>
      </c>
      <c r="AF150" s="63" t="e">
        <f t="shared" si="95"/>
        <v>#VALUE!</v>
      </c>
    </row>
    <row r="151" spans="8:49" x14ac:dyDescent="0.25">
      <c r="H151" s="63" t="str">
        <f t="shared" si="88"/>
        <v>N167_N168</v>
      </c>
      <c r="I151" s="63">
        <f t="shared" si="89"/>
        <v>366.82630234723172</v>
      </c>
      <c r="J151" s="63">
        <f t="shared" si="76"/>
        <v>-2.2432064923816445E-2</v>
      </c>
      <c r="K151" s="63">
        <f t="shared" si="85"/>
        <v>-0.36424481492870264</v>
      </c>
      <c r="L151" s="63">
        <f t="shared" si="77"/>
        <v>26.732652574475175</v>
      </c>
      <c r="M151" s="63">
        <f t="shared" si="78"/>
        <v>-2.1381864301802667E-2</v>
      </c>
      <c r="U151">
        <f t="shared" si="66"/>
        <v>44</v>
      </c>
      <c r="V151">
        <f t="shared" si="67"/>
        <v>44</v>
      </c>
      <c r="W151" s="69" t="str">
        <f t="shared" si="90"/>
        <v>N167_N168</v>
      </c>
      <c r="X151" s="63">
        <f t="shared" si="91"/>
        <v>366.82630234723172</v>
      </c>
      <c r="Y151" s="63" t="e">
        <f t="shared" si="92"/>
        <v>#VALUE!</v>
      </c>
      <c r="Z151" s="63">
        <f t="shared" si="79"/>
        <v>-1</v>
      </c>
      <c r="AA151" s="63">
        <f t="shared" si="71"/>
        <v>-1</v>
      </c>
      <c r="AB151" s="63" t="e">
        <f t="shared" si="93"/>
        <v>#VALUE!</v>
      </c>
      <c r="AC151" s="63" t="e">
        <f t="shared" si="94"/>
        <v>#VALUE!</v>
      </c>
      <c r="AD151" s="63" t="e">
        <f t="shared" si="80"/>
        <v>#VALUE!</v>
      </c>
      <c r="AF151" s="63" t="e">
        <f t="shared" si="95"/>
        <v>#VALUE!</v>
      </c>
    </row>
    <row r="152" spans="8:49" x14ac:dyDescent="0.25">
      <c r="H152" s="63" t="str">
        <f t="shared" si="88"/>
        <v>N168_N169</v>
      </c>
      <c r="I152" s="63">
        <f t="shared" si="89"/>
        <v>326.34891726064069</v>
      </c>
      <c r="J152" s="63">
        <f t="shared" si="76"/>
        <v>-2.2432064923816445E-2</v>
      </c>
      <c r="K152" s="63">
        <f t="shared" si="85"/>
        <v>-0.32405228362622518</v>
      </c>
      <c r="L152" s="63">
        <f t="shared" si="77"/>
        <v>23.782842635222746</v>
      </c>
      <c r="M152" s="63">
        <f t="shared" si="78"/>
        <v>-2.1381864301802667E-2</v>
      </c>
      <c r="U152">
        <f t="shared" si="66"/>
        <v>45</v>
      </c>
      <c r="V152">
        <f t="shared" si="67"/>
        <v>45</v>
      </c>
      <c r="W152" s="69" t="str">
        <f t="shared" si="90"/>
        <v>N168_N169</v>
      </c>
      <c r="X152" s="63">
        <f t="shared" si="91"/>
        <v>326.34891726064069</v>
      </c>
      <c r="Y152" s="63" t="e">
        <f t="shared" si="92"/>
        <v>#VALUE!</v>
      </c>
      <c r="Z152" s="63">
        <f t="shared" si="79"/>
        <v>-1</v>
      </c>
      <c r="AA152" s="63">
        <f t="shared" si="71"/>
        <v>-1</v>
      </c>
      <c r="AB152" s="63" t="e">
        <f t="shared" si="93"/>
        <v>#VALUE!</v>
      </c>
      <c r="AC152" s="63" t="e">
        <f t="shared" si="94"/>
        <v>#VALUE!</v>
      </c>
      <c r="AD152" s="63" t="e">
        <f t="shared" si="80"/>
        <v>#VALUE!</v>
      </c>
      <c r="AF152" s="63" t="e">
        <f t="shared" si="95"/>
        <v>#VALUE!</v>
      </c>
    </row>
    <row r="153" spans="8:49" x14ac:dyDescent="0.25">
      <c r="H153" s="63" t="str">
        <f t="shared" si="88"/>
        <v>N169_N170</v>
      </c>
      <c r="I153" s="63">
        <f t="shared" si="89"/>
        <v>263.10300306284211</v>
      </c>
      <c r="J153" s="63">
        <f t="shared" si="76"/>
        <v>-2.2432064923816445E-2</v>
      </c>
      <c r="K153" s="63">
        <f t="shared" si="85"/>
        <v>-0.26125145346610401</v>
      </c>
      <c r="L153" s="63">
        <f t="shared" si="77"/>
        <v>19.173764605140818</v>
      </c>
      <c r="M153" s="63">
        <f t="shared" si="78"/>
        <v>-2.1381864301802667E-2</v>
      </c>
      <c r="U153">
        <f t="shared" si="66"/>
        <v>46</v>
      </c>
      <c r="V153">
        <f t="shared" si="67"/>
        <v>46</v>
      </c>
      <c r="W153" s="69" t="str">
        <f t="shared" si="90"/>
        <v>N169_N170</v>
      </c>
      <c r="X153" s="63">
        <f t="shared" si="91"/>
        <v>263.10300306284211</v>
      </c>
      <c r="Y153" s="63" t="e">
        <f t="shared" si="92"/>
        <v>#VALUE!</v>
      </c>
      <c r="Z153" s="63">
        <f t="shared" si="79"/>
        <v>-1</v>
      </c>
      <c r="AA153" s="63">
        <f t="shared" si="71"/>
        <v>-1</v>
      </c>
      <c r="AB153" s="63" t="e">
        <f t="shared" si="93"/>
        <v>#VALUE!</v>
      </c>
      <c r="AC153" s="63" t="e">
        <f t="shared" si="94"/>
        <v>#VALUE!</v>
      </c>
      <c r="AD153" s="63" t="e">
        <f t="shared" si="80"/>
        <v>#VALUE!</v>
      </c>
      <c r="AF153" s="63" t="e">
        <f t="shared" si="95"/>
        <v>#VALUE!</v>
      </c>
    </row>
    <row r="154" spans="8:49" x14ac:dyDescent="0.25">
      <c r="H154" s="63" t="str">
        <f t="shared" si="88"/>
        <v>N170_N171</v>
      </c>
      <c r="I154" s="63">
        <f t="shared" si="89"/>
        <v>199.85708886504352</v>
      </c>
      <c r="J154" s="63">
        <f t="shared" si="76"/>
        <v>-2.2432064923816445E-2</v>
      </c>
      <c r="K154" s="63">
        <f t="shared" si="85"/>
        <v>-0.19845062330598287</v>
      </c>
      <c r="L154" s="63">
        <f t="shared" si="77"/>
        <v>14.564686575058891</v>
      </c>
      <c r="M154" s="63">
        <f t="shared" si="78"/>
        <v>-2.1381864301802667E-2</v>
      </c>
      <c r="U154">
        <f t="shared" si="66"/>
        <v>47</v>
      </c>
      <c r="V154">
        <f t="shared" si="67"/>
        <v>47</v>
      </c>
      <c r="W154" s="69" t="str">
        <f t="shared" si="90"/>
        <v>N170_N171</v>
      </c>
      <c r="X154" s="63">
        <f t="shared" si="91"/>
        <v>199.85708886504352</v>
      </c>
      <c r="Y154" s="63" t="e">
        <f t="shared" si="92"/>
        <v>#VALUE!</v>
      </c>
      <c r="Z154" s="63">
        <f t="shared" si="79"/>
        <v>-1</v>
      </c>
      <c r="AA154" s="63">
        <f t="shared" si="71"/>
        <v>-1</v>
      </c>
      <c r="AB154" s="63" t="e">
        <f t="shared" si="93"/>
        <v>#VALUE!</v>
      </c>
      <c r="AC154" s="63" t="e">
        <f t="shared" si="94"/>
        <v>#VALUE!</v>
      </c>
      <c r="AD154" s="63" t="e">
        <f t="shared" si="80"/>
        <v>#VALUE!</v>
      </c>
      <c r="AF154" s="63" t="e">
        <f t="shared" si="95"/>
        <v>#VALUE!</v>
      </c>
    </row>
    <row r="155" spans="8:49" x14ac:dyDescent="0.25">
      <c r="H155" s="63" t="str">
        <f t="shared" si="88"/>
        <v>N171_N172</v>
      </c>
      <c r="I155" s="63">
        <f t="shared" si="89"/>
        <v>225.15545454416295</v>
      </c>
      <c r="J155" s="63">
        <f t="shared" si="76"/>
        <v>-2.2432064923816445E-2</v>
      </c>
      <c r="K155" s="63">
        <f t="shared" si="85"/>
        <v>-0.22357095537003133</v>
      </c>
      <c r="L155" s="63">
        <f t="shared" si="77"/>
        <v>16.408317787091661</v>
      </c>
      <c r="M155" s="63">
        <f t="shared" si="78"/>
        <v>-2.1381864301802667E-2</v>
      </c>
      <c r="U155">
        <f t="shared" si="66"/>
        <v>48</v>
      </c>
      <c r="V155">
        <f t="shared" si="67"/>
        <v>48</v>
      </c>
      <c r="W155" s="69" t="str">
        <f t="shared" si="90"/>
        <v>N171_N172</v>
      </c>
      <c r="X155" s="63">
        <f t="shared" si="91"/>
        <v>225.15545454416295</v>
      </c>
      <c r="Y155" s="63" t="e">
        <f t="shared" si="92"/>
        <v>#VALUE!</v>
      </c>
      <c r="Z155" s="63">
        <f t="shared" si="79"/>
        <v>-1</v>
      </c>
      <c r="AA155" s="63">
        <f t="shared" si="71"/>
        <v>-1</v>
      </c>
      <c r="AB155" s="63" t="e">
        <f t="shared" si="93"/>
        <v>#VALUE!</v>
      </c>
      <c r="AC155" s="63" t="e">
        <f t="shared" si="94"/>
        <v>#VALUE!</v>
      </c>
      <c r="AD155" s="63" t="e">
        <f t="shared" si="80"/>
        <v>#VALUE!</v>
      </c>
      <c r="AF155" s="63" t="e">
        <f t="shared" si="95"/>
        <v>#VALUE!</v>
      </c>
    </row>
    <row r="156" spans="8:49" x14ac:dyDescent="0.25">
      <c r="H156" s="63" t="str">
        <f t="shared" si="88"/>
        <v>N172_N173</v>
      </c>
      <c r="I156" s="63">
        <f t="shared" si="89"/>
        <v>225.15545454416295</v>
      </c>
      <c r="J156" s="63">
        <f t="shared" si="76"/>
        <v>-2.2432064923816445E-2</v>
      </c>
      <c r="K156" s="63">
        <f t="shared" si="85"/>
        <v>-0.22357095537003133</v>
      </c>
      <c r="L156" s="63">
        <f t="shared" si="77"/>
        <v>16.408317787091661</v>
      </c>
      <c r="M156" s="63">
        <f t="shared" si="78"/>
        <v>-2.1381864301802667E-2</v>
      </c>
      <c r="U156">
        <f t="shared" si="66"/>
        <v>49</v>
      </c>
      <c r="V156">
        <f t="shared" si="67"/>
        <v>49</v>
      </c>
      <c r="W156" s="69" t="str">
        <f t="shared" si="90"/>
        <v>N172_N173</v>
      </c>
      <c r="X156" s="63">
        <f t="shared" si="91"/>
        <v>225.15545454416295</v>
      </c>
      <c r="Y156" s="63" t="e">
        <f t="shared" si="92"/>
        <v>#VALUE!</v>
      </c>
      <c r="Z156" s="63">
        <f t="shared" si="79"/>
        <v>-1</v>
      </c>
      <c r="AA156" s="63">
        <f t="shared" si="71"/>
        <v>-1</v>
      </c>
      <c r="AB156" s="63" t="e">
        <f t="shared" si="93"/>
        <v>#VALUE!</v>
      </c>
      <c r="AC156" s="63" t="e">
        <f t="shared" si="94"/>
        <v>#VALUE!</v>
      </c>
      <c r="AD156" s="63" t="e">
        <f t="shared" si="80"/>
        <v>#VALUE!</v>
      </c>
      <c r="AF156" s="63" t="e">
        <f t="shared" si="95"/>
        <v>#VALUE!</v>
      </c>
    </row>
    <row r="157" spans="8:49" x14ac:dyDescent="0.25">
      <c r="H157" s="63" t="str">
        <f t="shared" si="88"/>
        <v>N173_N174</v>
      </c>
      <c r="I157" s="63">
        <f t="shared" si="89"/>
        <v>113.84264555603744</v>
      </c>
      <c r="J157" s="63">
        <f t="shared" si="76"/>
        <v>-2.2432064923816445E-2</v>
      </c>
      <c r="K157" s="63">
        <f t="shared" si="85"/>
        <v>-0.11304149428821808</v>
      </c>
      <c r="L157" s="63">
        <f t="shared" si="77"/>
        <v>8.2963404541474688</v>
      </c>
      <c r="M157" s="63">
        <f t="shared" si="78"/>
        <v>-2.1381864301802667E-2</v>
      </c>
      <c r="U157">
        <f t="shared" si="66"/>
        <v>50</v>
      </c>
      <c r="V157">
        <f t="shared" si="67"/>
        <v>50</v>
      </c>
      <c r="W157" s="69" t="str">
        <f t="shared" si="90"/>
        <v>N173_N174</v>
      </c>
      <c r="X157" s="63">
        <f t="shared" si="91"/>
        <v>113.84264555603744</v>
      </c>
      <c r="Y157" s="63" t="e">
        <f t="shared" si="92"/>
        <v>#VALUE!</v>
      </c>
      <c r="Z157" s="63">
        <f t="shared" si="79"/>
        <v>-1</v>
      </c>
      <c r="AA157" s="63">
        <f t="shared" si="71"/>
        <v>-1</v>
      </c>
      <c r="AB157" s="63" t="e">
        <f t="shared" si="93"/>
        <v>#VALUE!</v>
      </c>
      <c r="AC157" s="63" t="e">
        <f t="shared" si="94"/>
        <v>#VALUE!</v>
      </c>
      <c r="AD157" s="63" t="e">
        <f t="shared" si="80"/>
        <v>#VALUE!</v>
      </c>
      <c r="AF157" s="63" t="e">
        <f t="shared" si="95"/>
        <v>#VALUE!</v>
      </c>
    </row>
    <row r="158" spans="8:49" x14ac:dyDescent="0.25">
      <c r="H158" s="63" t="str">
        <f t="shared" si="88"/>
        <v>N174_N175</v>
      </c>
      <c r="I158" s="63">
        <f t="shared" si="89"/>
        <v>108.78297242021355</v>
      </c>
      <c r="J158" s="63">
        <f t="shared" si="76"/>
        <v>-2.2432064923816445E-2</v>
      </c>
      <c r="K158" s="63">
        <f t="shared" si="85"/>
        <v>-0.10801742787540838</v>
      </c>
      <c r="L158" s="63">
        <f t="shared" si="77"/>
        <v>7.9276142117409147</v>
      </c>
      <c r="M158" s="63">
        <f t="shared" si="78"/>
        <v>-2.1381864301802667E-2</v>
      </c>
      <c r="U158">
        <f t="shared" si="66"/>
        <v>51</v>
      </c>
      <c r="V158">
        <f t="shared" si="67"/>
        <v>51</v>
      </c>
      <c r="W158" s="69" t="str">
        <f t="shared" si="90"/>
        <v>N174_N175</v>
      </c>
      <c r="X158" s="63">
        <f t="shared" si="91"/>
        <v>108.78297242021355</v>
      </c>
      <c r="Y158" s="63" t="e">
        <f t="shared" si="92"/>
        <v>#VALUE!</v>
      </c>
      <c r="Z158" s="63">
        <f t="shared" si="79"/>
        <v>-1</v>
      </c>
      <c r="AA158" s="63">
        <f t="shared" si="71"/>
        <v>-1</v>
      </c>
      <c r="AB158" s="63" t="e">
        <f t="shared" si="93"/>
        <v>#VALUE!</v>
      </c>
      <c r="AC158" s="63" t="e">
        <f t="shared" si="94"/>
        <v>#VALUE!</v>
      </c>
      <c r="AD158" s="63" t="e">
        <f t="shared" si="80"/>
        <v>#VALUE!</v>
      </c>
      <c r="AF158" s="63" t="e">
        <f t="shared" si="95"/>
        <v>#VALUE!</v>
      </c>
    </row>
    <row r="159" spans="8:49" x14ac:dyDescent="0.25">
      <c r="H159" s="63" t="str">
        <f t="shared" si="88"/>
        <v>N175_N176</v>
      </c>
      <c r="I159" s="63">
        <f t="shared" si="89"/>
        <v>166.96921348218822</v>
      </c>
      <c r="J159" s="63">
        <f t="shared" si="76"/>
        <v>-2.2432064923816445E-2</v>
      </c>
      <c r="K159" s="63">
        <f t="shared" si="85"/>
        <v>-0.16579419162271983</v>
      </c>
      <c r="L159" s="63">
        <f t="shared" si="77"/>
        <v>12.167965999416285</v>
      </c>
      <c r="M159" s="63">
        <f t="shared" si="78"/>
        <v>-2.1381864301802667E-2</v>
      </c>
      <c r="U159">
        <f t="shared" si="66"/>
        <v>52</v>
      </c>
      <c r="V159">
        <f t="shared" si="67"/>
        <v>52</v>
      </c>
      <c r="W159" s="69" t="str">
        <f t="shared" si="90"/>
        <v>N175_N176</v>
      </c>
      <c r="X159" s="63">
        <f t="shared" si="91"/>
        <v>166.96921348218822</v>
      </c>
      <c r="Y159" s="63" t="e">
        <f t="shared" si="92"/>
        <v>#VALUE!</v>
      </c>
      <c r="Z159" s="63">
        <f t="shared" si="79"/>
        <v>-1</v>
      </c>
      <c r="AA159" s="63">
        <f t="shared" si="71"/>
        <v>-1</v>
      </c>
      <c r="AB159" s="63" t="e">
        <f t="shared" si="93"/>
        <v>#VALUE!</v>
      </c>
      <c r="AC159" s="63" t="e">
        <f t="shared" si="94"/>
        <v>#VALUE!</v>
      </c>
      <c r="AD159" s="63" t="e">
        <f t="shared" si="80"/>
        <v>#VALUE!</v>
      </c>
      <c r="AF159" s="63" t="e">
        <f t="shared" si="95"/>
        <v>#VALUE!</v>
      </c>
    </row>
    <row r="160" spans="8:49" x14ac:dyDescent="0.25">
      <c r="H160" s="63" t="str">
        <f t="shared" si="88"/>
        <v>N176_N177</v>
      </c>
      <c r="I160" s="63">
        <f t="shared" si="89"/>
        <v>121.43215525977327</v>
      </c>
      <c r="J160" s="63">
        <f t="shared" si="76"/>
        <v>-2.2432064923816445E-2</v>
      </c>
      <c r="K160" s="63">
        <f t="shared" si="85"/>
        <v>-0.12057759390743261</v>
      </c>
      <c r="L160" s="63">
        <f t="shared" si="77"/>
        <v>8.8494298177573008</v>
      </c>
      <c r="M160" s="63">
        <f t="shared" si="78"/>
        <v>-2.1381864301802667E-2</v>
      </c>
      <c r="U160">
        <f t="shared" si="66"/>
        <v>53</v>
      </c>
      <c r="V160">
        <f t="shared" si="67"/>
        <v>53</v>
      </c>
      <c r="W160" s="69" t="str">
        <f t="shared" si="90"/>
        <v>N176_N177</v>
      </c>
      <c r="X160" s="63">
        <f t="shared" si="91"/>
        <v>121.43215525977327</v>
      </c>
      <c r="Y160" s="63" t="e">
        <f t="shared" si="92"/>
        <v>#VALUE!</v>
      </c>
      <c r="Z160" s="63">
        <f t="shared" si="79"/>
        <v>-1</v>
      </c>
      <c r="AA160" s="63">
        <f t="shared" si="71"/>
        <v>-1</v>
      </c>
      <c r="AB160" s="63" t="e">
        <f t="shared" si="93"/>
        <v>#VALUE!</v>
      </c>
      <c r="AC160" s="63" t="e">
        <f t="shared" si="94"/>
        <v>#VALUE!</v>
      </c>
      <c r="AD160" s="63" t="e">
        <f t="shared" si="80"/>
        <v>#VALUE!</v>
      </c>
      <c r="AF160" s="63" t="e">
        <f t="shared" si="95"/>
        <v>#VALUE!</v>
      </c>
    </row>
    <row r="161" spans="8:32" x14ac:dyDescent="0.25">
      <c r="H161" s="63" t="str">
        <f t="shared" si="88"/>
        <v>N177_N178</v>
      </c>
      <c r="I161" s="63">
        <f t="shared" si="89"/>
        <v>48.06689479032692</v>
      </c>
      <c r="J161" s="63">
        <f t="shared" si="76"/>
        <v>-2.2432064923816445E-2</v>
      </c>
      <c r="K161" s="63">
        <f t="shared" si="85"/>
        <v>-4.7728630921692078E-2</v>
      </c>
      <c r="L161" s="63">
        <f t="shared" si="77"/>
        <v>3.5028993028622648</v>
      </c>
      <c r="M161" s="63">
        <f t="shared" si="78"/>
        <v>-2.1381864301802667E-2</v>
      </c>
      <c r="U161">
        <f t="shared" si="66"/>
        <v>54</v>
      </c>
      <c r="V161">
        <f t="shared" si="67"/>
        <v>54</v>
      </c>
      <c r="W161" s="69" t="str">
        <f t="shared" si="90"/>
        <v>N177_N178</v>
      </c>
      <c r="X161" s="63">
        <f t="shared" si="91"/>
        <v>48.06689479032692</v>
      </c>
      <c r="Y161" s="63" t="e">
        <f t="shared" si="92"/>
        <v>#VALUE!</v>
      </c>
      <c r="Z161" s="63">
        <f t="shared" si="79"/>
        <v>-1</v>
      </c>
      <c r="AA161" s="63">
        <f t="shared" si="71"/>
        <v>-1</v>
      </c>
      <c r="AB161" s="63" t="e">
        <f t="shared" si="93"/>
        <v>#VALUE!</v>
      </c>
      <c r="AC161" s="63" t="e">
        <f t="shared" si="94"/>
        <v>#VALUE!</v>
      </c>
      <c r="AD161" s="63" t="e">
        <f t="shared" si="80"/>
        <v>#VALUE!</v>
      </c>
      <c r="AF161" s="63" t="e">
        <f t="shared" si="95"/>
        <v>#VALUE!</v>
      </c>
    </row>
    <row r="162" spans="8:32" x14ac:dyDescent="0.25">
      <c r="H162" s="63" t="str">
        <f t="shared" si="88"/>
        <v>N178_N179</v>
      </c>
      <c r="I162" s="63">
        <f t="shared" si="89"/>
        <v>146.73052093889271</v>
      </c>
      <c r="J162" s="63">
        <f t="shared" si="76"/>
        <v>-2.2432064923816445E-2</v>
      </c>
      <c r="K162" s="63">
        <f t="shared" si="85"/>
        <v>-0.1456979259714811</v>
      </c>
      <c r="L162" s="63">
        <f t="shared" si="77"/>
        <v>10.693061029790073</v>
      </c>
      <c r="M162" s="63">
        <f t="shared" si="78"/>
        <v>-2.1381864301802667E-2</v>
      </c>
      <c r="U162">
        <f t="shared" si="66"/>
        <v>55</v>
      </c>
      <c r="V162">
        <f t="shared" si="67"/>
        <v>55</v>
      </c>
      <c r="W162" s="69" t="str">
        <f t="shared" si="90"/>
        <v>N178_N179</v>
      </c>
      <c r="X162" s="63">
        <f t="shared" si="91"/>
        <v>146.73052093889271</v>
      </c>
      <c r="Y162" s="63" t="e">
        <f t="shared" si="92"/>
        <v>#VALUE!</v>
      </c>
      <c r="Z162" s="63">
        <f t="shared" si="79"/>
        <v>-1</v>
      </c>
      <c r="AA162" s="63">
        <f t="shared" si="71"/>
        <v>-1</v>
      </c>
      <c r="AB162" s="63" t="e">
        <f t="shared" si="93"/>
        <v>#VALUE!</v>
      </c>
      <c r="AC162" s="63" t="e">
        <f t="shared" si="94"/>
        <v>#VALUE!</v>
      </c>
      <c r="AD162" s="63" t="e">
        <f t="shared" si="80"/>
        <v>#VALUE!</v>
      </c>
      <c r="AF162" s="63" t="e">
        <f t="shared" si="95"/>
        <v>#VALUE!</v>
      </c>
    </row>
    <row r="163" spans="8:32" x14ac:dyDescent="0.25">
      <c r="H163" s="63" t="str">
        <f t="shared" si="88"/>
        <v>N179_N180</v>
      </c>
      <c r="I163" s="63">
        <f t="shared" si="89"/>
        <v>212.50627170460322</v>
      </c>
      <c r="J163" s="63">
        <f t="shared" si="76"/>
        <v>-2.2432064923816445E-2</v>
      </c>
      <c r="K163" s="63">
        <f t="shared" si="85"/>
        <v>-0.21101078933800707</v>
      </c>
      <c r="L163" s="63">
        <f t="shared" si="77"/>
        <v>15.486502181075274</v>
      </c>
      <c r="M163" s="63">
        <f t="shared" si="78"/>
        <v>-2.1381864301802667E-2</v>
      </c>
      <c r="U163">
        <f t="shared" si="66"/>
        <v>56</v>
      </c>
      <c r="V163">
        <f t="shared" si="67"/>
        <v>56</v>
      </c>
      <c r="W163" s="69" t="str">
        <f t="shared" si="90"/>
        <v>N179_N180</v>
      </c>
      <c r="X163" s="63">
        <f t="shared" si="91"/>
        <v>212.50627170460322</v>
      </c>
      <c r="Y163" s="63" t="e">
        <f t="shared" si="92"/>
        <v>#VALUE!</v>
      </c>
      <c r="Z163" s="63">
        <f t="shared" si="79"/>
        <v>-1</v>
      </c>
      <c r="AA163" s="63">
        <f t="shared" si="71"/>
        <v>-1</v>
      </c>
      <c r="AB163" s="63" t="e">
        <f t="shared" si="93"/>
        <v>#VALUE!</v>
      </c>
      <c r="AC163" s="63" t="e">
        <f t="shared" si="94"/>
        <v>#VALUE!</v>
      </c>
      <c r="AD163" s="63" t="e">
        <f t="shared" si="80"/>
        <v>#VALUE!</v>
      </c>
      <c r="AF163" s="63" t="e">
        <f t="shared" si="95"/>
        <v>#VALUE!</v>
      </c>
    </row>
    <row r="164" spans="8:32" x14ac:dyDescent="0.25">
      <c r="H164" s="63" t="str">
        <f t="shared" si="88"/>
        <v>N180_N181</v>
      </c>
      <c r="I164" s="63">
        <f t="shared" si="89"/>
        <v>265.63283963075406</v>
      </c>
      <c r="J164" s="63">
        <f t="shared" si="76"/>
        <v>-2.2432064923816445E-2</v>
      </c>
      <c r="K164" s="63">
        <f t="shared" si="85"/>
        <v>-0.26376348667250887</v>
      </c>
      <c r="L164" s="63">
        <f t="shared" si="77"/>
        <v>19.358127726344097</v>
      </c>
      <c r="M164" s="63">
        <f t="shared" si="78"/>
        <v>-2.1381864301802667E-2</v>
      </c>
      <c r="U164">
        <f t="shared" si="66"/>
        <v>57</v>
      </c>
      <c r="V164">
        <f t="shared" si="67"/>
        <v>57</v>
      </c>
      <c r="W164" s="69" t="str">
        <f t="shared" si="90"/>
        <v>N180_N181</v>
      </c>
      <c r="X164" s="63">
        <f t="shared" si="91"/>
        <v>265.63283963075406</v>
      </c>
      <c r="Y164" s="63" t="e">
        <f t="shared" si="92"/>
        <v>#VALUE!</v>
      </c>
      <c r="Z164" s="63">
        <f t="shared" si="79"/>
        <v>-1</v>
      </c>
      <c r="AA164" s="63">
        <f t="shared" si="71"/>
        <v>-1</v>
      </c>
      <c r="AB164" s="63" t="e">
        <f t="shared" si="93"/>
        <v>#VALUE!</v>
      </c>
      <c r="AC164" s="63" t="e">
        <f t="shared" si="94"/>
        <v>#VALUE!</v>
      </c>
      <c r="AD164" s="63" t="e">
        <f t="shared" si="80"/>
        <v>#VALUE!</v>
      </c>
      <c r="AF164" s="63" t="e">
        <f t="shared" si="95"/>
        <v>#VALUE!</v>
      </c>
    </row>
    <row r="165" spans="8:32" x14ac:dyDescent="0.25">
      <c r="H165" s="63" t="str">
        <f t="shared" si="88"/>
        <v>N181_N182</v>
      </c>
      <c r="I165" s="63">
        <f t="shared" si="89"/>
        <v>227.68529111207488</v>
      </c>
      <c r="J165" s="63">
        <f t="shared" si="76"/>
        <v>-2.2432064923816445E-2</v>
      </c>
      <c r="K165" s="63">
        <f t="shared" si="85"/>
        <v>-0.22608298857643616</v>
      </c>
      <c r="L165" s="63">
        <f t="shared" si="77"/>
        <v>16.592680908294938</v>
      </c>
      <c r="M165" s="63">
        <f t="shared" si="78"/>
        <v>-2.1381864301802667E-2</v>
      </c>
      <c r="U165">
        <f t="shared" si="66"/>
        <v>58</v>
      </c>
      <c r="V165">
        <f t="shared" si="67"/>
        <v>58</v>
      </c>
      <c r="W165" s="69" t="str">
        <f t="shared" si="90"/>
        <v>N181_N182</v>
      </c>
      <c r="X165" s="63">
        <f t="shared" si="91"/>
        <v>227.68529111207488</v>
      </c>
      <c r="Y165" s="63" t="e">
        <f t="shared" si="92"/>
        <v>#VALUE!</v>
      </c>
      <c r="Z165" s="63">
        <f t="shared" si="79"/>
        <v>-1</v>
      </c>
      <c r="AA165" s="63">
        <f t="shared" si="71"/>
        <v>-1</v>
      </c>
      <c r="AB165" s="63" t="e">
        <f t="shared" si="93"/>
        <v>#VALUE!</v>
      </c>
      <c r="AC165" s="63" t="e">
        <f t="shared" si="94"/>
        <v>#VALUE!</v>
      </c>
      <c r="AD165" s="63" t="e">
        <f t="shared" si="80"/>
        <v>#VALUE!</v>
      </c>
      <c r="AF165" s="63" t="e">
        <f t="shared" si="95"/>
        <v>#VALUE!</v>
      </c>
    </row>
    <row r="166" spans="8:32" x14ac:dyDescent="0.25">
      <c r="H166" s="63" t="str">
        <f t="shared" si="88"/>
        <v>N182_N183</v>
      </c>
      <c r="I166" s="63">
        <f t="shared" si="89"/>
        <v>197.32725229713157</v>
      </c>
      <c r="J166" s="63">
        <f t="shared" si="76"/>
        <v>-2.2432064923816445E-2</v>
      </c>
      <c r="K166" s="63">
        <f t="shared" si="85"/>
        <v>-0.19593859009957801</v>
      </c>
      <c r="L166" s="63">
        <f t="shared" si="77"/>
        <v>14.380323453855612</v>
      </c>
      <c r="M166" s="63">
        <f t="shared" si="78"/>
        <v>-2.1381864301802667E-2</v>
      </c>
      <c r="U166">
        <f t="shared" si="66"/>
        <v>59</v>
      </c>
      <c r="V166">
        <f t="shared" si="67"/>
        <v>59</v>
      </c>
      <c r="W166" s="69" t="str">
        <f t="shared" si="90"/>
        <v>N182_N183</v>
      </c>
      <c r="X166" s="63">
        <f t="shared" si="91"/>
        <v>197.32725229713157</v>
      </c>
      <c r="Y166" s="63" t="e">
        <f t="shared" si="92"/>
        <v>#VALUE!</v>
      </c>
      <c r="Z166" s="63">
        <f t="shared" si="79"/>
        <v>-1</v>
      </c>
      <c r="AA166" s="63">
        <f t="shared" si="71"/>
        <v>-1</v>
      </c>
      <c r="AB166" s="63" t="e">
        <f t="shared" si="93"/>
        <v>#VALUE!</v>
      </c>
      <c r="AC166" s="63" t="e">
        <f t="shared" si="94"/>
        <v>#VALUE!</v>
      </c>
      <c r="AD166" s="63" t="e">
        <f t="shared" si="80"/>
        <v>#VALUE!</v>
      </c>
      <c r="AF166" s="63" t="e">
        <f t="shared" si="95"/>
        <v>#VALUE!</v>
      </c>
    </row>
    <row r="167" spans="8:32" x14ac:dyDescent="0.25">
      <c r="H167" s="63" t="str">
        <f t="shared" si="88"/>
        <v>N183_N184</v>
      </c>
      <c r="I167" s="63">
        <f t="shared" si="89"/>
        <v>209.97643513669126</v>
      </c>
      <c r="J167" s="63">
        <f t="shared" si="76"/>
        <v>-2.2432064923816445E-2</v>
      </c>
      <c r="K167" s="63">
        <f t="shared" si="85"/>
        <v>-0.20849875613160221</v>
      </c>
      <c r="L167" s="63">
        <f t="shared" si="77"/>
        <v>15.302139059871998</v>
      </c>
      <c r="M167" s="63">
        <f t="shared" si="78"/>
        <v>-2.1381864301802667E-2</v>
      </c>
      <c r="U167">
        <f t="shared" si="66"/>
        <v>60</v>
      </c>
      <c r="V167">
        <f t="shared" si="67"/>
        <v>60</v>
      </c>
      <c r="W167" s="69" t="str">
        <f t="shared" si="90"/>
        <v>N183_N184</v>
      </c>
      <c r="X167" s="63">
        <f t="shared" si="91"/>
        <v>209.97643513669126</v>
      </c>
      <c r="Y167" s="63" t="e">
        <f t="shared" si="92"/>
        <v>#VALUE!</v>
      </c>
      <c r="Z167" s="63">
        <f t="shared" si="79"/>
        <v>-1</v>
      </c>
      <c r="AA167" s="63">
        <f t="shared" si="71"/>
        <v>-1</v>
      </c>
      <c r="AB167" s="63" t="e">
        <f t="shared" si="93"/>
        <v>#VALUE!</v>
      </c>
      <c r="AC167" s="63" t="e">
        <f t="shared" si="94"/>
        <v>#VALUE!</v>
      </c>
      <c r="AD167" s="63" t="e">
        <f t="shared" si="80"/>
        <v>#VALUE!</v>
      </c>
      <c r="AF167" s="63" t="e">
        <f t="shared" si="95"/>
        <v>#VALUE!</v>
      </c>
    </row>
    <row r="168" spans="8:32" x14ac:dyDescent="0.25">
      <c r="H168" s="63" t="str">
        <f t="shared" si="88"/>
        <v>N184_N185</v>
      </c>
      <c r="I168" s="63">
        <f t="shared" si="89"/>
        <v>442.72139938459003</v>
      </c>
      <c r="J168" s="63">
        <f t="shared" si="76"/>
        <v>-2.2432064923816445E-2</v>
      </c>
      <c r="K168" s="63">
        <f t="shared" si="85"/>
        <v>-0.43960581112084807</v>
      </c>
      <c r="L168" s="63">
        <f t="shared" si="77"/>
        <v>32.263546210573487</v>
      </c>
      <c r="M168" s="63">
        <f t="shared" si="78"/>
        <v>-2.1381864301802667E-2</v>
      </c>
      <c r="U168">
        <f t="shared" si="66"/>
        <v>61</v>
      </c>
      <c r="V168">
        <f t="shared" si="67"/>
        <v>61</v>
      </c>
      <c r="W168" s="69" t="str">
        <f t="shared" si="90"/>
        <v>N184_N185</v>
      </c>
      <c r="X168" s="63">
        <f t="shared" si="91"/>
        <v>442.72139938459003</v>
      </c>
      <c r="Y168" s="63" t="e">
        <f t="shared" si="92"/>
        <v>#VALUE!</v>
      </c>
      <c r="Z168" s="63">
        <f t="shared" si="79"/>
        <v>-1</v>
      </c>
      <c r="AA168" s="63">
        <f t="shared" si="71"/>
        <v>-1</v>
      </c>
      <c r="AB168" s="63" t="e">
        <f t="shared" si="93"/>
        <v>#VALUE!</v>
      </c>
      <c r="AC168" s="63" t="e">
        <f t="shared" si="94"/>
        <v>#VALUE!</v>
      </c>
      <c r="AD168" s="63" t="e">
        <f t="shared" si="80"/>
        <v>#VALUE!</v>
      </c>
      <c r="AF168" s="63" t="e">
        <f t="shared" si="95"/>
        <v>#VALUE!</v>
      </c>
    </row>
    <row r="169" spans="8:32" x14ac:dyDescent="0.25">
      <c r="H169" s="63" t="str">
        <f t="shared" si="88"/>
        <v>N185_N186</v>
      </c>
      <c r="I169" s="63">
        <f t="shared" si="89"/>
        <v>427.5423799771184</v>
      </c>
      <c r="J169" s="63">
        <f t="shared" si="76"/>
        <v>-2.2432064923816445E-2</v>
      </c>
      <c r="K169" s="63">
        <f t="shared" si="85"/>
        <v>-0.424533611882419</v>
      </c>
      <c r="L169" s="63">
        <f t="shared" si="77"/>
        <v>31.157367483353827</v>
      </c>
      <c r="M169" s="63">
        <f t="shared" si="78"/>
        <v>-2.1381864301802667E-2</v>
      </c>
      <c r="U169">
        <f t="shared" si="66"/>
        <v>62</v>
      </c>
      <c r="V169">
        <f t="shared" si="67"/>
        <v>62</v>
      </c>
      <c r="W169" s="69" t="str">
        <f t="shared" si="90"/>
        <v>N185_N186</v>
      </c>
      <c r="X169" s="63">
        <f t="shared" si="91"/>
        <v>427.5423799771184</v>
      </c>
      <c r="Y169" s="63" t="e">
        <f t="shared" si="92"/>
        <v>#VALUE!</v>
      </c>
      <c r="Z169" s="63">
        <f t="shared" si="79"/>
        <v>-1</v>
      </c>
      <c r="AA169" s="63">
        <f t="shared" si="71"/>
        <v>-1</v>
      </c>
      <c r="AB169" s="63" t="e">
        <f t="shared" si="93"/>
        <v>#VALUE!</v>
      </c>
      <c r="AC169" s="63" t="e">
        <f t="shared" si="94"/>
        <v>#VALUE!</v>
      </c>
      <c r="AD169" s="63" t="e">
        <f t="shared" si="80"/>
        <v>#VALUE!</v>
      </c>
      <c r="AF169" s="63" t="e">
        <f t="shared" si="95"/>
        <v>#VALUE!</v>
      </c>
    </row>
    <row r="170" spans="8:32" x14ac:dyDescent="0.25">
      <c r="H170" s="63" t="str">
        <f t="shared" si="88"/>
        <v>N186_N187</v>
      </c>
      <c r="I170" s="63">
        <f t="shared" si="89"/>
        <v>427.5423799771184</v>
      </c>
      <c r="J170" s="63">
        <f t="shared" si="76"/>
        <v>-2.2432064923816445E-2</v>
      </c>
      <c r="K170" s="63">
        <f t="shared" si="85"/>
        <v>-0.424533611882419</v>
      </c>
      <c r="L170" s="63">
        <f t="shared" si="77"/>
        <v>31.157367483353827</v>
      </c>
      <c r="M170" s="63">
        <f t="shared" si="78"/>
        <v>-2.1381864301802667E-2</v>
      </c>
      <c r="U170">
        <f t="shared" si="66"/>
        <v>63</v>
      </c>
      <c r="V170">
        <f t="shared" si="67"/>
        <v>63</v>
      </c>
      <c r="W170" s="69" t="str">
        <f t="shared" si="90"/>
        <v>N186_N187</v>
      </c>
      <c r="X170" s="63">
        <f t="shared" si="91"/>
        <v>427.5423799771184</v>
      </c>
      <c r="Y170" s="63" t="e">
        <f t="shared" si="92"/>
        <v>#VALUE!</v>
      </c>
      <c r="Z170" s="63">
        <f t="shared" si="79"/>
        <v>-1</v>
      </c>
      <c r="AA170" s="63">
        <f t="shared" si="71"/>
        <v>-1</v>
      </c>
      <c r="AB170" s="63" t="e">
        <f t="shared" si="93"/>
        <v>#VALUE!</v>
      </c>
      <c r="AC170" s="63" t="e">
        <f t="shared" si="94"/>
        <v>#VALUE!</v>
      </c>
      <c r="AD170" s="63" t="e">
        <f t="shared" si="80"/>
        <v>#VALUE!</v>
      </c>
      <c r="AF170" s="63" t="e">
        <f t="shared" si="95"/>
        <v>#VALUE!</v>
      </c>
    </row>
    <row r="171" spans="8:32" x14ac:dyDescent="0.25">
      <c r="H171" s="63" t="str">
        <f t="shared" si="88"/>
        <v>N187_N188</v>
      </c>
      <c r="I171" s="63">
        <f t="shared" si="89"/>
        <v>338.99810010020042</v>
      </c>
      <c r="J171" s="63">
        <f t="shared" si="76"/>
        <v>-2.2432064923816445E-2</v>
      </c>
      <c r="K171" s="63">
        <f t="shared" si="85"/>
        <v>-0.33661244965824944</v>
      </c>
      <c r="L171" s="63">
        <f t="shared" si="77"/>
        <v>24.70465824123913</v>
      </c>
      <c r="M171" s="63">
        <f t="shared" si="78"/>
        <v>-2.1381864301802667E-2</v>
      </c>
      <c r="U171">
        <f t="shared" si="66"/>
        <v>64</v>
      </c>
      <c r="V171">
        <f t="shared" si="67"/>
        <v>64</v>
      </c>
      <c r="W171" s="69" t="str">
        <f t="shared" si="90"/>
        <v>N187_N188</v>
      </c>
      <c r="X171" s="63">
        <f t="shared" si="91"/>
        <v>338.99810010020042</v>
      </c>
      <c r="Y171" s="63" t="e">
        <f t="shared" si="92"/>
        <v>#VALUE!</v>
      </c>
      <c r="Z171" s="63">
        <f t="shared" si="79"/>
        <v>-1</v>
      </c>
      <c r="AA171" s="63">
        <f t="shared" si="71"/>
        <v>-1</v>
      </c>
      <c r="AB171" s="63" t="e">
        <f t="shared" si="93"/>
        <v>#VALUE!</v>
      </c>
      <c r="AC171" s="63" t="e">
        <f t="shared" si="94"/>
        <v>#VALUE!</v>
      </c>
      <c r="AD171" s="63" t="e">
        <f t="shared" si="80"/>
        <v>#VALUE!</v>
      </c>
      <c r="AF171" s="63" t="e">
        <f t="shared" si="95"/>
        <v>#VALUE!</v>
      </c>
    </row>
    <row r="172" spans="8:32" x14ac:dyDescent="0.25">
      <c r="H172" s="63" t="str">
        <f t="shared" ref="H172:H177" si="97">D86</f>
        <v>N188_N189</v>
      </c>
      <c r="I172" s="63">
        <f t="shared" ref="I172:I177" si="98">I86</f>
        <v>665.34701736084105</v>
      </c>
      <c r="J172" s="63">
        <f t="shared" si="76"/>
        <v>-2.2432064923816445E-2</v>
      </c>
      <c r="K172" s="63">
        <f t="shared" si="85"/>
        <v>-0.6606647332844745</v>
      </c>
      <c r="L172" s="63">
        <f t="shared" si="77"/>
        <v>48.487500876461873</v>
      </c>
      <c r="M172" s="63">
        <f t="shared" si="78"/>
        <v>-2.1381864301802667E-2</v>
      </c>
      <c r="U172">
        <f t="shared" ref="U172:U177" si="99">P86</f>
        <v>65</v>
      </c>
      <c r="V172">
        <f t="shared" ref="V172:V177" si="100">Q86</f>
        <v>65</v>
      </c>
      <c r="W172" s="69" t="str">
        <f t="shared" ref="W172:W177" si="101">S86</f>
        <v>N188_N189</v>
      </c>
      <c r="X172" s="63">
        <f t="shared" ref="X172:X177" si="102">X86</f>
        <v>665.34701736084105</v>
      </c>
      <c r="Y172" s="63" t="e">
        <f t="shared" ref="Y172:Y177" si="103">AD86</f>
        <v>#VALUE!</v>
      </c>
      <c r="Z172" s="63">
        <f t="shared" si="79"/>
        <v>-1</v>
      </c>
      <c r="AA172" s="63">
        <f t="shared" si="79"/>
        <v>-1</v>
      </c>
      <c r="AB172" s="63" t="e">
        <f t="shared" ref="AB172:AB177" si="104">X172*SIGN(Y172)*ABS(Y172)^1.821</f>
        <v>#VALUE!</v>
      </c>
      <c r="AC172" s="63" t="e">
        <f t="shared" ref="AC172:AC177" si="105">1.852*X172*ABS(Y172)^(1.852-1)</f>
        <v>#VALUE!</v>
      </c>
      <c r="AD172" s="63" t="e">
        <f t="shared" si="80"/>
        <v>#VALUE!</v>
      </c>
      <c r="AF172" s="63" t="e">
        <f t="shared" si="95"/>
        <v>#VALUE!</v>
      </c>
    </row>
    <row r="173" spans="8:32" x14ac:dyDescent="0.25">
      <c r="H173" s="63" t="str">
        <f t="shared" si="97"/>
        <v>N189_N190</v>
      </c>
      <c r="I173" s="63">
        <f t="shared" si="98"/>
        <v>650.16799795336942</v>
      </c>
      <c r="J173" s="63">
        <f t="shared" ref="J173:J177" si="106">M87</f>
        <v>-2.2432064923816445E-2</v>
      </c>
      <c r="K173" s="63">
        <f t="shared" si="85"/>
        <v>-0.64559253404604544</v>
      </c>
      <c r="L173" s="63">
        <f t="shared" ref="L173:L177" si="107">1.852*I173*ABS(J173)^(1.852-1)</f>
        <v>47.381322149242209</v>
      </c>
      <c r="M173" s="63">
        <f t="shared" ref="M173:M177" si="108">J173+$I$179</f>
        <v>-2.1381864301802667E-2</v>
      </c>
      <c r="U173">
        <f t="shared" si="99"/>
        <v>66</v>
      </c>
      <c r="V173">
        <f t="shared" si="100"/>
        <v>66</v>
      </c>
      <c r="W173" s="69" t="str">
        <f t="shared" si="101"/>
        <v>N189_N190</v>
      </c>
      <c r="X173" s="63">
        <f t="shared" si="102"/>
        <v>650.16799795336942</v>
      </c>
      <c r="Y173" s="63" t="e">
        <f t="shared" si="103"/>
        <v>#VALUE!</v>
      </c>
      <c r="Z173" s="63">
        <f t="shared" ref="Z173:AA177" si="109">Z87</f>
        <v>-1</v>
      </c>
      <c r="AA173" s="63">
        <f t="shared" si="109"/>
        <v>-1</v>
      </c>
      <c r="AB173" s="63" t="e">
        <f t="shared" si="104"/>
        <v>#VALUE!</v>
      </c>
      <c r="AC173" s="63" t="e">
        <f t="shared" si="105"/>
        <v>#VALUE!</v>
      </c>
      <c r="AD173" s="63" t="e">
        <f t="shared" ref="AD173:AD177" si="110">IF(U173&gt;0,
Y173+($I$179*Z173)+(AA173*X245),
Y173+$S$93)</f>
        <v>#VALUE!</v>
      </c>
      <c r="AF173" s="63" t="e">
        <f t="shared" si="95"/>
        <v>#VALUE!</v>
      </c>
    </row>
    <row r="174" spans="8:32" x14ac:dyDescent="0.25">
      <c r="H174" s="63" t="str">
        <f t="shared" si="97"/>
        <v>N190_N191</v>
      </c>
      <c r="I174" s="63">
        <f t="shared" si="98"/>
        <v>437.66172624876617</v>
      </c>
      <c r="J174" s="63">
        <f t="shared" si="106"/>
        <v>-2.2432064923816445E-2</v>
      </c>
      <c r="K174" s="63">
        <f t="shared" ref="K174:K177" si="111">I174*SIGN(J174)*ABS(J174)^1.821</f>
        <v>-0.4345817447080384</v>
      </c>
      <c r="L174" s="63">
        <f t="shared" si="107"/>
        <v>31.894819968166935</v>
      </c>
      <c r="M174" s="63">
        <f t="shared" si="108"/>
        <v>-2.1381864301802667E-2</v>
      </c>
      <c r="U174">
        <f t="shared" si="99"/>
        <v>67</v>
      </c>
      <c r="V174">
        <f t="shared" si="100"/>
        <v>67</v>
      </c>
      <c r="W174" s="69" t="str">
        <f t="shared" si="101"/>
        <v>N190_N191</v>
      </c>
      <c r="X174" s="63">
        <f t="shared" si="102"/>
        <v>437.66172624876617</v>
      </c>
      <c r="Y174" s="63" t="e">
        <f t="shared" si="103"/>
        <v>#VALUE!</v>
      </c>
      <c r="Z174" s="63">
        <f t="shared" si="109"/>
        <v>-1</v>
      </c>
      <c r="AA174" s="63">
        <f t="shared" si="109"/>
        <v>-1</v>
      </c>
      <c r="AB174" s="63" t="e">
        <f t="shared" si="104"/>
        <v>#VALUE!</v>
      </c>
      <c r="AC174" s="63" t="e">
        <f t="shared" si="105"/>
        <v>#VALUE!</v>
      </c>
      <c r="AD174" s="63" t="e">
        <f t="shared" si="110"/>
        <v>#VALUE!</v>
      </c>
      <c r="AF174" s="63" t="e">
        <f t="shared" si="95"/>
        <v>#VALUE!</v>
      </c>
    </row>
    <row r="175" spans="8:32" x14ac:dyDescent="0.25">
      <c r="H175" s="63" t="str">
        <f t="shared" si="97"/>
        <v>N191_N192</v>
      </c>
      <c r="I175" s="63">
        <f t="shared" si="98"/>
        <v>118.90231869186132</v>
      </c>
      <c r="J175" s="63">
        <f t="shared" si="106"/>
        <v>-2.2432064923816445E-2</v>
      </c>
      <c r="K175" s="63">
        <f t="shared" si="111"/>
        <v>-0.11806556070102776</v>
      </c>
      <c r="L175" s="63">
        <f t="shared" si="107"/>
        <v>8.6650666965540228</v>
      </c>
      <c r="M175" s="63">
        <f t="shared" si="108"/>
        <v>-2.1381864301802667E-2</v>
      </c>
      <c r="U175">
        <f t="shared" si="99"/>
        <v>68</v>
      </c>
      <c r="V175">
        <f t="shared" si="100"/>
        <v>68</v>
      </c>
      <c r="W175" s="69" t="str">
        <f t="shared" si="101"/>
        <v>N191_N192</v>
      </c>
      <c r="X175" s="63">
        <f t="shared" si="102"/>
        <v>118.90231869186132</v>
      </c>
      <c r="Y175" s="63" t="e">
        <f t="shared" si="103"/>
        <v>#VALUE!</v>
      </c>
      <c r="Z175" s="63">
        <f t="shared" si="109"/>
        <v>-1</v>
      </c>
      <c r="AA175" s="63">
        <f t="shared" si="109"/>
        <v>-1</v>
      </c>
      <c r="AB175" s="63" t="e">
        <f t="shared" si="104"/>
        <v>#VALUE!</v>
      </c>
      <c r="AC175" s="63" t="e">
        <f t="shared" si="105"/>
        <v>#VALUE!</v>
      </c>
      <c r="AD175" s="63" t="e">
        <f t="shared" si="110"/>
        <v>#VALUE!</v>
      </c>
      <c r="AF175" s="63" t="e">
        <f t="shared" si="95"/>
        <v>#VALUE!</v>
      </c>
    </row>
    <row r="176" spans="8:32" x14ac:dyDescent="0.25">
      <c r="H176" s="63" t="str">
        <f t="shared" si="97"/>
        <v>N192_N193</v>
      </c>
      <c r="I176" s="63">
        <f t="shared" si="98"/>
        <v>5.6427226167427849</v>
      </c>
      <c r="J176" s="63">
        <f t="shared" si="106"/>
        <v>-0.22182806492381646</v>
      </c>
      <c r="K176" s="63">
        <f t="shared" si="111"/>
        <v>-0.36356723013734304</v>
      </c>
      <c r="L176" s="63">
        <f t="shared" si="107"/>
        <v>2.89691487869458</v>
      </c>
      <c r="M176" s="63">
        <f t="shared" si="108"/>
        <v>-0.22077786430180268</v>
      </c>
      <c r="U176">
        <f t="shared" si="99"/>
        <v>69</v>
      </c>
      <c r="V176">
        <f t="shared" si="100"/>
        <v>69</v>
      </c>
      <c r="W176" s="69" t="str">
        <f t="shared" si="101"/>
        <v>N192_N193</v>
      </c>
      <c r="X176" s="63">
        <f t="shared" si="102"/>
        <v>5.6427226167427849</v>
      </c>
      <c r="Y176" s="63" t="e">
        <f t="shared" si="103"/>
        <v>#VALUE!</v>
      </c>
      <c r="Z176" s="63">
        <f t="shared" si="109"/>
        <v>-1</v>
      </c>
      <c r="AA176" s="63">
        <f t="shared" si="109"/>
        <v>-1</v>
      </c>
      <c r="AB176" s="63" t="e">
        <f t="shared" si="104"/>
        <v>#VALUE!</v>
      </c>
      <c r="AC176" s="63" t="e">
        <f t="shared" si="105"/>
        <v>#VALUE!</v>
      </c>
      <c r="AD176" s="63" t="e">
        <f t="shared" si="110"/>
        <v>#VALUE!</v>
      </c>
      <c r="AF176" s="63" t="e">
        <f t="shared" si="95"/>
        <v>#VALUE!</v>
      </c>
    </row>
    <row r="177" spans="8:30" x14ac:dyDescent="0.25">
      <c r="H177" s="63" t="str">
        <f t="shared" si="97"/>
        <v>N193_N194</v>
      </c>
      <c r="I177" s="63">
        <f t="shared" si="98"/>
        <v>2.7168664450983777</v>
      </c>
      <c r="J177" s="63">
        <f t="shared" si="106"/>
        <v>-0.22182806492381646</v>
      </c>
      <c r="K177" s="63">
        <f t="shared" si="111"/>
        <v>-0.17505088858464662</v>
      </c>
      <c r="L177" s="63">
        <f t="shared" si="107"/>
        <v>1.3948108675196123</v>
      </c>
      <c r="M177" s="63">
        <f t="shared" si="108"/>
        <v>-0.22077786430180268</v>
      </c>
      <c r="U177">
        <f t="shared" si="99"/>
        <v>70</v>
      </c>
      <c r="V177">
        <f t="shared" si="100"/>
        <v>70</v>
      </c>
      <c r="W177" s="69" t="str">
        <f t="shared" si="101"/>
        <v>N193_N194</v>
      </c>
      <c r="X177" s="63">
        <f t="shared" si="102"/>
        <v>2.7168664450983777</v>
      </c>
      <c r="Y177" s="63" t="e">
        <f t="shared" si="103"/>
        <v>#VALUE!</v>
      </c>
      <c r="Z177" s="63">
        <f t="shared" si="109"/>
        <v>-1</v>
      </c>
      <c r="AA177" s="63">
        <f t="shared" si="109"/>
        <v>-1</v>
      </c>
      <c r="AB177" s="63" t="e">
        <f t="shared" si="104"/>
        <v>#VALUE!</v>
      </c>
      <c r="AC177" s="63" t="e">
        <f t="shared" si="105"/>
        <v>#VALUE!</v>
      </c>
      <c r="AD177" s="63" t="e">
        <f t="shared" si="110"/>
        <v>#VALUE!</v>
      </c>
    </row>
    <row r="178" spans="8:30" x14ac:dyDescent="0.25">
      <c r="H178" s="63" t="s">
        <v>380</v>
      </c>
      <c r="I178" s="63"/>
      <c r="J178" s="63"/>
      <c r="K178" s="63">
        <f>SUM(K108:K177)</f>
        <v>-0.68913764375697717</v>
      </c>
      <c r="L178" s="63">
        <f>SUM(L108:L177)</f>
        <v>656.19618700619571</v>
      </c>
      <c r="M178" s="63"/>
      <c r="W178" s="95" t="s">
        <v>380</v>
      </c>
      <c r="X178" s="63"/>
      <c r="Y178" s="63"/>
      <c r="Z178" s="63"/>
      <c r="AA178" s="63" t="e">
        <f>SUM(AB108:AB177)</f>
        <v>#VALUE!</v>
      </c>
      <c r="AB178" s="63" t="e">
        <f>SUM(AC108:AC177)</f>
        <v>#VALUE!</v>
      </c>
      <c r="AC178" s="63"/>
    </row>
    <row r="179" spans="8:30" x14ac:dyDescent="0.25">
      <c r="H179" s="82" t="s">
        <v>381</v>
      </c>
      <c r="I179" s="230">
        <f>-(K178/L178)</f>
        <v>1.0502006220137795E-3</v>
      </c>
      <c r="J179" s="231"/>
      <c r="K179" s="231"/>
      <c r="L179" s="231"/>
      <c r="M179" s="231"/>
      <c r="N179" s="99"/>
      <c r="O179" s="99"/>
      <c r="P179" s="99"/>
      <c r="Q179" s="99"/>
      <c r="R179" s="99"/>
      <c r="W179" s="97" t="s">
        <v>381</v>
      </c>
      <c r="X179" s="230" t="e">
        <f>ABS(AA178/(1.852*AB178))</f>
        <v>#VALUE!</v>
      </c>
      <c r="Y179" s="231"/>
      <c r="Z179" s="231"/>
      <c r="AA179" s="231"/>
      <c r="AB179" s="232"/>
    </row>
    <row r="180" spans="8:30" x14ac:dyDescent="0.25">
      <c r="H180" s="63" t="s">
        <v>547</v>
      </c>
      <c r="I180" s="227">
        <f>D93-I179</f>
        <v>5.5467344541697749E-3</v>
      </c>
      <c r="J180" s="228"/>
      <c r="K180" s="228"/>
      <c r="L180" s="228"/>
      <c r="M180" s="228"/>
      <c r="W180" s="63" t="s">
        <v>547</v>
      </c>
      <c r="X180" s="227" t="e">
        <f>S93-X179</f>
        <v>#VALUE!</v>
      </c>
      <c r="Y180" s="228"/>
      <c r="Z180" s="228"/>
      <c r="AA180" s="228"/>
      <c r="AB180" s="229"/>
    </row>
    <row r="181" spans="8:30" x14ac:dyDescent="0.25">
      <c r="H181" s="63" t="s">
        <v>548</v>
      </c>
      <c r="I181" s="227" t="str">
        <f>IF(I180&gt;0, "L'agorithme est fonctionel","L'algorithme n'est pas fonctionnel; maille à revérifier")</f>
        <v>L'agorithme est fonctionel</v>
      </c>
      <c r="J181" s="228"/>
      <c r="K181" s="228"/>
      <c r="L181" s="228"/>
      <c r="M181" s="228"/>
      <c r="W181" s="63" t="s">
        <v>548</v>
      </c>
      <c r="X181" s="227" t="e">
        <f>IF(X180&gt;0, "L'agorithme est fonctionel","L'algorithme n'est pas fonctionnel; maille à revérifier")</f>
        <v>#VALUE!</v>
      </c>
      <c r="Y181" s="228"/>
      <c r="Z181" s="228"/>
      <c r="AA181" s="228"/>
      <c r="AB181" s="229"/>
    </row>
    <row r="202" spans="1:144" ht="14.45" customHeight="1" x14ac:dyDescent="0.25">
      <c r="A202" s="224" t="s">
        <v>549</v>
      </c>
      <c r="B202" s="226"/>
      <c r="C202" s="226"/>
      <c r="D202" s="226"/>
      <c r="E202" s="224" t="s">
        <v>549</v>
      </c>
      <c r="F202" s="226"/>
      <c r="G202" s="226"/>
      <c r="H202" s="226"/>
      <c r="I202" s="224" t="s">
        <v>549</v>
      </c>
      <c r="J202" s="226"/>
      <c r="K202" s="226"/>
      <c r="L202" s="226"/>
      <c r="M202" s="224" t="s">
        <v>549</v>
      </c>
      <c r="N202" s="226"/>
      <c r="O202" s="226"/>
      <c r="P202" s="226"/>
      <c r="Q202" s="224" t="s">
        <v>549</v>
      </c>
      <c r="R202" s="226"/>
      <c r="S202" s="226"/>
      <c r="T202" s="226"/>
      <c r="U202" s="224" t="s">
        <v>549</v>
      </c>
      <c r="V202" s="226"/>
      <c r="W202" s="226"/>
      <c r="X202" s="226"/>
      <c r="Y202" s="224" t="s">
        <v>549</v>
      </c>
      <c r="Z202" s="226"/>
      <c r="AA202" s="226"/>
      <c r="AB202" s="226"/>
      <c r="AC202" s="224" t="s">
        <v>549</v>
      </c>
      <c r="AD202" s="226"/>
      <c r="AE202" s="226"/>
      <c r="AF202" s="226"/>
      <c r="AG202" s="93" t="s">
        <v>549</v>
      </c>
      <c r="AH202" s="94"/>
      <c r="AI202" s="94"/>
      <c r="AJ202" s="94"/>
      <c r="AK202" s="224" t="s">
        <v>549</v>
      </c>
      <c r="AL202" s="226"/>
      <c r="AM202" s="226"/>
      <c r="AN202" s="226"/>
      <c r="AO202" s="224" t="s">
        <v>549</v>
      </c>
      <c r="AP202" s="226"/>
      <c r="AQ202" s="226"/>
      <c r="AR202" s="226"/>
      <c r="AS202" s="224" t="s">
        <v>549</v>
      </c>
      <c r="AT202" s="226"/>
      <c r="AU202" s="226"/>
      <c r="AV202" s="226"/>
      <c r="AW202" s="224" t="s">
        <v>549</v>
      </c>
      <c r="AX202" s="226"/>
      <c r="AY202" s="226"/>
      <c r="AZ202" s="226"/>
      <c r="BA202" s="224" t="s">
        <v>549</v>
      </c>
      <c r="BB202" s="226"/>
      <c r="BC202" s="226"/>
      <c r="BD202" s="226"/>
      <c r="BE202" s="224" t="s">
        <v>549</v>
      </c>
      <c r="BF202" s="226"/>
      <c r="BG202" s="226"/>
      <c r="BH202" s="226"/>
      <c r="BI202" s="224" t="s">
        <v>549</v>
      </c>
      <c r="BJ202" s="226"/>
      <c r="BK202" s="226"/>
      <c r="BL202" s="226"/>
      <c r="BM202" s="224" t="s">
        <v>549</v>
      </c>
      <c r="BN202" s="226"/>
      <c r="BO202" s="226"/>
      <c r="BP202" s="226"/>
      <c r="BQ202" s="224" t="s">
        <v>549</v>
      </c>
      <c r="BR202" s="226"/>
      <c r="BS202" s="226"/>
      <c r="BT202" s="226"/>
      <c r="BU202" s="224" t="s">
        <v>549</v>
      </c>
      <c r="BV202" s="226"/>
      <c r="BW202" s="226"/>
      <c r="BX202" s="226"/>
      <c r="BY202" s="224" t="s">
        <v>549</v>
      </c>
      <c r="BZ202" s="226"/>
      <c r="CA202" s="226"/>
      <c r="CB202" s="226"/>
      <c r="CC202" s="224" t="s">
        <v>549</v>
      </c>
      <c r="CD202" s="226"/>
      <c r="CE202" s="226"/>
      <c r="CF202" s="226"/>
      <c r="CG202" s="224" t="s">
        <v>549</v>
      </c>
      <c r="CH202" s="226"/>
      <c r="CI202" s="226"/>
      <c r="CJ202" s="226"/>
      <c r="CK202" s="224" t="s">
        <v>549</v>
      </c>
      <c r="CL202" s="226"/>
      <c r="CM202" s="226"/>
      <c r="CN202" s="226"/>
      <c r="CO202" s="224" t="s">
        <v>549</v>
      </c>
      <c r="CP202" s="226"/>
      <c r="CQ202" s="226"/>
      <c r="CR202" s="226"/>
      <c r="CS202" s="224" t="s">
        <v>549</v>
      </c>
      <c r="CT202" s="226"/>
      <c r="CU202" s="226"/>
      <c r="CV202" s="226"/>
      <c r="CW202" s="224" t="s">
        <v>549</v>
      </c>
      <c r="CX202" s="226"/>
      <c r="CY202" s="226"/>
      <c r="CZ202" s="226"/>
      <c r="DA202" s="224" t="s">
        <v>549</v>
      </c>
      <c r="DB202" s="226"/>
      <c r="DC202" s="226"/>
      <c r="DD202" s="226"/>
      <c r="DE202" s="224" t="s">
        <v>549</v>
      </c>
      <c r="DF202" s="226"/>
      <c r="DG202" s="226"/>
      <c r="DH202" s="226"/>
      <c r="DI202" s="224" t="s">
        <v>549</v>
      </c>
      <c r="DJ202" s="226"/>
      <c r="DK202" s="226"/>
      <c r="DL202" s="226"/>
      <c r="DM202" s="224" t="s">
        <v>549</v>
      </c>
      <c r="DN202" s="226"/>
      <c r="DO202" s="226"/>
      <c r="DP202" s="226"/>
      <c r="DQ202" s="224" t="s">
        <v>549</v>
      </c>
      <c r="DR202" s="226"/>
      <c r="DS202" s="226"/>
      <c r="DT202" s="226"/>
      <c r="DU202" s="224" t="s">
        <v>549</v>
      </c>
      <c r="DV202" s="226"/>
      <c r="DW202" s="226"/>
      <c r="DX202" s="226"/>
      <c r="DY202" s="224" t="s">
        <v>549</v>
      </c>
      <c r="DZ202" s="226"/>
      <c r="EA202" s="226"/>
      <c r="EB202" s="226"/>
      <c r="EC202" s="224" t="s">
        <v>549</v>
      </c>
      <c r="ED202" s="226"/>
      <c r="EE202" s="226"/>
      <c r="EF202" s="226"/>
      <c r="EG202" s="224" t="s">
        <v>549</v>
      </c>
      <c r="EH202" s="226"/>
      <c r="EI202" s="226"/>
      <c r="EJ202" s="226"/>
      <c r="EK202" s="224" t="s">
        <v>549</v>
      </c>
      <c r="EL202" s="226"/>
      <c r="EM202" s="226"/>
      <c r="EN202" s="226"/>
    </row>
    <row r="203" spans="1:144" ht="14.45" customHeight="1" x14ac:dyDescent="0.25">
      <c r="A203" s="226"/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226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94"/>
      <c r="AH203" s="94"/>
      <c r="AI203" s="94"/>
      <c r="AJ203" s="94"/>
      <c r="AK203" s="226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226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226"/>
      <c r="BV203" s="226"/>
      <c r="BW203" s="226"/>
      <c r="BX203" s="226"/>
      <c r="BY203" s="226"/>
      <c r="BZ203" s="226"/>
      <c r="CA203" s="226"/>
      <c r="CB203" s="226"/>
      <c r="CC203" s="226"/>
      <c r="CD203" s="226"/>
      <c r="CE203" s="226"/>
      <c r="CF203" s="226"/>
      <c r="CG203" s="226"/>
      <c r="CH203" s="226"/>
      <c r="CI203" s="226"/>
      <c r="CJ203" s="226"/>
      <c r="CK203" s="226"/>
      <c r="CL203" s="226"/>
      <c r="CM203" s="226"/>
      <c r="CN203" s="226"/>
      <c r="CO203" s="226"/>
      <c r="CP203" s="226"/>
      <c r="CQ203" s="226"/>
      <c r="CR203" s="226"/>
      <c r="CS203" s="226"/>
      <c r="CT203" s="226"/>
      <c r="CU203" s="226"/>
      <c r="CV203" s="226"/>
      <c r="CW203" s="226"/>
      <c r="CX203" s="226"/>
      <c r="CY203" s="226"/>
      <c r="CZ203" s="226"/>
      <c r="DA203" s="226"/>
      <c r="DB203" s="226"/>
      <c r="DC203" s="226"/>
      <c r="DD203" s="226"/>
      <c r="DE203" s="226"/>
      <c r="DF203" s="226"/>
      <c r="DG203" s="226"/>
      <c r="DH203" s="226"/>
      <c r="DI203" s="226"/>
      <c r="DJ203" s="226"/>
      <c r="DK203" s="226"/>
      <c r="DL203" s="226"/>
      <c r="DM203" s="226"/>
      <c r="DN203" s="226"/>
      <c r="DO203" s="226"/>
      <c r="DP203" s="226"/>
      <c r="DQ203" s="226"/>
      <c r="DR203" s="226"/>
      <c r="DS203" s="226"/>
      <c r="DT203" s="226"/>
      <c r="DU203" s="226"/>
      <c r="DV203" s="226"/>
      <c r="DW203" s="226"/>
      <c r="DX203" s="226"/>
      <c r="DY203" s="226"/>
      <c r="DZ203" s="226"/>
      <c r="EA203" s="226"/>
      <c r="EB203" s="226"/>
      <c r="EC203" s="226"/>
      <c r="ED203" s="226"/>
      <c r="EE203" s="226"/>
      <c r="EF203" s="226"/>
      <c r="EG203" s="226"/>
      <c r="EH203" s="226"/>
      <c r="EI203" s="226"/>
      <c r="EJ203" s="226"/>
      <c r="EK203" s="226"/>
      <c r="EL203" s="226"/>
      <c r="EM203" s="226"/>
      <c r="EN203" s="226"/>
    </row>
    <row r="204" spans="1:144" ht="14.45" customHeight="1" x14ac:dyDescent="0.25">
      <c r="A204" s="226"/>
      <c r="B204" s="226"/>
      <c r="C204" s="226"/>
      <c r="D204" s="226"/>
      <c r="E204" s="226"/>
      <c r="F204" s="226"/>
      <c r="G204" s="226"/>
      <c r="H204" s="226"/>
      <c r="I204" s="226"/>
      <c r="J204" s="226"/>
      <c r="K204" s="226"/>
      <c r="L204" s="226"/>
      <c r="M204" s="226"/>
      <c r="N204" s="226"/>
      <c r="O204" s="226"/>
      <c r="P204" s="226"/>
      <c r="Q204" s="226"/>
      <c r="R204" s="226"/>
      <c r="S204" s="226"/>
      <c r="T204" s="226"/>
      <c r="U204" s="226"/>
      <c r="V204" s="226"/>
      <c r="W204" s="226"/>
      <c r="X204" s="226"/>
      <c r="Y204" s="226"/>
      <c r="Z204" s="226"/>
      <c r="AA204" s="226"/>
      <c r="AB204" s="226"/>
      <c r="AC204" s="226"/>
      <c r="AD204" s="226"/>
      <c r="AE204" s="226"/>
      <c r="AF204" s="226"/>
      <c r="AG204" s="94"/>
      <c r="AH204" s="94"/>
      <c r="AI204" s="94"/>
      <c r="AJ204" s="94"/>
      <c r="AK204" s="226"/>
      <c r="AL204" s="226"/>
      <c r="AM204" s="226"/>
      <c r="AN204" s="226"/>
      <c r="AO204" s="226"/>
      <c r="AP204" s="226"/>
      <c r="AQ204" s="226"/>
      <c r="AR204" s="226"/>
      <c r="AS204" s="226"/>
      <c r="AT204" s="226"/>
      <c r="AU204" s="226"/>
      <c r="AV204" s="226"/>
      <c r="AW204" s="226"/>
      <c r="AX204" s="226"/>
      <c r="AY204" s="226"/>
      <c r="AZ204" s="226"/>
      <c r="BA204" s="226"/>
      <c r="BB204" s="226"/>
      <c r="BC204" s="226"/>
      <c r="BD204" s="226"/>
      <c r="BE204" s="226"/>
      <c r="BF204" s="226"/>
      <c r="BG204" s="226"/>
      <c r="BH204" s="226"/>
      <c r="BI204" s="226"/>
      <c r="BJ204" s="226"/>
      <c r="BK204" s="226"/>
      <c r="BL204" s="226"/>
      <c r="BM204" s="226"/>
      <c r="BN204" s="226"/>
      <c r="BO204" s="226"/>
      <c r="BP204" s="226"/>
      <c r="BQ204" s="226"/>
      <c r="BR204" s="226"/>
      <c r="BS204" s="226"/>
      <c r="BT204" s="226"/>
      <c r="BU204" s="226"/>
      <c r="BV204" s="226"/>
      <c r="BW204" s="226"/>
      <c r="BX204" s="226"/>
      <c r="BY204" s="226"/>
      <c r="BZ204" s="226"/>
      <c r="CA204" s="226"/>
      <c r="CB204" s="226"/>
      <c r="CC204" s="226"/>
      <c r="CD204" s="226"/>
      <c r="CE204" s="226"/>
      <c r="CF204" s="226"/>
      <c r="CG204" s="226"/>
      <c r="CH204" s="226"/>
      <c r="CI204" s="226"/>
      <c r="CJ204" s="226"/>
      <c r="CK204" s="226"/>
      <c r="CL204" s="226"/>
      <c r="CM204" s="226"/>
      <c r="CN204" s="226"/>
      <c r="CO204" s="226"/>
      <c r="CP204" s="226"/>
      <c r="CQ204" s="226"/>
      <c r="CR204" s="226"/>
      <c r="CS204" s="226"/>
      <c r="CT204" s="226"/>
      <c r="CU204" s="226"/>
      <c r="CV204" s="226"/>
      <c r="CW204" s="226"/>
      <c r="CX204" s="226"/>
      <c r="CY204" s="226"/>
      <c r="CZ204" s="226"/>
      <c r="DA204" s="226"/>
      <c r="DB204" s="226"/>
      <c r="DC204" s="226"/>
      <c r="DD204" s="226"/>
      <c r="DE204" s="226"/>
      <c r="DF204" s="226"/>
      <c r="DG204" s="226"/>
      <c r="DH204" s="226"/>
      <c r="DI204" s="226"/>
      <c r="DJ204" s="226"/>
      <c r="DK204" s="226"/>
      <c r="DL204" s="226"/>
      <c r="DM204" s="226"/>
      <c r="DN204" s="226"/>
      <c r="DO204" s="226"/>
      <c r="DP204" s="226"/>
      <c r="DQ204" s="226"/>
      <c r="DR204" s="226"/>
      <c r="DS204" s="226"/>
      <c r="DT204" s="226"/>
      <c r="DU204" s="226"/>
      <c r="DV204" s="226"/>
      <c r="DW204" s="226"/>
      <c r="DX204" s="226"/>
      <c r="DY204" s="226"/>
      <c r="DZ204" s="226"/>
      <c r="EA204" s="226"/>
      <c r="EB204" s="226"/>
      <c r="EC204" s="226"/>
      <c r="ED204" s="226"/>
      <c r="EE204" s="226"/>
      <c r="EF204" s="226"/>
      <c r="EG204" s="226"/>
      <c r="EH204" s="226"/>
      <c r="EI204" s="226"/>
      <c r="EJ204" s="226"/>
      <c r="EK204" s="226"/>
      <c r="EL204" s="226"/>
      <c r="EM204" s="226"/>
      <c r="EN204" s="226"/>
    </row>
    <row r="205" spans="1:144" ht="14.45" customHeight="1" x14ac:dyDescent="0.25">
      <c r="A205" s="226"/>
      <c r="B205" s="226"/>
      <c r="C205" s="226"/>
      <c r="D205" s="226"/>
      <c r="E205" s="226"/>
      <c r="F205" s="226"/>
      <c r="G205" s="226"/>
      <c r="H205" s="226"/>
      <c r="I205" s="226"/>
      <c r="J205" s="226"/>
      <c r="K205" s="226"/>
      <c r="L205" s="226"/>
      <c r="M205" s="226"/>
      <c r="N205" s="226"/>
      <c r="O205" s="226"/>
      <c r="P205" s="226"/>
      <c r="Q205" s="226"/>
      <c r="R205" s="226"/>
      <c r="S205" s="226"/>
      <c r="T205" s="226"/>
      <c r="U205" s="226"/>
      <c r="V205" s="226"/>
      <c r="W205" s="226"/>
      <c r="X205" s="226"/>
      <c r="Y205" s="226"/>
      <c r="Z205" s="226"/>
      <c r="AA205" s="226"/>
      <c r="AB205" s="226"/>
      <c r="AC205" s="226"/>
      <c r="AD205" s="226"/>
      <c r="AE205" s="226"/>
      <c r="AF205" s="226"/>
      <c r="AG205" s="94"/>
      <c r="AH205" s="94"/>
      <c r="AI205" s="94"/>
      <c r="AJ205" s="94"/>
      <c r="AK205" s="226"/>
      <c r="AL205" s="226"/>
      <c r="AM205" s="226"/>
      <c r="AN205" s="226"/>
      <c r="AO205" s="226"/>
      <c r="AP205" s="226"/>
      <c r="AQ205" s="226"/>
      <c r="AR205" s="226"/>
      <c r="AS205" s="226"/>
      <c r="AT205" s="226"/>
      <c r="AU205" s="226"/>
      <c r="AV205" s="226"/>
      <c r="AW205" s="226"/>
      <c r="AX205" s="226"/>
      <c r="AY205" s="226"/>
      <c r="AZ205" s="226"/>
      <c r="BA205" s="226"/>
      <c r="BB205" s="226"/>
      <c r="BC205" s="226"/>
      <c r="BD205" s="226"/>
      <c r="BE205" s="226"/>
      <c r="BF205" s="226"/>
      <c r="BG205" s="226"/>
      <c r="BH205" s="226"/>
      <c r="BI205" s="226"/>
      <c r="BJ205" s="226"/>
      <c r="BK205" s="226"/>
      <c r="BL205" s="226"/>
      <c r="BM205" s="226"/>
      <c r="BN205" s="226"/>
      <c r="BO205" s="226"/>
      <c r="BP205" s="226"/>
      <c r="BQ205" s="226"/>
      <c r="BR205" s="226"/>
      <c r="BS205" s="226"/>
      <c r="BT205" s="226"/>
      <c r="BU205" s="226"/>
      <c r="BV205" s="226"/>
      <c r="BW205" s="226"/>
      <c r="BX205" s="226"/>
      <c r="BY205" s="226"/>
      <c r="BZ205" s="226"/>
      <c r="CA205" s="226"/>
      <c r="CB205" s="226"/>
      <c r="CC205" s="226"/>
      <c r="CD205" s="226"/>
      <c r="CE205" s="226"/>
      <c r="CF205" s="226"/>
      <c r="CG205" s="226"/>
      <c r="CH205" s="226"/>
      <c r="CI205" s="226"/>
      <c r="CJ205" s="226"/>
      <c r="CK205" s="226"/>
      <c r="CL205" s="226"/>
      <c r="CM205" s="226"/>
      <c r="CN205" s="226"/>
      <c r="CO205" s="226"/>
      <c r="CP205" s="226"/>
      <c r="CQ205" s="226"/>
      <c r="CR205" s="226"/>
      <c r="CS205" s="226"/>
      <c r="CT205" s="226"/>
      <c r="CU205" s="226"/>
      <c r="CV205" s="226"/>
      <c r="CW205" s="226"/>
      <c r="CX205" s="226"/>
      <c r="CY205" s="226"/>
      <c r="CZ205" s="226"/>
      <c r="DA205" s="226"/>
      <c r="DB205" s="226"/>
      <c r="DC205" s="226"/>
      <c r="DD205" s="226"/>
      <c r="DE205" s="226"/>
      <c r="DF205" s="226"/>
      <c r="DG205" s="226"/>
      <c r="DH205" s="226"/>
      <c r="DI205" s="226"/>
      <c r="DJ205" s="226"/>
      <c r="DK205" s="226"/>
      <c r="DL205" s="226"/>
      <c r="DM205" s="226"/>
      <c r="DN205" s="226"/>
      <c r="DO205" s="226"/>
      <c r="DP205" s="226"/>
      <c r="DQ205" s="226"/>
      <c r="DR205" s="226"/>
      <c r="DS205" s="226"/>
      <c r="DT205" s="226"/>
      <c r="DU205" s="226"/>
      <c r="DV205" s="226"/>
      <c r="DW205" s="226"/>
      <c r="DX205" s="226"/>
      <c r="DY205" s="226"/>
      <c r="DZ205" s="226"/>
      <c r="EA205" s="226"/>
      <c r="EB205" s="226"/>
      <c r="EC205" s="226"/>
      <c r="ED205" s="226"/>
      <c r="EE205" s="226"/>
      <c r="EF205" s="226"/>
      <c r="EG205" s="226"/>
      <c r="EH205" s="226"/>
      <c r="EI205" s="226"/>
      <c r="EJ205" s="226"/>
      <c r="EK205" s="226"/>
      <c r="EL205" s="226"/>
      <c r="EM205" s="226"/>
      <c r="EN205" s="226"/>
    </row>
    <row r="209" spans="8:13" x14ac:dyDescent="0.25">
      <c r="H209" s="234" t="s">
        <v>111</v>
      </c>
      <c r="I209" s="235"/>
      <c r="J209" s="235"/>
      <c r="K209" s="235"/>
      <c r="L209" s="235"/>
      <c r="M209" s="236"/>
    </row>
    <row r="210" spans="8:13" x14ac:dyDescent="0.25">
      <c r="H210" s="63" t="s">
        <v>102</v>
      </c>
      <c r="I210" s="63" t="s">
        <v>379</v>
      </c>
      <c r="J210" s="63" t="s">
        <v>385</v>
      </c>
      <c r="K210" s="82" t="s">
        <v>387</v>
      </c>
      <c r="L210" s="63" t="s">
        <v>388</v>
      </c>
      <c r="M210" s="63" t="s">
        <v>386</v>
      </c>
    </row>
    <row r="211" spans="8:13" x14ac:dyDescent="0.25">
      <c r="H211" s="63" t="s">
        <v>433</v>
      </c>
      <c r="I211" s="63">
        <v>15.904695680187142</v>
      </c>
      <c r="J211" s="63">
        <f>M108</f>
        <v>0.10364713569819733</v>
      </c>
      <c r="K211" s="63">
        <f>I211*SIGN(J211)*ABS(J211)^1.821</f>
        <v>0.25636292366806307</v>
      </c>
      <c r="L211" s="63">
        <f>1.852*I211*ABS(J211)^(1.852-1)</f>
        <v>4.2699340744364225</v>
      </c>
      <c r="M211" s="63">
        <v>0.10316399804703333</v>
      </c>
    </row>
    <row r="212" spans="8:13" x14ac:dyDescent="0.25">
      <c r="H212" s="63" t="s">
        <v>201</v>
      </c>
      <c r="I212" s="63">
        <v>15.739021766851859</v>
      </c>
      <c r="J212" s="63">
        <f t="shared" ref="J212:J275" si="112">M109</f>
        <v>0.10264713569819733</v>
      </c>
      <c r="K212" s="63">
        <f t="shared" ref="K212:K275" si="113">I212*SIGN(J212)*ABS(J212)^1.821</f>
        <v>0.24925295906474812</v>
      </c>
      <c r="L212" s="63">
        <f t="shared" ref="L212:L275" si="114">1.852*I212*ABS(J212)^(1.852-1)</f>
        <v>4.1906966211423331</v>
      </c>
      <c r="M212" s="63">
        <v>0.10216399804703333</v>
      </c>
    </row>
    <row r="213" spans="8:13" x14ac:dyDescent="0.25">
      <c r="H213" s="63" t="s">
        <v>199</v>
      </c>
      <c r="I213" s="63">
        <v>12.094195673475639</v>
      </c>
      <c r="J213" s="63">
        <f t="shared" si="112"/>
        <v>8.0647135698197328E-2</v>
      </c>
      <c r="K213" s="63">
        <f t="shared" si="113"/>
        <v>0.12344555711997547</v>
      </c>
      <c r="L213" s="63">
        <f t="shared" si="114"/>
        <v>2.6219943792022966</v>
      </c>
      <c r="M213" s="63">
        <v>8.0163998047033322E-2</v>
      </c>
    </row>
    <row r="214" spans="8:13" x14ac:dyDescent="0.25">
      <c r="H214" s="63" t="s">
        <v>198</v>
      </c>
      <c r="I214" s="63">
        <v>12.756891326816771</v>
      </c>
      <c r="J214" s="63">
        <f t="shared" si="112"/>
        <v>8.4647135698197332E-2</v>
      </c>
      <c r="K214" s="63">
        <f t="shared" si="113"/>
        <v>0.1422089055403227</v>
      </c>
      <c r="L214" s="63">
        <f t="shared" si="114"/>
        <v>2.8821162209067666</v>
      </c>
      <c r="M214" s="63">
        <v>8.4163998047033325E-2</v>
      </c>
    </row>
    <row r="215" spans="8:13" x14ac:dyDescent="0.25">
      <c r="H215" s="63" t="s">
        <v>197</v>
      </c>
      <c r="I215" s="63">
        <v>4.0190332028082514</v>
      </c>
      <c r="J215" s="63">
        <f t="shared" si="112"/>
        <v>0.2576471356981973</v>
      </c>
      <c r="K215" s="63">
        <f t="shared" si="113"/>
        <v>0.34009378805615964</v>
      </c>
      <c r="L215" s="63">
        <f t="shared" si="114"/>
        <v>2.343992123371994</v>
      </c>
      <c r="M215" s="63">
        <v>0.25716399804703333</v>
      </c>
    </row>
    <row r="216" spans="8:13" x14ac:dyDescent="0.25">
      <c r="H216" s="63" t="s">
        <v>196</v>
      </c>
      <c r="I216" s="63">
        <v>22.115282553351062</v>
      </c>
      <c r="J216" s="63">
        <f t="shared" si="112"/>
        <v>7.0647135698197333E-2</v>
      </c>
      <c r="K216" s="63">
        <f t="shared" si="113"/>
        <v>0.17737552082075991</v>
      </c>
      <c r="L216" s="63">
        <f t="shared" si="114"/>
        <v>4.2831377180731254</v>
      </c>
      <c r="M216" s="63">
        <v>7.0163998047033327E-2</v>
      </c>
    </row>
    <row r="217" spans="8:13" x14ac:dyDescent="0.25">
      <c r="H217" s="63" t="s">
        <v>195</v>
      </c>
      <c r="I217" s="63">
        <v>34.980631802292031</v>
      </c>
      <c r="J217" s="63">
        <f t="shared" si="112"/>
        <v>4.8647135698197334E-2</v>
      </c>
      <c r="K217" s="63">
        <f t="shared" si="113"/>
        <v>0.14221943403567139</v>
      </c>
      <c r="L217" s="63">
        <f t="shared" si="114"/>
        <v>4.929937680845403</v>
      </c>
      <c r="M217" s="63">
        <v>4.8163998047033328E-2</v>
      </c>
    </row>
    <row r="218" spans="8:13" x14ac:dyDescent="0.25">
      <c r="H218" s="63" t="s">
        <v>194</v>
      </c>
      <c r="I218" s="63">
        <v>3.2313026950578347</v>
      </c>
      <c r="J218" s="63">
        <f t="shared" si="112"/>
        <v>0.20864713569819734</v>
      </c>
      <c r="K218" s="63">
        <f t="shared" si="113"/>
        <v>0.18622057898442879</v>
      </c>
      <c r="L218" s="63">
        <f t="shared" si="114"/>
        <v>1.5745556442970123</v>
      </c>
      <c r="M218" s="63">
        <v>0.20816399804703334</v>
      </c>
    </row>
    <row r="219" spans="8:13" x14ac:dyDescent="0.25">
      <c r="H219" s="63" t="s">
        <v>425</v>
      </c>
      <c r="I219" s="63">
        <v>8.6920295923619637</v>
      </c>
      <c r="J219" s="63">
        <f t="shared" si="112"/>
        <v>0.13664713569819734</v>
      </c>
      <c r="K219" s="63">
        <f t="shared" si="113"/>
        <v>0.2317660218375463</v>
      </c>
      <c r="L219" s="63">
        <f t="shared" si="114"/>
        <v>2.9532066144941478</v>
      </c>
      <c r="M219" s="63">
        <v>0.13616399804703333</v>
      </c>
    </row>
    <row r="220" spans="8:13" x14ac:dyDescent="0.25">
      <c r="H220" s="63" t="s">
        <v>183</v>
      </c>
      <c r="I220" s="63">
        <v>9.5961788981398755</v>
      </c>
      <c r="J220" s="63">
        <f t="shared" si="112"/>
        <v>0.11864713569819733</v>
      </c>
      <c r="K220" s="63">
        <f t="shared" si="113"/>
        <v>0.19784305200239261</v>
      </c>
      <c r="L220" s="63">
        <f t="shared" si="114"/>
        <v>2.8907231610537174</v>
      </c>
      <c r="M220" s="63">
        <v>0.11816399804703333</v>
      </c>
    </row>
    <row r="221" spans="8:13" x14ac:dyDescent="0.25">
      <c r="H221" s="63" t="s">
        <v>192</v>
      </c>
      <c r="I221" s="63">
        <v>14.579304373504881</v>
      </c>
      <c r="J221" s="63">
        <f t="shared" si="112"/>
        <v>9.5647135698197328E-2</v>
      </c>
      <c r="K221" s="63">
        <f t="shared" si="113"/>
        <v>0.20302076424795437</v>
      </c>
      <c r="L221" s="63">
        <f t="shared" si="114"/>
        <v>3.6551929107997716</v>
      </c>
      <c r="M221" s="63">
        <v>9.5163998047033321E-2</v>
      </c>
    </row>
    <row r="222" spans="8:13" x14ac:dyDescent="0.25">
      <c r="H222" s="63" t="s">
        <v>230</v>
      </c>
      <c r="I222" s="63">
        <v>12.259869586810922</v>
      </c>
      <c r="J222" s="63">
        <f t="shared" si="112"/>
        <v>8.1647135698197329E-2</v>
      </c>
      <c r="K222" s="63">
        <f t="shared" si="113"/>
        <v>0.12797652901445891</v>
      </c>
      <c r="L222" s="63">
        <f t="shared" si="114"/>
        <v>2.685966089040956</v>
      </c>
      <c r="M222" s="63">
        <v>8.1163998047033323E-2</v>
      </c>
    </row>
    <row r="223" spans="8:13" x14ac:dyDescent="0.25">
      <c r="H223" s="63" t="s">
        <v>215</v>
      </c>
      <c r="I223" s="63">
        <v>3.9868809371857856</v>
      </c>
      <c r="J223" s="63">
        <f t="shared" si="112"/>
        <v>0.2556471356981973</v>
      </c>
      <c r="K223" s="63">
        <f t="shared" si="113"/>
        <v>0.33261926684503207</v>
      </c>
      <c r="L223" s="63">
        <f t="shared" si="114"/>
        <v>2.3098528929687179</v>
      </c>
      <c r="M223" s="63">
        <v>0.25516399804703332</v>
      </c>
    </row>
    <row r="224" spans="8:13" x14ac:dyDescent="0.25">
      <c r="H224" s="63" t="s">
        <v>214</v>
      </c>
      <c r="I224" s="63">
        <v>10.028439208866896</v>
      </c>
      <c r="J224" s="63">
        <f t="shared" si="112"/>
        <v>0.12364713569819734</v>
      </c>
      <c r="K224" s="63">
        <f t="shared" si="113"/>
        <v>0.22289509936475463</v>
      </c>
      <c r="L224" s="63">
        <f t="shared" si="114"/>
        <v>3.1290690572670963</v>
      </c>
      <c r="M224" s="63">
        <v>0.12316399804703333</v>
      </c>
    </row>
    <row r="225" spans="8:13" x14ac:dyDescent="0.25">
      <c r="H225" s="63" t="s">
        <v>213</v>
      </c>
      <c r="I225" s="63">
        <v>8.6246495180025686</v>
      </c>
      <c r="J225" s="63">
        <f t="shared" si="112"/>
        <v>0.13564713569819734</v>
      </c>
      <c r="K225" s="63">
        <f t="shared" si="113"/>
        <v>0.22691395667567649</v>
      </c>
      <c r="L225" s="63">
        <f t="shared" si="114"/>
        <v>2.9120330033832031</v>
      </c>
      <c r="M225" s="63">
        <v>0.13516399804703333</v>
      </c>
    </row>
    <row r="226" spans="8:13" x14ac:dyDescent="0.25">
      <c r="H226" s="63" t="s">
        <v>212</v>
      </c>
      <c r="I226" s="63">
        <v>9.2984502615965194</v>
      </c>
      <c r="J226" s="63">
        <f t="shared" si="112"/>
        <v>0.14564713569819734</v>
      </c>
      <c r="K226" s="63">
        <f t="shared" si="113"/>
        <v>0.27847320933963332</v>
      </c>
      <c r="L226" s="63">
        <f t="shared" si="114"/>
        <v>3.3356833296643353</v>
      </c>
      <c r="M226" s="63">
        <v>0.14516399804703334</v>
      </c>
    </row>
    <row r="227" spans="8:13" x14ac:dyDescent="0.25">
      <c r="H227" s="63" t="s">
        <v>426</v>
      </c>
      <c r="I227" s="63">
        <v>2.9580084372668733</v>
      </c>
      <c r="J227" s="63">
        <f t="shared" si="112"/>
        <v>-0.17635286430180266</v>
      </c>
      <c r="K227" s="63">
        <f t="shared" si="113"/>
        <v>-0.12550527318688642</v>
      </c>
      <c r="L227" s="63">
        <f t="shared" si="114"/>
        <v>1.2489880867370837</v>
      </c>
      <c r="M227" s="63">
        <v>-0.17683600195296667</v>
      </c>
    </row>
    <row r="228" spans="8:13" x14ac:dyDescent="0.25">
      <c r="H228" s="63" t="s">
        <v>211</v>
      </c>
      <c r="I228" s="63">
        <v>1.6361942593429444</v>
      </c>
      <c r="J228" s="63">
        <f t="shared" si="112"/>
        <v>0.29664713569819728</v>
      </c>
      <c r="K228" s="63">
        <f t="shared" si="113"/>
        <v>0.17897163050756756</v>
      </c>
      <c r="L228" s="63">
        <f t="shared" si="114"/>
        <v>1.0760302054848487</v>
      </c>
      <c r="M228" s="63">
        <v>0.29616399804703331</v>
      </c>
    </row>
    <row r="229" spans="8:13" x14ac:dyDescent="0.25">
      <c r="H229" s="63" t="s">
        <v>209</v>
      </c>
      <c r="I229" s="63">
        <v>6.2862725331507194</v>
      </c>
      <c r="J229" s="63">
        <f t="shared" si="112"/>
        <v>0.16064713569819733</v>
      </c>
      <c r="K229" s="63">
        <f t="shared" si="113"/>
        <v>0.22505461026647458</v>
      </c>
      <c r="L229" s="63">
        <f t="shared" si="114"/>
        <v>2.4515342906009492</v>
      </c>
      <c r="M229" s="63">
        <v>0.16016399804703332</v>
      </c>
    </row>
    <row r="230" spans="8:13" x14ac:dyDescent="0.25">
      <c r="H230" s="63" t="s">
        <v>210</v>
      </c>
      <c r="I230" s="63">
        <v>12.094195673475639</v>
      </c>
      <c r="J230" s="63">
        <f t="shared" si="112"/>
        <v>8.0647135698197328E-2</v>
      </c>
      <c r="K230" s="63">
        <f t="shared" si="113"/>
        <v>0.12344555711997547</v>
      </c>
      <c r="L230" s="63">
        <f t="shared" si="114"/>
        <v>2.6219943792022966</v>
      </c>
      <c r="M230" s="63">
        <v>8.0163998047033322E-2</v>
      </c>
    </row>
    <row r="231" spans="8:13" x14ac:dyDescent="0.25">
      <c r="H231" s="63" t="s">
        <v>208</v>
      </c>
      <c r="I231" s="63">
        <v>19.658028936312054</v>
      </c>
      <c r="J231" s="63">
        <f t="shared" si="112"/>
        <v>6.3647135698197327E-2</v>
      </c>
      <c r="K231" s="63">
        <f t="shared" si="113"/>
        <v>0.13038309357527916</v>
      </c>
      <c r="L231" s="63">
        <f t="shared" si="114"/>
        <v>3.4833775171373706</v>
      </c>
      <c r="M231" s="63">
        <v>6.3163998047033321E-2</v>
      </c>
    </row>
    <row r="232" spans="8:13" x14ac:dyDescent="0.25">
      <c r="H232" s="63" t="s">
        <v>229</v>
      </c>
      <c r="I232" s="63">
        <v>55.656404494062755</v>
      </c>
      <c r="J232" s="63">
        <f t="shared" si="112"/>
        <v>2.9647135698197331E-2</v>
      </c>
      <c r="K232" s="63">
        <f t="shared" si="113"/>
        <v>9.1832354289397594E-2</v>
      </c>
      <c r="L232" s="63">
        <f t="shared" si="114"/>
        <v>5.1438159943526394</v>
      </c>
      <c r="M232" s="63">
        <v>2.9163998047033325E-2</v>
      </c>
    </row>
    <row r="233" spans="8:13" x14ac:dyDescent="0.25">
      <c r="H233" s="63" t="s">
        <v>265</v>
      </c>
      <c r="I233" s="63">
        <v>18.955956474300912</v>
      </c>
      <c r="J233" s="63">
        <f t="shared" si="112"/>
        <v>6.1647135698197332E-2</v>
      </c>
      <c r="K233" s="63">
        <f t="shared" si="113"/>
        <v>0.11862523858065768</v>
      </c>
      <c r="L233" s="63">
        <f t="shared" si="114"/>
        <v>3.2688310786100323</v>
      </c>
      <c r="M233" s="63">
        <v>6.1163998047033326E-2</v>
      </c>
    </row>
    <row r="234" spans="8:13" x14ac:dyDescent="0.25">
      <c r="H234" s="63" t="s">
        <v>434</v>
      </c>
      <c r="I234" s="63">
        <v>75.895097037358298</v>
      </c>
      <c r="J234" s="63">
        <f t="shared" si="112"/>
        <v>3.7647135698197338E-2</v>
      </c>
      <c r="K234" s="63">
        <f t="shared" si="113"/>
        <v>0.19347354188359653</v>
      </c>
      <c r="L234" s="63">
        <f t="shared" si="114"/>
        <v>8.5976213695653367</v>
      </c>
      <c r="M234" s="63">
        <v>3.7163998047033332E-2</v>
      </c>
    </row>
    <row r="235" spans="8:13" x14ac:dyDescent="0.25">
      <c r="H235" s="63" t="s">
        <v>220</v>
      </c>
      <c r="I235" s="63">
        <v>15.076326113510728</v>
      </c>
      <c r="J235" s="63">
        <f t="shared" si="112"/>
        <v>9.864713569819733E-2</v>
      </c>
      <c r="K235" s="63">
        <f t="shared" si="113"/>
        <v>0.22208711399159578</v>
      </c>
      <c r="L235" s="63">
        <f t="shared" si="114"/>
        <v>3.8805785793083079</v>
      </c>
      <c r="M235" s="63">
        <v>9.8163998047033324E-2</v>
      </c>
    </row>
    <row r="236" spans="8:13" x14ac:dyDescent="0.25">
      <c r="H236" s="63" t="s">
        <v>431</v>
      </c>
      <c r="I236" s="63">
        <v>8.7316582766858311</v>
      </c>
      <c r="J236" s="63">
        <f t="shared" si="112"/>
        <v>-9.3352864301802674E-2</v>
      </c>
      <c r="K236" s="63">
        <f t="shared" si="113"/>
        <v>-0.11633199536015063</v>
      </c>
      <c r="L236" s="63">
        <f t="shared" si="114"/>
        <v>2.1443045592270553</v>
      </c>
      <c r="M236" s="63">
        <v>-9.383600195296668E-2</v>
      </c>
    </row>
    <row r="237" spans="8:13" x14ac:dyDescent="0.25">
      <c r="H237" s="63" t="s">
        <v>219</v>
      </c>
      <c r="I237" s="63">
        <v>75.895097037358298</v>
      </c>
      <c r="J237" s="63">
        <f t="shared" si="112"/>
        <v>3.7647135698197338E-2</v>
      </c>
      <c r="K237" s="63">
        <f t="shared" si="113"/>
        <v>0.19347354188359653</v>
      </c>
      <c r="L237" s="63">
        <f t="shared" si="114"/>
        <v>8.5976213695653367</v>
      </c>
      <c r="M237" s="63">
        <v>3.7163998047033332E-2</v>
      </c>
    </row>
    <row r="238" spans="8:13" x14ac:dyDescent="0.25">
      <c r="H238" s="63" t="s">
        <v>221</v>
      </c>
      <c r="I238" s="63">
        <v>29.861514953176123</v>
      </c>
      <c r="J238" s="63">
        <f t="shared" si="112"/>
        <v>4.2647135698197343E-2</v>
      </c>
      <c r="K238" s="63">
        <f t="shared" si="113"/>
        <v>9.5530331886855099E-2</v>
      </c>
      <c r="L238" s="63">
        <f t="shared" si="114"/>
        <v>3.7620016939372993</v>
      </c>
      <c r="M238" s="63">
        <v>4.2163998047033337E-2</v>
      </c>
    </row>
    <row r="239" spans="8:13" x14ac:dyDescent="0.25">
      <c r="H239" s="63" t="s">
        <v>222</v>
      </c>
      <c r="I239" s="63">
        <v>41.806120934446568</v>
      </c>
      <c r="J239" s="63">
        <f t="shared" si="112"/>
        <v>5.6647135698197341E-2</v>
      </c>
      <c r="K239" s="63">
        <f t="shared" si="113"/>
        <v>0.22427296712691777</v>
      </c>
      <c r="L239" s="63">
        <f t="shared" si="114"/>
        <v>6.7079292388058001</v>
      </c>
      <c r="M239" s="63">
        <v>5.6163998047033335E-2</v>
      </c>
    </row>
    <row r="240" spans="8:13" x14ac:dyDescent="0.25">
      <c r="H240" s="63" t="s">
        <v>223</v>
      </c>
      <c r="I240" s="63">
        <v>14.744978286840164</v>
      </c>
      <c r="J240" s="63">
        <f t="shared" si="112"/>
        <v>9.6647135698197328E-2</v>
      </c>
      <c r="K240" s="63">
        <f t="shared" si="113"/>
        <v>0.2092537663553718</v>
      </c>
      <c r="L240" s="63">
        <f t="shared" si="114"/>
        <v>3.7296333280285432</v>
      </c>
      <c r="M240" s="63">
        <v>9.6163998047033322E-2</v>
      </c>
    </row>
    <row r="241" spans="8:13" x14ac:dyDescent="0.25">
      <c r="H241" s="63" t="s">
        <v>224</v>
      </c>
      <c r="I241" s="63">
        <v>12.756891326816771</v>
      </c>
      <c r="J241" s="63">
        <f t="shared" si="112"/>
        <v>8.4647135698197332E-2</v>
      </c>
      <c r="K241" s="63">
        <f t="shared" si="113"/>
        <v>0.1422089055403227</v>
      </c>
      <c r="L241" s="63">
        <f t="shared" si="114"/>
        <v>2.8821162209067666</v>
      </c>
      <c r="M241" s="63">
        <v>8.4163998047033325E-2</v>
      </c>
    </row>
    <row r="242" spans="8:13" x14ac:dyDescent="0.25">
      <c r="H242" s="63" t="s">
        <v>225</v>
      </c>
      <c r="I242" s="63">
        <v>31.567887236214759</v>
      </c>
      <c r="J242" s="63">
        <f t="shared" si="112"/>
        <v>4.4647135698197331E-2</v>
      </c>
      <c r="K242" s="63">
        <f t="shared" si="113"/>
        <v>0.1097791000907017</v>
      </c>
      <c r="L242" s="63">
        <f t="shared" si="114"/>
        <v>4.1353345327218296</v>
      </c>
      <c r="M242" s="63">
        <v>4.4163998047033325E-2</v>
      </c>
    </row>
    <row r="243" spans="8:13" x14ac:dyDescent="0.25">
      <c r="H243" s="63" t="s">
        <v>226</v>
      </c>
      <c r="I243" s="63">
        <v>8.6920295923619637</v>
      </c>
      <c r="J243" s="63">
        <f t="shared" si="112"/>
        <v>0.13664713569819734</v>
      </c>
      <c r="K243" s="63">
        <f t="shared" si="113"/>
        <v>0.2317660218375463</v>
      </c>
      <c r="L243" s="63">
        <f t="shared" si="114"/>
        <v>2.9532066144941478</v>
      </c>
      <c r="M243" s="63">
        <v>0.13616399804703333</v>
      </c>
    </row>
    <row r="244" spans="8:13" x14ac:dyDescent="0.25">
      <c r="H244" s="63" t="s">
        <v>228</v>
      </c>
      <c r="I244" s="63">
        <v>14.082282633499032</v>
      </c>
      <c r="J244" s="63">
        <f t="shared" si="112"/>
        <v>9.2647135698197339E-2</v>
      </c>
      <c r="K244" s="63">
        <f t="shared" si="113"/>
        <v>0.18504362307904912</v>
      </c>
      <c r="L244" s="63">
        <f t="shared" si="114"/>
        <v>3.4360138070677246</v>
      </c>
      <c r="M244" s="63">
        <v>9.2163998047033333E-2</v>
      </c>
    </row>
    <row r="245" spans="8:13" x14ac:dyDescent="0.25">
      <c r="H245" s="63" t="s">
        <v>227</v>
      </c>
      <c r="I245" s="63">
        <v>12.425543500146206</v>
      </c>
      <c r="J245" s="63">
        <f t="shared" si="112"/>
        <v>8.264713569819733E-2</v>
      </c>
      <c r="K245" s="63">
        <f t="shared" si="113"/>
        <v>0.13261334518846177</v>
      </c>
      <c r="L245" s="63">
        <f t="shared" si="114"/>
        <v>2.750644519779065</v>
      </c>
      <c r="M245" s="63">
        <v>8.2163998047033324E-2</v>
      </c>
    </row>
    <row r="246" spans="8:13" x14ac:dyDescent="0.25">
      <c r="H246" s="63" t="s">
        <v>429</v>
      </c>
      <c r="I246" s="63">
        <v>13.750934806828466</v>
      </c>
      <c r="J246" s="63">
        <f t="shared" si="112"/>
        <v>9.0647135698197337E-2</v>
      </c>
      <c r="K246" s="63">
        <f t="shared" si="113"/>
        <v>0.17364969028457192</v>
      </c>
      <c r="L246" s="63">
        <f t="shared" si="114"/>
        <v>3.2933575733468881</v>
      </c>
      <c r="M246" s="63">
        <v>9.0163998047033331E-2</v>
      </c>
    </row>
    <row r="247" spans="8:13" x14ac:dyDescent="0.25">
      <c r="H247" s="63" t="s">
        <v>285</v>
      </c>
      <c r="I247" s="63">
        <v>13.916608720163751</v>
      </c>
      <c r="J247" s="63">
        <f t="shared" si="112"/>
        <v>9.1647135698197338E-2</v>
      </c>
      <c r="K247" s="63">
        <f t="shared" si="113"/>
        <v>0.17928829073403899</v>
      </c>
      <c r="L247" s="63">
        <f t="shared" si="114"/>
        <v>3.3643386025322108</v>
      </c>
      <c r="M247" s="63">
        <v>9.1163998047033332E-2</v>
      </c>
    </row>
    <row r="248" spans="8:13" x14ac:dyDescent="0.25">
      <c r="H248" s="63" t="s">
        <v>284</v>
      </c>
      <c r="I248" s="63">
        <v>12.922565240152053</v>
      </c>
      <c r="J248" s="63">
        <f t="shared" si="112"/>
        <v>8.5647135698197333E-2</v>
      </c>
      <c r="K248" s="63">
        <f t="shared" si="113"/>
        <v>0.14716984119606608</v>
      </c>
      <c r="L248" s="63">
        <f t="shared" si="114"/>
        <v>2.9489068774831617</v>
      </c>
      <c r="M248" s="63">
        <v>8.5163998047033326E-2</v>
      </c>
    </row>
    <row r="249" spans="8:13" x14ac:dyDescent="0.25">
      <c r="H249" s="63" t="s">
        <v>283</v>
      </c>
      <c r="I249" s="63">
        <v>6.204099035985351</v>
      </c>
      <c r="J249" s="63">
        <f t="shared" si="112"/>
        <v>0.15864713569819733</v>
      </c>
      <c r="K249" s="63">
        <f t="shared" si="113"/>
        <v>0.21710299899832883</v>
      </c>
      <c r="L249" s="63">
        <f t="shared" si="114"/>
        <v>2.3938005853697972</v>
      </c>
      <c r="M249" s="63">
        <v>0.15816399804703332</v>
      </c>
    </row>
    <row r="250" spans="8:13" x14ac:dyDescent="0.25">
      <c r="H250" s="63" t="s">
        <v>280</v>
      </c>
      <c r="I250" s="63">
        <v>18.955956474300912</v>
      </c>
      <c r="J250" s="63">
        <f t="shared" si="112"/>
        <v>6.1647135698197332E-2</v>
      </c>
      <c r="K250" s="63">
        <f t="shared" si="113"/>
        <v>0.11862523858065768</v>
      </c>
      <c r="L250" s="63">
        <f t="shared" si="114"/>
        <v>3.2688310786100323</v>
      </c>
      <c r="M250" s="63">
        <v>6.1163998047033326E-2</v>
      </c>
    </row>
    <row r="251" spans="8:13" x14ac:dyDescent="0.25">
      <c r="H251" s="63" t="s">
        <v>282</v>
      </c>
      <c r="I251" s="63">
        <v>29.861514953176123</v>
      </c>
      <c r="J251" s="63">
        <f t="shared" si="112"/>
        <v>4.2647135698197343E-2</v>
      </c>
      <c r="K251" s="63">
        <f t="shared" si="113"/>
        <v>9.5530331886855099E-2</v>
      </c>
      <c r="L251" s="63">
        <f t="shared" si="114"/>
        <v>3.7620016939372993</v>
      </c>
      <c r="M251" s="63">
        <v>4.2163998047033337E-2</v>
      </c>
    </row>
    <row r="252" spans="8:13" x14ac:dyDescent="0.25">
      <c r="H252" s="63" t="s">
        <v>430</v>
      </c>
      <c r="I252" s="63">
        <v>14.579304373504881</v>
      </c>
      <c r="J252" s="63">
        <f t="shared" si="112"/>
        <v>9.5647135698197328E-2</v>
      </c>
      <c r="K252" s="63">
        <f t="shared" si="113"/>
        <v>0.20302076424795437</v>
      </c>
      <c r="L252" s="63">
        <f t="shared" si="114"/>
        <v>3.6551929107997716</v>
      </c>
      <c r="M252" s="63">
        <v>9.5163998047033321E-2</v>
      </c>
    </row>
    <row r="253" spans="8:13" x14ac:dyDescent="0.25">
      <c r="H253" s="63" t="s">
        <v>252</v>
      </c>
      <c r="I253" s="63">
        <v>3.6975105465835916</v>
      </c>
      <c r="J253" s="63">
        <f t="shared" si="112"/>
        <v>-0.22235286430180268</v>
      </c>
      <c r="K253" s="63">
        <f t="shared" si="113"/>
        <v>-0.23926227600190028</v>
      </c>
      <c r="L253" s="63">
        <f t="shared" si="114"/>
        <v>1.9020888874073802</v>
      </c>
      <c r="M253" s="63">
        <v>-0.22283600195296668</v>
      </c>
    </row>
    <row r="254" spans="8:13" x14ac:dyDescent="0.25">
      <c r="H254" s="63" t="s">
        <v>253</v>
      </c>
      <c r="I254" s="63">
        <v>366.82630234723172</v>
      </c>
      <c r="J254" s="63">
        <f t="shared" si="112"/>
        <v>-2.1381864301802667E-2</v>
      </c>
      <c r="K254" s="63">
        <f t="shared" si="113"/>
        <v>-0.33379009816840211</v>
      </c>
      <c r="L254" s="63">
        <f t="shared" si="114"/>
        <v>25.662577576911136</v>
      </c>
      <c r="M254" s="63">
        <v>-2.1865001952966673E-2</v>
      </c>
    </row>
    <row r="255" spans="8:13" x14ac:dyDescent="0.25">
      <c r="H255" s="63" t="s">
        <v>235</v>
      </c>
      <c r="I255" s="63">
        <v>326.34891726064069</v>
      </c>
      <c r="J255" s="63">
        <f t="shared" si="112"/>
        <v>-2.1381864301802667E-2</v>
      </c>
      <c r="K255" s="63">
        <f t="shared" si="113"/>
        <v>-0.29695808733602674</v>
      </c>
      <c r="L255" s="63">
        <f t="shared" si="114"/>
        <v>22.830844878769224</v>
      </c>
      <c r="M255" s="63">
        <v>-2.1865001952966673E-2</v>
      </c>
    </row>
    <row r="256" spans="8:13" x14ac:dyDescent="0.25">
      <c r="H256" s="63" t="s">
        <v>236</v>
      </c>
      <c r="I256" s="63">
        <v>263.10300306284211</v>
      </c>
      <c r="J256" s="63">
        <f t="shared" si="112"/>
        <v>-2.1381864301802667E-2</v>
      </c>
      <c r="K256" s="63">
        <f t="shared" si="113"/>
        <v>-0.23940807041044015</v>
      </c>
      <c r="L256" s="63">
        <f t="shared" si="114"/>
        <v>18.406262537922476</v>
      </c>
      <c r="M256" s="63">
        <v>-2.1865001952966673E-2</v>
      </c>
    </row>
    <row r="257" spans="8:13" x14ac:dyDescent="0.25">
      <c r="H257" s="63" t="s">
        <v>237</v>
      </c>
      <c r="I257" s="63">
        <v>199.85708886504352</v>
      </c>
      <c r="J257" s="63">
        <f t="shared" si="112"/>
        <v>-2.1381864301802667E-2</v>
      </c>
      <c r="K257" s="63">
        <f t="shared" si="113"/>
        <v>-0.18185805348485359</v>
      </c>
      <c r="L257" s="63">
        <f t="shared" si="114"/>
        <v>13.981680197075727</v>
      </c>
      <c r="M257" s="63">
        <v>-2.1865001952966673E-2</v>
      </c>
    </row>
    <row r="258" spans="8:13" x14ac:dyDescent="0.25">
      <c r="H258" s="63" t="s">
        <v>238</v>
      </c>
      <c r="I258" s="63">
        <v>225.15545454416295</v>
      </c>
      <c r="J258" s="63">
        <f t="shared" si="112"/>
        <v>-2.1381864301802667E-2</v>
      </c>
      <c r="K258" s="63">
        <f t="shared" si="113"/>
        <v>-0.2048780602550882</v>
      </c>
      <c r="L258" s="63">
        <f t="shared" si="114"/>
        <v>15.751513133414425</v>
      </c>
      <c r="M258" s="63">
        <v>-2.1865001952966673E-2</v>
      </c>
    </row>
    <row r="259" spans="8:13" x14ac:dyDescent="0.25">
      <c r="H259" s="63" t="s">
        <v>239</v>
      </c>
      <c r="I259" s="63">
        <v>225.15545454416295</v>
      </c>
      <c r="J259" s="63">
        <f t="shared" si="112"/>
        <v>-2.1381864301802667E-2</v>
      </c>
      <c r="K259" s="63">
        <f t="shared" si="113"/>
        <v>-0.2048780602550882</v>
      </c>
      <c r="L259" s="63">
        <f t="shared" si="114"/>
        <v>15.751513133414425</v>
      </c>
      <c r="M259" s="63">
        <v>-2.1865001952966673E-2</v>
      </c>
    </row>
    <row r="260" spans="8:13" x14ac:dyDescent="0.25">
      <c r="H260" s="63" t="s">
        <v>240</v>
      </c>
      <c r="I260" s="63">
        <v>113.84264555603744</v>
      </c>
      <c r="J260" s="63">
        <f t="shared" si="112"/>
        <v>-2.1381864301802667E-2</v>
      </c>
      <c r="K260" s="63">
        <f t="shared" si="113"/>
        <v>-0.10359003046605583</v>
      </c>
      <c r="L260" s="63">
        <f t="shared" si="114"/>
        <v>7.9642482135241472</v>
      </c>
      <c r="M260" s="63">
        <v>-2.1865001952966673E-2</v>
      </c>
    </row>
    <row r="261" spans="8:13" x14ac:dyDescent="0.25">
      <c r="H261" s="63" t="s">
        <v>241</v>
      </c>
      <c r="I261" s="63">
        <v>108.78297242021355</v>
      </c>
      <c r="J261" s="63">
        <f t="shared" si="112"/>
        <v>-2.1381864301802667E-2</v>
      </c>
      <c r="K261" s="63">
        <f t="shared" si="113"/>
        <v>-9.8986029112008905E-2</v>
      </c>
      <c r="L261" s="63">
        <f t="shared" si="114"/>
        <v>7.6102816262564073</v>
      </c>
      <c r="M261" s="63">
        <v>-2.1865001952966673E-2</v>
      </c>
    </row>
    <row r="262" spans="8:13" x14ac:dyDescent="0.25">
      <c r="H262" s="63" t="s">
        <v>243</v>
      </c>
      <c r="I262" s="63">
        <v>166.96921348218822</v>
      </c>
      <c r="J262" s="63">
        <f t="shared" si="112"/>
        <v>-2.1381864301802667E-2</v>
      </c>
      <c r="K262" s="63">
        <f t="shared" si="113"/>
        <v>-0.15193204468354854</v>
      </c>
      <c r="L262" s="63">
        <f t="shared" si="114"/>
        <v>11.680897379835415</v>
      </c>
      <c r="M262" s="63">
        <v>-2.1865001952966673E-2</v>
      </c>
    </row>
    <row r="263" spans="8:13" x14ac:dyDescent="0.25">
      <c r="H263" s="63" t="s">
        <v>242</v>
      </c>
      <c r="I263" s="63">
        <v>121.43215525977327</v>
      </c>
      <c r="J263" s="63">
        <f t="shared" si="112"/>
        <v>-2.1381864301802667E-2</v>
      </c>
      <c r="K263" s="63">
        <f t="shared" si="113"/>
        <v>-0.11049603249712622</v>
      </c>
      <c r="L263" s="63">
        <f t="shared" si="114"/>
        <v>8.4951980944257564</v>
      </c>
      <c r="M263" s="63">
        <v>-2.1865001952966673E-2</v>
      </c>
    </row>
    <row r="264" spans="8:13" x14ac:dyDescent="0.25">
      <c r="H264" s="63" t="s">
        <v>244</v>
      </c>
      <c r="I264" s="63">
        <v>48.06689479032692</v>
      </c>
      <c r="J264" s="63">
        <f t="shared" si="112"/>
        <v>-2.1381864301802667E-2</v>
      </c>
      <c r="K264" s="63">
        <f t="shared" si="113"/>
        <v>-4.3738012863445794E-2</v>
      </c>
      <c r="L264" s="63">
        <f t="shared" si="114"/>
        <v>3.3626825790435286</v>
      </c>
      <c r="M264" s="63">
        <v>-2.1865001952966673E-2</v>
      </c>
    </row>
    <row r="265" spans="8:13" x14ac:dyDescent="0.25">
      <c r="H265" s="63" t="s">
        <v>245</v>
      </c>
      <c r="I265" s="63">
        <v>146.73052093889271</v>
      </c>
      <c r="J265" s="63">
        <f t="shared" si="112"/>
        <v>-2.1381864301802667E-2</v>
      </c>
      <c r="K265" s="63">
        <f t="shared" si="113"/>
        <v>-0.13351603926736086</v>
      </c>
      <c r="L265" s="63">
        <f t="shared" si="114"/>
        <v>10.265031030764458</v>
      </c>
      <c r="M265" s="63">
        <v>-2.1865001952966673E-2</v>
      </c>
    </row>
    <row r="266" spans="8:13" x14ac:dyDescent="0.25">
      <c r="H266" s="63" t="s">
        <v>246</v>
      </c>
      <c r="I266" s="63">
        <v>212.50627170460322</v>
      </c>
      <c r="J266" s="63">
        <f t="shared" si="112"/>
        <v>-2.1381864301802667E-2</v>
      </c>
      <c r="K266" s="63">
        <f t="shared" si="113"/>
        <v>-0.19336805686997088</v>
      </c>
      <c r="L266" s="63">
        <f t="shared" si="114"/>
        <v>14.866596665245075</v>
      </c>
      <c r="M266" s="63">
        <v>-2.1865001952966673E-2</v>
      </c>
    </row>
    <row r="267" spans="8:13" x14ac:dyDescent="0.25">
      <c r="H267" s="63" t="s">
        <v>247</v>
      </c>
      <c r="I267" s="63">
        <v>265.63283963075406</v>
      </c>
      <c r="J267" s="63">
        <f t="shared" si="112"/>
        <v>-2.1381864301802667E-2</v>
      </c>
      <c r="K267" s="63">
        <f t="shared" si="113"/>
        <v>-0.24171007108746365</v>
      </c>
      <c r="L267" s="63">
        <f t="shared" si="114"/>
        <v>18.583245831556344</v>
      </c>
      <c r="M267" s="63">
        <v>-2.1865001952966673E-2</v>
      </c>
    </row>
    <row r="268" spans="8:13" x14ac:dyDescent="0.25">
      <c r="H268" s="63" t="s">
        <v>248</v>
      </c>
      <c r="I268" s="63">
        <v>227.68529111207488</v>
      </c>
      <c r="J268" s="63">
        <f t="shared" si="112"/>
        <v>-2.1381864301802667E-2</v>
      </c>
      <c r="K268" s="63">
        <f t="shared" si="113"/>
        <v>-0.20718006093211166</v>
      </c>
      <c r="L268" s="63">
        <f t="shared" si="114"/>
        <v>15.928496427048294</v>
      </c>
      <c r="M268" s="63">
        <v>-2.1865001952966673E-2</v>
      </c>
    </row>
    <row r="269" spans="8:13" x14ac:dyDescent="0.25">
      <c r="H269" s="63" t="s">
        <v>249</v>
      </c>
      <c r="I269" s="63">
        <v>197.32725229713157</v>
      </c>
      <c r="J269" s="63">
        <f t="shared" si="112"/>
        <v>-2.1381864301802667E-2</v>
      </c>
      <c r="K269" s="63">
        <f t="shared" si="113"/>
        <v>-0.1795560528078301</v>
      </c>
      <c r="L269" s="63">
        <f t="shared" si="114"/>
        <v>13.804696903441855</v>
      </c>
      <c r="M269" s="63">
        <v>-2.1865001952966673E-2</v>
      </c>
    </row>
    <row r="270" spans="8:13" x14ac:dyDescent="0.25">
      <c r="H270" s="63" t="s">
        <v>250</v>
      </c>
      <c r="I270" s="63">
        <v>209.97643513669126</v>
      </c>
      <c r="J270" s="63">
        <f t="shared" si="112"/>
        <v>-2.1381864301802667E-2</v>
      </c>
      <c r="K270" s="63">
        <f t="shared" si="113"/>
        <v>-0.19106605619294742</v>
      </c>
      <c r="L270" s="63">
        <f t="shared" si="114"/>
        <v>14.689613371611204</v>
      </c>
      <c r="M270" s="63">
        <v>-2.1865001952966673E-2</v>
      </c>
    </row>
    <row r="271" spans="8:13" x14ac:dyDescent="0.25">
      <c r="H271" s="63" t="s">
        <v>432</v>
      </c>
      <c r="I271" s="63">
        <v>442.72139938459003</v>
      </c>
      <c r="J271" s="63">
        <f t="shared" si="112"/>
        <v>-2.1381864301802667E-2</v>
      </c>
      <c r="K271" s="63">
        <f t="shared" si="113"/>
        <v>-0.40285011847910601</v>
      </c>
      <c r="L271" s="63">
        <f t="shared" si="114"/>
        <v>30.972076385927235</v>
      </c>
      <c r="M271" s="63">
        <v>-2.1865001952966673E-2</v>
      </c>
    </row>
    <row r="272" spans="8:13" x14ac:dyDescent="0.25">
      <c r="H272" s="63" t="s">
        <v>269</v>
      </c>
      <c r="I272" s="63">
        <v>427.5423799771184</v>
      </c>
      <c r="J272" s="63">
        <f t="shared" si="112"/>
        <v>-2.1381864301802667E-2</v>
      </c>
      <c r="K272" s="63">
        <f t="shared" si="113"/>
        <v>-0.38903811441696523</v>
      </c>
      <c r="L272" s="63">
        <f t="shared" si="114"/>
        <v>29.910176624124016</v>
      </c>
      <c r="M272" s="63">
        <v>-2.1865001952966673E-2</v>
      </c>
    </row>
    <row r="273" spans="8:13" x14ac:dyDescent="0.25">
      <c r="H273" s="63" t="s">
        <v>270</v>
      </c>
      <c r="I273" s="63">
        <v>427.5423799771184</v>
      </c>
      <c r="J273" s="63">
        <f t="shared" si="112"/>
        <v>-2.1381864301802667E-2</v>
      </c>
      <c r="K273" s="63">
        <f t="shared" si="113"/>
        <v>-0.38903811441696523</v>
      </c>
      <c r="L273" s="63">
        <f t="shared" si="114"/>
        <v>29.910176624124016</v>
      </c>
      <c r="M273" s="63">
        <v>-2.1865001952966673E-2</v>
      </c>
    </row>
    <row r="274" spans="8:13" x14ac:dyDescent="0.25">
      <c r="H274" s="63" t="s">
        <v>272</v>
      </c>
      <c r="I274" s="63">
        <v>338.99810010020042</v>
      </c>
      <c r="J274" s="63">
        <f t="shared" si="112"/>
        <v>-2.1381864301802667E-2</v>
      </c>
      <c r="K274" s="63">
        <f t="shared" si="113"/>
        <v>-0.30846809072114406</v>
      </c>
      <c r="L274" s="63">
        <f t="shared" si="114"/>
        <v>23.715761346938571</v>
      </c>
      <c r="M274" s="63">
        <v>-2.1865001952966673E-2</v>
      </c>
    </row>
    <row r="275" spans="8:13" x14ac:dyDescent="0.25">
      <c r="H275" s="63" t="s">
        <v>271</v>
      </c>
      <c r="I275" s="63">
        <v>665.34701736084105</v>
      </c>
      <c r="J275" s="63">
        <f t="shared" si="112"/>
        <v>-2.1381864301802667E-2</v>
      </c>
      <c r="K275" s="63">
        <f t="shared" si="113"/>
        <v>-0.60542617805717081</v>
      </c>
      <c r="L275" s="63">
        <f t="shared" si="114"/>
        <v>46.546606225707791</v>
      </c>
      <c r="M275" s="63">
        <v>-2.1865001952966673E-2</v>
      </c>
    </row>
    <row r="276" spans="8:13" x14ac:dyDescent="0.25">
      <c r="H276" s="63" t="s">
        <v>273</v>
      </c>
      <c r="I276" s="63">
        <v>650.16799795336942</v>
      </c>
      <c r="J276" s="63">
        <f t="shared" ref="J276:J280" si="115">M173</f>
        <v>-2.1381864301802667E-2</v>
      </c>
      <c r="K276" s="63">
        <f t="shared" ref="K276:K280" si="116">I276*SIGN(J276)*ABS(J276)^1.821</f>
        <v>-0.59161417399503002</v>
      </c>
      <c r="L276" s="63">
        <f t="shared" ref="L276:L280" si="117">1.852*I276*ABS(J276)^(1.852-1)</f>
        <v>45.484706463904573</v>
      </c>
      <c r="M276" s="63">
        <v>-2.1865001952966673E-2</v>
      </c>
    </row>
    <row r="277" spans="8:13" x14ac:dyDescent="0.25">
      <c r="H277" s="63" t="s">
        <v>274</v>
      </c>
      <c r="I277" s="63">
        <v>437.66172624876617</v>
      </c>
      <c r="J277" s="63">
        <f t="shared" si="115"/>
        <v>-2.1381864301802667E-2</v>
      </c>
      <c r="K277" s="63">
        <f t="shared" si="116"/>
        <v>-0.39824611712505908</v>
      </c>
      <c r="L277" s="63">
        <f t="shared" si="117"/>
        <v>30.6181097986595</v>
      </c>
      <c r="M277" s="63">
        <v>-2.1865001952966673E-2</v>
      </c>
    </row>
    <row r="278" spans="8:13" x14ac:dyDescent="0.25">
      <c r="H278" s="63" t="s">
        <v>275</v>
      </c>
      <c r="I278" s="63">
        <v>118.90231869186132</v>
      </c>
      <c r="J278" s="63">
        <f t="shared" si="115"/>
        <v>-2.1381864301802667E-2</v>
      </c>
      <c r="K278" s="63">
        <f t="shared" si="116"/>
        <v>-0.10819403182010276</v>
      </c>
      <c r="L278" s="63">
        <f t="shared" si="117"/>
        <v>8.3182148007918872</v>
      </c>
      <c r="M278" s="63">
        <v>-2.1865001952966673E-2</v>
      </c>
    </row>
    <row r="279" spans="8:13" x14ac:dyDescent="0.25">
      <c r="H279" s="63" t="s">
        <v>277</v>
      </c>
      <c r="I279" s="63">
        <v>5.6427226167427849</v>
      </c>
      <c r="J279" s="63">
        <f t="shared" si="115"/>
        <v>-0.22077786430180268</v>
      </c>
      <c r="K279" s="63">
        <f t="shared" si="116"/>
        <v>-0.36043895187908914</v>
      </c>
      <c r="L279" s="63">
        <f t="shared" si="117"/>
        <v>2.8852257131543695</v>
      </c>
      <c r="M279" s="63">
        <v>-0.22126100195296669</v>
      </c>
    </row>
    <row r="280" spans="8:13" x14ac:dyDescent="0.25">
      <c r="H280" s="63" t="s">
        <v>427</v>
      </c>
      <c r="I280" s="63">
        <v>2.7168664450983777</v>
      </c>
      <c r="J280" s="63">
        <f t="shared" si="115"/>
        <v>-0.22077786430180268</v>
      </c>
      <c r="K280" s="63">
        <f t="shared" si="116"/>
        <v>-0.17354468053437624</v>
      </c>
      <c r="L280" s="63">
        <f t="shared" si="117"/>
        <v>1.3891827507780294</v>
      </c>
      <c r="M280" s="63">
        <v>-0.22126100195296669</v>
      </c>
    </row>
    <row r="281" spans="8:13" x14ac:dyDescent="0.25">
      <c r="H281" s="63" t="s">
        <v>380</v>
      </c>
      <c r="I281" s="63"/>
      <c r="J281" s="63"/>
      <c r="K281" s="63">
        <v>-0.68913764375697717</v>
      </c>
      <c r="L281" s="63">
        <v>656.19618700619571</v>
      </c>
      <c r="M281" s="63"/>
    </row>
    <row r="282" spans="8:13" x14ac:dyDescent="0.25">
      <c r="H282" s="82" t="s">
        <v>381</v>
      </c>
      <c r="I282" s="238">
        <f>-(K281/L281)</f>
        <v>1.0502006220137795E-3</v>
      </c>
      <c r="J282" s="238"/>
      <c r="K282" s="238"/>
      <c r="L282" s="238"/>
      <c r="M282" s="238"/>
    </row>
    <row r="283" spans="8:13" x14ac:dyDescent="0.25">
      <c r="H283" s="63" t="s">
        <v>547</v>
      </c>
      <c r="I283" s="238">
        <f>I180-I282</f>
        <v>4.4965338321559956E-3</v>
      </c>
      <c r="J283" s="238"/>
      <c r="K283" s="238"/>
      <c r="L283" s="238"/>
      <c r="M283" s="238"/>
    </row>
    <row r="284" spans="8:13" x14ac:dyDescent="0.25">
      <c r="H284" s="63" t="s">
        <v>548</v>
      </c>
      <c r="I284" s="238" t="str">
        <f>IF(I283&gt;0, "L'agorithme est fonctionel","L'algorithme n'est pas fonctionnel; maille à revérifier")</f>
        <v>L'agorithme est fonctionel</v>
      </c>
      <c r="J284" s="238"/>
      <c r="K284" s="238"/>
      <c r="L284" s="238"/>
      <c r="M284" s="238"/>
    </row>
  </sheetData>
  <mergeCells count="143">
    <mergeCell ref="A1:D4"/>
    <mergeCell ref="A10:D13"/>
    <mergeCell ref="E10:H13"/>
    <mergeCell ref="I10:L13"/>
    <mergeCell ref="M10:P13"/>
    <mergeCell ref="BD74:BI74"/>
    <mergeCell ref="BD75:BK75"/>
    <mergeCell ref="AL20:AV20"/>
    <mergeCell ref="D93:M93"/>
    <mergeCell ref="C20:M20"/>
    <mergeCell ref="S93:AB93"/>
    <mergeCell ref="R20:AD20"/>
    <mergeCell ref="Q10:Q13"/>
    <mergeCell ref="AN60:AU60"/>
    <mergeCell ref="BB20:BL20"/>
    <mergeCell ref="R10:T13"/>
    <mergeCell ref="U10:X13"/>
    <mergeCell ref="Y10:AB13"/>
    <mergeCell ref="AC10:AF13"/>
    <mergeCell ref="AG10:AJ13"/>
    <mergeCell ref="BI10:BL13"/>
    <mergeCell ref="AK10:AN13"/>
    <mergeCell ref="AO10:AR13"/>
    <mergeCell ref="AS10:AV13"/>
    <mergeCell ref="AW10:AZ13"/>
    <mergeCell ref="BA10:BD13"/>
    <mergeCell ref="BE10:BH13"/>
    <mergeCell ref="CJ70:CO70"/>
    <mergeCell ref="CJ71:CQ71"/>
    <mergeCell ref="CX20:DH20"/>
    <mergeCell ref="CZ55:DE55"/>
    <mergeCell ref="CZ56:DG56"/>
    <mergeCell ref="BR20:CB20"/>
    <mergeCell ref="BT63:BY63"/>
    <mergeCell ref="BT64:CA64"/>
    <mergeCell ref="CH20:CR20"/>
    <mergeCell ref="CG10:CJ13"/>
    <mergeCell ref="CK10:CN13"/>
    <mergeCell ref="CO10:CR13"/>
    <mergeCell ref="CS10:CV13"/>
    <mergeCell ref="CW10:CZ13"/>
    <mergeCell ref="BM10:BP13"/>
    <mergeCell ref="BQ10:BT13"/>
    <mergeCell ref="BU10:BX13"/>
    <mergeCell ref="BY10:CB13"/>
    <mergeCell ref="CC10:CF13"/>
    <mergeCell ref="DU10:DX13"/>
    <mergeCell ref="DY10:EB13"/>
    <mergeCell ref="EC10:EF13"/>
    <mergeCell ref="EG10:EJ13"/>
    <mergeCell ref="EK10:EN13"/>
    <mergeCell ref="DA10:DD13"/>
    <mergeCell ref="DE10:DH13"/>
    <mergeCell ref="DI10:DL13"/>
    <mergeCell ref="DM10:DP13"/>
    <mergeCell ref="DQ10:DT13"/>
    <mergeCell ref="AO99:AR102"/>
    <mergeCell ref="AS99:AV102"/>
    <mergeCell ref="AW99:AZ102"/>
    <mergeCell ref="BA99:BD102"/>
    <mergeCell ref="U99:X102"/>
    <mergeCell ref="Y99:AB102"/>
    <mergeCell ref="AC99:AF102"/>
    <mergeCell ref="AG99:AJ102"/>
    <mergeCell ref="A99:D102"/>
    <mergeCell ref="E99:H102"/>
    <mergeCell ref="I99:L102"/>
    <mergeCell ref="M99:P102"/>
    <mergeCell ref="EG99:EJ102"/>
    <mergeCell ref="Q99:T102"/>
    <mergeCell ref="EK99:EN102"/>
    <mergeCell ref="DM99:DP102"/>
    <mergeCell ref="DQ99:DT102"/>
    <mergeCell ref="DU99:DX102"/>
    <mergeCell ref="DY99:EB102"/>
    <mergeCell ref="EC99:EF102"/>
    <mergeCell ref="CS99:CV102"/>
    <mergeCell ref="CW99:CZ102"/>
    <mergeCell ref="DA99:DD102"/>
    <mergeCell ref="DE99:DH102"/>
    <mergeCell ref="DI99:DL102"/>
    <mergeCell ref="BY99:CB102"/>
    <mergeCell ref="CC99:CF102"/>
    <mergeCell ref="CG99:CJ102"/>
    <mergeCell ref="CK99:CN102"/>
    <mergeCell ref="CO99:CR102"/>
    <mergeCell ref="BE99:BH102"/>
    <mergeCell ref="BI99:BL102"/>
    <mergeCell ref="BM99:BP102"/>
    <mergeCell ref="BQ99:BT102"/>
    <mergeCell ref="BU99:BX102"/>
    <mergeCell ref="AK99:AN102"/>
    <mergeCell ref="A202:D205"/>
    <mergeCell ref="E202:H205"/>
    <mergeCell ref="I202:L205"/>
    <mergeCell ref="M202:P205"/>
    <mergeCell ref="Q202:T205"/>
    <mergeCell ref="U202:X205"/>
    <mergeCell ref="Y202:AB205"/>
    <mergeCell ref="W106:AD106"/>
    <mergeCell ref="AW106:BG106"/>
    <mergeCell ref="AN146:AU146"/>
    <mergeCell ref="AN148:AW148"/>
    <mergeCell ref="AN147:AW147"/>
    <mergeCell ref="X179:AB179"/>
    <mergeCell ref="X180:AB180"/>
    <mergeCell ref="X181:AB181"/>
    <mergeCell ref="EC202:EF205"/>
    <mergeCell ref="EG202:EJ205"/>
    <mergeCell ref="EK202:EN205"/>
    <mergeCell ref="DE202:DH205"/>
    <mergeCell ref="DI202:DL205"/>
    <mergeCell ref="DM202:DP205"/>
    <mergeCell ref="DQ202:DT205"/>
    <mergeCell ref="DU202:DX205"/>
    <mergeCell ref="CK202:CN205"/>
    <mergeCell ref="CO202:CR205"/>
    <mergeCell ref="CS202:CV205"/>
    <mergeCell ref="CW202:CZ205"/>
    <mergeCell ref="DA202:DD205"/>
    <mergeCell ref="H209:M209"/>
    <mergeCell ref="I179:M179"/>
    <mergeCell ref="I180:M180"/>
    <mergeCell ref="I181:M181"/>
    <mergeCell ref="H106:M106"/>
    <mergeCell ref="I282:M282"/>
    <mergeCell ref="I283:M283"/>
    <mergeCell ref="I284:M284"/>
    <mergeCell ref="DY202:EB205"/>
    <mergeCell ref="BQ202:BT205"/>
    <mergeCell ref="BU202:BX205"/>
    <mergeCell ref="BY202:CB205"/>
    <mergeCell ref="CC202:CF205"/>
    <mergeCell ref="CG202:CJ205"/>
    <mergeCell ref="AW202:AZ205"/>
    <mergeCell ref="BA202:BD205"/>
    <mergeCell ref="BE202:BH205"/>
    <mergeCell ref="BI202:BL205"/>
    <mergeCell ref="BM202:BP205"/>
    <mergeCell ref="AC202:AF205"/>
    <mergeCell ref="AK202:AN205"/>
    <mergeCell ref="AO202:AR205"/>
    <mergeCell ref="AS202:AV205"/>
  </mergeCells>
  <conditionalFormatting sqref="J16">
    <cfRule type="expression" dxfId="79" priority="117">
      <formula>J16&gt;0</formula>
    </cfRule>
    <cfRule type="expression" dxfId="78" priority="118">
      <formula>J16&lt;0</formula>
    </cfRule>
  </conditionalFormatting>
  <conditionalFormatting sqref="J22:J91">
    <cfRule type="expression" dxfId="77" priority="119">
      <formula>J22&gt;0</formula>
    </cfRule>
    <cfRule type="expression" dxfId="76" priority="120">
      <formula>J22&lt;0</formula>
    </cfRule>
  </conditionalFormatting>
  <conditionalFormatting sqref="J108:J177">
    <cfRule type="expression" dxfId="75" priority="40">
      <formula>J108&gt;0</formula>
    </cfRule>
    <cfRule type="expression" dxfId="74" priority="41">
      <formula>J108&lt;0</formula>
    </cfRule>
  </conditionalFormatting>
  <conditionalFormatting sqref="J211:J280">
    <cfRule type="expression" dxfId="73" priority="19">
      <formula>J211&gt;0</formula>
    </cfRule>
    <cfRule type="expression" dxfId="72" priority="20">
      <formula>J211&lt;0</formula>
    </cfRule>
  </conditionalFormatting>
  <conditionalFormatting sqref="M22:M92">
    <cfRule type="expression" dxfId="71" priority="115">
      <formula>M22&gt;0</formula>
    </cfRule>
    <cfRule type="expression" dxfId="70" priority="116">
      <formula>M22&lt;0</formula>
    </cfRule>
  </conditionalFormatting>
  <conditionalFormatting sqref="M108:M178">
    <cfRule type="expression" dxfId="69" priority="36">
      <formula>M108&gt;0</formula>
    </cfRule>
    <cfRule type="expression" dxfId="68" priority="37">
      <formula>M108&lt;0</formula>
    </cfRule>
  </conditionalFormatting>
  <conditionalFormatting sqref="M211:M281">
    <cfRule type="expression" dxfId="67" priority="15">
      <formula>M211&gt;0</formula>
    </cfRule>
    <cfRule type="expression" dxfId="66" priority="16">
      <formula>M211&lt;0</formula>
    </cfRule>
  </conditionalFormatting>
  <conditionalFormatting sqref="P22:P91">
    <cfRule type="cellIs" dxfId="65" priority="90" operator="greaterThan">
      <formula>0</formula>
    </cfRule>
  </conditionalFormatting>
  <conditionalFormatting sqref="R107">
    <cfRule type="expression" dxfId="64" priority="13">
      <formula>R107&gt;0</formula>
    </cfRule>
    <cfRule type="expression" dxfId="63" priority="14">
      <formula>R107&lt;0</formula>
    </cfRule>
  </conditionalFormatting>
  <conditionalFormatting sqref="Y22:AA91">
    <cfRule type="expression" dxfId="62" priority="113">
      <formula>Y22&gt;0</formula>
    </cfRule>
    <cfRule type="expression" dxfId="61" priority="114">
      <formula>Y22&lt;0</formula>
    </cfRule>
  </conditionalFormatting>
  <conditionalFormatting sqref="Y108:AA177">
    <cfRule type="expression" dxfId="60" priority="3">
      <formula>Y108&gt;0</formula>
    </cfRule>
    <cfRule type="expression" dxfId="59" priority="4">
      <formula>Y108&lt;0</formula>
    </cfRule>
  </conditionalFormatting>
  <conditionalFormatting sqref="AD22:AD91">
    <cfRule type="expression" dxfId="58" priority="111">
      <formula>AD22&gt;0</formula>
    </cfRule>
    <cfRule type="expression" dxfId="57" priority="112">
      <formula>AD22&lt;0</formula>
    </cfRule>
  </conditionalFormatting>
  <conditionalFormatting sqref="AD108:AD177">
    <cfRule type="expression" dxfId="56" priority="1">
      <formula>AD108&gt;0</formula>
    </cfRule>
    <cfRule type="expression" dxfId="55" priority="2">
      <formula>AD108&lt;0</formula>
    </cfRule>
  </conditionalFormatting>
  <conditionalFormatting sqref="AF22:AF91">
    <cfRule type="expression" dxfId="54" priority="9">
      <formula>AF22&gt;0</formula>
    </cfRule>
    <cfRule type="expression" dxfId="53" priority="10">
      <formula>AF22&lt;0</formula>
    </cfRule>
  </conditionalFormatting>
  <conditionalFormatting sqref="AF108:AF176">
    <cfRule type="expression" dxfId="52" priority="7">
      <formula>AF108&gt;0</formula>
    </cfRule>
    <cfRule type="expression" dxfId="51" priority="8">
      <formula>AF108&lt;0</formula>
    </cfRule>
  </conditionalFormatting>
  <conditionalFormatting sqref="AJ22:AJ58">
    <cfRule type="cellIs" dxfId="50" priority="91" operator="greaterThan">
      <formula>0</formula>
    </cfRule>
  </conditionalFormatting>
  <conditionalFormatting sqref="AJ108:AJ144">
    <cfRule type="cellIs" dxfId="49" priority="25" operator="greaterThan">
      <formula>0</formula>
    </cfRule>
  </conditionalFormatting>
  <conditionalFormatting sqref="AS16">
    <cfRule type="expression" dxfId="48" priority="109">
      <formula>AS16&gt;0</formula>
    </cfRule>
    <cfRule type="expression" dxfId="47" priority="110">
      <formula>AS16&lt;0</formula>
    </cfRule>
  </conditionalFormatting>
  <conditionalFormatting sqref="AS22:AS58">
    <cfRule type="expression" dxfId="46" priority="101">
      <formula>AS22&gt;0</formula>
    </cfRule>
    <cfRule type="expression" dxfId="45" priority="102">
      <formula>AS22&lt;0</formula>
    </cfRule>
  </conditionalFormatting>
  <conditionalFormatting sqref="AS108:AS144">
    <cfRule type="expression" dxfId="44" priority="23">
      <formula>AS108&gt;0</formula>
    </cfRule>
    <cfRule type="expression" dxfId="43" priority="24">
      <formula>AS108&lt;0</formula>
    </cfRule>
  </conditionalFormatting>
  <conditionalFormatting sqref="AV16">
    <cfRule type="expression" dxfId="42" priority="107">
      <formula>AV16&gt;0</formula>
    </cfRule>
    <cfRule type="expression" dxfId="41" priority="108">
      <formula>AV16&lt;0</formula>
    </cfRule>
  </conditionalFormatting>
  <conditionalFormatting sqref="AV22:AV58">
    <cfRule type="expression" dxfId="40" priority="99">
      <formula>AV22&gt;0</formula>
    </cfRule>
    <cfRule type="expression" dxfId="39" priority="100">
      <formula>AV22&lt;0</formula>
    </cfRule>
  </conditionalFormatting>
  <conditionalFormatting sqref="AV108:AV144">
    <cfRule type="expression" dxfId="38" priority="21">
      <formula>AV108&gt;0</formula>
    </cfRule>
    <cfRule type="expression" dxfId="37" priority="22">
      <formula>AV108&lt;0</formula>
    </cfRule>
  </conditionalFormatting>
  <conditionalFormatting sqref="AZ22:AZ73">
    <cfRule type="cellIs" dxfId="36" priority="92" operator="greaterThan">
      <formula>0</formula>
    </cfRule>
  </conditionalFormatting>
  <conditionalFormatting sqref="BI16">
    <cfRule type="expression" dxfId="35" priority="97">
      <formula>BI16&gt;0</formula>
    </cfRule>
    <cfRule type="expression" dxfId="34" priority="98">
      <formula>BI16&lt;0</formula>
    </cfRule>
  </conditionalFormatting>
  <conditionalFormatting sqref="BI22:BI73">
    <cfRule type="expression" dxfId="33" priority="93">
      <formula>BI22&gt;0</formula>
    </cfRule>
    <cfRule type="expression" dxfId="32" priority="94">
      <formula>BI22&lt;0</formula>
    </cfRule>
  </conditionalFormatting>
  <conditionalFormatting sqref="BL16">
    <cfRule type="expression" dxfId="31" priority="95">
      <formula>BL16&gt;0</formula>
    </cfRule>
    <cfRule type="expression" dxfId="30" priority="96">
      <formula>BL16&lt;0</formula>
    </cfRule>
  </conditionalFormatting>
  <conditionalFormatting sqref="BL22:BL73">
    <cfRule type="expression" dxfId="29" priority="88">
      <formula>BL22&gt;0</formula>
    </cfRule>
    <cfRule type="expression" dxfId="28" priority="89">
      <formula>BL22&lt;0</formula>
    </cfRule>
  </conditionalFormatting>
  <conditionalFormatting sqref="BP16">
    <cfRule type="cellIs" dxfId="27" priority="85" operator="greaterThan">
      <formula>0</formula>
    </cfRule>
  </conditionalFormatting>
  <conditionalFormatting sqref="BP22:BP62">
    <cfRule type="cellIs" dxfId="26" priority="80" operator="greaterThan">
      <formula>0</formula>
    </cfRule>
  </conditionalFormatting>
  <conditionalFormatting sqref="BY16">
    <cfRule type="expression" dxfId="25" priority="86">
      <formula>BY16&gt;0</formula>
    </cfRule>
    <cfRule type="expression" dxfId="24" priority="87">
      <formula>BY16&lt;0</formula>
    </cfRule>
  </conditionalFormatting>
  <conditionalFormatting sqref="BY22:BY62">
    <cfRule type="expression" dxfId="23" priority="81">
      <formula>BY22&gt;0</formula>
    </cfRule>
    <cfRule type="expression" dxfId="22" priority="82">
      <formula>BY22&lt;0</formula>
    </cfRule>
  </conditionalFormatting>
  <conditionalFormatting sqref="CB16">
    <cfRule type="expression" dxfId="21" priority="48">
      <formula>CB16&gt;0</formula>
    </cfRule>
    <cfRule type="expression" dxfId="20" priority="49">
      <formula>CB16&lt;0</formula>
    </cfRule>
  </conditionalFormatting>
  <conditionalFormatting sqref="CB22:CB62">
    <cfRule type="expression" dxfId="19" priority="76">
      <formula>CB22&gt;0</formula>
    </cfRule>
    <cfRule type="expression" dxfId="18" priority="77">
      <formula>CB22&lt;0</formula>
    </cfRule>
  </conditionalFormatting>
  <conditionalFormatting sqref="CF16">
    <cfRule type="cellIs" dxfId="17" priority="57" operator="greaterThan">
      <formula>0</formula>
    </cfRule>
  </conditionalFormatting>
  <conditionalFormatting sqref="CF22:CF69">
    <cfRule type="cellIs" dxfId="16" priority="68" operator="greaterThan">
      <formula>0</formula>
    </cfRule>
  </conditionalFormatting>
  <conditionalFormatting sqref="CO16">
    <cfRule type="expression" dxfId="15" priority="74">
      <formula>CO16&gt;0</formula>
    </cfRule>
    <cfRule type="expression" dxfId="14" priority="75">
      <formula>CO16&lt;0</formula>
    </cfRule>
  </conditionalFormatting>
  <conditionalFormatting sqref="CO22:CO69">
    <cfRule type="expression" dxfId="13" priority="66">
      <formula>CO22&gt;0</formula>
    </cfRule>
    <cfRule type="expression" dxfId="12" priority="67">
      <formula>CO22&lt;0</formula>
    </cfRule>
  </conditionalFormatting>
  <conditionalFormatting sqref="CR16">
    <cfRule type="expression" dxfId="11" priority="46">
      <formula>CR16&gt;0</formula>
    </cfRule>
    <cfRule type="expression" dxfId="10" priority="47">
      <formula>CR16&lt;0</formula>
    </cfRule>
  </conditionalFormatting>
  <conditionalFormatting sqref="CV16">
    <cfRule type="cellIs" dxfId="9" priority="59" operator="greaterThan">
      <formula>0</formula>
    </cfRule>
  </conditionalFormatting>
  <conditionalFormatting sqref="CV22:CV54">
    <cfRule type="cellIs" dxfId="8" priority="54" operator="greaterThan">
      <formula>0</formula>
    </cfRule>
  </conditionalFormatting>
  <conditionalFormatting sqref="DE16">
    <cfRule type="expression" dxfId="7" priority="64">
      <formula>DE16&gt;0</formula>
    </cfRule>
    <cfRule type="expression" dxfId="6" priority="65">
      <formula>DE16&lt;0</formula>
    </cfRule>
  </conditionalFormatting>
  <conditionalFormatting sqref="DE22:DE54">
    <cfRule type="expression" dxfId="5" priority="50">
      <formula>DE22&gt;0</formula>
    </cfRule>
    <cfRule type="expression" dxfId="4" priority="51">
      <formula>DE22&lt;0</formula>
    </cfRule>
  </conditionalFormatting>
  <conditionalFormatting sqref="DH16">
    <cfRule type="expression" dxfId="3" priority="44">
      <formula>DH16&gt;0</formula>
    </cfRule>
    <cfRule type="expression" dxfId="2" priority="45">
      <formula>DH16&lt;0</formula>
    </cfRule>
  </conditionalFormatting>
  <conditionalFormatting sqref="DH22:DH54">
    <cfRule type="expression" dxfId="1" priority="42">
      <formula>DH22&gt;0</formula>
    </cfRule>
    <cfRule type="expression" dxfId="0" priority="43">
      <formula>DH22&lt;0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E4A3D-6043-46D9-A546-3E2151B65BC4}">
  <sheetPr codeName="Feuil10"/>
  <dimension ref="N14:BN78"/>
  <sheetViews>
    <sheetView topLeftCell="AP1" zoomScale="90" zoomScaleNormal="90" workbookViewId="0">
      <selection activeCell="EO10" sqref="A10:XFD13"/>
    </sheetView>
  </sheetViews>
  <sheetFormatPr baseColWidth="10" defaultRowHeight="15" x14ac:dyDescent="0.25"/>
  <cols>
    <col min="56" max="56" width="12.42578125" customWidth="1"/>
  </cols>
  <sheetData>
    <row r="14" spans="14:66" x14ac:dyDescent="0.25">
      <c r="N14" s="242" t="s">
        <v>111</v>
      </c>
      <c r="O14" s="242"/>
      <c r="P14" s="242"/>
      <c r="Q14" s="242"/>
      <c r="R14" s="242"/>
      <c r="V14" s="242" t="s">
        <v>203</v>
      </c>
      <c r="W14" s="242"/>
      <c r="X14" s="242"/>
      <c r="Y14" s="242"/>
      <c r="Z14" s="242"/>
      <c r="AD14" s="242" t="s">
        <v>233</v>
      </c>
      <c r="AE14" s="242"/>
      <c r="AF14" s="242"/>
      <c r="AG14" s="242"/>
      <c r="AH14" s="242"/>
      <c r="AL14" s="242" t="s">
        <v>255</v>
      </c>
      <c r="AM14" s="242"/>
      <c r="AN14" s="242"/>
      <c r="AO14" s="242"/>
      <c r="AP14" s="242"/>
      <c r="AT14" s="242" t="s">
        <v>279</v>
      </c>
      <c r="AU14" s="242"/>
      <c r="AV14" s="242"/>
      <c r="AW14" s="242"/>
      <c r="AX14" s="242"/>
      <c r="BB14" s="242" t="s">
        <v>305</v>
      </c>
      <c r="BC14" s="242"/>
      <c r="BD14" s="242"/>
      <c r="BE14" s="242"/>
      <c r="BF14" s="242"/>
      <c r="BJ14" s="242" t="s">
        <v>317</v>
      </c>
      <c r="BK14" s="242"/>
      <c r="BL14" s="242"/>
      <c r="BM14" s="242"/>
      <c r="BN14" s="242"/>
    </row>
    <row r="15" spans="14:66" x14ac:dyDescent="0.25">
      <c r="N15" s="60" t="s">
        <v>112</v>
      </c>
      <c r="O15" s="60" t="s">
        <v>113</v>
      </c>
      <c r="P15" s="60" t="s">
        <v>114</v>
      </c>
      <c r="Q15" s="60" t="s">
        <v>108</v>
      </c>
      <c r="R15" s="60" t="s">
        <v>75</v>
      </c>
      <c r="V15" s="72" t="s">
        <v>112</v>
      </c>
      <c r="W15" s="73" t="s">
        <v>113</v>
      </c>
      <c r="X15" s="73" t="s">
        <v>114</v>
      </c>
      <c r="Y15" s="73" t="s">
        <v>108</v>
      </c>
      <c r="Z15" s="74" t="s">
        <v>75</v>
      </c>
      <c r="AD15" s="60" t="s">
        <v>112</v>
      </c>
      <c r="AE15" s="60" t="s">
        <v>113</v>
      </c>
      <c r="AF15" s="60" t="s">
        <v>114</v>
      </c>
      <c r="AG15" s="60" t="s">
        <v>108</v>
      </c>
      <c r="AH15" s="60" t="s">
        <v>75</v>
      </c>
      <c r="AL15" s="60" t="s">
        <v>112</v>
      </c>
      <c r="AM15" s="60" t="s">
        <v>113</v>
      </c>
      <c r="AN15" s="60" t="s">
        <v>114</v>
      </c>
      <c r="AO15" s="60" t="s">
        <v>108</v>
      </c>
      <c r="AP15" s="60" t="s">
        <v>75</v>
      </c>
      <c r="AT15" s="60" t="s">
        <v>112</v>
      </c>
      <c r="AU15" s="60" t="s">
        <v>113</v>
      </c>
      <c r="AV15" s="60" t="s">
        <v>114</v>
      </c>
      <c r="AW15" s="60" t="s">
        <v>108</v>
      </c>
      <c r="AX15" s="60" t="s">
        <v>75</v>
      </c>
      <c r="BB15" s="60" t="s">
        <v>112</v>
      </c>
      <c r="BC15" s="60" t="s">
        <v>113</v>
      </c>
      <c r="BD15" s="60" t="s">
        <v>114</v>
      </c>
      <c r="BE15" s="60" t="s">
        <v>108</v>
      </c>
      <c r="BF15" s="60" t="s">
        <v>75</v>
      </c>
      <c r="BJ15" s="60" t="s">
        <v>112</v>
      </c>
      <c r="BK15" s="60" t="s">
        <v>113</v>
      </c>
      <c r="BL15" s="60" t="s">
        <v>114</v>
      </c>
      <c r="BM15" s="60" t="s">
        <v>108</v>
      </c>
      <c r="BN15" s="60" t="s">
        <v>75</v>
      </c>
    </row>
    <row r="16" spans="14:66" x14ac:dyDescent="0.25">
      <c r="N16" s="60" t="s">
        <v>173</v>
      </c>
      <c r="O16" s="60">
        <v>8</v>
      </c>
      <c r="P16" s="60">
        <v>39</v>
      </c>
      <c r="Q16" s="60" t="s">
        <v>109</v>
      </c>
      <c r="R16" s="60">
        <v>138</v>
      </c>
      <c r="V16" s="70" t="s">
        <v>190</v>
      </c>
      <c r="W16" s="60">
        <v>38</v>
      </c>
      <c r="X16" s="60">
        <v>71</v>
      </c>
      <c r="Y16" s="60" t="s">
        <v>110</v>
      </c>
      <c r="Z16" s="71">
        <v>70</v>
      </c>
      <c r="AD16" s="60" t="s">
        <v>231</v>
      </c>
      <c r="AE16" s="60">
        <v>83</v>
      </c>
      <c r="AF16" s="60">
        <v>142</v>
      </c>
      <c r="AG16" s="60" t="s">
        <v>110</v>
      </c>
      <c r="AH16" s="60">
        <v>241</v>
      </c>
      <c r="AL16" s="60" t="s">
        <v>174</v>
      </c>
      <c r="AM16" s="60">
        <v>8</v>
      </c>
      <c r="AN16" s="60">
        <v>9</v>
      </c>
      <c r="AO16" s="60" t="s">
        <v>109</v>
      </c>
      <c r="AP16" s="60">
        <v>184</v>
      </c>
      <c r="AT16" s="60" t="s">
        <v>251</v>
      </c>
      <c r="AU16" s="60">
        <v>104</v>
      </c>
      <c r="AV16" s="60">
        <v>184</v>
      </c>
      <c r="AW16" s="60" t="s">
        <v>217</v>
      </c>
      <c r="AX16" s="60">
        <v>223</v>
      </c>
      <c r="BB16" s="60" t="s">
        <v>256</v>
      </c>
      <c r="BC16" s="60">
        <v>105</v>
      </c>
      <c r="BD16" s="60">
        <v>106</v>
      </c>
      <c r="BE16" s="60" t="s">
        <v>257</v>
      </c>
      <c r="BF16" s="60">
        <v>87</v>
      </c>
      <c r="BJ16" s="60" t="s">
        <v>306</v>
      </c>
      <c r="BK16" s="60">
        <v>116</v>
      </c>
      <c r="BL16" s="60">
        <v>117</v>
      </c>
      <c r="BM16" s="60" t="s">
        <v>307</v>
      </c>
      <c r="BN16" s="60">
        <v>496</v>
      </c>
    </row>
    <row r="17" spans="14:66" x14ac:dyDescent="0.25">
      <c r="N17" s="60" t="s">
        <v>174</v>
      </c>
      <c r="O17" s="60">
        <v>8</v>
      </c>
      <c r="P17" s="60">
        <v>9</v>
      </c>
      <c r="Q17" s="60" t="s">
        <v>109</v>
      </c>
      <c r="R17" s="60">
        <v>184</v>
      </c>
      <c r="V17" s="70" t="s">
        <v>131</v>
      </c>
      <c r="W17" s="60">
        <v>38</v>
      </c>
      <c r="X17" s="60">
        <v>70</v>
      </c>
      <c r="Y17" s="60" t="s">
        <v>110</v>
      </c>
      <c r="Z17" s="71">
        <v>91</v>
      </c>
      <c r="AD17" s="60" t="s">
        <v>202</v>
      </c>
      <c r="AE17" s="60">
        <v>83</v>
      </c>
      <c r="AF17" s="60">
        <v>84</v>
      </c>
      <c r="AG17" s="60" t="s">
        <v>110</v>
      </c>
      <c r="AH17" s="60">
        <v>190</v>
      </c>
      <c r="AL17" s="60" t="s">
        <v>173</v>
      </c>
      <c r="AM17" s="60">
        <v>8</v>
      </c>
      <c r="AN17" s="60">
        <v>39</v>
      </c>
      <c r="AO17" s="60" t="s">
        <v>109</v>
      </c>
      <c r="AP17" s="60">
        <v>138</v>
      </c>
      <c r="AT17" s="60" t="s">
        <v>265</v>
      </c>
      <c r="AU17" s="60">
        <v>104</v>
      </c>
      <c r="AV17" s="60">
        <v>105</v>
      </c>
      <c r="AW17" s="60" t="s">
        <v>217</v>
      </c>
      <c r="AX17" s="60">
        <v>163</v>
      </c>
      <c r="BB17" s="60" t="s">
        <v>258</v>
      </c>
      <c r="BC17" s="60">
        <v>106</v>
      </c>
      <c r="BD17" s="60">
        <v>107</v>
      </c>
      <c r="BE17" s="60" t="s">
        <v>257</v>
      </c>
      <c r="BF17" s="60">
        <v>91</v>
      </c>
      <c r="BJ17" s="60" t="s">
        <v>308</v>
      </c>
      <c r="BK17" s="60">
        <v>117</v>
      </c>
      <c r="BL17" s="60">
        <v>118</v>
      </c>
      <c r="BM17" s="60" t="s">
        <v>307</v>
      </c>
      <c r="BN17" s="60">
        <v>795</v>
      </c>
    </row>
    <row r="18" spans="14:66" x14ac:dyDescent="0.25">
      <c r="N18" s="60" t="s">
        <v>175</v>
      </c>
      <c r="O18" s="60">
        <v>9</v>
      </c>
      <c r="P18" s="60">
        <v>10</v>
      </c>
      <c r="Q18" s="60" t="s">
        <v>109</v>
      </c>
      <c r="R18" s="60">
        <v>169</v>
      </c>
      <c r="V18" s="70" t="s">
        <v>158</v>
      </c>
      <c r="W18" s="60">
        <v>53</v>
      </c>
      <c r="X18" s="60">
        <v>54</v>
      </c>
      <c r="Y18" s="60" t="s">
        <v>109</v>
      </c>
      <c r="Z18" s="71">
        <v>96</v>
      </c>
      <c r="AD18" s="60" t="s">
        <v>201</v>
      </c>
      <c r="AE18" s="60">
        <v>84</v>
      </c>
      <c r="AF18" s="60">
        <v>85</v>
      </c>
      <c r="AG18" s="60" t="s">
        <v>110</v>
      </c>
      <c r="AH18" s="60">
        <v>290</v>
      </c>
      <c r="AL18" s="60" t="s">
        <v>175</v>
      </c>
      <c r="AM18" s="60">
        <v>9</v>
      </c>
      <c r="AN18" s="60">
        <v>10</v>
      </c>
      <c r="AO18" s="60" t="s">
        <v>109</v>
      </c>
      <c r="AP18" s="60">
        <v>169</v>
      </c>
      <c r="AT18" s="60" t="s">
        <v>256</v>
      </c>
      <c r="AU18" s="60">
        <v>105</v>
      </c>
      <c r="AV18" s="60">
        <v>106</v>
      </c>
      <c r="AW18" s="60" t="s">
        <v>257</v>
      </c>
      <c r="AX18" s="60">
        <v>87</v>
      </c>
      <c r="BB18" s="60" t="s">
        <v>259</v>
      </c>
      <c r="BC18" s="60">
        <v>107</v>
      </c>
      <c r="BD18" s="60">
        <v>108</v>
      </c>
      <c r="BE18" s="60" t="s">
        <v>257</v>
      </c>
      <c r="BF18" s="60">
        <v>101</v>
      </c>
      <c r="BJ18" s="60" t="s">
        <v>309</v>
      </c>
      <c r="BK18" s="60">
        <v>118</v>
      </c>
      <c r="BL18" s="60">
        <v>119</v>
      </c>
      <c r="BM18" s="60" t="s">
        <v>307</v>
      </c>
      <c r="BN18" s="60">
        <v>345</v>
      </c>
    </row>
    <row r="19" spans="14:66" x14ac:dyDescent="0.25">
      <c r="N19" s="60" t="s">
        <v>176</v>
      </c>
      <c r="O19" s="60">
        <v>10</v>
      </c>
      <c r="P19" s="60">
        <v>11</v>
      </c>
      <c r="Q19" s="60" t="s">
        <v>109</v>
      </c>
      <c r="R19" s="60">
        <v>351</v>
      </c>
      <c r="V19" s="70" t="s">
        <v>191</v>
      </c>
      <c r="W19" s="60">
        <v>53</v>
      </c>
      <c r="X19" s="60">
        <v>92</v>
      </c>
      <c r="Y19" s="60" t="s">
        <v>109</v>
      </c>
      <c r="Z19" s="71">
        <v>75</v>
      </c>
      <c r="AD19" s="60" t="s">
        <v>199</v>
      </c>
      <c r="AE19" s="60">
        <v>85</v>
      </c>
      <c r="AF19" s="60">
        <v>86</v>
      </c>
      <c r="AG19" s="60" t="s">
        <v>110</v>
      </c>
      <c r="AH19" s="60">
        <v>82</v>
      </c>
      <c r="AL19" s="60" t="s">
        <v>176</v>
      </c>
      <c r="AM19" s="60">
        <v>10</v>
      </c>
      <c r="AN19" s="60">
        <v>11</v>
      </c>
      <c r="AO19" s="60" t="s">
        <v>109</v>
      </c>
      <c r="AP19" s="60">
        <v>351</v>
      </c>
      <c r="AT19" s="60" t="s">
        <v>258</v>
      </c>
      <c r="AU19" s="60">
        <v>106</v>
      </c>
      <c r="AV19" s="60">
        <v>107</v>
      </c>
      <c r="AW19" s="60" t="s">
        <v>257</v>
      </c>
      <c r="AX19" s="60">
        <v>91</v>
      </c>
      <c r="BB19" s="60" t="s">
        <v>260</v>
      </c>
      <c r="BC19" s="60">
        <v>109</v>
      </c>
      <c r="BD19" s="60">
        <v>110</v>
      </c>
      <c r="BE19" s="60" t="s">
        <v>257</v>
      </c>
      <c r="BF19" s="60">
        <v>73</v>
      </c>
      <c r="BJ19" s="60" t="s">
        <v>310</v>
      </c>
      <c r="BK19" s="60">
        <v>119</v>
      </c>
      <c r="BL19" s="60">
        <v>120</v>
      </c>
      <c r="BM19" s="60" t="s">
        <v>307</v>
      </c>
      <c r="BN19" s="60">
        <v>533</v>
      </c>
    </row>
    <row r="20" spans="14:66" x14ac:dyDescent="0.25">
      <c r="N20" s="60" t="s">
        <v>177</v>
      </c>
      <c r="O20" s="60">
        <v>11</v>
      </c>
      <c r="P20" s="60">
        <v>12</v>
      </c>
      <c r="Q20" s="60" t="s">
        <v>109</v>
      </c>
      <c r="R20" s="60">
        <v>47</v>
      </c>
      <c r="V20" s="70" t="s">
        <v>130</v>
      </c>
      <c r="W20" s="60">
        <v>54</v>
      </c>
      <c r="X20" s="60">
        <v>55</v>
      </c>
      <c r="Y20" s="60" t="s">
        <v>110</v>
      </c>
      <c r="Z20" s="71">
        <v>88</v>
      </c>
      <c r="AD20" s="60" t="s">
        <v>198</v>
      </c>
      <c r="AE20" s="60">
        <v>86</v>
      </c>
      <c r="AF20" s="60">
        <v>87</v>
      </c>
      <c r="AG20" s="60" t="s">
        <v>110</v>
      </c>
      <c r="AH20" s="60">
        <v>75</v>
      </c>
      <c r="AL20" s="60" t="s">
        <v>254</v>
      </c>
      <c r="AM20" s="60">
        <v>11</v>
      </c>
      <c r="AN20" s="60">
        <v>165</v>
      </c>
      <c r="AO20" s="60" t="s">
        <v>109</v>
      </c>
      <c r="AP20" s="60">
        <v>211</v>
      </c>
      <c r="AT20" s="60" t="s">
        <v>259</v>
      </c>
      <c r="AU20" s="60">
        <v>107</v>
      </c>
      <c r="AV20" s="60">
        <v>108</v>
      </c>
      <c r="AW20" s="60" t="s">
        <v>257</v>
      </c>
      <c r="AX20" s="60">
        <v>101</v>
      </c>
      <c r="BB20" s="60" t="s">
        <v>261</v>
      </c>
      <c r="BC20" s="60">
        <v>108</v>
      </c>
      <c r="BD20" s="60">
        <v>109</v>
      </c>
      <c r="BE20" s="60" t="s">
        <v>257</v>
      </c>
      <c r="BF20" s="60">
        <v>81</v>
      </c>
      <c r="BJ20" s="60" t="s">
        <v>311</v>
      </c>
      <c r="BK20" s="60">
        <v>121</v>
      </c>
      <c r="BL20" s="60">
        <v>122</v>
      </c>
      <c r="BM20" s="60" t="s">
        <v>307</v>
      </c>
      <c r="BN20" s="60">
        <v>174</v>
      </c>
    </row>
    <row r="21" spans="14:66" x14ac:dyDescent="0.25">
      <c r="N21" s="60" t="s">
        <v>157</v>
      </c>
      <c r="O21" s="60">
        <v>12</v>
      </c>
      <c r="P21" s="60">
        <v>13</v>
      </c>
      <c r="Q21" s="60" t="s">
        <v>110</v>
      </c>
      <c r="R21" s="60">
        <v>173</v>
      </c>
      <c r="V21" s="70" t="s">
        <v>129</v>
      </c>
      <c r="W21" s="60">
        <v>55</v>
      </c>
      <c r="X21" s="60">
        <v>56</v>
      </c>
      <c r="Y21" s="60" t="s">
        <v>110</v>
      </c>
      <c r="Z21" s="71">
        <v>35</v>
      </c>
      <c r="AD21" s="60" t="s">
        <v>197</v>
      </c>
      <c r="AE21" s="60">
        <v>87</v>
      </c>
      <c r="AF21" s="60">
        <v>88</v>
      </c>
      <c r="AG21" s="60" t="s">
        <v>110</v>
      </c>
      <c r="AH21" s="60">
        <v>108</v>
      </c>
      <c r="AL21" s="60" t="s">
        <v>172</v>
      </c>
      <c r="AM21" s="60">
        <v>39</v>
      </c>
      <c r="AN21" s="60">
        <v>40</v>
      </c>
      <c r="AO21" s="60" t="s">
        <v>109</v>
      </c>
      <c r="AP21" s="60">
        <v>128</v>
      </c>
      <c r="AT21" s="60" t="s">
        <v>261</v>
      </c>
      <c r="AU21" s="60">
        <v>108</v>
      </c>
      <c r="AV21" s="60">
        <v>109</v>
      </c>
      <c r="AW21" s="60" t="s">
        <v>257</v>
      </c>
      <c r="AX21" s="60">
        <v>81</v>
      </c>
      <c r="BB21" s="60" t="s">
        <v>262</v>
      </c>
      <c r="BC21" s="60">
        <v>110</v>
      </c>
      <c r="BD21" s="60">
        <v>111</v>
      </c>
      <c r="BE21" s="60" t="s">
        <v>257</v>
      </c>
      <c r="BF21" s="60">
        <v>69</v>
      </c>
      <c r="BJ21" s="60" t="s">
        <v>312</v>
      </c>
      <c r="BK21" s="60">
        <v>120</v>
      </c>
      <c r="BL21" s="60">
        <v>121</v>
      </c>
      <c r="BM21" s="60" t="s">
        <v>307</v>
      </c>
      <c r="BN21" s="60">
        <v>227</v>
      </c>
    </row>
    <row r="22" spans="14:66" x14ac:dyDescent="0.25">
      <c r="N22" s="60" t="s">
        <v>156</v>
      </c>
      <c r="O22" s="60">
        <v>13</v>
      </c>
      <c r="P22" s="60">
        <v>14</v>
      </c>
      <c r="Q22" s="60" t="s">
        <v>110</v>
      </c>
      <c r="R22" s="60">
        <v>257</v>
      </c>
      <c r="V22" s="70" t="s">
        <v>128</v>
      </c>
      <c r="W22" s="60">
        <v>56</v>
      </c>
      <c r="X22" s="60">
        <v>57</v>
      </c>
      <c r="Y22" s="60" t="s">
        <v>110</v>
      </c>
      <c r="Z22" s="71">
        <v>54</v>
      </c>
      <c r="AD22" s="60" t="s">
        <v>196</v>
      </c>
      <c r="AE22" s="60">
        <v>88</v>
      </c>
      <c r="AF22" s="60">
        <v>89</v>
      </c>
      <c r="AG22" s="60" t="s">
        <v>110</v>
      </c>
      <c r="AH22" s="60">
        <v>150</v>
      </c>
      <c r="AL22" s="60" t="s">
        <v>170</v>
      </c>
      <c r="AM22" s="60">
        <v>40</v>
      </c>
      <c r="AN22" s="60">
        <v>41</v>
      </c>
      <c r="AO22" s="60" t="s">
        <v>109</v>
      </c>
      <c r="AP22" s="60">
        <v>116</v>
      </c>
      <c r="AT22" s="60" t="s">
        <v>260</v>
      </c>
      <c r="AU22" s="60">
        <v>109</v>
      </c>
      <c r="AV22" s="60">
        <v>110</v>
      </c>
      <c r="AW22" s="60" t="s">
        <v>257</v>
      </c>
      <c r="AX22" s="60">
        <v>73</v>
      </c>
      <c r="BB22" s="60" t="s">
        <v>263</v>
      </c>
      <c r="BC22" s="60">
        <v>111</v>
      </c>
      <c r="BD22" s="60">
        <v>112</v>
      </c>
      <c r="BE22" s="60" t="s">
        <v>257</v>
      </c>
      <c r="BF22" s="60">
        <v>82</v>
      </c>
      <c r="BJ22" s="60" t="s">
        <v>313</v>
      </c>
      <c r="BK22" s="60">
        <v>122</v>
      </c>
      <c r="BL22" s="60">
        <v>123</v>
      </c>
      <c r="BM22" s="60" t="s">
        <v>307</v>
      </c>
      <c r="BN22" s="60">
        <v>198</v>
      </c>
    </row>
    <row r="23" spans="14:66" x14ac:dyDescent="0.25">
      <c r="N23" s="60" t="s">
        <v>155</v>
      </c>
      <c r="O23" s="60">
        <v>14</v>
      </c>
      <c r="P23" s="60">
        <v>15</v>
      </c>
      <c r="Q23" s="60" t="s">
        <v>110</v>
      </c>
      <c r="R23" s="60">
        <v>263</v>
      </c>
      <c r="V23" s="70" t="s">
        <v>127</v>
      </c>
      <c r="W23" s="60">
        <v>57</v>
      </c>
      <c r="X23" s="60">
        <v>58</v>
      </c>
      <c r="Y23" s="60" t="s">
        <v>110</v>
      </c>
      <c r="Z23" s="71">
        <v>151</v>
      </c>
      <c r="AD23" s="60" t="s">
        <v>195</v>
      </c>
      <c r="AE23" s="60">
        <v>89</v>
      </c>
      <c r="AF23" s="60">
        <v>90</v>
      </c>
      <c r="AG23" s="60" t="s">
        <v>110</v>
      </c>
      <c r="AH23" s="60">
        <v>54</v>
      </c>
      <c r="AL23" s="60" t="s">
        <v>171</v>
      </c>
      <c r="AM23" s="60">
        <v>41</v>
      </c>
      <c r="AN23" s="60">
        <v>42</v>
      </c>
      <c r="AO23" s="60" t="s">
        <v>109</v>
      </c>
      <c r="AP23" s="60">
        <v>248</v>
      </c>
      <c r="AT23" s="60" t="s">
        <v>262</v>
      </c>
      <c r="AU23" s="60">
        <v>110</v>
      </c>
      <c r="AV23" s="60">
        <v>111</v>
      </c>
      <c r="AW23" s="60" t="s">
        <v>257</v>
      </c>
      <c r="AX23" s="60">
        <v>69</v>
      </c>
      <c r="BB23" s="60" t="s">
        <v>264</v>
      </c>
      <c r="BC23" s="60">
        <v>112</v>
      </c>
      <c r="BD23" s="60">
        <v>113</v>
      </c>
      <c r="BE23" s="60" t="s">
        <v>257</v>
      </c>
      <c r="BF23" s="60">
        <v>157</v>
      </c>
      <c r="BJ23" s="60" t="s">
        <v>314</v>
      </c>
      <c r="BK23" s="60">
        <v>123</v>
      </c>
      <c r="BL23" s="60">
        <v>124</v>
      </c>
      <c r="BM23" s="60" t="s">
        <v>307</v>
      </c>
      <c r="BN23" s="60">
        <v>178</v>
      </c>
    </row>
    <row r="24" spans="14:66" x14ac:dyDescent="0.25">
      <c r="N24" s="60" t="s">
        <v>154</v>
      </c>
      <c r="O24" s="60">
        <v>15</v>
      </c>
      <c r="P24" s="60">
        <v>16</v>
      </c>
      <c r="Q24" s="60" t="s">
        <v>110</v>
      </c>
      <c r="R24" s="60">
        <v>134</v>
      </c>
      <c r="V24" s="70" t="s">
        <v>126</v>
      </c>
      <c r="W24" s="60">
        <v>58</v>
      </c>
      <c r="X24" s="60">
        <v>59</v>
      </c>
      <c r="Y24" s="60" t="s">
        <v>110</v>
      </c>
      <c r="Z24" s="71">
        <v>78</v>
      </c>
      <c r="AD24" s="60" t="s">
        <v>194</v>
      </c>
      <c r="AE24" s="60">
        <v>90</v>
      </c>
      <c r="AF24" s="60">
        <v>91</v>
      </c>
      <c r="AG24" s="60" t="s">
        <v>110</v>
      </c>
      <c r="AH24" s="60">
        <v>93</v>
      </c>
      <c r="AL24" s="60" t="s">
        <v>169</v>
      </c>
      <c r="AM24" s="60">
        <v>42</v>
      </c>
      <c r="AN24" s="60">
        <v>43</v>
      </c>
      <c r="AO24" s="60" t="s">
        <v>109</v>
      </c>
      <c r="AP24" s="60">
        <v>74</v>
      </c>
      <c r="AT24" s="60" t="s">
        <v>263</v>
      </c>
      <c r="AU24" s="60">
        <v>111</v>
      </c>
      <c r="AV24" s="60">
        <v>112</v>
      </c>
      <c r="AW24" s="60" t="s">
        <v>257</v>
      </c>
      <c r="AX24" s="60">
        <v>82</v>
      </c>
      <c r="BB24" s="60" t="s">
        <v>280</v>
      </c>
      <c r="BC24" s="60">
        <v>162</v>
      </c>
      <c r="BD24" s="60">
        <v>163</v>
      </c>
      <c r="BE24" s="60" t="s">
        <v>217</v>
      </c>
      <c r="BF24" s="60">
        <v>218</v>
      </c>
      <c r="BJ24" s="60" t="s">
        <v>281</v>
      </c>
      <c r="BK24" s="60">
        <v>141</v>
      </c>
      <c r="BL24" s="60">
        <v>164</v>
      </c>
      <c r="BM24" s="60" t="s">
        <v>217</v>
      </c>
      <c r="BN24" s="60">
        <v>94</v>
      </c>
    </row>
    <row r="25" spans="14:66" x14ac:dyDescent="0.25">
      <c r="N25" s="60" t="s">
        <v>153</v>
      </c>
      <c r="O25" s="60">
        <v>16</v>
      </c>
      <c r="P25" s="60">
        <v>17</v>
      </c>
      <c r="Q25" s="60" t="s">
        <v>110</v>
      </c>
      <c r="R25" s="60">
        <v>169</v>
      </c>
      <c r="V25" s="70" t="s">
        <v>125</v>
      </c>
      <c r="W25" s="60">
        <v>59</v>
      </c>
      <c r="X25" s="60">
        <v>60</v>
      </c>
      <c r="Y25" s="60" t="s">
        <v>110</v>
      </c>
      <c r="Z25" s="71">
        <v>84</v>
      </c>
      <c r="AD25" s="60" t="s">
        <v>193</v>
      </c>
      <c r="AE25" s="60">
        <v>91</v>
      </c>
      <c r="AF25" s="60">
        <v>94</v>
      </c>
      <c r="AG25" s="60" t="s">
        <v>110</v>
      </c>
      <c r="AH25" s="60">
        <v>88</v>
      </c>
      <c r="AL25" s="60" t="s">
        <v>168</v>
      </c>
      <c r="AM25" s="60">
        <v>43</v>
      </c>
      <c r="AN25" s="60">
        <v>44</v>
      </c>
      <c r="AO25" s="60" t="s">
        <v>109</v>
      </c>
      <c r="AP25" s="60">
        <v>88</v>
      </c>
      <c r="AT25" s="60" t="s">
        <v>264</v>
      </c>
      <c r="AU25" s="60">
        <v>112</v>
      </c>
      <c r="AV25" s="60">
        <v>113</v>
      </c>
      <c r="AW25" s="60" t="s">
        <v>257</v>
      </c>
      <c r="AX25" s="60">
        <v>157</v>
      </c>
      <c r="BB25" s="60" t="s">
        <v>281</v>
      </c>
      <c r="BC25" s="60">
        <v>141</v>
      </c>
      <c r="BD25" s="60">
        <v>164</v>
      </c>
      <c r="BE25" s="60" t="s">
        <v>217</v>
      </c>
      <c r="BF25" s="60">
        <v>94</v>
      </c>
      <c r="BJ25" s="60" t="s">
        <v>287</v>
      </c>
      <c r="BK25" s="60">
        <v>114</v>
      </c>
      <c r="BL25" s="60">
        <v>125</v>
      </c>
      <c r="BM25" s="60" t="s">
        <v>267</v>
      </c>
      <c r="BN25" s="60">
        <v>251</v>
      </c>
    </row>
    <row r="26" spans="14:66" x14ac:dyDescent="0.25">
      <c r="N26" s="60" t="s">
        <v>152</v>
      </c>
      <c r="O26" s="60">
        <v>17</v>
      </c>
      <c r="P26" s="60">
        <v>18</v>
      </c>
      <c r="Q26" s="60" t="s">
        <v>110</v>
      </c>
      <c r="R26" s="60">
        <v>169</v>
      </c>
      <c r="V26" s="70" t="s">
        <v>124</v>
      </c>
      <c r="W26" s="60">
        <v>60</v>
      </c>
      <c r="X26" s="60">
        <v>61</v>
      </c>
      <c r="Y26" s="60" t="s">
        <v>110</v>
      </c>
      <c r="Z26" s="71">
        <v>83</v>
      </c>
      <c r="AD26" s="60" t="s">
        <v>230</v>
      </c>
      <c r="AE26" s="60">
        <v>94</v>
      </c>
      <c r="AF26" s="60">
        <v>95</v>
      </c>
      <c r="AG26" s="60" t="s">
        <v>110</v>
      </c>
      <c r="AH26" s="60">
        <v>80</v>
      </c>
      <c r="AL26" s="60" t="s">
        <v>167</v>
      </c>
      <c r="AM26" s="60">
        <v>44</v>
      </c>
      <c r="AN26" s="60">
        <v>45</v>
      </c>
      <c r="AO26" s="60" t="s">
        <v>109</v>
      </c>
      <c r="AP26" s="60">
        <v>111</v>
      </c>
      <c r="AT26" s="60" t="s">
        <v>266</v>
      </c>
      <c r="AU26" s="60">
        <v>113</v>
      </c>
      <c r="AV26" s="60">
        <v>114</v>
      </c>
      <c r="AW26" s="60" t="s">
        <v>267</v>
      </c>
      <c r="AX26" s="60">
        <v>129</v>
      </c>
      <c r="BB26" s="60" t="s">
        <v>282</v>
      </c>
      <c r="BC26" s="60">
        <v>163</v>
      </c>
      <c r="BD26" s="60">
        <v>164</v>
      </c>
      <c r="BE26" s="60" t="s">
        <v>217</v>
      </c>
      <c r="BF26" s="60">
        <v>322</v>
      </c>
      <c r="BJ26" s="60" t="s">
        <v>288</v>
      </c>
      <c r="BK26" s="60">
        <v>125</v>
      </c>
      <c r="BL26" s="60">
        <v>126</v>
      </c>
      <c r="BM26" s="60" t="s">
        <v>267</v>
      </c>
      <c r="BN26" s="60">
        <v>76</v>
      </c>
    </row>
    <row r="27" spans="14:66" x14ac:dyDescent="0.25">
      <c r="N27" s="60" t="s">
        <v>151</v>
      </c>
      <c r="O27" s="60">
        <v>18</v>
      </c>
      <c r="P27" s="60">
        <v>19</v>
      </c>
      <c r="Q27" s="60" t="s">
        <v>110</v>
      </c>
      <c r="R27" s="60">
        <v>175</v>
      </c>
      <c r="V27" s="70" t="s">
        <v>123</v>
      </c>
      <c r="W27" s="60">
        <v>61</v>
      </c>
      <c r="X27" s="60">
        <v>62</v>
      </c>
      <c r="Y27" s="60" t="s">
        <v>110</v>
      </c>
      <c r="Z27" s="71">
        <v>75</v>
      </c>
      <c r="AD27" s="60" t="s">
        <v>215</v>
      </c>
      <c r="AE27" s="60">
        <v>95</v>
      </c>
      <c r="AF27" s="60">
        <v>96</v>
      </c>
      <c r="AG27" s="60" t="s">
        <v>109</v>
      </c>
      <c r="AH27" s="60">
        <v>70</v>
      </c>
      <c r="AL27" s="60" t="s">
        <v>166</v>
      </c>
      <c r="AM27" s="60">
        <v>45</v>
      </c>
      <c r="AN27" s="60">
        <v>46</v>
      </c>
      <c r="AO27" s="60" t="s">
        <v>109</v>
      </c>
      <c r="AP27" s="60">
        <v>129</v>
      </c>
      <c r="AT27" s="60" t="s">
        <v>276</v>
      </c>
      <c r="AU27" s="60">
        <v>114</v>
      </c>
      <c r="AV27" s="60">
        <v>115</v>
      </c>
      <c r="AW27" s="60" t="s">
        <v>217</v>
      </c>
      <c r="AX27" s="60">
        <v>211</v>
      </c>
      <c r="BB27" s="60" t="s">
        <v>283</v>
      </c>
      <c r="BC27" s="60">
        <v>161</v>
      </c>
      <c r="BD27" s="60">
        <v>162</v>
      </c>
      <c r="BE27" s="60" t="s">
        <v>217</v>
      </c>
      <c r="BF27" s="60">
        <v>101</v>
      </c>
      <c r="BJ27" s="60" t="s">
        <v>289</v>
      </c>
      <c r="BK27" s="60">
        <v>126</v>
      </c>
      <c r="BL27" s="60">
        <v>126</v>
      </c>
      <c r="BM27" s="60" t="s">
        <v>267</v>
      </c>
      <c r="BN27" s="60">
        <v>69</v>
      </c>
    </row>
    <row r="28" spans="14:66" x14ac:dyDescent="0.25">
      <c r="N28" s="60" t="s">
        <v>150</v>
      </c>
      <c r="O28" s="60">
        <v>19</v>
      </c>
      <c r="P28" s="60">
        <v>20</v>
      </c>
      <c r="Q28" s="60" t="s">
        <v>110</v>
      </c>
      <c r="R28" s="60">
        <v>83</v>
      </c>
      <c r="V28" s="70" t="s">
        <v>122</v>
      </c>
      <c r="W28" s="60">
        <v>62</v>
      </c>
      <c r="X28" s="60">
        <v>63</v>
      </c>
      <c r="Y28" s="60" t="s">
        <v>110</v>
      </c>
      <c r="Z28" s="71">
        <v>85</v>
      </c>
      <c r="AD28" s="60" t="s">
        <v>214</v>
      </c>
      <c r="AE28" s="60">
        <v>96</v>
      </c>
      <c r="AF28" s="60">
        <v>97</v>
      </c>
      <c r="AG28" s="60" t="s">
        <v>109</v>
      </c>
      <c r="AH28" s="60">
        <v>158</v>
      </c>
      <c r="AL28" s="60" t="s">
        <v>165</v>
      </c>
      <c r="AM28" s="60">
        <v>46</v>
      </c>
      <c r="AN28" s="60">
        <v>47</v>
      </c>
      <c r="AO28" s="60" t="s">
        <v>109</v>
      </c>
      <c r="AP28" s="60">
        <v>201</v>
      </c>
      <c r="AT28" s="60" t="s">
        <v>278</v>
      </c>
      <c r="AU28" s="60">
        <v>115</v>
      </c>
      <c r="AV28" s="60">
        <v>193</v>
      </c>
      <c r="AW28" s="60" t="s">
        <v>217</v>
      </c>
      <c r="AX28" s="60">
        <v>232</v>
      </c>
      <c r="BB28" s="60" t="s">
        <v>284</v>
      </c>
      <c r="BC28" s="60">
        <v>160</v>
      </c>
      <c r="BD28" s="60">
        <v>161</v>
      </c>
      <c r="BE28" s="60" t="s">
        <v>217</v>
      </c>
      <c r="BF28" s="60">
        <v>149</v>
      </c>
      <c r="BJ28" s="60" t="s">
        <v>290</v>
      </c>
      <c r="BK28" s="60">
        <v>127</v>
      </c>
      <c r="BL28" s="60">
        <v>127</v>
      </c>
      <c r="BM28" s="60" t="s">
        <v>267</v>
      </c>
      <c r="BN28" s="60">
        <v>75</v>
      </c>
    </row>
    <row r="29" spans="14:66" x14ac:dyDescent="0.25">
      <c r="N29" s="60" t="s">
        <v>149</v>
      </c>
      <c r="O29" s="60">
        <v>20</v>
      </c>
      <c r="P29" s="60">
        <v>21</v>
      </c>
      <c r="Q29" s="60" t="s">
        <v>110</v>
      </c>
      <c r="R29" s="60">
        <v>78</v>
      </c>
      <c r="V29" s="70" t="s">
        <v>121</v>
      </c>
      <c r="W29" s="60">
        <v>63</v>
      </c>
      <c r="X29" s="60">
        <v>64</v>
      </c>
      <c r="Y29" s="60" t="s">
        <v>110</v>
      </c>
      <c r="Z29" s="71">
        <v>129</v>
      </c>
      <c r="AD29" s="60" t="s">
        <v>213</v>
      </c>
      <c r="AE29" s="60">
        <v>97</v>
      </c>
      <c r="AF29" s="60">
        <v>98</v>
      </c>
      <c r="AG29" s="60" t="s">
        <v>109</v>
      </c>
      <c r="AH29" s="60">
        <v>80</v>
      </c>
      <c r="AL29" s="60" t="s">
        <v>164</v>
      </c>
      <c r="AM29" s="60">
        <v>47</v>
      </c>
      <c r="AN29" s="60">
        <v>48</v>
      </c>
      <c r="AO29" s="60" t="s">
        <v>109</v>
      </c>
      <c r="AP29" s="60">
        <v>41</v>
      </c>
      <c r="AT29" s="60" t="s">
        <v>253</v>
      </c>
      <c r="AU29" s="60">
        <v>167</v>
      </c>
      <c r="AV29" s="60">
        <v>168</v>
      </c>
      <c r="AW29" s="60" t="s">
        <v>217</v>
      </c>
      <c r="AX29" s="60">
        <v>202</v>
      </c>
      <c r="BB29" s="60" t="s">
        <v>285</v>
      </c>
      <c r="BC29" s="60">
        <v>159</v>
      </c>
      <c r="BD29" s="60">
        <v>160</v>
      </c>
      <c r="BE29" s="60" t="s">
        <v>217</v>
      </c>
      <c r="BF29" s="60">
        <v>260</v>
      </c>
      <c r="BJ29" s="60" t="s">
        <v>291</v>
      </c>
      <c r="BK29" s="60">
        <v>128</v>
      </c>
      <c r="BL29" s="60">
        <v>129</v>
      </c>
      <c r="BM29" s="60" t="s">
        <v>267</v>
      </c>
      <c r="BN29" s="60">
        <v>76</v>
      </c>
    </row>
    <row r="30" spans="14:66" x14ac:dyDescent="0.25">
      <c r="N30" s="60" t="s">
        <v>148</v>
      </c>
      <c r="O30" s="60">
        <v>21</v>
      </c>
      <c r="P30" s="60">
        <v>22</v>
      </c>
      <c r="Q30" s="60" t="s">
        <v>110</v>
      </c>
      <c r="R30" s="60">
        <v>90</v>
      </c>
      <c r="V30" s="70" t="s">
        <v>119</v>
      </c>
      <c r="W30" s="60">
        <v>64</v>
      </c>
      <c r="X30" s="60">
        <v>65</v>
      </c>
      <c r="Y30" s="60" t="s">
        <v>110</v>
      </c>
      <c r="Z30" s="71">
        <v>37</v>
      </c>
      <c r="AD30" s="60" t="s">
        <v>212</v>
      </c>
      <c r="AE30" s="60">
        <v>98</v>
      </c>
      <c r="AF30" s="60">
        <v>99</v>
      </c>
      <c r="AG30" s="60" t="s">
        <v>109</v>
      </c>
      <c r="AH30" s="60">
        <v>76</v>
      </c>
      <c r="AL30" s="60" t="s">
        <v>163</v>
      </c>
      <c r="AM30" s="60">
        <v>48</v>
      </c>
      <c r="AN30" s="60">
        <v>49</v>
      </c>
      <c r="AO30" s="60" t="s">
        <v>109</v>
      </c>
      <c r="AP30" s="60">
        <v>63</v>
      </c>
      <c r="AT30" s="60" t="s">
        <v>268</v>
      </c>
      <c r="AU30" s="60">
        <v>167</v>
      </c>
      <c r="AV30" s="60">
        <v>185</v>
      </c>
      <c r="AW30" s="60" t="s">
        <v>217</v>
      </c>
      <c r="AX30" s="60">
        <v>191</v>
      </c>
      <c r="BB30" s="60" t="s">
        <v>286</v>
      </c>
      <c r="BC30" s="60">
        <v>147</v>
      </c>
      <c r="BD30" s="60">
        <v>159</v>
      </c>
      <c r="BE30" s="60" t="s">
        <v>217</v>
      </c>
      <c r="BF30" s="60">
        <v>81</v>
      </c>
      <c r="BJ30" s="60" t="s">
        <v>292</v>
      </c>
      <c r="BK30" s="60">
        <v>127</v>
      </c>
      <c r="BL30" s="60">
        <v>128</v>
      </c>
      <c r="BM30" s="60" t="s">
        <v>267</v>
      </c>
      <c r="BN30" s="60">
        <v>80</v>
      </c>
    </row>
    <row r="31" spans="14:66" x14ac:dyDescent="0.25">
      <c r="N31" s="60" t="s">
        <v>147</v>
      </c>
      <c r="O31" s="60">
        <v>22</v>
      </c>
      <c r="P31" s="60">
        <v>23</v>
      </c>
      <c r="Q31" s="60" t="s">
        <v>110</v>
      </c>
      <c r="R31" s="60">
        <v>105</v>
      </c>
      <c r="V31" s="70" t="s">
        <v>120</v>
      </c>
      <c r="W31" s="60">
        <v>65</v>
      </c>
      <c r="X31" s="60">
        <v>66</v>
      </c>
      <c r="Y31" s="60" t="s">
        <v>110</v>
      </c>
      <c r="Z31" s="71">
        <v>77</v>
      </c>
      <c r="AD31" s="60" t="s">
        <v>211</v>
      </c>
      <c r="AE31" s="60">
        <v>99</v>
      </c>
      <c r="AF31" s="60">
        <v>100</v>
      </c>
      <c r="AG31" s="60" t="s">
        <v>109</v>
      </c>
      <c r="AH31" s="60">
        <v>88</v>
      </c>
      <c r="AL31" s="60" t="s">
        <v>162</v>
      </c>
      <c r="AM31" s="60">
        <v>49</v>
      </c>
      <c r="AN31" s="60">
        <v>50</v>
      </c>
      <c r="AO31" s="60" t="s">
        <v>109</v>
      </c>
      <c r="AP31" s="60">
        <v>250</v>
      </c>
      <c r="AT31" s="60" t="s">
        <v>235</v>
      </c>
      <c r="AU31" s="60">
        <v>168</v>
      </c>
      <c r="AV31" s="60">
        <v>169</v>
      </c>
      <c r="AW31" s="60" t="s">
        <v>217</v>
      </c>
      <c r="AX31" s="60">
        <v>100</v>
      </c>
      <c r="BB31" s="60" t="s">
        <v>216</v>
      </c>
      <c r="BC31" s="60">
        <v>147</v>
      </c>
      <c r="BD31" s="60">
        <v>148</v>
      </c>
      <c r="BE31" s="60" t="s">
        <v>217</v>
      </c>
      <c r="BF31" s="60">
        <v>133</v>
      </c>
      <c r="BJ31" s="60" t="s">
        <v>293</v>
      </c>
      <c r="BK31" s="60">
        <v>129</v>
      </c>
      <c r="BL31" s="60">
        <v>130</v>
      </c>
      <c r="BM31" s="60" t="s">
        <v>267</v>
      </c>
      <c r="BN31" s="60">
        <v>76</v>
      </c>
    </row>
    <row r="32" spans="14:66" x14ac:dyDescent="0.25">
      <c r="N32" s="60" t="s">
        <v>146</v>
      </c>
      <c r="O32" s="60">
        <v>23</v>
      </c>
      <c r="P32" s="60">
        <v>24</v>
      </c>
      <c r="Q32" s="60" t="s">
        <v>110</v>
      </c>
      <c r="R32" s="60">
        <v>84</v>
      </c>
      <c r="V32" s="70" t="s">
        <v>118</v>
      </c>
      <c r="W32" s="60">
        <v>66</v>
      </c>
      <c r="X32" s="60">
        <v>67</v>
      </c>
      <c r="Y32" s="60" t="s">
        <v>110</v>
      </c>
      <c r="Z32" s="71">
        <v>89</v>
      </c>
      <c r="AD32" s="60" t="s">
        <v>209</v>
      </c>
      <c r="AE32" s="60">
        <v>100</v>
      </c>
      <c r="AF32" s="60">
        <v>101</v>
      </c>
      <c r="AG32" s="60" t="s">
        <v>109</v>
      </c>
      <c r="AH32" s="60">
        <v>89</v>
      </c>
      <c r="AL32" s="60" t="s">
        <v>161</v>
      </c>
      <c r="AM32" s="60">
        <v>50</v>
      </c>
      <c r="AN32" s="60">
        <v>51</v>
      </c>
      <c r="AO32" s="60" t="s">
        <v>109</v>
      </c>
      <c r="AP32" s="60">
        <v>77</v>
      </c>
      <c r="AT32" s="60" t="s">
        <v>236</v>
      </c>
      <c r="AU32" s="60">
        <v>169</v>
      </c>
      <c r="AV32" s="60">
        <v>170</v>
      </c>
      <c r="AW32" s="60" t="s">
        <v>217</v>
      </c>
      <c r="AX32" s="60">
        <v>45</v>
      </c>
      <c r="BB32" s="60" t="s">
        <v>219</v>
      </c>
      <c r="BC32" s="60">
        <v>149</v>
      </c>
      <c r="BD32" s="60">
        <v>150</v>
      </c>
      <c r="BE32" s="60" t="s">
        <v>217</v>
      </c>
      <c r="BF32" s="60">
        <v>212</v>
      </c>
      <c r="BJ32" s="60" t="s">
        <v>294</v>
      </c>
      <c r="BK32" s="60">
        <v>130</v>
      </c>
      <c r="BL32" s="60">
        <v>131</v>
      </c>
      <c r="BM32" s="60" t="s">
        <v>267</v>
      </c>
      <c r="BN32" s="60">
        <v>75</v>
      </c>
    </row>
    <row r="33" spans="14:66" x14ac:dyDescent="0.25">
      <c r="N33" s="60" t="s">
        <v>145</v>
      </c>
      <c r="O33" s="60">
        <v>24</v>
      </c>
      <c r="P33" s="60">
        <v>25</v>
      </c>
      <c r="Q33" s="60" t="s">
        <v>110</v>
      </c>
      <c r="R33" s="60">
        <v>58</v>
      </c>
      <c r="V33" s="70" t="s">
        <v>117</v>
      </c>
      <c r="W33" s="60">
        <v>67</v>
      </c>
      <c r="X33" s="60">
        <v>68</v>
      </c>
      <c r="Y33" s="60" t="s">
        <v>110</v>
      </c>
      <c r="Z33" s="71">
        <v>49</v>
      </c>
      <c r="AD33" s="60" t="s">
        <v>210</v>
      </c>
      <c r="AE33" s="60">
        <v>101</v>
      </c>
      <c r="AF33" s="60">
        <v>102</v>
      </c>
      <c r="AG33" s="60" t="s">
        <v>109</v>
      </c>
      <c r="AH33" s="60">
        <v>87</v>
      </c>
      <c r="AL33" s="60" t="s">
        <v>160</v>
      </c>
      <c r="AM33" s="60">
        <v>51</v>
      </c>
      <c r="AN33" s="60">
        <v>52</v>
      </c>
      <c r="AO33" s="60" t="s">
        <v>109</v>
      </c>
      <c r="AP33" s="60">
        <v>73</v>
      </c>
      <c r="AT33" s="60" t="s">
        <v>237</v>
      </c>
      <c r="AU33" s="60">
        <v>170</v>
      </c>
      <c r="AV33" s="60">
        <v>171</v>
      </c>
      <c r="AW33" s="60" t="s">
        <v>217</v>
      </c>
      <c r="AX33" s="60">
        <v>65</v>
      </c>
      <c r="BB33" s="60" t="s">
        <v>220</v>
      </c>
      <c r="BC33" s="60">
        <v>148</v>
      </c>
      <c r="BD33" s="60">
        <v>149</v>
      </c>
      <c r="BE33" s="60" t="s">
        <v>217</v>
      </c>
      <c r="BF33" s="60">
        <v>173</v>
      </c>
      <c r="BJ33" s="60" t="s">
        <v>295</v>
      </c>
      <c r="BK33" s="60">
        <v>131</v>
      </c>
      <c r="BL33" s="60">
        <v>132</v>
      </c>
      <c r="BM33" s="60" t="s">
        <v>267</v>
      </c>
      <c r="BN33" s="60">
        <v>92</v>
      </c>
    </row>
    <row r="34" spans="14:66" x14ac:dyDescent="0.25">
      <c r="N34" s="60" t="s">
        <v>144</v>
      </c>
      <c r="O34" s="60">
        <v>25</v>
      </c>
      <c r="P34" s="60">
        <v>26</v>
      </c>
      <c r="Q34" s="60" t="s">
        <v>110</v>
      </c>
      <c r="R34" s="60">
        <v>19</v>
      </c>
      <c r="V34" s="70" t="s">
        <v>116</v>
      </c>
      <c r="W34" s="60">
        <v>68</v>
      </c>
      <c r="X34" s="60">
        <v>69</v>
      </c>
      <c r="Y34" s="60" t="s">
        <v>110</v>
      </c>
      <c r="Z34" s="71">
        <v>35</v>
      </c>
      <c r="AD34" s="60" t="s">
        <v>208</v>
      </c>
      <c r="AE34" s="60">
        <v>102</v>
      </c>
      <c r="AF34" s="60">
        <v>103</v>
      </c>
      <c r="AG34" s="60" t="s">
        <v>109</v>
      </c>
      <c r="AH34" s="60">
        <v>80</v>
      </c>
      <c r="AL34" s="60" t="s">
        <v>159</v>
      </c>
      <c r="AM34" s="60">
        <v>52</v>
      </c>
      <c r="AN34" s="60">
        <v>53</v>
      </c>
      <c r="AO34" s="60" t="s">
        <v>109</v>
      </c>
      <c r="AP34" s="60">
        <v>95</v>
      </c>
      <c r="AT34" s="60" t="s">
        <v>238</v>
      </c>
      <c r="AU34" s="60">
        <v>171</v>
      </c>
      <c r="AV34" s="60">
        <v>172</v>
      </c>
      <c r="AW34" s="60" t="s">
        <v>217</v>
      </c>
      <c r="AX34" s="60">
        <v>73</v>
      </c>
      <c r="BB34" s="60" t="s">
        <v>221</v>
      </c>
      <c r="BC34" s="60">
        <v>150</v>
      </c>
      <c r="BD34" s="60">
        <v>151</v>
      </c>
      <c r="BE34" s="60" t="s">
        <v>217</v>
      </c>
      <c r="BF34" s="60">
        <v>132</v>
      </c>
      <c r="BJ34" s="60" t="s">
        <v>296</v>
      </c>
      <c r="BK34" s="60">
        <v>132</v>
      </c>
      <c r="BL34" s="60">
        <v>133</v>
      </c>
      <c r="BM34" s="60" t="s">
        <v>267</v>
      </c>
      <c r="BN34" s="60">
        <v>74</v>
      </c>
    </row>
    <row r="35" spans="14:66" x14ac:dyDescent="0.25">
      <c r="N35" s="60" t="s">
        <v>142</v>
      </c>
      <c r="O35" s="60">
        <v>26</v>
      </c>
      <c r="P35" s="60">
        <v>27</v>
      </c>
      <c r="Q35" s="60" t="s">
        <v>110</v>
      </c>
      <c r="R35" s="60">
        <v>48</v>
      </c>
      <c r="V35" s="70" t="s">
        <v>115</v>
      </c>
      <c r="W35" s="60">
        <v>69</v>
      </c>
      <c r="X35" s="60">
        <v>70</v>
      </c>
      <c r="Y35" s="60" t="s">
        <v>110</v>
      </c>
      <c r="Z35" s="71">
        <v>30</v>
      </c>
      <c r="AD35" s="60" t="s">
        <v>229</v>
      </c>
      <c r="AE35" s="60">
        <v>103</v>
      </c>
      <c r="AF35" s="60">
        <v>104</v>
      </c>
      <c r="AG35" s="60" t="s">
        <v>217</v>
      </c>
      <c r="AH35" s="60">
        <v>91</v>
      </c>
      <c r="AL35" s="60" t="s">
        <v>191</v>
      </c>
      <c r="AM35" s="60">
        <v>53</v>
      </c>
      <c r="AN35" s="60">
        <v>92</v>
      </c>
      <c r="AO35" s="60" t="s">
        <v>109</v>
      </c>
      <c r="AP35" s="60">
        <v>75</v>
      </c>
      <c r="AT35" s="60" t="s">
        <v>239</v>
      </c>
      <c r="AU35" s="60">
        <v>172</v>
      </c>
      <c r="AV35" s="60">
        <v>173</v>
      </c>
      <c r="AW35" s="60" t="s">
        <v>217</v>
      </c>
      <c r="AX35" s="60">
        <v>216</v>
      </c>
      <c r="BB35" s="60" t="s">
        <v>222</v>
      </c>
      <c r="BC35" s="60">
        <v>151</v>
      </c>
      <c r="BD35" s="60">
        <v>152</v>
      </c>
      <c r="BE35" s="60" t="s">
        <v>217</v>
      </c>
      <c r="BF35" s="60">
        <v>154</v>
      </c>
      <c r="BJ35" s="60" t="s">
        <v>297</v>
      </c>
      <c r="BK35" s="60">
        <v>133</v>
      </c>
      <c r="BL35" s="60">
        <v>134</v>
      </c>
      <c r="BM35" s="60" t="s">
        <v>267</v>
      </c>
      <c r="BN35" s="60">
        <v>194</v>
      </c>
    </row>
    <row r="36" spans="14:66" x14ac:dyDescent="0.25">
      <c r="N36" s="60" t="s">
        <v>143</v>
      </c>
      <c r="O36" s="60">
        <v>27</v>
      </c>
      <c r="P36" s="60">
        <v>28</v>
      </c>
      <c r="Q36" s="60" t="s">
        <v>110</v>
      </c>
      <c r="R36" s="60">
        <v>66</v>
      </c>
      <c r="V36" s="70" t="s">
        <v>182</v>
      </c>
      <c r="W36" s="60">
        <v>71</v>
      </c>
      <c r="X36" s="60">
        <v>72</v>
      </c>
      <c r="Y36" s="60" t="s">
        <v>109</v>
      </c>
      <c r="Z36" s="71">
        <v>214</v>
      </c>
      <c r="AD36" s="60" t="s">
        <v>232</v>
      </c>
      <c r="AE36" s="60">
        <v>104</v>
      </c>
      <c r="AF36" s="60">
        <v>158</v>
      </c>
      <c r="AG36" s="60" t="s">
        <v>217</v>
      </c>
      <c r="AH36" s="60">
        <v>59</v>
      </c>
      <c r="AL36" s="60" t="s">
        <v>183</v>
      </c>
      <c r="AM36" s="60">
        <v>92</v>
      </c>
      <c r="AN36" s="60">
        <v>93</v>
      </c>
      <c r="AO36" s="60" t="s">
        <v>110</v>
      </c>
      <c r="AP36" s="60">
        <v>152</v>
      </c>
      <c r="AT36" s="60" t="s">
        <v>240</v>
      </c>
      <c r="AU36" s="60">
        <v>173</v>
      </c>
      <c r="AV36" s="60">
        <v>174</v>
      </c>
      <c r="AW36" s="60" t="s">
        <v>217</v>
      </c>
      <c r="AX36" s="60">
        <v>58</v>
      </c>
      <c r="BB36" s="60" t="s">
        <v>223</v>
      </c>
      <c r="BC36" s="60">
        <v>152</v>
      </c>
      <c r="BD36" s="60">
        <v>153</v>
      </c>
      <c r="BE36" s="60" t="s">
        <v>217</v>
      </c>
      <c r="BF36" s="60">
        <v>76</v>
      </c>
      <c r="BJ36" s="60" t="s">
        <v>298</v>
      </c>
      <c r="BK36" s="60">
        <v>134</v>
      </c>
      <c r="BL36" s="60">
        <v>135</v>
      </c>
      <c r="BM36" s="60" t="s">
        <v>267</v>
      </c>
      <c r="BN36" s="60">
        <v>67</v>
      </c>
    </row>
    <row r="37" spans="14:66" x14ac:dyDescent="0.25">
      <c r="N37" s="60" t="s">
        <v>141</v>
      </c>
      <c r="O37" s="60">
        <v>28</v>
      </c>
      <c r="P37" s="60">
        <v>29</v>
      </c>
      <c r="Q37" s="60" t="s">
        <v>110</v>
      </c>
      <c r="R37" s="60">
        <v>43</v>
      </c>
      <c r="V37" s="70" t="s">
        <v>181</v>
      </c>
      <c r="W37" s="60">
        <v>72</v>
      </c>
      <c r="X37" s="60">
        <v>73</v>
      </c>
      <c r="Y37" s="60" t="s">
        <v>109</v>
      </c>
      <c r="Z37" s="71">
        <v>168</v>
      </c>
      <c r="AD37" s="60" t="s">
        <v>207</v>
      </c>
      <c r="AE37" s="60">
        <v>142</v>
      </c>
      <c r="AF37" s="60">
        <v>143</v>
      </c>
      <c r="AG37" s="60" t="s">
        <v>110</v>
      </c>
      <c r="AH37" s="60">
        <v>362</v>
      </c>
      <c r="AL37" s="60" t="s">
        <v>192</v>
      </c>
      <c r="AM37" s="60">
        <v>93</v>
      </c>
      <c r="AN37" s="60">
        <v>94</v>
      </c>
      <c r="AO37" s="60" t="s">
        <v>110</v>
      </c>
      <c r="AP37" s="60">
        <v>68</v>
      </c>
      <c r="AT37" s="60" t="s">
        <v>241</v>
      </c>
      <c r="AU37" s="60">
        <v>174</v>
      </c>
      <c r="AV37" s="60">
        <v>175</v>
      </c>
      <c r="AW37" s="60" t="s">
        <v>217</v>
      </c>
      <c r="AX37" s="60">
        <v>73</v>
      </c>
      <c r="BB37" s="60" t="s">
        <v>224</v>
      </c>
      <c r="BC37" s="60">
        <v>153</v>
      </c>
      <c r="BD37" s="60">
        <v>154</v>
      </c>
      <c r="BE37" s="60" t="s">
        <v>217</v>
      </c>
      <c r="BF37" s="60">
        <v>61</v>
      </c>
      <c r="BJ37" s="60" t="s">
        <v>299</v>
      </c>
      <c r="BK37" s="60">
        <v>135</v>
      </c>
      <c r="BL37" s="60">
        <v>136</v>
      </c>
      <c r="BM37" s="60" t="s">
        <v>267</v>
      </c>
      <c r="BN37" s="60">
        <v>60</v>
      </c>
    </row>
    <row r="38" spans="14:66" x14ac:dyDescent="0.25">
      <c r="N38" s="60" t="s">
        <v>140</v>
      </c>
      <c r="O38" s="60">
        <v>29</v>
      </c>
      <c r="P38" s="60">
        <v>30</v>
      </c>
      <c r="Q38" s="60" t="s">
        <v>110</v>
      </c>
      <c r="R38" s="60">
        <v>45</v>
      </c>
      <c r="V38" s="70" t="s">
        <v>179</v>
      </c>
      <c r="W38" s="60">
        <v>73</v>
      </c>
      <c r="X38" s="60">
        <v>74</v>
      </c>
      <c r="Y38" s="60" t="s">
        <v>109</v>
      </c>
      <c r="Z38" s="71">
        <v>115</v>
      </c>
      <c r="AD38" s="60" t="s">
        <v>206</v>
      </c>
      <c r="AE38" s="60">
        <v>143</v>
      </c>
      <c r="AF38" s="60">
        <v>144</v>
      </c>
      <c r="AG38" s="60" t="s">
        <v>110</v>
      </c>
      <c r="AH38" s="60">
        <v>199</v>
      </c>
      <c r="AL38" s="60" t="s">
        <v>230</v>
      </c>
      <c r="AM38" s="60">
        <v>94</v>
      </c>
      <c r="AN38" s="60">
        <v>95</v>
      </c>
      <c r="AO38" s="60" t="s">
        <v>110</v>
      </c>
      <c r="AP38" s="60">
        <v>80</v>
      </c>
      <c r="AT38" s="60" t="s">
        <v>243</v>
      </c>
      <c r="AU38" s="60">
        <v>175</v>
      </c>
      <c r="AV38" s="60">
        <v>176</v>
      </c>
      <c r="AW38" s="60" t="s">
        <v>217</v>
      </c>
      <c r="AX38" s="60">
        <v>51</v>
      </c>
      <c r="BB38" s="60" t="s">
        <v>225</v>
      </c>
      <c r="BC38" s="60">
        <v>154</v>
      </c>
      <c r="BD38" s="60">
        <v>155</v>
      </c>
      <c r="BE38" s="60" t="s">
        <v>217</v>
      </c>
      <c r="BF38" s="60">
        <v>241</v>
      </c>
      <c r="BJ38" s="60" t="s">
        <v>300</v>
      </c>
      <c r="BK38" s="60">
        <v>136</v>
      </c>
      <c r="BL38" s="60">
        <v>137</v>
      </c>
      <c r="BM38" s="60" t="s">
        <v>267</v>
      </c>
      <c r="BN38" s="60">
        <v>56</v>
      </c>
    </row>
    <row r="39" spans="14:66" x14ac:dyDescent="0.25">
      <c r="N39" s="60" t="s">
        <v>139</v>
      </c>
      <c r="O39" s="60">
        <v>30</v>
      </c>
      <c r="P39" s="60">
        <v>31</v>
      </c>
      <c r="Q39" s="60" t="s">
        <v>110</v>
      </c>
      <c r="R39" s="60">
        <v>89</v>
      </c>
      <c r="V39" s="70" t="s">
        <v>180</v>
      </c>
      <c r="W39" s="60">
        <v>74</v>
      </c>
      <c r="X39" s="60">
        <v>75</v>
      </c>
      <c r="Y39" s="60" t="s">
        <v>109</v>
      </c>
      <c r="Z39" s="71">
        <v>87</v>
      </c>
      <c r="AD39" s="60" t="s">
        <v>205</v>
      </c>
      <c r="AE39" s="60">
        <v>144</v>
      </c>
      <c r="AF39" s="60">
        <v>145</v>
      </c>
      <c r="AG39" s="60" t="s">
        <v>110</v>
      </c>
      <c r="AH39" s="60">
        <v>215</v>
      </c>
      <c r="AL39" s="60" t="s">
        <v>215</v>
      </c>
      <c r="AM39" s="60">
        <v>95</v>
      </c>
      <c r="AN39" s="60">
        <v>96</v>
      </c>
      <c r="AO39" s="60" t="s">
        <v>109</v>
      </c>
      <c r="AP39" s="60">
        <v>70</v>
      </c>
      <c r="AT39" s="60" t="s">
        <v>242</v>
      </c>
      <c r="AU39" s="60">
        <v>176</v>
      </c>
      <c r="AV39" s="60">
        <v>177</v>
      </c>
      <c r="AW39" s="60" t="s">
        <v>217</v>
      </c>
      <c r="AX39" s="60">
        <v>79</v>
      </c>
      <c r="BB39" s="60" t="s">
        <v>226</v>
      </c>
      <c r="BC39" s="60">
        <v>155</v>
      </c>
      <c r="BD39" s="60">
        <v>156</v>
      </c>
      <c r="BE39" s="60" t="s">
        <v>217</v>
      </c>
      <c r="BF39" s="60">
        <v>79</v>
      </c>
      <c r="BJ39" s="60" t="s">
        <v>301</v>
      </c>
      <c r="BK39" s="60">
        <v>137</v>
      </c>
      <c r="BL39" s="60">
        <v>138</v>
      </c>
      <c r="BM39" s="60" t="s">
        <v>267</v>
      </c>
      <c r="BN39" s="60">
        <v>93</v>
      </c>
    </row>
    <row r="40" spans="14:66" x14ac:dyDescent="0.25">
      <c r="N40" s="60" t="s">
        <v>138</v>
      </c>
      <c r="O40" s="60">
        <v>31</v>
      </c>
      <c r="P40" s="60">
        <v>32</v>
      </c>
      <c r="Q40" s="60" t="s">
        <v>110</v>
      </c>
      <c r="R40" s="60">
        <v>89</v>
      </c>
      <c r="V40" s="70" t="s">
        <v>178</v>
      </c>
      <c r="W40" s="60">
        <v>75</v>
      </c>
      <c r="X40" s="60">
        <v>76</v>
      </c>
      <c r="Y40" s="60" t="s">
        <v>109</v>
      </c>
      <c r="Z40" s="71">
        <v>427</v>
      </c>
      <c r="AD40" s="60" t="s">
        <v>204</v>
      </c>
      <c r="AE40" s="60">
        <v>145</v>
      </c>
      <c r="AF40" s="60">
        <v>146</v>
      </c>
      <c r="AG40" s="60" t="s">
        <v>110</v>
      </c>
      <c r="AH40" s="60">
        <v>193</v>
      </c>
      <c r="AL40" s="60" t="s">
        <v>214</v>
      </c>
      <c r="AM40" s="60">
        <v>96</v>
      </c>
      <c r="AN40" s="60">
        <v>97</v>
      </c>
      <c r="AO40" s="60" t="s">
        <v>109</v>
      </c>
      <c r="AP40" s="60">
        <v>158</v>
      </c>
      <c r="AT40" s="60" t="s">
        <v>244</v>
      </c>
      <c r="AU40" s="60">
        <v>177</v>
      </c>
      <c r="AV40" s="60">
        <v>178</v>
      </c>
      <c r="AW40" s="60" t="s">
        <v>217</v>
      </c>
      <c r="AX40" s="60">
        <v>32</v>
      </c>
      <c r="BB40" s="60" t="s">
        <v>227</v>
      </c>
      <c r="BC40" s="60">
        <v>157</v>
      </c>
      <c r="BD40" s="60">
        <v>158</v>
      </c>
      <c r="BE40" s="60" t="s">
        <v>217</v>
      </c>
      <c r="BF40" s="60">
        <v>234</v>
      </c>
      <c r="BJ40" s="60" t="s">
        <v>302</v>
      </c>
      <c r="BK40" s="60">
        <v>138</v>
      </c>
      <c r="BL40" s="60">
        <v>139</v>
      </c>
      <c r="BM40" s="60" t="s">
        <v>267</v>
      </c>
      <c r="BN40" s="60">
        <v>181</v>
      </c>
    </row>
    <row r="41" spans="14:66" x14ac:dyDescent="0.25">
      <c r="N41" s="60" t="s">
        <v>137</v>
      </c>
      <c r="O41" s="60">
        <v>32</v>
      </c>
      <c r="P41" s="60">
        <v>33</v>
      </c>
      <c r="Q41" s="60" t="s">
        <v>110</v>
      </c>
      <c r="R41" s="60">
        <v>79</v>
      </c>
      <c r="V41" s="70" t="s">
        <v>189</v>
      </c>
      <c r="W41" s="60">
        <v>76</v>
      </c>
      <c r="X41" s="60">
        <v>77</v>
      </c>
      <c r="Y41" s="60" t="s">
        <v>109</v>
      </c>
      <c r="Z41" s="71">
        <v>100</v>
      </c>
      <c r="AD41" s="60" t="s">
        <v>218</v>
      </c>
      <c r="AE41" s="60">
        <v>146</v>
      </c>
      <c r="AF41" s="60">
        <v>147</v>
      </c>
      <c r="AG41" s="60" t="s">
        <v>217</v>
      </c>
      <c r="AH41" s="60">
        <v>72</v>
      </c>
      <c r="AL41" s="60" t="s">
        <v>213</v>
      </c>
      <c r="AM41" s="60">
        <v>97</v>
      </c>
      <c r="AN41" s="60">
        <v>98</v>
      </c>
      <c r="AO41" s="60" t="s">
        <v>109</v>
      </c>
      <c r="AP41" s="60">
        <v>80</v>
      </c>
      <c r="AT41" s="60" t="s">
        <v>245</v>
      </c>
      <c r="AU41" s="60">
        <v>178</v>
      </c>
      <c r="AV41" s="60">
        <v>179</v>
      </c>
      <c r="AW41" s="60" t="s">
        <v>217</v>
      </c>
      <c r="AX41" s="60">
        <v>36</v>
      </c>
      <c r="BB41" s="60" t="s">
        <v>228</v>
      </c>
      <c r="BC41" s="60">
        <v>156</v>
      </c>
      <c r="BD41" s="60">
        <v>157</v>
      </c>
      <c r="BE41" s="60" t="s">
        <v>217</v>
      </c>
      <c r="BF41" s="60">
        <v>74</v>
      </c>
      <c r="BJ41" s="60" t="s">
        <v>303</v>
      </c>
      <c r="BK41" s="60">
        <v>139</v>
      </c>
      <c r="BL41" s="60">
        <v>140</v>
      </c>
      <c r="BM41" s="60" t="s">
        <v>267</v>
      </c>
      <c r="BN41" s="60">
        <v>133</v>
      </c>
    </row>
    <row r="42" spans="14:66" x14ac:dyDescent="0.25">
      <c r="N42" s="60" t="s">
        <v>136</v>
      </c>
      <c r="O42" s="60">
        <v>33</v>
      </c>
      <c r="P42" s="60">
        <v>34</v>
      </c>
      <c r="Q42" s="60" t="s">
        <v>110</v>
      </c>
      <c r="R42" s="60">
        <v>104</v>
      </c>
      <c r="V42" s="70" t="s">
        <v>188</v>
      </c>
      <c r="W42" s="60">
        <v>77</v>
      </c>
      <c r="X42" s="60">
        <v>78</v>
      </c>
      <c r="Y42" s="60" t="s">
        <v>109</v>
      </c>
      <c r="Z42" s="71">
        <v>210</v>
      </c>
      <c r="AD42" s="60" t="s">
        <v>216</v>
      </c>
      <c r="AE42" s="60">
        <v>147</v>
      </c>
      <c r="AF42" s="60">
        <v>148</v>
      </c>
      <c r="AG42" s="60" t="s">
        <v>217</v>
      </c>
      <c r="AH42" s="60">
        <v>133</v>
      </c>
      <c r="AL42" s="60" t="s">
        <v>212</v>
      </c>
      <c r="AM42" s="60">
        <v>98</v>
      </c>
      <c r="AN42" s="60">
        <v>99</v>
      </c>
      <c r="AO42" s="60" t="s">
        <v>109</v>
      </c>
      <c r="AP42" s="60">
        <v>76</v>
      </c>
      <c r="AT42" s="60" t="s">
        <v>246</v>
      </c>
      <c r="AU42" s="60">
        <v>179</v>
      </c>
      <c r="AV42" s="60">
        <v>180</v>
      </c>
      <c r="AW42" s="60" t="s">
        <v>217</v>
      </c>
      <c r="AX42" s="60">
        <v>76</v>
      </c>
      <c r="BB42" s="60" t="s">
        <v>265</v>
      </c>
      <c r="BC42" s="60">
        <v>104</v>
      </c>
      <c r="BD42" s="60">
        <v>105</v>
      </c>
      <c r="BE42" s="60" t="s">
        <v>217</v>
      </c>
      <c r="BF42" s="60">
        <v>163</v>
      </c>
      <c r="BJ42" s="60" t="s">
        <v>315</v>
      </c>
      <c r="BK42" s="60">
        <v>124</v>
      </c>
      <c r="BL42" s="60">
        <v>164</v>
      </c>
      <c r="BM42" s="60" t="s">
        <v>267</v>
      </c>
      <c r="BN42" s="60">
        <v>133</v>
      </c>
    </row>
    <row r="43" spans="14:66" x14ac:dyDescent="0.25">
      <c r="N43" s="60" t="s">
        <v>134</v>
      </c>
      <c r="O43" s="60">
        <v>34</v>
      </c>
      <c r="P43" s="60">
        <v>35</v>
      </c>
      <c r="Q43" s="60" t="s">
        <v>110</v>
      </c>
      <c r="R43" s="60">
        <v>129</v>
      </c>
      <c r="V43" s="70" t="s">
        <v>186</v>
      </c>
      <c r="W43" s="60">
        <v>78</v>
      </c>
      <c r="X43" s="60">
        <v>79</v>
      </c>
      <c r="Y43" s="60" t="s">
        <v>109</v>
      </c>
      <c r="Z43" s="71">
        <v>180</v>
      </c>
      <c r="AD43" s="60" t="s">
        <v>220</v>
      </c>
      <c r="AE43" s="60">
        <v>148</v>
      </c>
      <c r="AF43" s="60">
        <v>149</v>
      </c>
      <c r="AG43" s="60" t="s">
        <v>217</v>
      </c>
      <c r="AH43" s="60">
        <v>173</v>
      </c>
      <c r="AL43" s="60" t="s">
        <v>211</v>
      </c>
      <c r="AM43" s="60">
        <v>99</v>
      </c>
      <c r="AN43" s="60">
        <v>100</v>
      </c>
      <c r="AO43" s="60" t="s">
        <v>109</v>
      </c>
      <c r="AP43" s="60">
        <v>88</v>
      </c>
      <c r="AT43" s="60" t="s">
        <v>247</v>
      </c>
      <c r="AU43" s="60">
        <v>180</v>
      </c>
      <c r="AV43" s="60">
        <v>181</v>
      </c>
      <c r="AW43" s="60" t="s">
        <v>217</v>
      </c>
      <c r="AX43" s="60">
        <v>77</v>
      </c>
      <c r="BB43" s="60" t="s">
        <v>232</v>
      </c>
      <c r="BC43" s="60">
        <v>104</v>
      </c>
      <c r="BD43" s="60">
        <v>158</v>
      </c>
      <c r="BE43" s="60" t="s">
        <v>217</v>
      </c>
      <c r="BF43" s="60">
        <v>59</v>
      </c>
      <c r="BJ43" s="60" t="s">
        <v>304</v>
      </c>
      <c r="BK43" s="60">
        <v>140</v>
      </c>
      <c r="BL43" s="60">
        <v>141</v>
      </c>
      <c r="BM43" s="60" t="s">
        <v>267</v>
      </c>
      <c r="BN43" s="60">
        <v>75</v>
      </c>
    </row>
    <row r="44" spans="14:66" x14ac:dyDescent="0.25">
      <c r="N44" s="60" t="s">
        <v>135</v>
      </c>
      <c r="O44" s="60">
        <v>35</v>
      </c>
      <c r="P44" s="60">
        <v>36</v>
      </c>
      <c r="Q44" s="60" t="s">
        <v>110</v>
      </c>
      <c r="R44" s="60">
        <v>145</v>
      </c>
      <c r="V44" s="70" t="s">
        <v>187</v>
      </c>
      <c r="W44" s="60">
        <v>79</v>
      </c>
      <c r="X44" s="60">
        <v>80</v>
      </c>
      <c r="Y44" s="60" t="s">
        <v>109</v>
      </c>
      <c r="Z44" s="71">
        <v>270</v>
      </c>
      <c r="AD44" s="60" t="s">
        <v>219</v>
      </c>
      <c r="AE44" s="60">
        <v>149</v>
      </c>
      <c r="AF44" s="60">
        <v>150</v>
      </c>
      <c r="AG44" s="60" t="s">
        <v>217</v>
      </c>
      <c r="AH44" s="60">
        <v>212</v>
      </c>
      <c r="AL44" s="60" t="s">
        <v>209</v>
      </c>
      <c r="AM44" s="60">
        <v>100</v>
      </c>
      <c r="AN44" s="60">
        <v>101</v>
      </c>
      <c r="AO44" s="60" t="s">
        <v>109</v>
      </c>
      <c r="AP44" s="60">
        <v>89</v>
      </c>
      <c r="AT44" s="60" t="s">
        <v>248</v>
      </c>
      <c r="AU44" s="60">
        <v>181</v>
      </c>
      <c r="AV44" s="60">
        <v>182</v>
      </c>
      <c r="AW44" s="60" t="s">
        <v>217</v>
      </c>
      <c r="AX44" s="60">
        <v>77</v>
      </c>
      <c r="BB44" s="60" t="s">
        <v>266</v>
      </c>
      <c r="BC44" s="60">
        <v>113</v>
      </c>
      <c r="BD44" s="60">
        <v>114</v>
      </c>
      <c r="BE44" s="60" t="s">
        <v>267</v>
      </c>
      <c r="BF44" s="60">
        <v>129</v>
      </c>
      <c r="BJ44" s="60" t="s">
        <v>276</v>
      </c>
      <c r="BK44" s="60">
        <v>114</v>
      </c>
      <c r="BL44" s="60">
        <v>115</v>
      </c>
      <c r="BM44" s="60" t="s">
        <v>217</v>
      </c>
      <c r="BN44" s="60">
        <v>211</v>
      </c>
    </row>
    <row r="45" spans="14:66" x14ac:dyDescent="0.25">
      <c r="N45" s="60" t="s">
        <v>133</v>
      </c>
      <c r="O45" s="60">
        <v>36</v>
      </c>
      <c r="P45" s="60">
        <v>37</v>
      </c>
      <c r="Q45" s="60" t="s">
        <v>110</v>
      </c>
      <c r="R45" s="60">
        <v>230</v>
      </c>
      <c r="V45" s="70" t="s">
        <v>185</v>
      </c>
      <c r="W45" s="60">
        <v>80</v>
      </c>
      <c r="X45" s="60">
        <v>81</v>
      </c>
      <c r="Y45" s="60" t="s">
        <v>109</v>
      </c>
      <c r="Z45" s="71">
        <v>315</v>
      </c>
      <c r="AD45" s="60" t="s">
        <v>221</v>
      </c>
      <c r="AE45" s="60">
        <v>150</v>
      </c>
      <c r="AF45" s="60">
        <v>151</v>
      </c>
      <c r="AG45" s="60" t="s">
        <v>217</v>
      </c>
      <c r="AH45" s="60">
        <v>132</v>
      </c>
      <c r="AL45" s="60" t="s">
        <v>210</v>
      </c>
      <c r="AM45" s="60">
        <v>101</v>
      </c>
      <c r="AN45" s="60">
        <v>102</v>
      </c>
      <c r="AO45" s="60" t="s">
        <v>109</v>
      </c>
      <c r="AP45" s="60">
        <v>87</v>
      </c>
      <c r="AT45" s="60" t="s">
        <v>249</v>
      </c>
      <c r="AU45" s="60">
        <v>182</v>
      </c>
      <c r="AV45" s="60">
        <v>183</v>
      </c>
      <c r="AW45" s="60" t="s">
        <v>217</v>
      </c>
      <c r="AX45" s="60">
        <v>191</v>
      </c>
      <c r="BB45" s="60" t="s">
        <v>287</v>
      </c>
      <c r="BC45" s="60">
        <v>114</v>
      </c>
      <c r="BD45" s="60">
        <v>125</v>
      </c>
      <c r="BE45" s="60" t="s">
        <v>267</v>
      </c>
      <c r="BF45" s="60">
        <v>251</v>
      </c>
      <c r="BJ45" s="60" t="s">
        <v>316</v>
      </c>
      <c r="BK45" s="60">
        <v>115</v>
      </c>
      <c r="BL45" s="60">
        <v>116</v>
      </c>
      <c r="BM45" s="60" t="s">
        <v>217</v>
      </c>
      <c r="BN45" s="60">
        <v>414</v>
      </c>
    </row>
    <row r="46" spans="14:66" x14ac:dyDescent="0.25">
      <c r="N46" s="60" t="s">
        <v>132</v>
      </c>
      <c r="O46" s="60">
        <v>37</v>
      </c>
      <c r="P46" s="60">
        <v>38</v>
      </c>
      <c r="Q46" s="60" t="s">
        <v>110</v>
      </c>
      <c r="R46" s="60">
        <v>101</v>
      </c>
      <c r="V46" s="70" t="s">
        <v>184</v>
      </c>
      <c r="W46" s="60">
        <v>81</v>
      </c>
      <c r="X46" s="60">
        <v>82</v>
      </c>
      <c r="Y46" s="60" t="s">
        <v>109</v>
      </c>
      <c r="Z46" s="71">
        <v>360</v>
      </c>
      <c r="AD46" s="60" t="s">
        <v>222</v>
      </c>
      <c r="AE46" s="60">
        <v>151</v>
      </c>
      <c r="AF46" s="60">
        <v>152</v>
      </c>
      <c r="AG46" s="60" t="s">
        <v>217</v>
      </c>
      <c r="AH46" s="60">
        <v>154</v>
      </c>
      <c r="AL46" s="60" t="s">
        <v>208</v>
      </c>
      <c r="AM46" s="60">
        <v>102</v>
      </c>
      <c r="AN46" s="60">
        <v>103</v>
      </c>
      <c r="AO46" s="60" t="s">
        <v>109</v>
      </c>
      <c r="AP46" s="60">
        <v>80</v>
      </c>
      <c r="AT46" s="60" t="s">
        <v>250</v>
      </c>
      <c r="AU46" s="60">
        <v>183</v>
      </c>
      <c r="AV46" s="60">
        <v>184</v>
      </c>
      <c r="AW46" s="60" t="s">
        <v>217</v>
      </c>
      <c r="AX46" s="60">
        <v>94</v>
      </c>
      <c r="BB46" s="60" t="s">
        <v>288</v>
      </c>
      <c r="BC46" s="60">
        <v>125</v>
      </c>
      <c r="BD46" s="60">
        <v>126</v>
      </c>
      <c r="BE46" s="60" t="s">
        <v>267</v>
      </c>
      <c r="BF46" s="60">
        <v>76</v>
      </c>
    </row>
    <row r="47" spans="14:66" x14ac:dyDescent="0.25">
      <c r="N47" s="60" t="s">
        <v>131</v>
      </c>
      <c r="O47" s="60">
        <v>38</v>
      </c>
      <c r="P47" s="60">
        <v>70</v>
      </c>
      <c r="Q47" s="60" t="s">
        <v>110</v>
      </c>
      <c r="R47" s="60">
        <v>91</v>
      </c>
      <c r="V47" s="70" t="s">
        <v>200</v>
      </c>
      <c r="W47" s="60">
        <v>82</v>
      </c>
      <c r="X47" s="60">
        <v>83</v>
      </c>
      <c r="Y47" s="60" t="s">
        <v>110</v>
      </c>
      <c r="Z47" s="71">
        <v>222</v>
      </c>
      <c r="AD47" s="60" t="s">
        <v>223</v>
      </c>
      <c r="AE47" s="60">
        <v>152</v>
      </c>
      <c r="AF47" s="60">
        <v>153</v>
      </c>
      <c r="AG47" s="60" t="s">
        <v>217</v>
      </c>
      <c r="AH47" s="60">
        <v>76</v>
      </c>
      <c r="AL47" s="60" t="s">
        <v>229</v>
      </c>
      <c r="AM47" s="60">
        <v>103</v>
      </c>
      <c r="AN47" s="60">
        <v>104</v>
      </c>
      <c r="AO47" s="60" t="s">
        <v>217</v>
      </c>
      <c r="AP47" s="60">
        <v>91</v>
      </c>
      <c r="AT47" s="60" t="s">
        <v>269</v>
      </c>
      <c r="AU47" s="60">
        <v>185</v>
      </c>
      <c r="AV47" s="60">
        <v>186</v>
      </c>
      <c r="AW47" s="60" t="s">
        <v>217</v>
      </c>
      <c r="AX47" s="60">
        <v>186</v>
      </c>
      <c r="BB47" s="60" t="s">
        <v>289</v>
      </c>
      <c r="BC47" s="60">
        <v>126</v>
      </c>
      <c r="BD47" s="60">
        <v>126</v>
      </c>
      <c r="BE47" s="60" t="s">
        <v>267</v>
      </c>
      <c r="BF47" s="60">
        <v>69</v>
      </c>
    </row>
    <row r="48" spans="14:66" x14ac:dyDescent="0.25">
      <c r="N48" s="60" t="s">
        <v>172</v>
      </c>
      <c r="O48" s="60">
        <v>39</v>
      </c>
      <c r="P48" s="60">
        <v>40</v>
      </c>
      <c r="Q48" s="60" t="s">
        <v>109</v>
      </c>
      <c r="R48" s="60">
        <v>128</v>
      </c>
      <c r="V48" s="70" t="s">
        <v>202</v>
      </c>
      <c r="W48" s="60">
        <v>83</v>
      </c>
      <c r="X48" s="60">
        <v>84</v>
      </c>
      <c r="Y48" s="60" t="s">
        <v>110</v>
      </c>
      <c r="Z48" s="71">
        <v>190</v>
      </c>
      <c r="AD48" s="60" t="s">
        <v>224</v>
      </c>
      <c r="AE48" s="60">
        <v>153</v>
      </c>
      <c r="AF48" s="60">
        <v>154</v>
      </c>
      <c r="AG48" s="60" t="s">
        <v>217</v>
      </c>
      <c r="AH48" s="60">
        <v>61</v>
      </c>
      <c r="AL48" s="60" t="s">
        <v>251</v>
      </c>
      <c r="AM48" s="60">
        <v>104</v>
      </c>
      <c r="AN48" s="60">
        <v>184</v>
      </c>
      <c r="AO48" s="60" t="s">
        <v>217</v>
      </c>
      <c r="AP48" s="60">
        <v>223</v>
      </c>
      <c r="AT48" s="60" t="s">
        <v>270</v>
      </c>
      <c r="AU48" s="60">
        <v>186</v>
      </c>
      <c r="AV48" s="60">
        <v>187</v>
      </c>
      <c r="AW48" s="60" t="s">
        <v>217</v>
      </c>
      <c r="AX48" s="60">
        <v>151</v>
      </c>
      <c r="BB48" s="60" t="s">
        <v>290</v>
      </c>
      <c r="BC48" s="60">
        <v>127</v>
      </c>
      <c r="BD48" s="60">
        <v>127</v>
      </c>
      <c r="BE48" s="60" t="s">
        <v>267</v>
      </c>
      <c r="BF48" s="60">
        <v>75</v>
      </c>
    </row>
    <row r="49" spans="14:58" x14ac:dyDescent="0.25">
      <c r="N49" s="60" t="s">
        <v>170</v>
      </c>
      <c r="O49" s="60">
        <v>40</v>
      </c>
      <c r="P49" s="60">
        <v>41</v>
      </c>
      <c r="Q49" s="60" t="s">
        <v>109</v>
      </c>
      <c r="R49" s="60">
        <v>116</v>
      </c>
      <c r="V49" s="70" t="s">
        <v>201</v>
      </c>
      <c r="W49" s="60">
        <v>84</v>
      </c>
      <c r="X49" s="60">
        <v>85</v>
      </c>
      <c r="Y49" s="60" t="s">
        <v>110</v>
      </c>
      <c r="Z49" s="71">
        <v>290</v>
      </c>
      <c r="AD49" s="60" t="s">
        <v>225</v>
      </c>
      <c r="AE49" s="60">
        <v>154</v>
      </c>
      <c r="AF49" s="60">
        <v>155</v>
      </c>
      <c r="AG49" s="60" t="s">
        <v>217</v>
      </c>
      <c r="AH49" s="60">
        <v>241</v>
      </c>
      <c r="AL49" s="60" t="s">
        <v>234</v>
      </c>
      <c r="AM49" s="60">
        <v>165</v>
      </c>
      <c r="AN49" s="60">
        <v>166</v>
      </c>
      <c r="AO49" s="60" t="s">
        <v>110</v>
      </c>
      <c r="AP49" s="60">
        <v>584</v>
      </c>
      <c r="AT49" s="60" t="s">
        <v>272</v>
      </c>
      <c r="AU49" s="60">
        <v>187</v>
      </c>
      <c r="AV49" s="60">
        <v>188</v>
      </c>
      <c r="AW49" s="60" t="s">
        <v>217</v>
      </c>
      <c r="AX49" s="60">
        <v>395</v>
      </c>
      <c r="BB49" s="60" t="s">
        <v>291</v>
      </c>
      <c r="BC49" s="60">
        <v>128</v>
      </c>
      <c r="BD49" s="60">
        <v>129</v>
      </c>
      <c r="BE49" s="60" t="s">
        <v>267</v>
      </c>
      <c r="BF49" s="60">
        <v>76</v>
      </c>
    </row>
    <row r="50" spans="14:58" x14ac:dyDescent="0.25">
      <c r="N50" s="60" t="s">
        <v>171</v>
      </c>
      <c r="O50" s="60">
        <v>41</v>
      </c>
      <c r="P50" s="60">
        <v>42</v>
      </c>
      <c r="Q50" s="60" t="s">
        <v>109</v>
      </c>
      <c r="R50" s="60">
        <v>248</v>
      </c>
      <c r="V50" s="70" t="s">
        <v>199</v>
      </c>
      <c r="W50" s="60">
        <v>85</v>
      </c>
      <c r="X50" s="60">
        <v>86</v>
      </c>
      <c r="Y50" s="60" t="s">
        <v>110</v>
      </c>
      <c r="Z50" s="71">
        <v>82</v>
      </c>
      <c r="AD50" s="60" t="s">
        <v>226</v>
      </c>
      <c r="AE50" s="60">
        <v>155</v>
      </c>
      <c r="AF50" s="60">
        <v>156</v>
      </c>
      <c r="AG50" s="60" t="s">
        <v>217</v>
      </c>
      <c r="AH50" s="60">
        <v>79</v>
      </c>
      <c r="AL50" s="60" t="s">
        <v>252</v>
      </c>
      <c r="AM50" s="60">
        <v>166</v>
      </c>
      <c r="AN50" s="60">
        <v>167</v>
      </c>
      <c r="AO50" s="60" t="s">
        <v>217</v>
      </c>
      <c r="AP50" s="60">
        <v>166</v>
      </c>
      <c r="AT50" s="60" t="s">
        <v>271</v>
      </c>
      <c r="AU50" s="60">
        <v>188</v>
      </c>
      <c r="AV50" s="60">
        <v>189</v>
      </c>
      <c r="AW50" s="60" t="s">
        <v>217</v>
      </c>
      <c r="AX50" s="60">
        <v>407</v>
      </c>
      <c r="BB50" s="60" t="s">
        <v>292</v>
      </c>
      <c r="BC50" s="60">
        <v>127</v>
      </c>
      <c r="BD50" s="60">
        <v>128</v>
      </c>
      <c r="BE50" s="60" t="s">
        <v>267</v>
      </c>
      <c r="BF50" s="60">
        <v>80</v>
      </c>
    </row>
    <row r="51" spans="14:58" x14ac:dyDescent="0.25">
      <c r="N51" s="60" t="s">
        <v>169</v>
      </c>
      <c r="O51" s="60">
        <v>42</v>
      </c>
      <c r="P51" s="60">
        <v>43</v>
      </c>
      <c r="Q51" s="60" t="s">
        <v>109</v>
      </c>
      <c r="R51" s="60">
        <v>74</v>
      </c>
      <c r="V51" s="70" t="s">
        <v>198</v>
      </c>
      <c r="W51" s="60">
        <v>86</v>
      </c>
      <c r="X51" s="60">
        <v>87</v>
      </c>
      <c r="Y51" s="60" t="s">
        <v>110</v>
      </c>
      <c r="Z51" s="71">
        <v>75</v>
      </c>
      <c r="AD51" s="60" t="s">
        <v>228</v>
      </c>
      <c r="AE51" s="60">
        <v>156</v>
      </c>
      <c r="AF51" s="60">
        <v>157</v>
      </c>
      <c r="AG51" s="60" t="s">
        <v>217</v>
      </c>
      <c r="AH51" s="60">
        <v>74</v>
      </c>
      <c r="AL51" s="60" t="s">
        <v>253</v>
      </c>
      <c r="AM51" s="60">
        <v>167</v>
      </c>
      <c r="AN51" s="60">
        <v>168</v>
      </c>
      <c r="AO51" s="60" t="s">
        <v>217</v>
      </c>
      <c r="AP51" s="60">
        <v>202</v>
      </c>
      <c r="AT51" s="60" t="s">
        <v>273</v>
      </c>
      <c r="AU51" s="60">
        <v>189</v>
      </c>
      <c r="AV51" s="60">
        <v>190</v>
      </c>
      <c r="AW51" s="60" t="s">
        <v>217</v>
      </c>
      <c r="AX51" s="60">
        <v>275</v>
      </c>
      <c r="BB51" s="60" t="s">
        <v>293</v>
      </c>
      <c r="BC51" s="60">
        <v>129</v>
      </c>
      <c r="BD51" s="60">
        <v>130</v>
      </c>
      <c r="BE51" s="60" t="s">
        <v>267</v>
      </c>
      <c r="BF51" s="60">
        <v>76</v>
      </c>
    </row>
    <row r="52" spans="14:58" x14ac:dyDescent="0.25">
      <c r="N52" s="60" t="s">
        <v>168</v>
      </c>
      <c r="O52" s="60">
        <v>43</v>
      </c>
      <c r="P52" s="60">
        <v>44</v>
      </c>
      <c r="Q52" s="60" t="s">
        <v>109</v>
      </c>
      <c r="R52" s="60">
        <v>88</v>
      </c>
      <c r="V52" s="70" t="s">
        <v>197</v>
      </c>
      <c r="W52" s="60">
        <v>87</v>
      </c>
      <c r="X52" s="60">
        <v>88</v>
      </c>
      <c r="Y52" s="60" t="s">
        <v>110</v>
      </c>
      <c r="Z52" s="71">
        <v>108</v>
      </c>
      <c r="AD52" s="60" t="s">
        <v>227</v>
      </c>
      <c r="AE52" s="60">
        <v>157</v>
      </c>
      <c r="AF52" s="60">
        <v>158</v>
      </c>
      <c r="AG52" s="60" t="s">
        <v>217</v>
      </c>
      <c r="AH52" s="60">
        <v>234</v>
      </c>
      <c r="AL52" s="60" t="s">
        <v>235</v>
      </c>
      <c r="AM52" s="60">
        <v>168</v>
      </c>
      <c r="AN52" s="60">
        <v>169</v>
      </c>
      <c r="AO52" s="60" t="s">
        <v>217</v>
      </c>
      <c r="AP52" s="60">
        <v>100</v>
      </c>
      <c r="AT52" s="60" t="s">
        <v>274</v>
      </c>
      <c r="AU52" s="60">
        <v>190</v>
      </c>
      <c r="AV52" s="60">
        <v>191</v>
      </c>
      <c r="AW52" s="60" t="s">
        <v>217</v>
      </c>
      <c r="AX52" s="60">
        <v>196</v>
      </c>
      <c r="BB52" s="60" t="s">
        <v>294</v>
      </c>
      <c r="BC52" s="60">
        <v>130</v>
      </c>
      <c r="BD52" s="60">
        <v>131</v>
      </c>
      <c r="BE52" s="60" t="s">
        <v>267</v>
      </c>
      <c r="BF52" s="60">
        <v>75</v>
      </c>
    </row>
    <row r="53" spans="14:58" x14ac:dyDescent="0.25">
      <c r="N53" s="60" t="s">
        <v>167</v>
      </c>
      <c r="O53" s="60">
        <v>44</v>
      </c>
      <c r="P53" s="60">
        <v>45</v>
      </c>
      <c r="Q53" s="60" t="s">
        <v>109</v>
      </c>
      <c r="R53" s="60">
        <v>111</v>
      </c>
      <c r="V53" s="70" t="s">
        <v>196</v>
      </c>
      <c r="W53" s="60">
        <v>88</v>
      </c>
      <c r="X53" s="60">
        <v>89</v>
      </c>
      <c r="Y53" s="60" t="s">
        <v>110</v>
      </c>
      <c r="Z53" s="71">
        <v>150</v>
      </c>
      <c r="AL53" s="60" t="s">
        <v>236</v>
      </c>
      <c r="AM53" s="60">
        <v>169</v>
      </c>
      <c r="AN53" s="60">
        <v>170</v>
      </c>
      <c r="AO53" s="60" t="s">
        <v>217</v>
      </c>
      <c r="AP53" s="60">
        <v>45</v>
      </c>
      <c r="AT53" s="60" t="s">
        <v>275</v>
      </c>
      <c r="AU53" s="60">
        <v>191</v>
      </c>
      <c r="AV53" s="60">
        <v>192</v>
      </c>
      <c r="AW53" s="60" t="s">
        <v>217</v>
      </c>
      <c r="AX53" s="60">
        <v>205</v>
      </c>
      <c r="BB53" s="60" t="s">
        <v>295</v>
      </c>
      <c r="BC53" s="60">
        <v>131</v>
      </c>
      <c r="BD53" s="60">
        <v>132</v>
      </c>
      <c r="BE53" s="60" t="s">
        <v>267</v>
      </c>
      <c r="BF53" s="60">
        <v>92</v>
      </c>
    </row>
    <row r="54" spans="14:58" x14ac:dyDescent="0.25">
      <c r="N54" s="60" t="s">
        <v>166</v>
      </c>
      <c r="O54" s="60">
        <v>45</v>
      </c>
      <c r="P54" s="60">
        <v>46</v>
      </c>
      <c r="Q54" s="60" t="s">
        <v>109</v>
      </c>
      <c r="R54" s="60">
        <v>129</v>
      </c>
      <c r="V54" s="70" t="s">
        <v>195</v>
      </c>
      <c r="W54" s="60">
        <v>89</v>
      </c>
      <c r="X54" s="60">
        <v>90</v>
      </c>
      <c r="Y54" s="60" t="s">
        <v>110</v>
      </c>
      <c r="Z54" s="71">
        <v>54</v>
      </c>
      <c r="AL54" s="60" t="s">
        <v>237</v>
      </c>
      <c r="AM54" s="60">
        <v>170</v>
      </c>
      <c r="AN54" s="60">
        <v>171</v>
      </c>
      <c r="AO54" s="60" t="s">
        <v>217</v>
      </c>
      <c r="AP54" s="60">
        <v>65</v>
      </c>
      <c r="AT54" s="60" t="s">
        <v>277</v>
      </c>
      <c r="AU54" s="60">
        <v>192</v>
      </c>
      <c r="AV54" s="60">
        <v>193</v>
      </c>
      <c r="AW54" s="60" t="s">
        <v>217</v>
      </c>
      <c r="AX54" s="60">
        <v>340</v>
      </c>
      <c r="BB54" s="60" t="s">
        <v>296</v>
      </c>
      <c r="BC54" s="60">
        <v>132</v>
      </c>
      <c r="BD54" s="60">
        <v>133</v>
      </c>
      <c r="BE54" s="60" t="s">
        <v>267</v>
      </c>
      <c r="BF54" s="60">
        <v>74</v>
      </c>
    </row>
    <row r="55" spans="14:58" x14ac:dyDescent="0.25">
      <c r="N55" s="60" t="s">
        <v>165</v>
      </c>
      <c r="O55" s="60">
        <v>46</v>
      </c>
      <c r="P55" s="60">
        <v>47</v>
      </c>
      <c r="Q55" s="60" t="s">
        <v>109</v>
      </c>
      <c r="R55" s="60">
        <v>201</v>
      </c>
      <c r="V55" s="70" t="s">
        <v>194</v>
      </c>
      <c r="W55" s="60">
        <v>90</v>
      </c>
      <c r="X55" s="60">
        <v>91</v>
      </c>
      <c r="Y55" s="60" t="s">
        <v>110</v>
      </c>
      <c r="Z55" s="71">
        <v>93</v>
      </c>
      <c r="AL55" s="60" t="s">
        <v>238</v>
      </c>
      <c r="AM55" s="60">
        <v>171</v>
      </c>
      <c r="AN55" s="60">
        <v>172</v>
      </c>
      <c r="AO55" s="60" t="s">
        <v>217</v>
      </c>
      <c r="AP55" s="60">
        <v>73</v>
      </c>
      <c r="BB55" s="60" t="s">
        <v>297</v>
      </c>
      <c r="BC55" s="60">
        <v>133</v>
      </c>
      <c r="BD55" s="60">
        <v>134</v>
      </c>
      <c r="BE55" s="60" t="s">
        <v>267</v>
      </c>
      <c r="BF55" s="60">
        <v>194</v>
      </c>
    </row>
    <row r="56" spans="14:58" x14ac:dyDescent="0.25">
      <c r="N56" s="60" t="s">
        <v>164</v>
      </c>
      <c r="O56" s="60">
        <v>47</v>
      </c>
      <c r="P56" s="60">
        <v>48</v>
      </c>
      <c r="Q56" s="60" t="s">
        <v>109</v>
      </c>
      <c r="R56" s="60">
        <v>41</v>
      </c>
      <c r="V56" s="70" t="s">
        <v>193</v>
      </c>
      <c r="W56" s="60">
        <v>91</v>
      </c>
      <c r="X56" s="60">
        <v>94</v>
      </c>
      <c r="Y56" s="60" t="s">
        <v>110</v>
      </c>
      <c r="Z56" s="71">
        <v>88</v>
      </c>
      <c r="AL56" s="60" t="s">
        <v>239</v>
      </c>
      <c r="AM56" s="60">
        <v>172</v>
      </c>
      <c r="AN56" s="60">
        <v>173</v>
      </c>
      <c r="AO56" s="60" t="s">
        <v>217</v>
      </c>
      <c r="AP56" s="60">
        <v>216</v>
      </c>
      <c r="BB56" s="60" t="s">
        <v>298</v>
      </c>
      <c r="BC56" s="60">
        <v>134</v>
      </c>
      <c r="BD56" s="60">
        <v>135</v>
      </c>
      <c r="BE56" s="60" t="s">
        <v>267</v>
      </c>
      <c r="BF56" s="60">
        <v>67</v>
      </c>
    </row>
    <row r="57" spans="14:58" x14ac:dyDescent="0.25">
      <c r="N57" s="60" t="s">
        <v>163</v>
      </c>
      <c r="O57" s="60">
        <v>48</v>
      </c>
      <c r="P57" s="60">
        <v>49</v>
      </c>
      <c r="Q57" s="60" t="s">
        <v>109</v>
      </c>
      <c r="R57" s="60">
        <v>63</v>
      </c>
      <c r="V57" s="70" t="s">
        <v>183</v>
      </c>
      <c r="W57" s="60">
        <v>92</v>
      </c>
      <c r="X57" s="60">
        <v>93</v>
      </c>
      <c r="Y57" s="60" t="s">
        <v>110</v>
      </c>
      <c r="Z57" s="71">
        <v>152</v>
      </c>
      <c r="AL57" s="60" t="s">
        <v>240</v>
      </c>
      <c r="AM57" s="60">
        <v>173</v>
      </c>
      <c r="AN57" s="60">
        <v>174</v>
      </c>
      <c r="AO57" s="60" t="s">
        <v>217</v>
      </c>
      <c r="AP57" s="60">
        <v>58</v>
      </c>
      <c r="BB57" s="60" t="s">
        <v>299</v>
      </c>
      <c r="BC57" s="60">
        <v>135</v>
      </c>
      <c r="BD57" s="60">
        <v>136</v>
      </c>
      <c r="BE57" s="60" t="s">
        <v>267</v>
      </c>
      <c r="BF57" s="60">
        <v>60</v>
      </c>
    </row>
    <row r="58" spans="14:58" x14ac:dyDescent="0.25">
      <c r="N58" s="60" t="s">
        <v>162</v>
      </c>
      <c r="O58" s="60">
        <v>49</v>
      </c>
      <c r="P58" s="60">
        <v>50</v>
      </c>
      <c r="Q58" s="60" t="s">
        <v>109</v>
      </c>
      <c r="R58" s="60">
        <v>250</v>
      </c>
      <c r="V58" s="75" t="s">
        <v>192</v>
      </c>
      <c r="W58" s="76">
        <v>93</v>
      </c>
      <c r="X58" s="76">
        <v>94</v>
      </c>
      <c r="Y58" s="76" t="s">
        <v>110</v>
      </c>
      <c r="Z58" s="77">
        <v>68</v>
      </c>
      <c r="AL58" s="60" t="s">
        <v>241</v>
      </c>
      <c r="AM58" s="60">
        <v>174</v>
      </c>
      <c r="AN58" s="60">
        <v>175</v>
      </c>
      <c r="AO58" s="60" t="s">
        <v>217</v>
      </c>
      <c r="AP58" s="60">
        <v>73</v>
      </c>
      <c r="BB58" s="60" t="s">
        <v>300</v>
      </c>
      <c r="BC58" s="60">
        <v>136</v>
      </c>
      <c r="BD58" s="60">
        <v>137</v>
      </c>
      <c r="BE58" s="60" t="s">
        <v>267</v>
      </c>
      <c r="BF58" s="60">
        <v>56</v>
      </c>
    </row>
    <row r="59" spans="14:58" x14ac:dyDescent="0.25">
      <c r="N59" s="60" t="s">
        <v>161</v>
      </c>
      <c r="O59" s="60">
        <v>50</v>
      </c>
      <c r="P59" s="60">
        <v>51</v>
      </c>
      <c r="Q59" s="60" t="s">
        <v>109</v>
      </c>
      <c r="R59" s="60">
        <v>77</v>
      </c>
      <c r="AL59" s="60" t="s">
        <v>243</v>
      </c>
      <c r="AM59" s="60">
        <v>175</v>
      </c>
      <c r="AN59" s="60">
        <v>176</v>
      </c>
      <c r="AO59" s="60" t="s">
        <v>217</v>
      </c>
      <c r="AP59" s="60">
        <v>51</v>
      </c>
      <c r="BB59" s="60" t="s">
        <v>301</v>
      </c>
      <c r="BC59" s="60">
        <v>137</v>
      </c>
      <c r="BD59" s="60">
        <v>138</v>
      </c>
      <c r="BE59" s="60" t="s">
        <v>267</v>
      </c>
      <c r="BF59" s="60">
        <v>93</v>
      </c>
    </row>
    <row r="60" spans="14:58" x14ac:dyDescent="0.25">
      <c r="N60" s="60" t="s">
        <v>160</v>
      </c>
      <c r="O60" s="60">
        <v>51</v>
      </c>
      <c r="P60" s="60">
        <v>52</v>
      </c>
      <c r="Q60" s="60" t="s">
        <v>109</v>
      </c>
      <c r="R60" s="60">
        <v>73</v>
      </c>
      <c r="AL60" s="60" t="s">
        <v>242</v>
      </c>
      <c r="AM60" s="60">
        <v>176</v>
      </c>
      <c r="AN60" s="60">
        <v>177</v>
      </c>
      <c r="AO60" s="60" t="s">
        <v>217</v>
      </c>
      <c r="AP60" s="60">
        <v>79</v>
      </c>
      <c r="BB60" s="60" t="s">
        <v>302</v>
      </c>
      <c r="BC60" s="60">
        <v>138</v>
      </c>
      <c r="BD60" s="60">
        <v>139</v>
      </c>
      <c r="BE60" s="60" t="s">
        <v>267</v>
      </c>
      <c r="BF60" s="60">
        <v>181</v>
      </c>
    </row>
    <row r="61" spans="14:58" x14ac:dyDescent="0.25">
      <c r="N61" s="60" t="s">
        <v>159</v>
      </c>
      <c r="O61" s="60">
        <v>52</v>
      </c>
      <c r="P61" s="60">
        <v>53</v>
      </c>
      <c r="Q61" s="60" t="s">
        <v>109</v>
      </c>
      <c r="R61" s="60">
        <v>95</v>
      </c>
      <c r="AL61" s="60" t="s">
        <v>244</v>
      </c>
      <c r="AM61" s="60">
        <v>177</v>
      </c>
      <c r="AN61" s="60">
        <v>178</v>
      </c>
      <c r="AO61" s="60" t="s">
        <v>217</v>
      </c>
      <c r="AP61" s="60">
        <v>32</v>
      </c>
      <c r="BB61" s="60" t="s">
        <v>303</v>
      </c>
      <c r="BC61" s="60">
        <v>139</v>
      </c>
      <c r="BD61" s="60">
        <v>140</v>
      </c>
      <c r="BE61" s="60" t="s">
        <v>267</v>
      </c>
      <c r="BF61" s="60">
        <v>133</v>
      </c>
    </row>
    <row r="62" spans="14:58" x14ac:dyDescent="0.25">
      <c r="N62" s="60" t="s">
        <v>158</v>
      </c>
      <c r="O62" s="60">
        <v>53</v>
      </c>
      <c r="P62" s="60">
        <v>54</v>
      </c>
      <c r="Q62" s="60" t="s">
        <v>109</v>
      </c>
      <c r="R62" s="60">
        <v>96</v>
      </c>
      <c r="AL62" s="60" t="s">
        <v>245</v>
      </c>
      <c r="AM62" s="60">
        <v>178</v>
      </c>
      <c r="AN62" s="60">
        <v>179</v>
      </c>
      <c r="AO62" s="60" t="s">
        <v>217</v>
      </c>
      <c r="AP62" s="60">
        <v>36</v>
      </c>
      <c r="BB62" s="60" t="s">
        <v>304</v>
      </c>
      <c r="BC62" s="60">
        <v>140</v>
      </c>
      <c r="BD62" s="60">
        <v>141</v>
      </c>
      <c r="BE62" s="60" t="s">
        <v>267</v>
      </c>
      <c r="BF62" s="60">
        <v>75</v>
      </c>
    </row>
    <row r="63" spans="14:58" x14ac:dyDescent="0.25">
      <c r="N63" s="60" t="s">
        <v>130</v>
      </c>
      <c r="O63" s="60">
        <v>54</v>
      </c>
      <c r="P63" s="60">
        <v>55</v>
      </c>
      <c r="Q63" s="60" t="s">
        <v>110</v>
      </c>
      <c r="R63" s="60">
        <v>88</v>
      </c>
      <c r="AL63" s="60" t="s">
        <v>246</v>
      </c>
      <c r="AM63" s="60">
        <v>179</v>
      </c>
      <c r="AN63" s="60">
        <v>180</v>
      </c>
      <c r="AO63" s="60" t="s">
        <v>217</v>
      </c>
      <c r="AP63" s="60">
        <v>76</v>
      </c>
    </row>
    <row r="64" spans="14:58" x14ac:dyDescent="0.25">
      <c r="N64" s="60" t="s">
        <v>129</v>
      </c>
      <c r="O64" s="60">
        <v>55</v>
      </c>
      <c r="P64" s="60">
        <v>56</v>
      </c>
      <c r="Q64" s="60" t="s">
        <v>110</v>
      </c>
      <c r="R64" s="60">
        <v>35</v>
      </c>
      <c r="AL64" s="60" t="s">
        <v>247</v>
      </c>
      <c r="AM64" s="60">
        <v>180</v>
      </c>
      <c r="AN64" s="60">
        <v>181</v>
      </c>
      <c r="AO64" s="60" t="s">
        <v>217</v>
      </c>
      <c r="AP64" s="60">
        <v>77</v>
      </c>
    </row>
    <row r="65" spans="14:42" x14ac:dyDescent="0.25">
      <c r="N65" s="60" t="s">
        <v>128</v>
      </c>
      <c r="O65" s="60">
        <v>56</v>
      </c>
      <c r="P65" s="60">
        <v>57</v>
      </c>
      <c r="Q65" s="60" t="s">
        <v>110</v>
      </c>
      <c r="R65" s="60">
        <v>54</v>
      </c>
      <c r="AL65" s="60" t="s">
        <v>248</v>
      </c>
      <c r="AM65" s="60">
        <v>181</v>
      </c>
      <c r="AN65" s="60">
        <v>182</v>
      </c>
      <c r="AO65" s="60" t="s">
        <v>217</v>
      </c>
      <c r="AP65" s="60">
        <v>77</v>
      </c>
    </row>
    <row r="66" spans="14:42" x14ac:dyDescent="0.25">
      <c r="N66" s="60" t="s">
        <v>127</v>
      </c>
      <c r="O66" s="60">
        <v>57</v>
      </c>
      <c r="P66" s="60">
        <v>58</v>
      </c>
      <c r="Q66" s="60" t="s">
        <v>110</v>
      </c>
      <c r="R66" s="60">
        <v>151</v>
      </c>
      <c r="AL66" s="60" t="s">
        <v>249</v>
      </c>
      <c r="AM66" s="60">
        <v>182</v>
      </c>
      <c r="AN66" s="60">
        <v>183</v>
      </c>
      <c r="AO66" s="60" t="s">
        <v>217</v>
      </c>
      <c r="AP66" s="60">
        <v>191</v>
      </c>
    </row>
    <row r="67" spans="14:42" x14ac:dyDescent="0.25">
      <c r="N67" s="60" t="s">
        <v>126</v>
      </c>
      <c r="O67" s="60">
        <v>58</v>
      </c>
      <c r="P67" s="60">
        <v>59</v>
      </c>
      <c r="Q67" s="60" t="s">
        <v>110</v>
      </c>
      <c r="R67" s="60">
        <v>78</v>
      </c>
      <c r="AL67" s="60" t="s">
        <v>250</v>
      </c>
      <c r="AM67" s="60">
        <v>183</v>
      </c>
      <c r="AN67" s="60">
        <v>184</v>
      </c>
      <c r="AO67" s="60" t="s">
        <v>217</v>
      </c>
      <c r="AP67" s="60">
        <v>94</v>
      </c>
    </row>
    <row r="68" spans="14:42" x14ac:dyDescent="0.25">
      <c r="N68" s="60" t="s">
        <v>125</v>
      </c>
      <c r="O68" s="60">
        <v>59</v>
      </c>
      <c r="P68" s="60">
        <v>60</v>
      </c>
      <c r="Q68" s="60" t="s">
        <v>110</v>
      </c>
      <c r="R68" s="60">
        <v>84</v>
      </c>
    </row>
    <row r="69" spans="14:42" x14ac:dyDescent="0.25">
      <c r="N69" s="60" t="s">
        <v>124</v>
      </c>
      <c r="O69" s="60">
        <v>60</v>
      </c>
      <c r="P69" s="60">
        <v>61</v>
      </c>
      <c r="Q69" s="60" t="s">
        <v>110</v>
      </c>
      <c r="R69" s="60">
        <v>83</v>
      </c>
    </row>
    <row r="70" spans="14:42" x14ac:dyDescent="0.25">
      <c r="N70" s="60" t="s">
        <v>123</v>
      </c>
      <c r="O70" s="60">
        <v>61</v>
      </c>
      <c r="P70" s="60">
        <v>62</v>
      </c>
      <c r="Q70" s="60" t="s">
        <v>110</v>
      </c>
      <c r="R70" s="60">
        <v>75</v>
      </c>
    </row>
    <row r="71" spans="14:42" x14ac:dyDescent="0.25">
      <c r="N71" s="60" t="s">
        <v>122</v>
      </c>
      <c r="O71" s="60">
        <v>62</v>
      </c>
      <c r="P71" s="60">
        <v>63</v>
      </c>
      <c r="Q71" s="60" t="s">
        <v>110</v>
      </c>
      <c r="R71" s="60">
        <v>85</v>
      </c>
    </row>
    <row r="72" spans="14:42" x14ac:dyDescent="0.25">
      <c r="N72" s="60" t="s">
        <v>121</v>
      </c>
      <c r="O72" s="60">
        <v>63</v>
      </c>
      <c r="P72" s="60">
        <v>64</v>
      </c>
      <c r="Q72" s="60" t="s">
        <v>110</v>
      </c>
      <c r="R72" s="60">
        <v>129</v>
      </c>
    </row>
    <row r="73" spans="14:42" x14ac:dyDescent="0.25">
      <c r="N73" s="60" t="s">
        <v>119</v>
      </c>
      <c r="O73" s="60">
        <v>64</v>
      </c>
      <c r="P73" s="60">
        <v>65</v>
      </c>
      <c r="Q73" s="60" t="s">
        <v>110</v>
      </c>
      <c r="R73" s="60">
        <v>37</v>
      </c>
    </row>
    <row r="74" spans="14:42" x14ac:dyDescent="0.25">
      <c r="N74" s="60" t="s">
        <v>120</v>
      </c>
      <c r="O74" s="60">
        <v>65</v>
      </c>
      <c r="P74" s="60">
        <v>66</v>
      </c>
      <c r="Q74" s="60" t="s">
        <v>110</v>
      </c>
      <c r="R74" s="60">
        <v>77</v>
      </c>
    </row>
    <row r="75" spans="14:42" x14ac:dyDescent="0.25">
      <c r="N75" s="60" t="s">
        <v>118</v>
      </c>
      <c r="O75" s="60">
        <v>66</v>
      </c>
      <c r="P75" s="60">
        <v>67</v>
      </c>
      <c r="Q75" s="60" t="s">
        <v>110</v>
      </c>
      <c r="R75" s="60">
        <v>89</v>
      </c>
    </row>
    <row r="76" spans="14:42" x14ac:dyDescent="0.25">
      <c r="N76" s="60" t="s">
        <v>117</v>
      </c>
      <c r="O76" s="60">
        <v>67</v>
      </c>
      <c r="P76" s="60">
        <v>68</v>
      </c>
      <c r="Q76" s="60" t="s">
        <v>110</v>
      </c>
      <c r="R76" s="60">
        <v>49</v>
      </c>
    </row>
    <row r="77" spans="14:42" x14ac:dyDescent="0.25">
      <c r="N77" s="60" t="s">
        <v>116</v>
      </c>
      <c r="O77" s="60">
        <v>68</v>
      </c>
      <c r="P77" s="60">
        <v>69</v>
      </c>
      <c r="Q77" s="60" t="s">
        <v>110</v>
      </c>
      <c r="R77" s="60">
        <v>35</v>
      </c>
    </row>
    <row r="78" spans="14:42" x14ac:dyDescent="0.25">
      <c r="N78" s="60" t="s">
        <v>115</v>
      </c>
      <c r="O78" s="60">
        <v>69</v>
      </c>
      <c r="P78" s="60">
        <v>70</v>
      </c>
      <c r="Q78" s="60" t="s">
        <v>110</v>
      </c>
      <c r="R78" s="60">
        <v>30</v>
      </c>
    </row>
  </sheetData>
  <autoFilter ref="AT15:AX54" xr:uid="{78BE4A3D-6043-46D9-A546-3E2151B65BC4}">
    <sortState xmlns:xlrd2="http://schemas.microsoft.com/office/spreadsheetml/2017/richdata2" ref="AT16:AX54">
      <sortCondition ref="AU15:AU54"/>
    </sortState>
  </autoFilter>
  <sortState xmlns:xlrd2="http://schemas.microsoft.com/office/spreadsheetml/2017/richdata2" ref="AL16:AP67">
    <sortCondition descending="1" ref="AL20:AL67"/>
  </sortState>
  <mergeCells count="7">
    <mergeCell ref="AT14:AX14"/>
    <mergeCell ref="BB14:BF14"/>
    <mergeCell ref="BJ14:BN14"/>
    <mergeCell ref="N14:R14"/>
    <mergeCell ref="V14:Z14"/>
    <mergeCell ref="AD14:AH14"/>
    <mergeCell ref="AL14:AP14"/>
  </mergeCells>
  <phoneticPr fontId="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B4CD-8E5E-4A55-8A99-77A33C3AA0BA}">
  <sheetPr codeName="Feuil11"/>
  <dimension ref="C7:BK78"/>
  <sheetViews>
    <sheetView topLeftCell="Y1" workbookViewId="0">
      <selection activeCell="EO10" sqref="A10:XFD13"/>
    </sheetView>
  </sheetViews>
  <sheetFormatPr baseColWidth="10" defaultRowHeight="15" x14ac:dyDescent="0.25"/>
  <sheetData>
    <row r="7" spans="3:63" x14ac:dyDescent="0.25">
      <c r="C7" s="242" t="s">
        <v>317</v>
      </c>
      <c r="D7" s="242"/>
      <c r="E7" s="242"/>
      <c r="F7" s="242"/>
      <c r="G7" s="242"/>
      <c r="H7" s="242"/>
      <c r="L7" s="242" t="s">
        <v>305</v>
      </c>
      <c r="M7" s="242"/>
      <c r="N7" s="242"/>
      <c r="O7" s="242"/>
      <c r="P7" s="242"/>
      <c r="Q7" s="242"/>
      <c r="U7" s="242" t="s">
        <v>279</v>
      </c>
      <c r="V7" s="242"/>
      <c r="W7" s="242"/>
      <c r="X7" s="242"/>
      <c r="Y7" s="242"/>
      <c r="Z7" s="242"/>
      <c r="AD7" s="242" t="s">
        <v>233</v>
      </c>
      <c r="AE7" s="242"/>
      <c r="AF7" s="242"/>
      <c r="AG7" s="242"/>
      <c r="AH7" s="242"/>
      <c r="AI7" s="242"/>
      <c r="AM7" s="222" t="s">
        <v>255</v>
      </c>
      <c r="AN7" s="222"/>
      <c r="AO7" s="222"/>
      <c r="AP7" s="222"/>
      <c r="AQ7" s="222"/>
      <c r="AR7" s="222"/>
      <c r="AW7" s="242" t="s">
        <v>111</v>
      </c>
      <c r="AX7" s="242"/>
      <c r="AY7" s="242"/>
      <c r="AZ7" s="242"/>
      <c r="BA7" s="242"/>
      <c r="BB7" s="242"/>
      <c r="BC7" s="92"/>
      <c r="BD7" s="92"/>
      <c r="BF7" s="222" t="s">
        <v>203</v>
      </c>
      <c r="BG7" s="222"/>
      <c r="BH7" s="222"/>
      <c r="BI7" s="222"/>
      <c r="BJ7" s="222"/>
      <c r="BK7" s="222"/>
    </row>
    <row r="8" spans="3:63" ht="15" customHeight="1" x14ac:dyDescent="0.25">
      <c r="C8" s="60" t="s">
        <v>75</v>
      </c>
      <c r="D8" s="60" t="s">
        <v>112</v>
      </c>
      <c r="E8" s="60" t="s">
        <v>108</v>
      </c>
      <c r="F8" s="60" t="s">
        <v>394</v>
      </c>
      <c r="G8" s="60" t="s">
        <v>395</v>
      </c>
      <c r="H8" s="60" t="s">
        <v>542</v>
      </c>
      <c r="L8" s="60" t="s">
        <v>75</v>
      </c>
      <c r="M8" s="60" t="s">
        <v>112</v>
      </c>
      <c r="N8" s="60" t="s">
        <v>108</v>
      </c>
      <c r="O8" s="60" t="s">
        <v>394</v>
      </c>
      <c r="P8" s="60" t="s">
        <v>395</v>
      </c>
      <c r="Q8" s="60" t="s">
        <v>542</v>
      </c>
      <c r="U8" s="60" t="s">
        <v>75</v>
      </c>
      <c r="V8" s="60" t="s">
        <v>112</v>
      </c>
      <c r="W8" s="60" t="s">
        <v>108</v>
      </c>
      <c r="X8" s="60" t="s">
        <v>394</v>
      </c>
      <c r="Y8" s="60" t="s">
        <v>395</v>
      </c>
      <c r="Z8" s="60" t="s">
        <v>542</v>
      </c>
      <c r="AD8" s="60" t="s">
        <v>75</v>
      </c>
      <c r="AE8" s="60" t="s">
        <v>112</v>
      </c>
      <c r="AF8" s="60" t="s">
        <v>108</v>
      </c>
      <c r="AG8" s="60" t="s">
        <v>394</v>
      </c>
      <c r="AH8" s="60" t="s">
        <v>395</v>
      </c>
      <c r="AI8" s="60" t="s">
        <v>542</v>
      </c>
      <c r="AM8" s="60" t="s">
        <v>75</v>
      </c>
      <c r="AN8" s="60" t="s">
        <v>112</v>
      </c>
      <c r="AO8" s="60" t="s">
        <v>108</v>
      </c>
      <c r="AP8" s="60" t="s">
        <v>394</v>
      </c>
      <c r="AQ8" s="60" t="s">
        <v>395</v>
      </c>
      <c r="AR8" s="91" t="s">
        <v>541</v>
      </c>
      <c r="AW8" s="60" t="s">
        <v>75</v>
      </c>
      <c r="AX8" s="60" t="s">
        <v>112</v>
      </c>
      <c r="AY8" s="60" t="s">
        <v>108</v>
      </c>
      <c r="AZ8" s="60" t="s">
        <v>394</v>
      </c>
      <c r="BA8" s="60" t="s">
        <v>395</v>
      </c>
      <c r="BB8" s="60" t="s">
        <v>542</v>
      </c>
      <c r="BC8" s="78"/>
      <c r="BD8" s="78"/>
      <c r="BF8" s="60" t="s">
        <v>75</v>
      </c>
      <c r="BG8" s="60" t="s">
        <v>112</v>
      </c>
      <c r="BH8" s="60" t="s">
        <v>108</v>
      </c>
      <c r="BI8" s="60" t="s">
        <v>394</v>
      </c>
      <c r="BJ8" s="60" t="s">
        <v>395</v>
      </c>
      <c r="BK8" s="91" t="s">
        <v>541</v>
      </c>
    </row>
    <row r="9" spans="3:63" x14ac:dyDescent="0.25">
      <c r="C9" s="60">
        <v>47</v>
      </c>
      <c r="D9" s="60" t="s">
        <v>405</v>
      </c>
      <c r="E9" s="60">
        <v>332.12</v>
      </c>
      <c r="F9" s="60" t="s">
        <v>419</v>
      </c>
      <c r="G9" s="60">
        <v>1</v>
      </c>
      <c r="H9" s="60" t="s">
        <v>539</v>
      </c>
      <c r="L9" s="60">
        <v>93</v>
      </c>
      <c r="M9" s="60" t="s">
        <v>399</v>
      </c>
      <c r="N9" s="60">
        <v>166.56</v>
      </c>
      <c r="O9" s="60">
        <v>3</v>
      </c>
      <c r="P9" s="60">
        <v>18</v>
      </c>
      <c r="Q9" s="60" t="s">
        <v>539</v>
      </c>
      <c r="U9" s="60">
        <v>211</v>
      </c>
      <c r="V9" s="60" t="s">
        <v>404</v>
      </c>
      <c r="W9" s="60">
        <v>166.56</v>
      </c>
      <c r="X9" s="60">
        <v>17</v>
      </c>
      <c r="Y9" s="60">
        <v>31</v>
      </c>
      <c r="Z9" s="60" t="s">
        <v>540</v>
      </c>
      <c r="AD9" s="60">
        <v>91</v>
      </c>
      <c r="AE9" s="60" t="s">
        <v>421</v>
      </c>
      <c r="AF9" s="60">
        <v>32.835999999999999</v>
      </c>
      <c r="AG9" s="60">
        <v>42</v>
      </c>
      <c r="AH9" s="60">
        <v>72</v>
      </c>
      <c r="AI9" s="60" t="s">
        <v>539</v>
      </c>
      <c r="AM9" s="60">
        <v>223</v>
      </c>
      <c r="AN9" s="60" t="s">
        <v>414</v>
      </c>
      <c r="AO9" s="60">
        <v>32.835999999999999</v>
      </c>
      <c r="AP9" s="60">
        <v>42</v>
      </c>
      <c r="AQ9" s="60">
        <v>52</v>
      </c>
      <c r="AR9" s="60" t="s">
        <v>539</v>
      </c>
      <c r="AW9" s="60">
        <v>96</v>
      </c>
      <c r="AX9" s="60" t="s">
        <v>433</v>
      </c>
      <c r="AY9" s="60">
        <v>29.029</v>
      </c>
      <c r="AZ9" s="60">
        <v>84</v>
      </c>
      <c r="BA9" s="60">
        <v>165</v>
      </c>
      <c r="BB9" s="60" t="s">
        <v>539</v>
      </c>
      <c r="BC9" s="78"/>
      <c r="BD9" s="78"/>
      <c r="BF9" s="60">
        <v>68</v>
      </c>
      <c r="BG9" s="60" t="s">
        <v>184</v>
      </c>
      <c r="BH9" s="60">
        <v>90.894000000000005</v>
      </c>
      <c r="BI9" s="60">
        <v>81</v>
      </c>
      <c r="BJ9" s="60">
        <v>82</v>
      </c>
      <c r="BK9" s="60" t="s">
        <v>539</v>
      </c>
    </row>
    <row r="10" spans="3:63" x14ac:dyDescent="0.25">
      <c r="C10" s="60">
        <v>117</v>
      </c>
      <c r="D10" s="60" t="s">
        <v>406</v>
      </c>
      <c r="E10" s="60">
        <v>332.12</v>
      </c>
      <c r="F10" s="60">
        <v>1</v>
      </c>
      <c r="G10" s="60">
        <v>2</v>
      </c>
      <c r="H10" s="60" t="s">
        <v>539</v>
      </c>
      <c r="L10" s="60">
        <v>181</v>
      </c>
      <c r="M10" s="60" t="s">
        <v>400</v>
      </c>
      <c r="N10" s="60">
        <v>166.56</v>
      </c>
      <c r="O10" s="60">
        <v>3</v>
      </c>
      <c r="P10" s="60">
        <v>4</v>
      </c>
      <c r="Q10" s="60" t="s">
        <v>540</v>
      </c>
      <c r="U10" s="60">
        <v>232</v>
      </c>
      <c r="V10" s="60" t="s">
        <v>416</v>
      </c>
      <c r="W10" s="60">
        <v>166.56</v>
      </c>
      <c r="X10" s="60">
        <v>17</v>
      </c>
      <c r="Y10" s="60">
        <v>43</v>
      </c>
      <c r="Z10" s="60" t="s">
        <v>539</v>
      </c>
      <c r="AD10" s="60">
        <v>59</v>
      </c>
      <c r="AE10" s="60" t="s">
        <v>413</v>
      </c>
      <c r="AF10" s="60">
        <v>32.835999999999999</v>
      </c>
      <c r="AG10" s="60">
        <v>42</v>
      </c>
      <c r="AH10" s="60">
        <v>111</v>
      </c>
      <c r="AI10" s="60" t="s">
        <v>540</v>
      </c>
      <c r="AM10" s="60">
        <v>91</v>
      </c>
      <c r="AN10" s="60" t="s">
        <v>421</v>
      </c>
      <c r="AO10" s="60">
        <v>32.835999999999999</v>
      </c>
      <c r="AP10" s="60">
        <v>42</v>
      </c>
      <c r="AQ10" s="60">
        <v>72</v>
      </c>
      <c r="AR10" s="60" t="s">
        <v>540</v>
      </c>
      <c r="AW10" s="60">
        <v>95</v>
      </c>
      <c r="AX10" s="60" t="s">
        <v>201</v>
      </c>
      <c r="AY10" s="60">
        <v>119.923</v>
      </c>
      <c r="AZ10" s="60">
        <v>84</v>
      </c>
      <c r="BA10" s="60">
        <v>85</v>
      </c>
      <c r="BB10" s="60" t="s">
        <v>539</v>
      </c>
      <c r="BC10" s="78"/>
      <c r="BD10" s="78"/>
      <c r="BF10" s="60">
        <v>88</v>
      </c>
      <c r="BG10" s="60" t="s">
        <v>422</v>
      </c>
      <c r="BH10" s="60">
        <v>58.058</v>
      </c>
      <c r="BI10" s="60">
        <v>81</v>
      </c>
      <c r="BJ10" s="60">
        <v>135</v>
      </c>
      <c r="BK10" s="60" t="s">
        <v>539</v>
      </c>
    </row>
    <row r="11" spans="3:63" x14ac:dyDescent="0.25">
      <c r="C11" s="60">
        <v>167</v>
      </c>
      <c r="D11" s="60" t="s">
        <v>407</v>
      </c>
      <c r="E11" s="60">
        <v>332.12</v>
      </c>
      <c r="F11" s="60">
        <v>2</v>
      </c>
      <c r="G11" s="60">
        <v>3</v>
      </c>
      <c r="H11" s="60" t="s">
        <v>539</v>
      </c>
      <c r="L11" s="60">
        <v>133</v>
      </c>
      <c r="M11" s="60" t="s">
        <v>401</v>
      </c>
      <c r="N11" s="60">
        <v>166.56</v>
      </c>
      <c r="O11" s="60">
        <v>4</v>
      </c>
      <c r="P11" s="60">
        <v>5</v>
      </c>
      <c r="Q11" s="60" t="s">
        <v>540</v>
      </c>
      <c r="U11" s="60">
        <v>129</v>
      </c>
      <c r="V11" s="60" t="s">
        <v>138</v>
      </c>
      <c r="W11" s="60">
        <v>83.28</v>
      </c>
      <c r="X11" s="60">
        <v>31</v>
      </c>
      <c r="Y11" s="60">
        <v>32</v>
      </c>
      <c r="Z11" s="60" t="s">
        <v>540</v>
      </c>
      <c r="AD11" s="60">
        <v>80</v>
      </c>
      <c r="AE11" s="60" t="s">
        <v>181</v>
      </c>
      <c r="AF11" s="60">
        <v>32.837000000000003</v>
      </c>
      <c r="AG11" s="60">
        <v>72</v>
      </c>
      <c r="AH11" s="60">
        <v>73</v>
      </c>
      <c r="AI11" s="60" t="s">
        <v>539</v>
      </c>
      <c r="AM11" s="60">
        <v>94</v>
      </c>
      <c r="AN11" s="60" t="s">
        <v>159</v>
      </c>
      <c r="AO11" s="60">
        <v>32.837000000000003</v>
      </c>
      <c r="AP11" s="60">
        <v>52</v>
      </c>
      <c r="AQ11" s="60">
        <v>53</v>
      </c>
      <c r="AR11" s="60" t="s">
        <v>539</v>
      </c>
      <c r="AW11" s="60">
        <v>73</v>
      </c>
      <c r="AX11" s="60" t="s">
        <v>199</v>
      </c>
      <c r="AY11" s="60">
        <v>119.923</v>
      </c>
      <c r="AZ11" s="60">
        <v>85</v>
      </c>
      <c r="BA11" s="60">
        <v>86</v>
      </c>
      <c r="BB11" s="60" t="s">
        <v>539</v>
      </c>
      <c r="BC11" s="78"/>
      <c r="BD11" s="78"/>
      <c r="BF11" s="60">
        <v>152</v>
      </c>
      <c r="BG11" s="60" t="s">
        <v>200</v>
      </c>
      <c r="BH11" s="60">
        <v>90.894000000000005</v>
      </c>
      <c r="BI11" s="60">
        <v>82</v>
      </c>
      <c r="BJ11" s="60">
        <v>83</v>
      </c>
      <c r="BK11" s="60" t="s">
        <v>539</v>
      </c>
    </row>
    <row r="12" spans="3:63" x14ac:dyDescent="0.25">
      <c r="C12" s="60">
        <v>93</v>
      </c>
      <c r="D12" s="60" t="s">
        <v>399</v>
      </c>
      <c r="E12" s="60">
        <v>166.56</v>
      </c>
      <c r="F12" s="60">
        <v>3</v>
      </c>
      <c r="G12" s="60">
        <v>18</v>
      </c>
      <c r="H12" s="60" t="s">
        <v>540</v>
      </c>
      <c r="L12" s="60">
        <v>75</v>
      </c>
      <c r="M12" s="60" t="s">
        <v>403</v>
      </c>
      <c r="N12" s="60">
        <v>166.56</v>
      </c>
      <c r="O12" s="60">
        <v>5</v>
      </c>
      <c r="P12" s="60">
        <v>6</v>
      </c>
      <c r="Q12" s="60" t="s">
        <v>540</v>
      </c>
      <c r="U12" s="60">
        <v>157</v>
      </c>
      <c r="V12" s="60" t="s">
        <v>137</v>
      </c>
      <c r="W12" s="60">
        <v>83.28</v>
      </c>
      <c r="X12" s="60">
        <v>32</v>
      </c>
      <c r="Y12" s="60">
        <v>33</v>
      </c>
      <c r="Z12" s="60" t="s">
        <v>540</v>
      </c>
      <c r="AD12" s="60">
        <v>87</v>
      </c>
      <c r="AE12" s="60" t="s">
        <v>179</v>
      </c>
      <c r="AF12" s="60">
        <v>32.837000000000003</v>
      </c>
      <c r="AG12" s="60">
        <v>73</v>
      </c>
      <c r="AH12" s="60">
        <v>74</v>
      </c>
      <c r="AI12" s="60" t="s">
        <v>539</v>
      </c>
      <c r="AM12" s="60">
        <v>191</v>
      </c>
      <c r="AN12" s="60" t="s">
        <v>158</v>
      </c>
      <c r="AO12" s="60">
        <v>32.837000000000003</v>
      </c>
      <c r="AP12" s="60">
        <v>53</v>
      </c>
      <c r="AQ12" s="60">
        <v>54</v>
      </c>
      <c r="AR12" s="60" t="s">
        <v>539</v>
      </c>
      <c r="AW12" s="60">
        <v>77</v>
      </c>
      <c r="AX12" s="60" t="s">
        <v>198</v>
      </c>
      <c r="AY12" s="60">
        <v>119.923</v>
      </c>
      <c r="AZ12" s="60">
        <v>86</v>
      </c>
      <c r="BA12" s="60">
        <v>87</v>
      </c>
      <c r="BB12" s="60" t="s">
        <v>539</v>
      </c>
      <c r="BC12" s="78"/>
      <c r="BD12" s="78"/>
      <c r="BF12" s="60">
        <v>75</v>
      </c>
      <c r="BG12" s="60" t="s">
        <v>202</v>
      </c>
      <c r="BH12" s="60">
        <v>90.894000000000005</v>
      </c>
      <c r="BI12" s="60">
        <v>83</v>
      </c>
      <c r="BJ12" s="60">
        <v>84</v>
      </c>
      <c r="BK12" s="60" t="s">
        <v>539</v>
      </c>
    </row>
    <row r="13" spans="3:63" x14ac:dyDescent="0.25">
      <c r="C13" s="60">
        <v>181</v>
      </c>
      <c r="D13" s="60" t="s">
        <v>400</v>
      </c>
      <c r="E13" s="60">
        <v>166.56</v>
      </c>
      <c r="F13" s="60">
        <v>3</v>
      </c>
      <c r="G13" s="60">
        <v>4</v>
      </c>
      <c r="H13" s="60" t="s">
        <v>539</v>
      </c>
      <c r="L13" s="60">
        <v>94</v>
      </c>
      <c r="M13" s="60" t="s">
        <v>396</v>
      </c>
      <c r="N13" s="60">
        <v>166.56</v>
      </c>
      <c r="O13" s="60">
        <v>6</v>
      </c>
      <c r="P13" s="60">
        <v>7</v>
      </c>
      <c r="Q13" s="60" t="s">
        <v>540</v>
      </c>
      <c r="U13" s="60">
        <v>82</v>
      </c>
      <c r="V13" s="60" t="s">
        <v>136</v>
      </c>
      <c r="W13" s="60">
        <v>83.28</v>
      </c>
      <c r="X13" s="60">
        <v>33</v>
      </c>
      <c r="Y13" s="60">
        <v>34</v>
      </c>
      <c r="Z13" s="60" t="s">
        <v>540</v>
      </c>
      <c r="AD13" s="60">
        <v>89</v>
      </c>
      <c r="AE13" s="60" t="s">
        <v>180</v>
      </c>
      <c r="AF13" s="60">
        <v>32.837000000000003</v>
      </c>
      <c r="AG13" s="60">
        <v>74</v>
      </c>
      <c r="AH13" s="60">
        <v>75</v>
      </c>
      <c r="AI13" s="60" t="s">
        <v>539</v>
      </c>
      <c r="AM13" s="60">
        <v>77</v>
      </c>
      <c r="AN13" s="60" t="s">
        <v>130</v>
      </c>
      <c r="AO13" s="60">
        <v>32.837000000000003</v>
      </c>
      <c r="AP13" s="60">
        <v>54</v>
      </c>
      <c r="AQ13" s="60">
        <v>55</v>
      </c>
      <c r="AR13" s="60" t="s">
        <v>539</v>
      </c>
      <c r="AW13" s="60">
        <v>250</v>
      </c>
      <c r="AX13" s="60" t="s">
        <v>197</v>
      </c>
      <c r="AY13" s="60">
        <v>119.923</v>
      </c>
      <c r="AZ13" s="60">
        <v>87</v>
      </c>
      <c r="BA13" s="60">
        <v>88</v>
      </c>
      <c r="BB13" s="60" t="s">
        <v>539</v>
      </c>
      <c r="BC13" s="78"/>
      <c r="BD13" s="78"/>
      <c r="BF13" s="60">
        <v>96</v>
      </c>
      <c r="BG13" s="60" t="s">
        <v>433</v>
      </c>
      <c r="BH13" s="60">
        <v>29.029</v>
      </c>
      <c r="BI13" s="60">
        <v>84</v>
      </c>
      <c r="BJ13" s="60">
        <v>165</v>
      </c>
      <c r="BK13" s="60" t="s">
        <v>540</v>
      </c>
    </row>
    <row r="14" spans="3:63" x14ac:dyDescent="0.25">
      <c r="C14" s="60">
        <v>133</v>
      </c>
      <c r="D14" s="60" t="s">
        <v>401</v>
      </c>
      <c r="E14" s="60">
        <v>166.56</v>
      </c>
      <c r="F14" s="60">
        <v>4</v>
      </c>
      <c r="G14" s="60">
        <v>5</v>
      </c>
      <c r="H14" s="60" t="s">
        <v>539</v>
      </c>
      <c r="L14" s="60">
        <v>322</v>
      </c>
      <c r="M14" s="60" t="s">
        <v>409</v>
      </c>
      <c r="N14" s="60">
        <v>83.28</v>
      </c>
      <c r="O14" s="60">
        <v>7</v>
      </c>
      <c r="P14" s="60">
        <v>106</v>
      </c>
      <c r="Q14" s="60" t="s">
        <v>540</v>
      </c>
      <c r="U14" s="60">
        <v>69</v>
      </c>
      <c r="V14" s="60" t="s">
        <v>134</v>
      </c>
      <c r="W14" s="60">
        <v>83.28</v>
      </c>
      <c r="X14" s="60">
        <v>34</v>
      </c>
      <c r="Y14" s="60">
        <v>35</v>
      </c>
      <c r="Z14" s="60" t="s">
        <v>540</v>
      </c>
      <c r="AD14" s="60">
        <v>88</v>
      </c>
      <c r="AE14" s="60" t="s">
        <v>178</v>
      </c>
      <c r="AF14" s="60">
        <v>32.837000000000003</v>
      </c>
      <c r="AG14" s="60">
        <v>75</v>
      </c>
      <c r="AH14" s="60">
        <v>76</v>
      </c>
      <c r="AI14" s="60" t="s">
        <v>539</v>
      </c>
      <c r="AM14" s="60">
        <v>77</v>
      </c>
      <c r="AN14" s="60" t="s">
        <v>129</v>
      </c>
      <c r="AO14" s="60">
        <v>32.837000000000003</v>
      </c>
      <c r="AP14" s="60">
        <v>55</v>
      </c>
      <c r="AQ14" s="60">
        <v>56</v>
      </c>
      <c r="AR14" s="60" t="s">
        <v>539</v>
      </c>
      <c r="AW14" s="60">
        <v>63</v>
      </c>
      <c r="AX14" s="60" t="s">
        <v>196</v>
      </c>
      <c r="AY14" s="60">
        <v>119.923</v>
      </c>
      <c r="AZ14" s="60">
        <v>88</v>
      </c>
      <c r="BA14" s="60">
        <v>89</v>
      </c>
      <c r="BB14" s="60" t="s">
        <v>539</v>
      </c>
      <c r="BC14" s="78"/>
      <c r="BD14" s="78"/>
      <c r="BF14" s="60">
        <v>222</v>
      </c>
      <c r="BG14" s="60" t="s">
        <v>436</v>
      </c>
      <c r="BH14" s="60">
        <v>58.058</v>
      </c>
      <c r="BI14" s="60">
        <v>127</v>
      </c>
      <c r="BJ14" s="60">
        <v>136</v>
      </c>
      <c r="BK14" s="60" t="s">
        <v>540</v>
      </c>
    </row>
    <row r="15" spans="3:63" x14ac:dyDescent="0.25">
      <c r="C15" s="60">
        <v>75</v>
      </c>
      <c r="D15" s="60" t="s">
        <v>403</v>
      </c>
      <c r="E15" s="60">
        <v>166.56</v>
      </c>
      <c r="F15" s="60">
        <v>5</v>
      </c>
      <c r="G15" s="60">
        <v>6</v>
      </c>
      <c r="H15" s="60" t="s">
        <v>539</v>
      </c>
      <c r="L15" s="60">
        <v>56</v>
      </c>
      <c r="M15" s="60" t="s">
        <v>151</v>
      </c>
      <c r="N15" s="60">
        <v>166.56</v>
      </c>
      <c r="O15" s="60">
        <v>18</v>
      </c>
      <c r="P15" s="60">
        <v>19</v>
      </c>
      <c r="Q15" s="60" t="s">
        <v>539</v>
      </c>
      <c r="U15" s="60">
        <v>73</v>
      </c>
      <c r="V15" s="60" t="s">
        <v>135</v>
      </c>
      <c r="W15" s="60">
        <v>83.28</v>
      </c>
      <c r="X15" s="60">
        <v>35</v>
      </c>
      <c r="Y15" s="60">
        <v>36</v>
      </c>
      <c r="Z15" s="60" t="s">
        <v>540</v>
      </c>
      <c r="AD15" s="60">
        <v>76</v>
      </c>
      <c r="AE15" s="60" t="s">
        <v>189</v>
      </c>
      <c r="AF15" s="60">
        <v>32.837000000000003</v>
      </c>
      <c r="AG15" s="60">
        <v>76</v>
      </c>
      <c r="AH15" s="60">
        <v>77</v>
      </c>
      <c r="AI15" s="60" t="s">
        <v>539</v>
      </c>
      <c r="AM15" s="60">
        <v>76</v>
      </c>
      <c r="AN15" s="60" t="s">
        <v>128</v>
      </c>
      <c r="AO15" s="60">
        <v>32.837000000000003</v>
      </c>
      <c r="AP15" s="60">
        <v>56</v>
      </c>
      <c r="AQ15" s="60">
        <v>57</v>
      </c>
      <c r="AR15" s="60" t="s">
        <v>539</v>
      </c>
      <c r="AW15" s="60">
        <v>41</v>
      </c>
      <c r="AX15" s="60" t="s">
        <v>195</v>
      </c>
      <c r="AY15" s="60">
        <v>119.923</v>
      </c>
      <c r="AZ15" s="60">
        <v>89</v>
      </c>
      <c r="BA15" s="60">
        <v>90</v>
      </c>
      <c r="BB15" s="60" t="s">
        <v>539</v>
      </c>
      <c r="BC15" s="78"/>
      <c r="BD15" s="78"/>
      <c r="BF15" s="60">
        <v>190</v>
      </c>
      <c r="BG15" s="60" t="s">
        <v>292</v>
      </c>
      <c r="BH15" s="60">
        <v>58.058</v>
      </c>
      <c r="BI15" s="60">
        <v>127</v>
      </c>
      <c r="BJ15" s="60">
        <v>128</v>
      </c>
      <c r="BK15" s="60" t="s">
        <v>539</v>
      </c>
    </row>
    <row r="16" spans="3:63" x14ac:dyDescent="0.25">
      <c r="C16" s="60">
        <v>94</v>
      </c>
      <c r="D16" s="60" t="s">
        <v>396</v>
      </c>
      <c r="E16" s="60">
        <v>166.56</v>
      </c>
      <c r="F16" s="60">
        <v>6</v>
      </c>
      <c r="G16" s="60">
        <v>7</v>
      </c>
      <c r="H16" s="60" t="s">
        <v>539</v>
      </c>
      <c r="L16" s="60">
        <v>60</v>
      </c>
      <c r="M16" s="60" t="s">
        <v>150</v>
      </c>
      <c r="N16" s="60">
        <v>166.56</v>
      </c>
      <c r="O16" s="60">
        <v>19</v>
      </c>
      <c r="P16" s="60">
        <v>20</v>
      </c>
      <c r="Q16" s="60" t="s">
        <v>539</v>
      </c>
      <c r="U16" s="60">
        <v>81</v>
      </c>
      <c r="V16" s="60" t="s">
        <v>133</v>
      </c>
      <c r="W16" s="60">
        <v>83.28</v>
      </c>
      <c r="X16" s="60">
        <v>36</v>
      </c>
      <c r="Y16" s="60">
        <v>37</v>
      </c>
      <c r="Z16" s="60" t="s">
        <v>540</v>
      </c>
      <c r="AD16" s="60">
        <v>80</v>
      </c>
      <c r="AE16" s="60" t="s">
        <v>188</v>
      </c>
      <c r="AF16" s="60">
        <v>32.837000000000003</v>
      </c>
      <c r="AG16" s="60">
        <v>77</v>
      </c>
      <c r="AH16" s="60">
        <v>78</v>
      </c>
      <c r="AI16" s="60" t="s">
        <v>539</v>
      </c>
      <c r="AM16" s="60">
        <v>36</v>
      </c>
      <c r="AN16" s="60" t="s">
        <v>127</v>
      </c>
      <c r="AO16" s="60">
        <v>32.837000000000003</v>
      </c>
      <c r="AP16" s="60">
        <v>57</v>
      </c>
      <c r="AQ16" s="60">
        <v>58</v>
      </c>
      <c r="AR16" s="60" t="s">
        <v>539</v>
      </c>
      <c r="AW16" s="60">
        <v>201</v>
      </c>
      <c r="AX16" s="60" t="s">
        <v>194</v>
      </c>
      <c r="AY16" s="60">
        <v>119.923</v>
      </c>
      <c r="AZ16" s="60">
        <v>90</v>
      </c>
      <c r="BA16" s="60">
        <v>91</v>
      </c>
      <c r="BB16" s="60" t="s">
        <v>539</v>
      </c>
      <c r="BC16" s="78"/>
      <c r="BD16" s="78"/>
      <c r="BF16" s="60">
        <v>290</v>
      </c>
      <c r="BG16" s="60" t="s">
        <v>291</v>
      </c>
      <c r="BH16" s="60">
        <v>58.058</v>
      </c>
      <c r="BI16" s="60">
        <v>128</v>
      </c>
      <c r="BJ16" s="60">
        <v>129</v>
      </c>
      <c r="BK16" s="60" t="s">
        <v>539</v>
      </c>
    </row>
    <row r="17" spans="3:63" x14ac:dyDescent="0.25">
      <c r="C17" s="60">
        <v>133</v>
      </c>
      <c r="D17" s="60" t="s">
        <v>402</v>
      </c>
      <c r="E17" s="60">
        <v>83.28</v>
      </c>
      <c r="F17" s="60">
        <v>7</v>
      </c>
      <c r="G17" s="60">
        <v>8</v>
      </c>
      <c r="H17" s="60" t="s">
        <v>539</v>
      </c>
      <c r="L17" s="60">
        <v>67</v>
      </c>
      <c r="M17" s="60" t="s">
        <v>149</v>
      </c>
      <c r="N17" s="60">
        <v>166.56</v>
      </c>
      <c r="O17" s="60">
        <v>20</v>
      </c>
      <c r="P17" s="60">
        <v>21</v>
      </c>
      <c r="Q17" s="60" t="s">
        <v>539</v>
      </c>
      <c r="U17" s="60">
        <v>101</v>
      </c>
      <c r="V17" s="60" t="s">
        <v>132</v>
      </c>
      <c r="W17" s="60">
        <v>83.28</v>
      </c>
      <c r="X17" s="60">
        <v>37</v>
      </c>
      <c r="Y17" s="60">
        <v>38</v>
      </c>
      <c r="Z17" s="60" t="s">
        <v>540</v>
      </c>
      <c r="AD17" s="60">
        <v>158</v>
      </c>
      <c r="AE17" s="60" t="s">
        <v>186</v>
      </c>
      <c r="AF17" s="60">
        <v>32.837000000000003</v>
      </c>
      <c r="AG17" s="60">
        <v>78</v>
      </c>
      <c r="AH17" s="60">
        <v>79</v>
      </c>
      <c r="AI17" s="60" t="s">
        <v>539</v>
      </c>
      <c r="AM17" s="60">
        <v>32</v>
      </c>
      <c r="AN17" s="60" t="s">
        <v>126</v>
      </c>
      <c r="AO17" s="60">
        <v>32.837000000000003</v>
      </c>
      <c r="AP17" s="60">
        <v>58</v>
      </c>
      <c r="AQ17" s="60">
        <v>59</v>
      </c>
      <c r="AR17" s="60" t="s">
        <v>539</v>
      </c>
      <c r="AW17" s="60">
        <v>129</v>
      </c>
      <c r="AX17" s="60" t="s">
        <v>425</v>
      </c>
      <c r="AY17" s="60">
        <v>119.923</v>
      </c>
      <c r="AZ17" s="60">
        <v>91</v>
      </c>
      <c r="BA17" s="60">
        <v>92</v>
      </c>
      <c r="BB17" s="60" t="s">
        <v>539</v>
      </c>
      <c r="BC17" s="78"/>
      <c r="BD17" s="78"/>
      <c r="BF17" s="60">
        <v>82</v>
      </c>
      <c r="BG17" s="60" t="s">
        <v>293</v>
      </c>
      <c r="BH17" s="60">
        <v>58.058</v>
      </c>
      <c r="BI17" s="60">
        <v>129</v>
      </c>
      <c r="BJ17" s="60">
        <v>130</v>
      </c>
      <c r="BK17" s="60" t="s">
        <v>539</v>
      </c>
    </row>
    <row r="18" spans="3:63" x14ac:dyDescent="0.25">
      <c r="C18" s="60">
        <v>178</v>
      </c>
      <c r="D18" s="60" t="s">
        <v>174</v>
      </c>
      <c r="E18" s="60">
        <v>83.28</v>
      </c>
      <c r="F18" s="60">
        <v>8</v>
      </c>
      <c r="G18" s="60">
        <v>9</v>
      </c>
      <c r="H18" s="60" t="s">
        <v>539</v>
      </c>
      <c r="L18" s="60">
        <v>194</v>
      </c>
      <c r="M18" s="60" t="s">
        <v>148</v>
      </c>
      <c r="N18" s="60">
        <v>166.56</v>
      </c>
      <c r="O18" s="60">
        <v>21</v>
      </c>
      <c r="P18" s="60">
        <v>22</v>
      </c>
      <c r="Q18" s="60" t="s">
        <v>539</v>
      </c>
      <c r="U18" s="60">
        <v>91</v>
      </c>
      <c r="V18" s="60" t="s">
        <v>408</v>
      </c>
      <c r="W18" s="60">
        <v>83.28</v>
      </c>
      <c r="X18" s="60">
        <v>38</v>
      </c>
      <c r="Y18" s="60">
        <v>39</v>
      </c>
      <c r="Z18" s="60" t="s">
        <v>540</v>
      </c>
      <c r="AD18" s="60">
        <v>70</v>
      </c>
      <c r="AE18" s="60" t="s">
        <v>187</v>
      </c>
      <c r="AF18" s="60">
        <v>32.837000000000003</v>
      </c>
      <c r="AG18" s="60">
        <v>79</v>
      </c>
      <c r="AH18" s="60">
        <v>80</v>
      </c>
      <c r="AI18" s="60" t="s">
        <v>539</v>
      </c>
      <c r="AM18" s="60">
        <v>79</v>
      </c>
      <c r="AN18" s="60" t="s">
        <v>125</v>
      </c>
      <c r="AO18" s="60">
        <v>32.837000000000003</v>
      </c>
      <c r="AP18" s="60">
        <v>59</v>
      </c>
      <c r="AQ18" s="60">
        <v>60</v>
      </c>
      <c r="AR18" s="60" t="s">
        <v>539</v>
      </c>
      <c r="AW18" s="60">
        <v>111</v>
      </c>
      <c r="AX18" s="60" t="s">
        <v>183</v>
      </c>
      <c r="AY18" s="60">
        <v>119.923</v>
      </c>
      <c r="AZ18" s="60">
        <v>92</v>
      </c>
      <c r="BA18" s="60">
        <v>93</v>
      </c>
      <c r="BB18" s="60" t="s">
        <v>539</v>
      </c>
      <c r="BC18" s="78"/>
      <c r="BD18" s="78"/>
      <c r="BF18" s="60">
        <v>75</v>
      </c>
      <c r="BG18" s="60" t="s">
        <v>294</v>
      </c>
      <c r="BH18" s="60">
        <v>58.058</v>
      </c>
      <c r="BI18" s="60">
        <v>130</v>
      </c>
      <c r="BJ18" s="60">
        <v>131</v>
      </c>
      <c r="BK18" s="60" t="s">
        <v>539</v>
      </c>
    </row>
    <row r="19" spans="3:63" x14ac:dyDescent="0.25">
      <c r="C19" s="60">
        <v>198</v>
      </c>
      <c r="D19" s="60" t="s">
        <v>175</v>
      </c>
      <c r="E19" s="60">
        <v>83.28</v>
      </c>
      <c r="F19" s="60">
        <v>9</v>
      </c>
      <c r="G19" s="60">
        <v>10</v>
      </c>
      <c r="H19" s="60" t="s">
        <v>539</v>
      </c>
      <c r="L19" s="60">
        <v>74</v>
      </c>
      <c r="M19" s="60" t="s">
        <v>147</v>
      </c>
      <c r="N19" s="60">
        <v>166.56</v>
      </c>
      <c r="O19" s="60">
        <v>22</v>
      </c>
      <c r="P19" s="60">
        <v>23</v>
      </c>
      <c r="Q19" s="60" t="s">
        <v>539</v>
      </c>
      <c r="U19" s="60">
        <v>87</v>
      </c>
      <c r="V19" s="60" t="s">
        <v>172</v>
      </c>
      <c r="W19" s="60">
        <v>83.28</v>
      </c>
      <c r="X19" s="60">
        <v>39</v>
      </c>
      <c r="Y19" s="60">
        <v>40</v>
      </c>
      <c r="Z19" s="60" t="s">
        <v>540</v>
      </c>
      <c r="AD19" s="60">
        <v>80</v>
      </c>
      <c r="AE19" s="60" t="s">
        <v>185</v>
      </c>
      <c r="AF19" s="60">
        <v>32.835999999999999</v>
      </c>
      <c r="AG19" s="60">
        <v>80</v>
      </c>
      <c r="AH19" s="60">
        <v>81</v>
      </c>
      <c r="AI19" s="60" t="s">
        <v>539</v>
      </c>
      <c r="AM19" s="60">
        <v>51</v>
      </c>
      <c r="AN19" s="60" t="s">
        <v>124</v>
      </c>
      <c r="AO19" s="60">
        <v>32.837000000000003</v>
      </c>
      <c r="AP19" s="60">
        <v>60</v>
      </c>
      <c r="AQ19" s="60">
        <v>61</v>
      </c>
      <c r="AR19" s="60" t="s">
        <v>539</v>
      </c>
      <c r="AW19" s="60">
        <v>88</v>
      </c>
      <c r="AX19" s="60" t="s">
        <v>192</v>
      </c>
      <c r="AY19" s="60">
        <v>119.923</v>
      </c>
      <c r="AZ19" s="60">
        <v>93</v>
      </c>
      <c r="BA19" s="60">
        <v>94</v>
      </c>
      <c r="BB19" s="60" t="s">
        <v>539</v>
      </c>
      <c r="BC19" s="78"/>
      <c r="BD19" s="78"/>
      <c r="BF19" s="60">
        <v>108</v>
      </c>
      <c r="BG19" s="60" t="s">
        <v>295</v>
      </c>
      <c r="BH19" s="60">
        <v>58.058</v>
      </c>
      <c r="BI19" s="60">
        <v>131</v>
      </c>
      <c r="BJ19" s="60">
        <v>132</v>
      </c>
      <c r="BK19" s="60" t="s">
        <v>539</v>
      </c>
    </row>
    <row r="20" spans="3:63" x14ac:dyDescent="0.25">
      <c r="C20" s="60">
        <v>174</v>
      </c>
      <c r="D20" s="60" t="s">
        <v>176</v>
      </c>
      <c r="E20" s="60">
        <v>83.28</v>
      </c>
      <c r="F20" s="60">
        <v>10</v>
      </c>
      <c r="G20" s="60">
        <v>11</v>
      </c>
      <c r="H20" s="60" t="s">
        <v>539</v>
      </c>
      <c r="L20" s="60">
        <v>92</v>
      </c>
      <c r="M20" s="60" t="s">
        <v>146</v>
      </c>
      <c r="N20" s="60">
        <v>166.56</v>
      </c>
      <c r="O20" s="60">
        <v>23</v>
      </c>
      <c r="P20" s="60">
        <v>24</v>
      </c>
      <c r="Q20" s="60" t="s">
        <v>539</v>
      </c>
      <c r="U20" s="60">
        <v>94</v>
      </c>
      <c r="V20" s="60" t="s">
        <v>170</v>
      </c>
      <c r="W20" s="60">
        <v>83.28</v>
      </c>
      <c r="X20" s="60">
        <v>40</v>
      </c>
      <c r="Y20" s="60">
        <v>41</v>
      </c>
      <c r="Z20" s="60" t="s">
        <v>540</v>
      </c>
      <c r="AD20" s="60">
        <v>88</v>
      </c>
      <c r="AE20" s="60" t="s">
        <v>422</v>
      </c>
      <c r="AF20" s="60">
        <v>58.058</v>
      </c>
      <c r="AG20" s="60">
        <v>81</v>
      </c>
      <c r="AH20" s="60">
        <v>135</v>
      </c>
      <c r="AI20" s="60" t="s">
        <v>540</v>
      </c>
      <c r="AM20" s="60">
        <v>73</v>
      </c>
      <c r="AN20" s="60" t="s">
        <v>123</v>
      </c>
      <c r="AO20" s="60">
        <v>32.837000000000003</v>
      </c>
      <c r="AP20" s="60">
        <v>61</v>
      </c>
      <c r="AQ20" s="60">
        <v>62</v>
      </c>
      <c r="AR20" s="60" t="s">
        <v>539</v>
      </c>
      <c r="AW20" s="60">
        <v>74</v>
      </c>
      <c r="AX20" s="60" t="s">
        <v>230</v>
      </c>
      <c r="AY20" s="60">
        <v>119.923</v>
      </c>
      <c r="AZ20" s="60">
        <v>94</v>
      </c>
      <c r="BA20" s="60">
        <v>95</v>
      </c>
      <c r="BB20" s="60" t="s">
        <v>539</v>
      </c>
      <c r="BC20" s="78"/>
      <c r="BD20" s="78"/>
      <c r="BF20" s="60">
        <v>150</v>
      </c>
      <c r="BG20" s="60" t="s">
        <v>296</v>
      </c>
      <c r="BH20" s="60">
        <v>58.058</v>
      </c>
      <c r="BI20" s="60">
        <v>132</v>
      </c>
      <c r="BJ20" s="60">
        <v>133</v>
      </c>
      <c r="BK20" s="60" t="s">
        <v>539</v>
      </c>
    </row>
    <row r="21" spans="3:63" x14ac:dyDescent="0.25">
      <c r="C21" s="60">
        <v>227</v>
      </c>
      <c r="D21" s="60" t="s">
        <v>177</v>
      </c>
      <c r="E21" s="60">
        <v>83.28</v>
      </c>
      <c r="F21" s="60">
        <v>11</v>
      </c>
      <c r="G21" s="60">
        <v>12</v>
      </c>
      <c r="H21" s="60" t="s">
        <v>539</v>
      </c>
      <c r="L21" s="60">
        <v>75</v>
      </c>
      <c r="M21" s="60" t="s">
        <v>145</v>
      </c>
      <c r="N21" s="60">
        <v>166.56</v>
      </c>
      <c r="O21" s="60">
        <v>24</v>
      </c>
      <c r="P21" s="60">
        <v>25</v>
      </c>
      <c r="Q21" s="60" t="s">
        <v>539</v>
      </c>
      <c r="U21" s="60">
        <v>70</v>
      </c>
      <c r="V21" s="60" t="s">
        <v>171</v>
      </c>
      <c r="W21" s="60">
        <v>98.51</v>
      </c>
      <c r="X21" s="60">
        <v>41</v>
      </c>
      <c r="Y21" s="60">
        <v>42</v>
      </c>
      <c r="Z21" s="60" t="s">
        <v>540</v>
      </c>
      <c r="AD21" s="60">
        <v>234</v>
      </c>
      <c r="AE21" s="60" t="s">
        <v>263</v>
      </c>
      <c r="AF21" s="60">
        <v>32.837000000000003</v>
      </c>
      <c r="AG21" s="60">
        <v>111</v>
      </c>
      <c r="AH21" s="60">
        <v>112</v>
      </c>
      <c r="AI21" s="60" t="s">
        <v>540</v>
      </c>
      <c r="AK21" t="s">
        <v>543</v>
      </c>
      <c r="AM21" s="60">
        <v>58</v>
      </c>
      <c r="AN21" s="60" t="s">
        <v>122</v>
      </c>
      <c r="AO21" s="60">
        <v>32.837000000000003</v>
      </c>
      <c r="AP21" s="60">
        <v>62</v>
      </c>
      <c r="AQ21" s="60">
        <v>63</v>
      </c>
      <c r="AR21" s="60" t="s">
        <v>539</v>
      </c>
      <c r="AW21" s="60">
        <v>248</v>
      </c>
      <c r="AX21" s="60" t="s">
        <v>215</v>
      </c>
      <c r="AY21" s="60">
        <v>119.923</v>
      </c>
      <c r="AZ21" s="60">
        <v>95</v>
      </c>
      <c r="BA21" s="60">
        <v>96</v>
      </c>
      <c r="BB21" s="60" t="s">
        <v>539</v>
      </c>
      <c r="BC21" s="78"/>
      <c r="BD21" s="78"/>
      <c r="BF21" s="60">
        <v>54</v>
      </c>
      <c r="BG21" s="60" t="s">
        <v>297</v>
      </c>
      <c r="BH21" s="60">
        <v>58.058</v>
      </c>
      <c r="BI21" s="60">
        <v>133</v>
      </c>
      <c r="BJ21" s="60">
        <v>134</v>
      </c>
      <c r="BK21" s="60" t="s">
        <v>539</v>
      </c>
    </row>
    <row r="22" spans="3:63" x14ac:dyDescent="0.25">
      <c r="C22" s="60">
        <v>533</v>
      </c>
      <c r="D22" s="60" t="s">
        <v>157</v>
      </c>
      <c r="E22" s="60">
        <v>83.28</v>
      </c>
      <c r="F22" s="60">
        <v>12</v>
      </c>
      <c r="G22" s="60">
        <v>13</v>
      </c>
      <c r="H22" s="60" t="s">
        <v>539</v>
      </c>
      <c r="L22" s="60">
        <v>76</v>
      </c>
      <c r="M22" s="60" t="s">
        <v>144</v>
      </c>
      <c r="N22" s="60">
        <v>166.56</v>
      </c>
      <c r="O22" s="60">
        <v>25</v>
      </c>
      <c r="P22" s="60">
        <v>26</v>
      </c>
      <c r="Q22" s="60" t="s">
        <v>539</v>
      </c>
      <c r="U22" s="60">
        <v>223</v>
      </c>
      <c r="V22" s="60" t="s">
        <v>414</v>
      </c>
      <c r="W22" s="60">
        <v>32.835999999999999</v>
      </c>
      <c r="X22" s="60">
        <v>42</v>
      </c>
      <c r="Y22" s="60">
        <v>52</v>
      </c>
      <c r="Z22" s="60" t="s">
        <v>540</v>
      </c>
      <c r="AD22" s="60">
        <v>74</v>
      </c>
      <c r="AE22" s="60" t="s">
        <v>264</v>
      </c>
      <c r="AF22" s="60">
        <v>32.837000000000003</v>
      </c>
      <c r="AG22" s="60">
        <v>112</v>
      </c>
      <c r="AH22" s="60">
        <v>113</v>
      </c>
      <c r="AI22" s="60" t="s">
        <v>540</v>
      </c>
      <c r="AM22" s="60">
        <v>216</v>
      </c>
      <c r="AN22" s="60" t="s">
        <v>121</v>
      </c>
      <c r="AO22" s="60">
        <v>32.837000000000003</v>
      </c>
      <c r="AP22" s="60">
        <v>63</v>
      </c>
      <c r="AQ22" s="60">
        <v>64</v>
      </c>
      <c r="AR22" s="60" t="s">
        <v>539</v>
      </c>
      <c r="AW22" s="60">
        <v>116</v>
      </c>
      <c r="AX22" s="60" t="s">
        <v>214</v>
      </c>
      <c r="AY22" s="60">
        <v>119.923</v>
      </c>
      <c r="AZ22" s="60">
        <v>96</v>
      </c>
      <c r="BA22" s="60">
        <v>97</v>
      </c>
      <c r="BB22" s="60" t="s">
        <v>539</v>
      </c>
      <c r="BC22" s="78"/>
      <c r="BD22" s="78"/>
      <c r="BF22" s="60">
        <v>93</v>
      </c>
      <c r="BG22" s="60" t="s">
        <v>298</v>
      </c>
      <c r="BH22" s="60">
        <v>58.058</v>
      </c>
      <c r="BI22" s="60">
        <v>134</v>
      </c>
      <c r="BJ22" s="60">
        <v>135</v>
      </c>
      <c r="BK22" s="60" t="s">
        <v>539</v>
      </c>
    </row>
    <row r="23" spans="3:63" x14ac:dyDescent="0.25">
      <c r="C23" s="60">
        <v>345</v>
      </c>
      <c r="D23" s="60" t="s">
        <v>156</v>
      </c>
      <c r="E23" s="60">
        <v>83.28</v>
      </c>
      <c r="F23" s="60">
        <v>13</v>
      </c>
      <c r="G23" s="60">
        <v>14</v>
      </c>
      <c r="H23" s="60" t="s">
        <v>539</v>
      </c>
      <c r="L23" s="60">
        <v>76</v>
      </c>
      <c r="M23" s="60" t="s">
        <v>142</v>
      </c>
      <c r="N23" s="60">
        <v>166.56</v>
      </c>
      <c r="O23" s="60">
        <v>26</v>
      </c>
      <c r="P23" s="60">
        <v>27</v>
      </c>
      <c r="Q23" s="60" t="s">
        <v>539</v>
      </c>
      <c r="U23" s="60">
        <v>340</v>
      </c>
      <c r="V23" s="60" t="s">
        <v>168</v>
      </c>
      <c r="W23" s="60">
        <v>166.56</v>
      </c>
      <c r="X23" s="60">
        <v>43</v>
      </c>
      <c r="Y23" s="60">
        <v>44</v>
      </c>
      <c r="Z23" s="60" t="s">
        <v>540</v>
      </c>
      <c r="AD23" s="60">
        <v>79</v>
      </c>
      <c r="AE23" s="60" t="s">
        <v>266</v>
      </c>
      <c r="AF23" s="60">
        <v>32.837000000000003</v>
      </c>
      <c r="AG23" s="60">
        <v>113</v>
      </c>
      <c r="AH23" s="60">
        <v>114</v>
      </c>
      <c r="AI23" s="60" t="s">
        <v>540</v>
      </c>
      <c r="AM23" s="60">
        <v>73</v>
      </c>
      <c r="AN23" s="60" t="s">
        <v>119</v>
      </c>
      <c r="AO23" s="60">
        <v>32.837000000000003</v>
      </c>
      <c r="AP23" s="60">
        <v>64</v>
      </c>
      <c r="AQ23" s="60">
        <v>65</v>
      </c>
      <c r="AR23" s="60" t="s">
        <v>539</v>
      </c>
      <c r="AW23" s="60">
        <v>128</v>
      </c>
      <c r="AX23" s="60" t="s">
        <v>213</v>
      </c>
      <c r="AY23" s="60">
        <v>119.923</v>
      </c>
      <c r="AZ23" s="60">
        <v>97</v>
      </c>
      <c r="BA23" s="60">
        <v>98</v>
      </c>
      <c r="BB23" s="60" t="s">
        <v>539</v>
      </c>
      <c r="BC23" s="78"/>
      <c r="BD23" s="78"/>
      <c r="BF23" s="60">
        <v>360</v>
      </c>
      <c r="BG23" s="60" t="s">
        <v>300</v>
      </c>
      <c r="BH23" s="60">
        <v>58.058</v>
      </c>
      <c r="BI23" s="60">
        <v>136</v>
      </c>
      <c r="BJ23" s="60">
        <v>137</v>
      </c>
      <c r="BK23" s="60" t="s">
        <v>540</v>
      </c>
    </row>
    <row r="24" spans="3:63" x14ac:dyDescent="0.25">
      <c r="C24" s="60">
        <v>795</v>
      </c>
      <c r="D24" s="60" t="s">
        <v>155</v>
      </c>
      <c r="E24" s="60">
        <v>83.28</v>
      </c>
      <c r="F24" s="60">
        <v>14</v>
      </c>
      <c r="G24" s="60">
        <v>15</v>
      </c>
      <c r="H24" s="60" t="s">
        <v>539</v>
      </c>
      <c r="L24" s="60">
        <v>80</v>
      </c>
      <c r="M24" s="60" t="s">
        <v>143</v>
      </c>
      <c r="N24" s="60">
        <v>166.56</v>
      </c>
      <c r="O24" s="60">
        <v>27</v>
      </c>
      <c r="P24" s="60">
        <v>28</v>
      </c>
      <c r="Q24" s="60" t="s">
        <v>539</v>
      </c>
      <c r="U24" s="60">
        <v>205</v>
      </c>
      <c r="V24" s="60" t="s">
        <v>167</v>
      </c>
      <c r="W24" s="60">
        <v>166.56</v>
      </c>
      <c r="X24" s="60">
        <v>44</v>
      </c>
      <c r="Y24" s="60">
        <v>45</v>
      </c>
      <c r="Z24" s="60" t="s">
        <v>539</v>
      </c>
      <c r="AD24" s="60">
        <v>241</v>
      </c>
      <c r="AE24" s="60" t="s">
        <v>276</v>
      </c>
      <c r="AF24" s="60">
        <v>32.837000000000003</v>
      </c>
      <c r="AG24" s="60">
        <v>114</v>
      </c>
      <c r="AH24" s="60">
        <v>115</v>
      </c>
      <c r="AI24" s="60" t="s">
        <v>540</v>
      </c>
      <c r="AM24" s="60">
        <v>65</v>
      </c>
      <c r="AN24" s="60" t="s">
        <v>120</v>
      </c>
      <c r="AO24" s="60">
        <v>32.837000000000003</v>
      </c>
      <c r="AP24" s="60">
        <v>65</v>
      </c>
      <c r="AQ24" s="60">
        <v>66</v>
      </c>
      <c r="AR24" s="60" t="s">
        <v>539</v>
      </c>
      <c r="AW24" s="60">
        <v>138</v>
      </c>
      <c r="AX24" s="60" t="s">
        <v>212</v>
      </c>
      <c r="AY24" s="60">
        <v>119.923</v>
      </c>
      <c r="AZ24" s="60">
        <v>98</v>
      </c>
      <c r="BA24" s="60">
        <v>99</v>
      </c>
      <c r="BB24" s="60" t="s">
        <v>539</v>
      </c>
      <c r="BC24" s="78"/>
      <c r="BD24" s="78"/>
      <c r="BF24" s="60">
        <v>315</v>
      </c>
      <c r="BG24" s="60" t="s">
        <v>301</v>
      </c>
      <c r="BH24" s="60">
        <v>58.058</v>
      </c>
      <c r="BI24" s="60">
        <v>137</v>
      </c>
      <c r="BJ24" s="60">
        <v>138</v>
      </c>
      <c r="BK24" s="60" t="s">
        <v>540</v>
      </c>
    </row>
    <row r="25" spans="3:63" x14ac:dyDescent="0.25">
      <c r="C25" s="60">
        <v>496</v>
      </c>
      <c r="D25" s="60" t="s">
        <v>154</v>
      </c>
      <c r="E25" s="60">
        <v>83.28</v>
      </c>
      <c r="F25" s="60">
        <v>15</v>
      </c>
      <c r="G25" s="60">
        <v>16</v>
      </c>
      <c r="H25" s="60" t="s">
        <v>539</v>
      </c>
      <c r="L25" s="60">
        <v>75</v>
      </c>
      <c r="M25" s="60" t="s">
        <v>398</v>
      </c>
      <c r="N25" s="60">
        <v>166.56</v>
      </c>
      <c r="O25" s="60">
        <v>28</v>
      </c>
      <c r="P25" s="60">
        <v>28</v>
      </c>
      <c r="Q25" s="60" t="s">
        <v>539</v>
      </c>
      <c r="U25" s="60">
        <v>196</v>
      </c>
      <c r="V25" s="60" t="s">
        <v>166</v>
      </c>
      <c r="W25" s="60">
        <v>166.56</v>
      </c>
      <c r="X25" s="60">
        <v>45</v>
      </c>
      <c r="Y25" s="60">
        <v>46</v>
      </c>
      <c r="Z25" s="60" t="s">
        <v>539</v>
      </c>
      <c r="AD25" s="60">
        <v>61</v>
      </c>
      <c r="AE25" s="60" t="s">
        <v>316</v>
      </c>
      <c r="AF25" s="60">
        <v>32.837000000000003</v>
      </c>
      <c r="AG25" s="60">
        <v>115</v>
      </c>
      <c r="AH25" s="60">
        <v>116</v>
      </c>
      <c r="AI25" s="60" t="s">
        <v>540</v>
      </c>
      <c r="AM25" s="60">
        <v>45</v>
      </c>
      <c r="AN25" s="60" t="s">
        <v>118</v>
      </c>
      <c r="AO25" s="60">
        <v>32.837000000000003</v>
      </c>
      <c r="AP25" s="60">
        <v>66</v>
      </c>
      <c r="AQ25" s="60">
        <v>67</v>
      </c>
      <c r="AR25" s="60" t="s">
        <v>539</v>
      </c>
      <c r="AW25" s="60">
        <v>184</v>
      </c>
      <c r="AX25" s="60" t="s">
        <v>426</v>
      </c>
      <c r="AY25" s="60">
        <v>228.42</v>
      </c>
      <c r="AZ25" s="60">
        <v>99</v>
      </c>
      <c r="BA25" s="60">
        <v>194</v>
      </c>
      <c r="BB25" s="60" t="s">
        <v>540</v>
      </c>
      <c r="BC25" s="78"/>
      <c r="BD25" s="78"/>
      <c r="BF25" s="60">
        <v>270</v>
      </c>
      <c r="BG25" s="60" t="s">
        <v>302</v>
      </c>
      <c r="BH25" s="60">
        <v>58.058</v>
      </c>
      <c r="BI25" s="60">
        <v>138</v>
      </c>
      <c r="BJ25" s="60">
        <v>139</v>
      </c>
      <c r="BK25" s="60" t="s">
        <v>540</v>
      </c>
    </row>
    <row r="26" spans="3:63" x14ac:dyDescent="0.25">
      <c r="C26" s="60">
        <v>414</v>
      </c>
      <c r="D26" s="60" t="s">
        <v>153</v>
      </c>
      <c r="E26" s="60">
        <v>83.28</v>
      </c>
      <c r="F26" s="60">
        <v>16</v>
      </c>
      <c r="G26" s="60">
        <v>17</v>
      </c>
      <c r="H26" s="60" t="s">
        <v>539</v>
      </c>
      <c r="L26" s="60">
        <v>76</v>
      </c>
      <c r="M26" s="60" t="s">
        <v>140</v>
      </c>
      <c r="N26" s="60">
        <v>166.56</v>
      </c>
      <c r="O26" s="60">
        <v>29</v>
      </c>
      <c r="P26" s="60">
        <v>30</v>
      </c>
      <c r="Q26" s="60" t="s">
        <v>539</v>
      </c>
      <c r="U26" s="60">
        <v>275</v>
      </c>
      <c r="V26" s="60" t="s">
        <v>165</v>
      </c>
      <c r="W26" s="60">
        <v>166.56</v>
      </c>
      <c r="X26" s="60">
        <v>46</v>
      </c>
      <c r="Y26" s="60">
        <v>47</v>
      </c>
      <c r="Z26" s="60" t="s">
        <v>539</v>
      </c>
      <c r="AD26" s="60">
        <v>76</v>
      </c>
      <c r="AE26" s="60" t="s">
        <v>412</v>
      </c>
      <c r="AF26" s="60">
        <v>32.837000000000003</v>
      </c>
      <c r="AG26" s="60">
        <v>116</v>
      </c>
      <c r="AH26" s="60">
        <v>195</v>
      </c>
      <c r="AI26" s="60" t="s">
        <v>540</v>
      </c>
      <c r="AM26" s="60">
        <v>100</v>
      </c>
      <c r="AN26" s="60" t="s">
        <v>117</v>
      </c>
      <c r="AO26" s="60">
        <v>32.837000000000003</v>
      </c>
      <c r="AP26" s="60">
        <v>67</v>
      </c>
      <c r="AQ26" s="60">
        <v>68</v>
      </c>
      <c r="AR26" s="60" t="s">
        <v>539</v>
      </c>
      <c r="AW26" s="60">
        <v>289</v>
      </c>
      <c r="AX26" s="60" t="s">
        <v>211</v>
      </c>
      <c r="AY26" s="60">
        <v>348.34800000000001</v>
      </c>
      <c r="AZ26" s="60">
        <v>99</v>
      </c>
      <c r="BA26" s="60">
        <v>100</v>
      </c>
      <c r="BB26" s="60" t="s">
        <v>539</v>
      </c>
      <c r="BC26" s="78"/>
      <c r="BD26" s="78"/>
      <c r="BF26" s="60">
        <v>180</v>
      </c>
      <c r="BG26" s="60" t="s">
        <v>303</v>
      </c>
      <c r="BH26" s="60">
        <v>58.058</v>
      </c>
      <c r="BI26" s="60">
        <v>139</v>
      </c>
      <c r="BJ26" s="60">
        <v>140</v>
      </c>
      <c r="BK26" s="60" t="s">
        <v>540</v>
      </c>
    </row>
    <row r="27" spans="3:63" x14ac:dyDescent="0.25">
      <c r="C27" s="60">
        <v>211</v>
      </c>
      <c r="D27" s="60" t="s">
        <v>404</v>
      </c>
      <c r="E27" s="60">
        <v>166.56</v>
      </c>
      <c r="F27" s="60">
        <v>17</v>
      </c>
      <c r="G27" s="60">
        <v>31</v>
      </c>
      <c r="H27" s="60" t="s">
        <v>540</v>
      </c>
      <c r="L27" s="60">
        <v>69</v>
      </c>
      <c r="M27" s="60" t="s">
        <v>397</v>
      </c>
      <c r="N27" s="60">
        <v>166.56</v>
      </c>
      <c r="O27" s="60">
        <v>29</v>
      </c>
      <c r="P27" s="60">
        <v>29</v>
      </c>
      <c r="Q27" s="60" t="s">
        <v>539</v>
      </c>
      <c r="U27" s="60">
        <v>407</v>
      </c>
      <c r="V27" s="60" t="s">
        <v>164</v>
      </c>
      <c r="W27" s="60">
        <v>166.56</v>
      </c>
      <c r="X27" s="60">
        <v>47</v>
      </c>
      <c r="Y27" s="60">
        <v>48</v>
      </c>
      <c r="Z27" s="60" t="s">
        <v>539</v>
      </c>
      <c r="AD27" s="60">
        <v>132</v>
      </c>
      <c r="AE27" s="60" t="s">
        <v>308</v>
      </c>
      <c r="AF27" s="60">
        <v>32.837000000000003</v>
      </c>
      <c r="AG27" s="60">
        <v>117</v>
      </c>
      <c r="AH27" s="60">
        <v>118</v>
      </c>
      <c r="AI27" s="60" t="s">
        <v>540</v>
      </c>
      <c r="AM27" s="60">
        <v>202</v>
      </c>
      <c r="AN27" s="60" t="s">
        <v>116</v>
      </c>
      <c r="AO27" s="60">
        <v>32.835999999999999</v>
      </c>
      <c r="AP27" s="60">
        <v>68</v>
      </c>
      <c r="AQ27" s="60">
        <v>69</v>
      </c>
      <c r="AR27" s="60" t="s">
        <v>539</v>
      </c>
      <c r="AW27" s="60">
        <v>153</v>
      </c>
      <c r="AX27" s="60" t="s">
        <v>209</v>
      </c>
      <c r="AY27" s="60">
        <v>348.34800000000001</v>
      </c>
      <c r="AZ27" s="60">
        <v>100</v>
      </c>
      <c r="BA27" s="60">
        <v>101</v>
      </c>
      <c r="BB27" s="60" t="s">
        <v>539</v>
      </c>
      <c r="BC27" s="78"/>
      <c r="BD27" s="78"/>
      <c r="BF27" s="60">
        <v>210</v>
      </c>
      <c r="BG27" s="60" t="s">
        <v>304</v>
      </c>
      <c r="BH27" s="60">
        <v>58.058</v>
      </c>
      <c r="BI27" s="60">
        <v>140</v>
      </c>
      <c r="BJ27" s="60">
        <v>141</v>
      </c>
      <c r="BK27" s="60" t="s">
        <v>540</v>
      </c>
    </row>
    <row r="28" spans="3:63" x14ac:dyDescent="0.25">
      <c r="C28" s="60">
        <v>56</v>
      </c>
      <c r="D28" s="60" t="s">
        <v>151</v>
      </c>
      <c r="E28" s="60">
        <v>166.56</v>
      </c>
      <c r="F28" s="60">
        <v>18</v>
      </c>
      <c r="G28" s="60">
        <v>19</v>
      </c>
      <c r="H28" s="60" t="s">
        <v>540</v>
      </c>
      <c r="L28" s="60">
        <v>251</v>
      </c>
      <c r="M28" s="60" t="s">
        <v>139</v>
      </c>
      <c r="N28" s="60">
        <v>166.56</v>
      </c>
      <c r="O28" s="60">
        <v>30</v>
      </c>
      <c r="P28" s="60">
        <v>31</v>
      </c>
      <c r="Q28" s="60" t="s">
        <v>539</v>
      </c>
      <c r="U28" s="60">
        <v>395</v>
      </c>
      <c r="V28" s="60" t="s">
        <v>163</v>
      </c>
      <c r="W28" s="60">
        <v>166.56</v>
      </c>
      <c r="X28" s="60">
        <v>48</v>
      </c>
      <c r="Y28" s="60">
        <v>49</v>
      </c>
      <c r="Z28" s="60" t="s">
        <v>539</v>
      </c>
      <c r="AD28" s="60">
        <v>154</v>
      </c>
      <c r="AE28" s="60" t="s">
        <v>411</v>
      </c>
      <c r="AF28" s="60">
        <v>32.837000000000003</v>
      </c>
      <c r="AG28" s="60">
        <v>117</v>
      </c>
      <c r="AH28" s="60">
        <v>195</v>
      </c>
      <c r="AI28" s="60" t="s">
        <v>540</v>
      </c>
      <c r="AM28" s="60">
        <v>166</v>
      </c>
      <c r="AN28" s="60" t="s">
        <v>115</v>
      </c>
      <c r="AO28" s="60">
        <v>199.39599999999999</v>
      </c>
      <c r="AP28" s="60">
        <v>69</v>
      </c>
      <c r="AQ28" s="60">
        <v>70</v>
      </c>
      <c r="AR28" s="60" t="s">
        <v>539</v>
      </c>
      <c r="AW28" s="60">
        <v>73</v>
      </c>
      <c r="AX28" s="60" t="s">
        <v>210</v>
      </c>
      <c r="AY28" s="60">
        <v>348.34800000000001</v>
      </c>
      <c r="AZ28" s="60">
        <v>101</v>
      </c>
      <c r="BA28" s="60">
        <v>102</v>
      </c>
      <c r="BB28" s="60" t="s">
        <v>539</v>
      </c>
      <c r="BC28" s="78"/>
      <c r="BD28" s="78"/>
      <c r="BF28" s="60">
        <v>100</v>
      </c>
      <c r="BG28" s="60" t="s">
        <v>435</v>
      </c>
      <c r="BH28" s="60">
        <v>58.058</v>
      </c>
      <c r="BI28" s="60">
        <v>141</v>
      </c>
      <c r="BJ28" s="60">
        <v>142</v>
      </c>
      <c r="BK28" s="60" t="s">
        <v>540</v>
      </c>
    </row>
    <row r="29" spans="3:63" x14ac:dyDescent="0.25">
      <c r="C29" s="60">
        <v>60</v>
      </c>
      <c r="D29" s="60" t="s">
        <v>150</v>
      </c>
      <c r="E29" s="60">
        <v>166.56</v>
      </c>
      <c r="F29" s="60">
        <v>19</v>
      </c>
      <c r="G29" s="60">
        <v>20</v>
      </c>
      <c r="H29" s="60" t="s">
        <v>540</v>
      </c>
      <c r="L29" s="60">
        <v>129</v>
      </c>
      <c r="M29" s="60" t="s">
        <v>138</v>
      </c>
      <c r="N29" s="60">
        <v>83.28</v>
      </c>
      <c r="O29" s="60">
        <v>31</v>
      </c>
      <c r="P29" s="60">
        <v>32</v>
      </c>
      <c r="Q29" s="60" t="s">
        <v>539</v>
      </c>
      <c r="U29" s="60">
        <v>151</v>
      </c>
      <c r="V29" s="60" t="s">
        <v>162</v>
      </c>
      <c r="W29" s="60">
        <v>166.56</v>
      </c>
      <c r="X29" s="60">
        <v>49</v>
      </c>
      <c r="Y29" s="60">
        <v>50</v>
      </c>
      <c r="Z29" s="60" t="s">
        <v>539</v>
      </c>
      <c r="AD29" s="60">
        <v>212</v>
      </c>
      <c r="AE29" s="60" t="s">
        <v>309</v>
      </c>
      <c r="AF29" s="60">
        <v>32.837000000000003</v>
      </c>
      <c r="AG29" s="60">
        <v>118</v>
      </c>
      <c r="AH29" s="60">
        <v>119</v>
      </c>
      <c r="AI29" s="60" t="s">
        <v>540</v>
      </c>
      <c r="AM29" s="60">
        <v>584</v>
      </c>
      <c r="AN29" s="60" t="s">
        <v>424</v>
      </c>
      <c r="AO29" s="60">
        <v>199.39599999999999</v>
      </c>
      <c r="AP29" s="60">
        <v>70</v>
      </c>
      <c r="AQ29" s="60">
        <v>71</v>
      </c>
      <c r="AR29" s="60" t="s">
        <v>539</v>
      </c>
      <c r="AW29" s="60">
        <v>56</v>
      </c>
      <c r="AX29" s="60" t="s">
        <v>208</v>
      </c>
      <c r="AY29" s="60">
        <v>348.34800000000001</v>
      </c>
      <c r="AZ29" s="60">
        <v>102</v>
      </c>
      <c r="BA29" s="60">
        <v>103</v>
      </c>
      <c r="BB29" s="60" t="s">
        <v>539</v>
      </c>
      <c r="BC29" s="78"/>
      <c r="BD29" s="78"/>
      <c r="BF29" s="60">
        <v>427</v>
      </c>
      <c r="BG29" s="60" t="s">
        <v>207</v>
      </c>
      <c r="BH29" s="60">
        <v>58.058</v>
      </c>
      <c r="BI29" s="60">
        <v>142</v>
      </c>
      <c r="BJ29" s="60">
        <v>143</v>
      </c>
      <c r="BK29" s="60" t="s">
        <v>540</v>
      </c>
    </row>
    <row r="30" spans="3:63" x14ac:dyDescent="0.25">
      <c r="C30" s="60">
        <v>67</v>
      </c>
      <c r="D30" s="60" t="s">
        <v>149</v>
      </c>
      <c r="E30" s="60">
        <v>166.56</v>
      </c>
      <c r="F30" s="60">
        <v>20</v>
      </c>
      <c r="G30" s="60">
        <v>21</v>
      </c>
      <c r="H30" s="60" t="s">
        <v>540</v>
      </c>
      <c r="L30" s="60">
        <v>157</v>
      </c>
      <c r="M30" s="60" t="s">
        <v>137</v>
      </c>
      <c r="N30" s="60">
        <v>83.28</v>
      </c>
      <c r="O30" s="60">
        <v>32</v>
      </c>
      <c r="P30" s="60">
        <v>33</v>
      </c>
      <c r="Q30" s="60" t="s">
        <v>539</v>
      </c>
      <c r="U30" s="60">
        <v>186</v>
      </c>
      <c r="V30" s="60" t="s">
        <v>161</v>
      </c>
      <c r="W30" s="60">
        <v>166.56</v>
      </c>
      <c r="X30" s="60">
        <v>50</v>
      </c>
      <c r="Y30" s="60">
        <v>51</v>
      </c>
      <c r="Z30" s="60" t="s">
        <v>539</v>
      </c>
      <c r="AD30" s="60">
        <v>173</v>
      </c>
      <c r="AE30" s="60" t="s">
        <v>310</v>
      </c>
      <c r="AF30" s="60">
        <v>32.837000000000003</v>
      </c>
      <c r="AG30" s="60">
        <v>119</v>
      </c>
      <c r="AH30" s="60">
        <v>120</v>
      </c>
      <c r="AI30" s="60" t="s">
        <v>540</v>
      </c>
      <c r="AM30" s="60">
        <v>211</v>
      </c>
      <c r="AN30" s="60" t="s">
        <v>428</v>
      </c>
      <c r="AO30" s="60">
        <v>199.39599999999999</v>
      </c>
      <c r="AP30" s="60">
        <v>71</v>
      </c>
      <c r="AQ30" s="60">
        <v>192</v>
      </c>
      <c r="AR30" s="60" t="s">
        <v>539</v>
      </c>
      <c r="AW30" s="60">
        <v>22</v>
      </c>
      <c r="AX30" s="60" t="s">
        <v>229</v>
      </c>
      <c r="AY30" s="60">
        <v>348.34800000000001</v>
      </c>
      <c r="AZ30" s="60">
        <v>103</v>
      </c>
      <c r="BA30" s="60">
        <v>104</v>
      </c>
      <c r="BB30" s="60" t="s">
        <v>539</v>
      </c>
      <c r="BC30" s="78"/>
      <c r="BD30" s="78"/>
      <c r="BF30" s="60">
        <v>87</v>
      </c>
      <c r="BG30" s="60" t="s">
        <v>206</v>
      </c>
      <c r="BH30" s="60">
        <v>58.058</v>
      </c>
      <c r="BI30" s="60">
        <v>143</v>
      </c>
      <c r="BJ30" s="60">
        <v>144</v>
      </c>
      <c r="BK30" s="60" t="s">
        <v>540</v>
      </c>
    </row>
    <row r="31" spans="3:63" x14ac:dyDescent="0.25">
      <c r="C31" s="60">
        <v>194</v>
      </c>
      <c r="D31" s="60" t="s">
        <v>148</v>
      </c>
      <c r="E31" s="60">
        <v>166.56</v>
      </c>
      <c r="F31" s="60">
        <v>21</v>
      </c>
      <c r="G31" s="60">
        <v>22</v>
      </c>
      <c r="H31" s="60" t="s">
        <v>540</v>
      </c>
      <c r="L31" s="60">
        <v>82</v>
      </c>
      <c r="M31" s="60" t="s">
        <v>136</v>
      </c>
      <c r="N31" s="60">
        <v>83.28</v>
      </c>
      <c r="O31" s="60">
        <v>33</v>
      </c>
      <c r="P31" s="60">
        <v>34</v>
      </c>
      <c r="Q31" s="60" t="s">
        <v>539</v>
      </c>
      <c r="U31" s="60">
        <v>191</v>
      </c>
      <c r="V31" s="60" t="s">
        <v>415</v>
      </c>
      <c r="W31" s="60">
        <v>166.56</v>
      </c>
      <c r="X31" s="60">
        <v>51</v>
      </c>
      <c r="Y31" s="60">
        <v>69</v>
      </c>
      <c r="Z31" s="60" t="s">
        <v>539</v>
      </c>
      <c r="AD31" s="60">
        <v>133</v>
      </c>
      <c r="AE31" s="60" t="s">
        <v>312</v>
      </c>
      <c r="AF31" s="60">
        <v>32.835999999999999</v>
      </c>
      <c r="AG31" s="60">
        <v>120</v>
      </c>
      <c r="AH31" s="60">
        <v>121</v>
      </c>
      <c r="AI31" s="60" t="s">
        <v>540</v>
      </c>
      <c r="AM31" s="60">
        <v>80</v>
      </c>
      <c r="AN31" s="60" t="s">
        <v>181</v>
      </c>
      <c r="AO31" s="60">
        <v>32.837000000000003</v>
      </c>
      <c r="AP31" s="60">
        <v>72</v>
      </c>
      <c r="AQ31" s="60">
        <v>73</v>
      </c>
      <c r="AR31" s="60" t="s">
        <v>540</v>
      </c>
      <c r="AW31" s="60">
        <v>54</v>
      </c>
      <c r="AX31" s="60" t="s">
        <v>265</v>
      </c>
      <c r="AY31" s="60">
        <v>348.34800000000001</v>
      </c>
      <c r="AZ31" s="60">
        <v>104</v>
      </c>
      <c r="BA31" s="60">
        <v>105</v>
      </c>
      <c r="BB31" s="60" t="s">
        <v>539</v>
      </c>
      <c r="BC31" s="78"/>
      <c r="BD31" s="78"/>
      <c r="BF31" s="60">
        <v>115</v>
      </c>
      <c r="BG31" s="60" t="s">
        <v>205</v>
      </c>
      <c r="BH31" s="60">
        <v>58.058</v>
      </c>
      <c r="BI31" s="60">
        <v>144</v>
      </c>
      <c r="BJ31" s="60">
        <v>145</v>
      </c>
      <c r="BK31" s="60" t="s">
        <v>540</v>
      </c>
    </row>
    <row r="32" spans="3:63" x14ac:dyDescent="0.25">
      <c r="C32" s="60">
        <v>74</v>
      </c>
      <c r="D32" s="60" t="s">
        <v>147</v>
      </c>
      <c r="E32" s="60">
        <v>166.56</v>
      </c>
      <c r="F32" s="60">
        <v>22</v>
      </c>
      <c r="G32" s="60">
        <v>23</v>
      </c>
      <c r="H32" s="60" t="s">
        <v>540</v>
      </c>
      <c r="L32" s="60">
        <v>69</v>
      </c>
      <c r="M32" s="60" t="s">
        <v>134</v>
      </c>
      <c r="N32" s="60">
        <v>83.28</v>
      </c>
      <c r="O32" s="60">
        <v>34</v>
      </c>
      <c r="P32" s="60">
        <v>35</v>
      </c>
      <c r="Q32" s="60" t="s">
        <v>539</v>
      </c>
      <c r="U32" s="60">
        <v>94</v>
      </c>
      <c r="V32" s="60" t="s">
        <v>159</v>
      </c>
      <c r="W32" s="60">
        <v>32.837000000000003</v>
      </c>
      <c r="X32" s="60">
        <v>52</v>
      </c>
      <c r="Y32" s="60">
        <v>53</v>
      </c>
      <c r="Z32" s="60" t="s">
        <v>539</v>
      </c>
      <c r="AD32" s="60">
        <v>72</v>
      </c>
      <c r="AE32" s="60" t="s">
        <v>311</v>
      </c>
      <c r="AF32" s="60">
        <v>116.116</v>
      </c>
      <c r="AG32" s="60">
        <v>121</v>
      </c>
      <c r="AH32" s="60">
        <v>122</v>
      </c>
      <c r="AI32" s="60" t="s">
        <v>540</v>
      </c>
      <c r="AM32" s="60">
        <v>87</v>
      </c>
      <c r="AN32" s="60" t="s">
        <v>179</v>
      </c>
      <c r="AO32" s="60">
        <v>32.837000000000003</v>
      </c>
      <c r="AP32" s="60">
        <v>73</v>
      </c>
      <c r="AQ32" s="60">
        <v>74</v>
      </c>
      <c r="AR32" s="60" t="s">
        <v>540</v>
      </c>
      <c r="AW32" s="60">
        <v>30</v>
      </c>
      <c r="AX32" s="60" t="s">
        <v>434</v>
      </c>
      <c r="AY32" s="60">
        <v>348.34800000000001</v>
      </c>
      <c r="AZ32" s="60">
        <v>105</v>
      </c>
      <c r="BA32" s="60" t="s">
        <v>418</v>
      </c>
      <c r="BB32" s="60" t="s">
        <v>539</v>
      </c>
      <c r="BC32" s="78"/>
      <c r="BD32" s="78"/>
      <c r="BF32" s="60">
        <v>168</v>
      </c>
      <c r="BG32" s="60" t="s">
        <v>204</v>
      </c>
      <c r="BH32" s="60">
        <v>58.058</v>
      </c>
      <c r="BI32" s="60">
        <v>145</v>
      </c>
      <c r="BJ32" s="60">
        <v>146</v>
      </c>
      <c r="BK32" s="60" t="s">
        <v>540</v>
      </c>
    </row>
    <row r="33" spans="3:63" x14ac:dyDescent="0.25">
      <c r="C33" s="60">
        <v>92</v>
      </c>
      <c r="D33" s="60" t="s">
        <v>146</v>
      </c>
      <c r="E33" s="60">
        <v>166.56</v>
      </c>
      <c r="F33" s="60">
        <v>23</v>
      </c>
      <c r="G33" s="60">
        <v>24</v>
      </c>
      <c r="H33" s="60" t="s">
        <v>540</v>
      </c>
      <c r="L33" s="60">
        <v>73</v>
      </c>
      <c r="M33" s="60" t="s">
        <v>135</v>
      </c>
      <c r="N33" s="60">
        <v>83.28</v>
      </c>
      <c r="O33" s="60">
        <v>35</v>
      </c>
      <c r="P33" s="60">
        <v>36</v>
      </c>
      <c r="Q33" s="60" t="s">
        <v>539</v>
      </c>
      <c r="U33" s="60">
        <v>191</v>
      </c>
      <c r="V33" s="60" t="s">
        <v>158</v>
      </c>
      <c r="W33" s="60">
        <v>32.837000000000003</v>
      </c>
      <c r="X33" s="60">
        <v>53</v>
      </c>
      <c r="Y33" s="60">
        <v>54</v>
      </c>
      <c r="Z33" s="60" t="s">
        <v>540</v>
      </c>
      <c r="AD33" s="60">
        <v>193</v>
      </c>
      <c r="AE33" s="60" t="s">
        <v>313</v>
      </c>
      <c r="AF33" s="60">
        <v>116.116</v>
      </c>
      <c r="AG33" s="60">
        <v>122</v>
      </c>
      <c r="AH33" s="60">
        <v>123</v>
      </c>
      <c r="AI33" s="60" t="s">
        <v>540</v>
      </c>
      <c r="AM33" s="60">
        <v>89</v>
      </c>
      <c r="AN33" s="60" t="s">
        <v>180</v>
      </c>
      <c r="AO33" s="60">
        <v>32.837000000000003</v>
      </c>
      <c r="AP33" s="60">
        <v>74</v>
      </c>
      <c r="AQ33" s="60">
        <v>75</v>
      </c>
      <c r="AR33" s="60" t="s">
        <v>540</v>
      </c>
      <c r="AW33" s="60">
        <v>91</v>
      </c>
      <c r="AX33" s="60" t="s">
        <v>220</v>
      </c>
      <c r="AY33" s="60">
        <v>29.029</v>
      </c>
      <c r="AZ33" s="60">
        <v>148</v>
      </c>
      <c r="BA33" s="60">
        <v>149</v>
      </c>
      <c r="BB33" s="60" t="s">
        <v>539</v>
      </c>
      <c r="BC33" s="78"/>
      <c r="BD33" s="78"/>
      <c r="BF33" s="60">
        <v>214</v>
      </c>
      <c r="BG33" s="60" t="s">
        <v>218</v>
      </c>
      <c r="BH33" s="60">
        <v>58.058</v>
      </c>
      <c r="BI33" s="60">
        <v>146</v>
      </c>
      <c r="BJ33" s="60">
        <v>147</v>
      </c>
      <c r="BK33" s="60" t="s">
        <v>540</v>
      </c>
    </row>
    <row r="34" spans="3:63" x14ac:dyDescent="0.25">
      <c r="C34" s="60">
        <v>75</v>
      </c>
      <c r="D34" s="60" t="s">
        <v>145</v>
      </c>
      <c r="E34" s="60">
        <v>166.56</v>
      </c>
      <c r="F34" s="60">
        <v>24</v>
      </c>
      <c r="G34" s="60">
        <v>25</v>
      </c>
      <c r="H34" s="60" t="s">
        <v>540</v>
      </c>
      <c r="L34" s="60">
        <v>81</v>
      </c>
      <c r="M34" s="60" t="s">
        <v>133</v>
      </c>
      <c r="N34" s="60">
        <v>83.28</v>
      </c>
      <c r="O34" s="60">
        <v>36</v>
      </c>
      <c r="P34" s="60">
        <v>37</v>
      </c>
      <c r="Q34" s="60" t="s">
        <v>539</v>
      </c>
      <c r="U34" s="60">
        <v>77</v>
      </c>
      <c r="V34" s="60" t="s">
        <v>130</v>
      </c>
      <c r="W34" s="60">
        <v>32.837000000000003</v>
      </c>
      <c r="X34" s="60">
        <v>54</v>
      </c>
      <c r="Y34" s="60">
        <v>55</v>
      </c>
      <c r="Z34" s="60" t="s">
        <v>540</v>
      </c>
      <c r="AD34" s="60">
        <v>215</v>
      </c>
      <c r="AE34" s="60" t="s">
        <v>314</v>
      </c>
      <c r="AF34" s="60">
        <v>116.116</v>
      </c>
      <c r="AG34" s="60">
        <v>123</v>
      </c>
      <c r="AH34" s="60">
        <v>124</v>
      </c>
      <c r="AI34" s="60" t="s">
        <v>540</v>
      </c>
      <c r="AM34" s="60">
        <v>88</v>
      </c>
      <c r="AN34" s="60" t="s">
        <v>178</v>
      </c>
      <c r="AO34" s="60">
        <v>32.837000000000003</v>
      </c>
      <c r="AP34" s="60">
        <v>75</v>
      </c>
      <c r="AQ34" s="60">
        <v>76</v>
      </c>
      <c r="AR34" s="60" t="s">
        <v>540</v>
      </c>
      <c r="AW34" s="60">
        <v>101</v>
      </c>
      <c r="AX34" s="60" t="s">
        <v>431</v>
      </c>
      <c r="AY34" s="60">
        <v>29.029</v>
      </c>
      <c r="AZ34" s="60">
        <v>148</v>
      </c>
      <c r="BA34" s="60">
        <v>166</v>
      </c>
      <c r="BB34" s="60" t="s">
        <v>540</v>
      </c>
      <c r="BC34" s="78"/>
      <c r="BD34" s="78"/>
      <c r="BF34" s="60">
        <v>70</v>
      </c>
      <c r="BG34" s="60" t="s">
        <v>216</v>
      </c>
      <c r="BH34" s="60">
        <v>58.058</v>
      </c>
      <c r="BI34" s="60">
        <v>147</v>
      </c>
      <c r="BJ34" s="60">
        <v>148</v>
      </c>
      <c r="BK34" s="60" t="s">
        <v>540</v>
      </c>
    </row>
    <row r="35" spans="3:63" x14ac:dyDescent="0.25">
      <c r="C35" s="60">
        <v>76</v>
      </c>
      <c r="D35" s="60" t="s">
        <v>144</v>
      </c>
      <c r="E35" s="60">
        <v>166.56</v>
      </c>
      <c r="F35" s="60">
        <v>25</v>
      </c>
      <c r="G35" s="60">
        <v>26</v>
      </c>
      <c r="H35" s="60" t="s">
        <v>540</v>
      </c>
      <c r="L35" s="60">
        <v>101</v>
      </c>
      <c r="M35" s="60" t="s">
        <v>132</v>
      </c>
      <c r="N35" s="60">
        <v>83.28</v>
      </c>
      <c r="O35" s="60">
        <v>37</v>
      </c>
      <c r="P35" s="60">
        <v>38</v>
      </c>
      <c r="Q35" s="60" t="s">
        <v>539</v>
      </c>
      <c r="U35" s="60">
        <v>77</v>
      </c>
      <c r="V35" s="60" t="s">
        <v>129</v>
      </c>
      <c r="W35" s="60">
        <v>32.837000000000003</v>
      </c>
      <c r="X35" s="60">
        <v>55</v>
      </c>
      <c r="Y35" s="60">
        <v>56</v>
      </c>
      <c r="Z35" s="60" t="s">
        <v>540</v>
      </c>
      <c r="AD35" s="60">
        <v>199</v>
      </c>
      <c r="AE35" s="60" t="s">
        <v>420</v>
      </c>
      <c r="AF35" s="60">
        <v>116.116</v>
      </c>
      <c r="AG35" s="60">
        <v>124</v>
      </c>
      <c r="AH35" s="60">
        <v>125</v>
      </c>
      <c r="AI35" s="60" t="s">
        <v>540</v>
      </c>
      <c r="AM35" s="60">
        <v>76</v>
      </c>
      <c r="AN35" s="60" t="s">
        <v>189</v>
      </c>
      <c r="AO35" s="60">
        <v>32.837000000000003</v>
      </c>
      <c r="AP35" s="60">
        <v>76</v>
      </c>
      <c r="AQ35" s="60">
        <v>77</v>
      </c>
      <c r="AR35" s="60" t="s">
        <v>540</v>
      </c>
      <c r="AW35" s="60">
        <v>30</v>
      </c>
      <c r="AX35" s="60" t="s">
        <v>219</v>
      </c>
      <c r="AY35" s="60">
        <v>29.029</v>
      </c>
      <c r="AZ35" s="60">
        <v>149</v>
      </c>
      <c r="BA35" s="60">
        <v>150</v>
      </c>
      <c r="BB35" s="60" t="s">
        <v>539</v>
      </c>
      <c r="BC35" s="78"/>
      <c r="BD35" s="78"/>
      <c r="BF35" s="60">
        <v>91</v>
      </c>
      <c r="BG35" s="60" t="s">
        <v>220</v>
      </c>
      <c r="BH35" s="60">
        <v>29.029</v>
      </c>
      <c r="BI35" s="60">
        <v>148</v>
      </c>
      <c r="BJ35" s="60">
        <v>149</v>
      </c>
      <c r="BK35" s="60" t="s">
        <v>540</v>
      </c>
    </row>
    <row r="36" spans="3:63" x14ac:dyDescent="0.25">
      <c r="C36" s="60">
        <v>76</v>
      </c>
      <c r="D36" s="60" t="s">
        <v>142</v>
      </c>
      <c r="E36" s="60">
        <v>166.56</v>
      </c>
      <c r="F36" s="60">
        <v>26</v>
      </c>
      <c r="G36" s="60">
        <v>27</v>
      </c>
      <c r="H36" s="60" t="s">
        <v>540</v>
      </c>
      <c r="L36" s="60">
        <v>91</v>
      </c>
      <c r="M36" s="60" t="s">
        <v>408</v>
      </c>
      <c r="N36" s="60">
        <v>83.28</v>
      </c>
      <c r="O36" s="60">
        <v>38</v>
      </c>
      <c r="P36" s="60">
        <v>39</v>
      </c>
      <c r="Q36" s="60" t="s">
        <v>539</v>
      </c>
      <c r="U36" s="60">
        <v>76</v>
      </c>
      <c r="V36" s="60" t="s">
        <v>128</v>
      </c>
      <c r="W36" s="60">
        <v>32.837000000000003</v>
      </c>
      <c r="X36" s="60">
        <v>56</v>
      </c>
      <c r="Y36" s="60">
        <v>57</v>
      </c>
      <c r="Z36" s="60" t="s">
        <v>540</v>
      </c>
      <c r="AD36" s="60">
        <v>362</v>
      </c>
      <c r="AE36" s="60" t="s">
        <v>288</v>
      </c>
      <c r="AF36" s="60">
        <v>116.116</v>
      </c>
      <c r="AG36" s="60">
        <v>125</v>
      </c>
      <c r="AH36" s="60">
        <v>126</v>
      </c>
      <c r="AI36" s="60" t="s">
        <v>540</v>
      </c>
      <c r="AM36" s="60">
        <v>80</v>
      </c>
      <c r="AN36" s="60" t="s">
        <v>188</v>
      </c>
      <c r="AO36" s="60">
        <v>32.837000000000003</v>
      </c>
      <c r="AP36" s="60">
        <v>77</v>
      </c>
      <c r="AQ36" s="60">
        <v>78</v>
      </c>
      <c r="AR36" s="60" t="s">
        <v>540</v>
      </c>
      <c r="AW36" s="60">
        <v>35</v>
      </c>
      <c r="AX36" s="60" t="s">
        <v>221</v>
      </c>
      <c r="AY36" s="60">
        <v>29.029</v>
      </c>
      <c r="AZ36" s="60">
        <v>150</v>
      </c>
      <c r="BA36" s="60">
        <v>151</v>
      </c>
      <c r="BB36" s="60" t="s">
        <v>539</v>
      </c>
      <c r="BC36" s="78"/>
      <c r="BD36" s="78"/>
      <c r="BF36" s="60">
        <v>30</v>
      </c>
      <c r="BG36" s="60" t="s">
        <v>219</v>
      </c>
      <c r="BH36" s="60">
        <v>29.029</v>
      </c>
      <c r="BI36" s="60">
        <v>149</v>
      </c>
      <c r="BJ36" s="60">
        <v>150</v>
      </c>
      <c r="BK36" s="60" t="s">
        <v>540</v>
      </c>
    </row>
    <row r="37" spans="3:63" x14ac:dyDescent="0.25">
      <c r="C37" s="60">
        <v>80</v>
      </c>
      <c r="D37" s="60" t="s">
        <v>143</v>
      </c>
      <c r="E37" s="60">
        <v>166.56</v>
      </c>
      <c r="F37" s="60">
        <v>27</v>
      </c>
      <c r="G37" s="60">
        <v>28</v>
      </c>
      <c r="H37" s="60" t="s">
        <v>540</v>
      </c>
      <c r="L37" s="60">
        <v>87</v>
      </c>
      <c r="M37" s="60" t="s">
        <v>172</v>
      </c>
      <c r="N37" s="60">
        <v>83.28</v>
      </c>
      <c r="O37" s="60">
        <v>39</v>
      </c>
      <c r="P37" s="60">
        <v>40</v>
      </c>
      <c r="Q37" s="60" t="s">
        <v>539</v>
      </c>
      <c r="U37" s="60">
        <v>36</v>
      </c>
      <c r="V37" s="60" t="s">
        <v>127</v>
      </c>
      <c r="W37" s="60">
        <v>32.837000000000003</v>
      </c>
      <c r="X37" s="60">
        <v>57</v>
      </c>
      <c r="Y37" s="60">
        <v>58</v>
      </c>
      <c r="Z37" s="60" t="s">
        <v>540</v>
      </c>
      <c r="AD37" s="60">
        <v>241</v>
      </c>
      <c r="AE37" s="60" t="s">
        <v>423</v>
      </c>
      <c r="AF37" s="60">
        <v>116.116</v>
      </c>
      <c r="AG37" s="60">
        <v>126</v>
      </c>
      <c r="AH37" s="60">
        <v>127</v>
      </c>
      <c r="AI37" s="60" t="s">
        <v>540</v>
      </c>
      <c r="AM37" s="60">
        <v>158</v>
      </c>
      <c r="AN37" s="60" t="s">
        <v>186</v>
      </c>
      <c r="AO37" s="60">
        <v>32.837000000000003</v>
      </c>
      <c r="AP37" s="60">
        <v>78</v>
      </c>
      <c r="AQ37" s="60">
        <v>79</v>
      </c>
      <c r="AR37" s="60" t="s">
        <v>540</v>
      </c>
      <c r="AW37" s="60">
        <v>49</v>
      </c>
      <c r="AX37" s="60" t="s">
        <v>222</v>
      </c>
      <c r="AY37" s="60">
        <v>29.029</v>
      </c>
      <c r="AZ37" s="60">
        <v>151</v>
      </c>
      <c r="BA37" s="60">
        <v>152</v>
      </c>
      <c r="BB37" s="60" t="s">
        <v>539</v>
      </c>
      <c r="BC37" s="78"/>
      <c r="BD37" s="78"/>
      <c r="BF37" s="60">
        <v>35</v>
      </c>
      <c r="BG37" s="60" t="s">
        <v>221</v>
      </c>
      <c r="BH37" s="60">
        <v>29.029</v>
      </c>
      <c r="BI37" s="60">
        <v>150</v>
      </c>
      <c r="BJ37" s="60">
        <v>151</v>
      </c>
      <c r="BK37" s="60" t="s">
        <v>540</v>
      </c>
    </row>
    <row r="38" spans="3:63" ht="15" customHeight="1" x14ac:dyDescent="0.25">
      <c r="C38" s="60">
        <v>75</v>
      </c>
      <c r="D38" s="60" t="s">
        <v>398</v>
      </c>
      <c r="E38" s="60">
        <v>166.56</v>
      </c>
      <c r="F38" s="60">
        <v>28</v>
      </c>
      <c r="G38" s="60">
        <v>28</v>
      </c>
      <c r="H38" s="60" t="s">
        <v>540</v>
      </c>
      <c r="L38" s="60">
        <v>94</v>
      </c>
      <c r="M38" s="60" t="s">
        <v>170</v>
      </c>
      <c r="N38" s="60">
        <v>83.28</v>
      </c>
      <c r="O38" s="60">
        <v>40</v>
      </c>
      <c r="P38" s="60">
        <v>41</v>
      </c>
      <c r="Q38" s="60" t="s">
        <v>539</v>
      </c>
      <c r="U38" s="60">
        <v>32</v>
      </c>
      <c r="V38" s="60" t="s">
        <v>126</v>
      </c>
      <c r="W38" s="60">
        <v>32.837000000000003</v>
      </c>
      <c r="X38" s="60">
        <v>58</v>
      </c>
      <c r="Y38" s="60">
        <v>59</v>
      </c>
      <c r="Z38" s="60" t="s">
        <v>540</v>
      </c>
      <c r="AD38" s="60">
        <v>190</v>
      </c>
      <c r="AE38" s="60" t="s">
        <v>292</v>
      </c>
      <c r="AF38" s="60">
        <v>58.058</v>
      </c>
      <c r="AG38" s="60">
        <v>127</v>
      </c>
      <c r="AH38" s="60">
        <v>128</v>
      </c>
      <c r="AI38" s="60" t="s">
        <v>540</v>
      </c>
      <c r="AM38" s="60">
        <v>70</v>
      </c>
      <c r="AN38" s="60" t="s">
        <v>187</v>
      </c>
      <c r="AO38" s="60">
        <v>32.837000000000003</v>
      </c>
      <c r="AP38" s="60">
        <v>79</v>
      </c>
      <c r="AQ38" s="60">
        <v>80</v>
      </c>
      <c r="AR38" s="60" t="s">
        <v>540</v>
      </c>
      <c r="AW38" s="60">
        <v>89</v>
      </c>
      <c r="AX38" s="60" t="s">
        <v>223</v>
      </c>
      <c r="AY38" s="60">
        <v>29.029</v>
      </c>
      <c r="AZ38" s="60">
        <v>152</v>
      </c>
      <c r="BA38" s="60">
        <v>153</v>
      </c>
      <c r="BB38" s="60" t="s">
        <v>539</v>
      </c>
      <c r="BC38" s="78"/>
      <c r="BD38" s="78"/>
      <c r="BF38" s="60">
        <v>49</v>
      </c>
      <c r="BG38" s="60" t="s">
        <v>222</v>
      </c>
      <c r="BH38" s="60">
        <v>29.029</v>
      </c>
      <c r="BI38" s="60">
        <v>151</v>
      </c>
      <c r="BJ38" s="60">
        <v>152</v>
      </c>
      <c r="BK38" s="60" t="s">
        <v>540</v>
      </c>
    </row>
    <row r="39" spans="3:63" x14ac:dyDescent="0.25">
      <c r="C39" s="60">
        <v>76</v>
      </c>
      <c r="D39" s="60" t="s">
        <v>140</v>
      </c>
      <c r="E39" s="60">
        <v>166.56</v>
      </c>
      <c r="F39" s="60">
        <v>29</v>
      </c>
      <c r="G39" s="60">
        <v>30</v>
      </c>
      <c r="H39" s="60" t="s">
        <v>540</v>
      </c>
      <c r="L39" s="60">
        <v>70</v>
      </c>
      <c r="M39" s="60" t="s">
        <v>171</v>
      </c>
      <c r="N39" s="60">
        <v>98.51</v>
      </c>
      <c r="O39" s="60">
        <v>41</v>
      </c>
      <c r="P39" s="60">
        <v>42</v>
      </c>
      <c r="Q39" s="60" t="s">
        <v>539</v>
      </c>
      <c r="U39" s="60">
        <v>79</v>
      </c>
      <c r="V39" s="60" t="s">
        <v>125</v>
      </c>
      <c r="W39" s="60">
        <v>32.837000000000003</v>
      </c>
      <c r="X39" s="60">
        <v>59</v>
      </c>
      <c r="Y39" s="60">
        <v>60</v>
      </c>
      <c r="Z39" s="60" t="s">
        <v>540</v>
      </c>
      <c r="AD39" s="60">
        <v>290</v>
      </c>
      <c r="AE39" s="60" t="s">
        <v>291</v>
      </c>
      <c r="AF39" s="60">
        <v>58.058</v>
      </c>
      <c r="AG39" s="60">
        <v>128</v>
      </c>
      <c r="AH39" s="60">
        <v>129</v>
      </c>
      <c r="AI39" s="60" t="s">
        <v>540</v>
      </c>
      <c r="AM39" s="60">
        <v>80</v>
      </c>
      <c r="AN39" s="60" t="s">
        <v>185</v>
      </c>
      <c r="AO39" s="60">
        <v>32.835999999999999</v>
      </c>
      <c r="AP39" s="60">
        <v>80</v>
      </c>
      <c r="AQ39" s="60">
        <v>81</v>
      </c>
      <c r="AR39" s="60" t="s">
        <v>540</v>
      </c>
      <c r="AW39" s="60">
        <v>77</v>
      </c>
      <c r="AX39" s="60" t="s">
        <v>224</v>
      </c>
      <c r="AY39" s="60">
        <v>29.029</v>
      </c>
      <c r="AZ39" s="60">
        <v>153</v>
      </c>
      <c r="BA39" s="60">
        <v>154</v>
      </c>
      <c r="BB39" s="60" t="s">
        <v>539</v>
      </c>
      <c r="BC39" s="78"/>
      <c r="BD39" s="78"/>
      <c r="BF39" s="60">
        <v>89</v>
      </c>
      <c r="BG39" s="60" t="s">
        <v>223</v>
      </c>
      <c r="BH39" s="60">
        <v>29.029</v>
      </c>
      <c r="BI39" s="60">
        <v>152</v>
      </c>
      <c r="BJ39" s="60">
        <v>153</v>
      </c>
      <c r="BK39" s="60" t="s">
        <v>540</v>
      </c>
    </row>
    <row r="40" spans="3:63" x14ac:dyDescent="0.25">
      <c r="C40" s="60">
        <v>69</v>
      </c>
      <c r="D40" s="60" t="s">
        <v>397</v>
      </c>
      <c r="E40" s="60">
        <v>166.56</v>
      </c>
      <c r="F40" s="60">
        <v>29</v>
      </c>
      <c r="G40" s="60">
        <v>29</v>
      </c>
      <c r="H40" s="60" t="s">
        <v>540</v>
      </c>
      <c r="L40" s="60">
        <v>59</v>
      </c>
      <c r="M40" s="60" t="s">
        <v>413</v>
      </c>
      <c r="N40" s="60">
        <v>32.835999999999999</v>
      </c>
      <c r="O40" s="60">
        <v>42</v>
      </c>
      <c r="P40" s="60">
        <v>111</v>
      </c>
      <c r="Q40" s="60" t="s">
        <v>539</v>
      </c>
      <c r="U40" s="60">
        <v>51</v>
      </c>
      <c r="V40" s="60" t="s">
        <v>124</v>
      </c>
      <c r="W40" s="60">
        <v>32.837000000000003</v>
      </c>
      <c r="X40" s="60">
        <v>60</v>
      </c>
      <c r="Y40" s="60">
        <v>61</v>
      </c>
      <c r="Z40" s="60" t="s">
        <v>540</v>
      </c>
      <c r="AD40" s="60">
        <v>82</v>
      </c>
      <c r="AE40" s="60" t="s">
        <v>293</v>
      </c>
      <c r="AF40" s="60">
        <v>58.058</v>
      </c>
      <c r="AG40" s="60">
        <v>129</v>
      </c>
      <c r="AH40" s="60">
        <v>130</v>
      </c>
      <c r="AI40" s="60" t="s">
        <v>540</v>
      </c>
      <c r="AM40" s="60">
        <v>68</v>
      </c>
      <c r="AN40" s="60" t="s">
        <v>184</v>
      </c>
      <c r="AO40" s="60">
        <v>90.894000000000005</v>
      </c>
      <c r="AP40" s="60">
        <v>81</v>
      </c>
      <c r="AQ40" s="60">
        <v>82</v>
      </c>
      <c r="AR40" s="60" t="s">
        <v>540</v>
      </c>
      <c r="AW40" s="60">
        <v>37</v>
      </c>
      <c r="AX40" s="60" t="s">
        <v>225</v>
      </c>
      <c r="AY40" s="60">
        <v>29.029</v>
      </c>
      <c r="AZ40" s="60">
        <v>154</v>
      </c>
      <c r="BA40" s="60">
        <v>155</v>
      </c>
      <c r="BB40" s="60" t="s">
        <v>539</v>
      </c>
      <c r="BC40" s="78"/>
      <c r="BD40" s="78"/>
      <c r="BF40" s="60">
        <v>77</v>
      </c>
      <c r="BG40" s="60" t="s">
        <v>224</v>
      </c>
      <c r="BH40" s="60">
        <v>29.029</v>
      </c>
      <c r="BI40" s="60">
        <v>153</v>
      </c>
      <c r="BJ40" s="60">
        <v>154</v>
      </c>
      <c r="BK40" s="60" t="s">
        <v>540</v>
      </c>
    </row>
    <row r="41" spans="3:63" x14ac:dyDescent="0.25">
      <c r="C41" s="60">
        <v>251</v>
      </c>
      <c r="D41" s="60" t="s">
        <v>139</v>
      </c>
      <c r="E41" s="60">
        <v>166.56</v>
      </c>
      <c r="F41" s="60">
        <v>30</v>
      </c>
      <c r="G41" s="60">
        <v>31</v>
      </c>
      <c r="H41" s="60" t="s">
        <v>540</v>
      </c>
      <c r="L41" s="60">
        <v>218</v>
      </c>
      <c r="M41" s="60" t="s">
        <v>258</v>
      </c>
      <c r="N41" s="60">
        <v>83.28</v>
      </c>
      <c r="O41" s="60">
        <v>106</v>
      </c>
      <c r="P41" s="60">
        <v>107</v>
      </c>
      <c r="Q41" s="60" t="s">
        <v>540</v>
      </c>
      <c r="U41" s="60">
        <v>73</v>
      </c>
      <c r="V41" s="60" t="s">
        <v>123</v>
      </c>
      <c r="W41" s="60">
        <v>32.837000000000003</v>
      </c>
      <c r="X41" s="60">
        <v>61</v>
      </c>
      <c r="Y41" s="60">
        <v>62</v>
      </c>
      <c r="Z41" s="60" t="s">
        <v>540</v>
      </c>
      <c r="AD41" s="60">
        <v>75</v>
      </c>
      <c r="AE41" s="60" t="s">
        <v>294</v>
      </c>
      <c r="AF41" s="60">
        <v>58.058</v>
      </c>
      <c r="AG41" s="60">
        <v>130</v>
      </c>
      <c r="AH41" s="60">
        <v>131</v>
      </c>
      <c r="AI41" s="60" t="s">
        <v>540</v>
      </c>
      <c r="AM41" s="60">
        <v>152</v>
      </c>
      <c r="AN41" s="60" t="s">
        <v>200</v>
      </c>
      <c r="AO41" s="60">
        <v>90.894000000000005</v>
      </c>
      <c r="AP41" s="60">
        <v>82</v>
      </c>
      <c r="AQ41" s="60">
        <v>83</v>
      </c>
      <c r="AR41" s="60" t="s">
        <v>540</v>
      </c>
      <c r="AW41" s="60">
        <v>129</v>
      </c>
      <c r="AX41" s="60" t="s">
        <v>226</v>
      </c>
      <c r="AY41" s="60">
        <v>29.029</v>
      </c>
      <c r="AZ41" s="60">
        <v>155</v>
      </c>
      <c r="BA41" s="60">
        <v>156</v>
      </c>
      <c r="BB41" s="60" t="s">
        <v>539</v>
      </c>
      <c r="BC41" s="78"/>
      <c r="BD41" s="78"/>
      <c r="BF41" s="60">
        <v>37</v>
      </c>
      <c r="BG41" s="60" t="s">
        <v>225</v>
      </c>
      <c r="BH41" s="60">
        <v>29.029</v>
      </c>
      <c r="BI41" s="60">
        <v>154</v>
      </c>
      <c r="BJ41" s="60">
        <v>155</v>
      </c>
      <c r="BK41" s="60" t="s">
        <v>540</v>
      </c>
    </row>
    <row r="42" spans="3:63" x14ac:dyDescent="0.25">
      <c r="L42" s="60">
        <v>101</v>
      </c>
      <c r="M42" s="60" t="s">
        <v>259</v>
      </c>
      <c r="N42" s="60">
        <v>83.28</v>
      </c>
      <c r="O42" s="60">
        <v>107</v>
      </c>
      <c r="P42" s="60">
        <v>108</v>
      </c>
      <c r="Q42" s="60" t="s">
        <v>540</v>
      </c>
      <c r="U42" s="60">
        <v>58</v>
      </c>
      <c r="V42" s="60" t="s">
        <v>122</v>
      </c>
      <c r="W42" s="60">
        <v>32.837000000000003</v>
      </c>
      <c r="X42" s="60">
        <v>62</v>
      </c>
      <c r="Y42" s="60">
        <v>63</v>
      </c>
      <c r="Z42" s="60" t="s">
        <v>540</v>
      </c>
      <c r="AD42" s="60">
        <v>108</v>
      </c>
      <c r="AE42" s="60" t="s">
        <v>295</v>
      </c>
      <c r="AF42" s="60">
        <v>58.058</v>
      </c>
      <c r="AG42" s="60">
        <v>131</v>
      </c>
      <c r="AH42" s="60">
        <v>132</v>
      </c>
      <c r="AI42" s="60" t="s">
        <v>540</v>
      </c>
      <c r="AM42" s="60">
        <v>75</v>
      </c>
      <c r="AN42" s="60" t="s">
        <v>202</v>
      </c>
      <c r="AO42" s="60">
        <v>90.894000000000005</v>
      </c>
      <c r="AP42" s="60">
        <v>83</v>
      </c>
      <c r="AQ42" s="60">
        <v>84</v>
      </c>
      <c r="AR42" s="60" t="s">
        <v>540</v>
      </c>
      <c r="AW42" s="60">
        <v>85</v>
      </c>
      <c r="AX42" s="60" t="s">
        <v>228</v>
      </c>
      <c r="AY42" s="60">
        <v>29.029</v>
      </c>
      <c r="AZ42" s="60">
        <v>156</v>
      </c>
      <c r="BA42" s="60">
        <v>157</v>
      </c>
      <c r="BB42" s="60" t="s">
        <v>539</v>
      </c>
      <c r="BC42" s="78"/>
      <c r="BD42" s="78"/>
      <c r="BF42" s="60">
        <v>129</v>
      </c>
      <c r="BG42" s="60" t="s">
        <v>226</v>
      </c>
      <c r="BH42" s="60">
        <v>29.029</v>
      </c>
      <c r="BI42" s="60">
        <v>155</v>
      </c>
      <c r="BJ42" s="60">
        <v>156</v>
      </c>
      <c r="BK42" s="60" t="s">
        <v>540</v>
      </c>
    </row>
    <row r="43" spans="3:63" x14ac:dyDescent="0.25">
      <c r="L43" s="60">
        <v>149</v>
      </c>
      <c r="M43" s="60" t="s">
        <v>261</v>
      </c>
      <c r="N43" s="60">
        <v>83.28</v>
      </c>
      <c r="O43" s="60">
        <v>108</v>
      </c>
      <c r="P43" s="60">
        <v>109</v>
      </c>
      <c r="Q43" s="60" t="s">
        <v>540</v>
      </c>
      <c r="U43" s="60">
        <v>216</v>
      </c>
      <c r="V43" s="60" t="s">
        <v>121</v>
      </c>
      <c r="W43" s="60">
        <v>32.837000000000003</v>
      </c>
      <c r="X43" s="60">
        <v>63</v>
      </c>
      <c r="Y43" s="60">
        <v>64</v>
      </c>
      <c r="Z43" s="60" t="s">
        <v>540</v>
      </c>
      <c r="AD43" s="60">
        <v>150</v>
      </c>
      <c r="AE43" s="60" t="s">
        <v>296</v>
      </c>
      <c r="AF43" s="60">
        <v>58.058</v>
      </c>
      <c r="AG43" s="60">
        <v>132</v>
      </c>
      <c r="AH43" s="60">
        <v>133</v>
      </c>
      <c r="AI43" s="60" t="s">
        <v>540</v>
      </c>
      <c r="AM43" s="60">
        <v>95</v>
      </c>
      <c r="AN43" s="60" t="s">
        <v>201</v>
      </c>
      <c r="AO43" s="60">
        <v>119.923</v>
      </c>
      <c r="AP43" s="60">
        <v>84</v>
      </c>
      <c r="AQ43" s="60">
        <v>85</v>
      </c>
      <c r="AR43" s="60" t="s">
        <v>540</v>
      </c>
      <c r="AW43" s="60">
        <v>75</v>
      </c>
      <c r="AX43" s="60" t="s">
        <v>227</v>
      </c>
      <c r="AY43" s="60">
        <v>29.029</v>
      </c>
      <c r="AZ43" s="60">
        <v>157</v>
      </c>
      <c r="BA43" s="60">
        <v>158</v>
      </c>
      <c r="BB43" s="60" t="s">
        <v>539</v>
      </c>
      <c r="BC43" s="78"/>
      <c r="BD43" s="78"/>
      <c r="BF43" s="60">
        <v>85</v>
      </c>
      <c r="BG43" s="60" t="s">
        <v>228</v>
      </c>
      <c r="BH43" s="60">
        <v>29.029</v>
      </c>
      <c r="BI43" s="60">
        <v>156</v>
      </c>
      <c r="BJ43" s="60">
        <v>157</v>
      </c>
      <c r="BK43" s="60" t="s">
        <v>540</v>
      </c>
    </row>
    <row r="44" spans="3:63" x14ac:dyDescent="0.25">
      <c r="L44" s="60">
        <v>260</v>
      </c>
      <c r="M44" s="60" t="s">
        <v>260</v>
      </c>
      <c r="N44" s="60">
        <v>83.28</v>
      </c>
      <c r="O44" s="60">
        <v>109</v>
      </c>
      <c r="P44" s="60">
        <v>110</v>
      </c>
      <c r="Q44" s="60" t="s">
        <v>540</v>
      </c>
      <c r="U44" s="60">
        <v>73</v>
      </c>
      <c r="V44" s="60" t="s">
        <v>119</v>
      </c>
      <c r="W44" s="60">
        <v>32.837000000000003</v>
      </c>
      <c r="X44" s="60">
        <v>64</v>
      </c>
      <c r="Y44" s="60">
        <v>65</v>
      </c>
      <c r="Z44" s="60" t="s">
        <v>540</v>
      </c>
      <c r="AD44" s="60">
        <v>54</v>
      </c>
      <c r="AE44" s="60" t="s">
        <v>297</v>
      </c>
      <c r="AF44" s="60">
        <v>58.058</v>
      </c>
      <c r="AG44" s="60">
        <v>133</v>
      </c>
      <c r="AH44" s="60">
        <v>134</v>
      </c>
      <c r="AI44" s="60" t="s">
        <v>540</v>
      </c>
      <c r="AM44" s="60">
        <v>73</v>
      </c>
      <c r="AN44" s="60" t="s">
        <v>199</v>
      </c>
      <c r="AO44" s="60">
        <v>119.923</v>
      </c>
      <c r="AP44" s="60">
        <v>85</v>
      </c>
      <c r="AQ44" s="60">
        <v>86</v>
      </c>
      <c r="AR44" s="60" t="s">
        <v>540</v>
      </c>
      <c r="AW44" s="60">
        <v>83</v>
      </c>
      <c r="AX44" s="60" t="s">
        <v>429</v>
      </c>
      <c r="AY44" s="60">
        <v>29.029</v>
      </c>
      <c r="AZ44" s="60">
        <v>158</v>
      </c>
      <c r="BA44" s="60">
        <v>159</v>
      </c>
      <c r="BB44" s="60" t="s">
        <v>539</v>
      </c>
      <c r="BC44" s="78"/>
      <c r="BD44" s="78"/>
      <c r="BF44" s="60">
        <v>75</v>
      </c>
      <c r="BG44" s="60" t="s">
        <v>227</v>
      </c>
      <c r="BH44" s="60">
        <v>29.029</v>
      </c>
      <c r="BI44" s="60">
        <v>157</v>
      </c>
      <c r="BJ44" s="60">
        <v>158</v>
      </c>
      <c r="BK44" s="60" t="s">
        <v>540</v>
      </c>
    </row>
    <row r="45" spans="3:63" x14ac:dyDescent="0.25">
      <c r="L45" s="60">
        <v>81</v>
      </c>
      <c r="M45" s="60" t="s">
        <v>410</v>
      </c>
      <c r="N45" s="60">
        <v>83.28</v>
      </c>
      <c r="O45" s="60">
        <v>110</v>
      </c>
      <c r="P45" s="60">
        <v>121</v>
      </c>
      <c r="Q45" s="60" t="s">
        <v>540</v>
      </c>
      <c r="U45" s="60">
        <v>65</v>
      </c>
      <c r="V45" s="60" t="s">
        <v>120</v>
      </c>
      <c r="W45" s="60">
        <v>32.837000000000003</v>
      </c>
      <c r="X45" s="60">
        <v>65</v>
      </c>
      <c r="Y45" s="60">
        <v>66</v>
      </c>
      <c r="Z45" s="60" t="s">
        <v>540</v>
      </c>
      <c r="AD45" s="60">
        <v>93</v>
      </c>
      <c r="AE45" s="60" t="s">
        <v>298</v>
      </c>
      <c r="AF45" s="60">
        <v>58.058</v>
      </c>
      <c r="AG45" s="60">
        <v>134</v>
      </c>
      <c r="AH45" s="60">
        <v>135</v>
      </c>
      <c r="AI45" s="60" t="s">
        <v>540</v>
      </c>
      <c r="AM45" s="60">
        <v>77</v>
      </c>
      <c r="AN45" s="60" t="s">
        <v>198</v>
      </c>
      <c r="AO45" s="60">
        <v>119.923</v>
      </c>
      <c r="AP45" s="60">
        <v>86</v>
      </c>
      <c r="AQ45" s="60">
        <v>87</v>
      </c>
      <c r="AR45" s="60" t="s">
        <v>540</v>
      </c>
      <c r="AW45" s="60">
        <v>84</v>
      </c>
      <c r="AX45" s="60" t="s">
        <v>285</v>
      </c>
      <c r="AY45" s="60">
        <v>29.029</v>
      </c>
      <c r="AZ45" s="60">
        <v>159</v>
      </c>
      <c r="BA45" s="60">
        <v>160</v>
      </c>
      <c r="BB45" s="60" t="s">
        <v>539</v>
      </c>
      <c r="BC45" s="78"/>
      <c r="BD45" s="78"/>
      <c r="BF45" s="60">
        <v>83</v>
      </c>
      <c r="BG45" s="60" t="s">
        <v>429</v>
      </c>
      <c r="BH45" s="60">
        <v>29.029</v>
      </c>
      <c r="BI45" s="60">
        <v>158</v>
      </c>
      <c r="BJ45" s="60">
        <v>159</v>
      </c>
      <c r="BK45" s="60" t="s">
        <v>540</v>
      </c>
    </row>
    <row r="46" spans="3:63" x14ac:dyDescent="0.25">
      <c r="L46" s="60">
        <v>234</v>
      </c>
      <c r="M46" s="60" t="s">
        <v>263</v>
      </c>
      <c r="N46" s="60">
        <v>32.837000000000003</v>
      </c>
      <c r="O46" s="60">
        <v>111</v>
      </c>
      <c r="P46" s="60">
        <v>112</v>
      </c>
      <c r="Q46" s="60" t="s">
        <v>539</v>
      </c>
      <c r="U46" s="60">
        <v>45</v>
      </c>
      <c r="V46" s="60" t="s">
        <v>118</v>
      </c>
      <c r="W46" s="60">
        <v>32.837000000000003</v>
      </c>
      <c r="X46" s="60">
        <v>66</v>
      </c>
      <c r="Y46" s="60">
        <v>67</v>
      </c>
      <c r="Z46" s="60" t="s">
        <v>540</v>
      </c>
      <c r="AM46" s="60">
        <v>250</v>
      </c>
      <c r="AN46" s="60" t="s">
        <v>197</v>
      </c>
      <c r="AO46" s="60">
        <v>119.923</v>
      </c>
      <c r="AP46" s="60">
        <v>87</v>
      </c>
      <c r="AQ46" s="60">
        <v>88</v>
      </c>
      <c r="AR46" s="60" t="s">
        <v>540</v>
      </c>
      <c r="AW46" s="60">
        <v>78</v>
      </c>
      <c r="AX46" s="60" t="s">
        <v>284</v>
      </c>
      <c r="AY46" s="60">
        <v>29.029</v>
      </c>
      <c r="AZ46" s="60">
        <v>160</v>
      </c>
      <c r="BA46" s="60">
        <v>161</v>
      </c>
      <c r="BB46" s="60" t="s">
        <v>539</v>
      </c>
      <c r="BC46" s="78"/>
      <c r="BD46" s="78"/>
      <c r="BF46" s="60">
        <v>84</v>
      </c>
      <c r="BG46" s="60" t="s">
        <v>285</v>
      </c>
      <c r="BH46" s="60">
        <v>29.029</v>
      </c>
      <c r="BI46" s="60">
        <v>159</v>
      </c>
      <c r="BJ46" s="60">
        <v>160</v>
      </c>
      <c r="BK46" s="60" t="s">
        <v>540</v>
      </c>
    </row>
    <row r="47" spans="3:63" x14ac:dyDescent="0.25">
      <c r="L47" s="60">
        <v>74</v>
      </c>
      <c r="M47" s="60" t="s">
        <v>264</v>
      </c>
      <c r="N47" s="60">
        <v>32.837000000000003</v>
      </c>
      <c r="O47" s="60">
        <v>112</v>
      </c>
      <c r="P47" s="60">
        <v>113</v>
      </c>
      <c r="Q47" s="60" t="s">
        <v>539</v>
      </c>
      <c r="U47" s="60">
        <v>100</v>
      </c>
      <c r="V47" s="60" t="s">
        <v>117</v>
      </c>
      <c r="W47" s="60">
        <v>32.837000000000003</v>
      </c>
      <c r="X47" s="60">
        <v>67</v>
      </c>
      <c r="Y47" s="60">
        <v>68</v>
      </c>
      <c r="Z47" s="60" t="s">
        <v>540</v>
      </c>
      <c r="AM47" s="60">
        <v>63</v>
      </c>
      <c r="AN47" s="60" t="s">
        <v>196</v>
      </c>
      <c r="AO47" s="60">
        <v>119.923</v>
      </c>
      <c r="AP47" s="60">
        <v>88</v>
      </c>
      <c r="AQ47" s="60">
        <v>89</v>
      </c>
      <c r="AR47" s="60" t="s">
        <v>540</v>
      </c>
      <c r="AW47" s="60">
        <v>151</v>
      </c>
      <c r="AX47" s="60" t="s">
        <v>283</v>
      </c>
      <c r="AY47" s="60">
        <v>29.029</v>
      </c>
      <c r="AZ47" s="60">
        <v>161</v>
      </c>
      <c r="BA47" s="60">
        <v>162</v>
      </c>
      <c r="BB47" s="60" t="s">
        <v>539</v>
      </c>
      <c r="BC47" s="78"/>
      <c r="BD47" s="78"/>
      <c r="BF47" s="60">
        <v>78</v>
      </c>
      <c r="BG47" s="60" t="s">
        <v>284</v>
      </c>
      <c r="BH47" s="60">
        <v>29.029</v>
      </c>
      <c r="BI47" s="60">
        <v>160</v>
      </c>
      <c r="BJ47" s="60">
        <v>161</v>
      </c>
      <c r="BK47" s="60" t="s">
        <v>540</v>
      </c>
    </row>
    <row r="48" spans="3:63" x14ac:dyDescent="0.25">
      <c r="L48" s="60">
        <v>79</v>
      </c>
      <c r="M48" s="60" t="s">
        <v>266</v>
      </c>
      <c r="N48" s="60">
        <v>32.837000000000003</v>
      </c>
      <c r="O48" s="60">
        <v>113</v>
      </c>
      <c r="P48" s="60">
        <v>114</v>
      </c>
      <c r="Q48" s="60" t="s">
        <v>539</v>
      </c>
      <c r="U48" s="60">
        <v>202</v>
      </c>
      <c r="V48" s="60" t="s">
        <v>116</v>
      </c>
      <c r="W48" s="60">
        <v>32.835999999999999</v>
      </c>
      <c r="X48" s="60">
        <v>68</v>
      </c>
      <c r="Y48" s="60">
        <v>69</v>
      </c>
      <c r="Z48" s="60" t="s">
        <v>540</v>
      </c>
      <c r="AM48" s="60">
        <v>41</v>
      </c>
      <c r="AN48" s="60" t="s">
        <v>195</v>
      </c>
      <c r="AO48" s="60">
        <v>119.923</v>
      </c>
      <c r="AP48" s="60">
        <v>89</v>
      </c>
      <c r="AQ48" s="60">
        <v>90</v>
      </c>
      <c r="AR48" s="60" t="s">
        <v>540</v>
      </c>
      <c r="AW48" s="60">
        <v>54</v>
      </c>
      <c r="AX48" s="60" t="s">
        <v>280</v>
      </c>
      <c r="AY48" s="60">
        <v>29.029</v>
      </c>
      <c r="AZ48" s="60">
        <v>162</v>
      </c>
      <c r="BA48" s="60">
        <v>163</v>
      </c>
      <c r="BB48" s="60" t="s">
        <v>539</v>
      </c>
      <c r="BC48" s="78"/>
      <c r="BD48" s="78"/>
      <c r="BF48" s="60">
        <v>151</v>
      </c>
      <c r="BG48" s="60" t="s">
        <v>283</v>
      </c>
      <c r="BH48" s="60">
        <v>29.029</v>
      </c>
      <c r="BI48" s="60">
        <v>161</v>
      </c>
      <c r="BJ48" s="60">
        <v>162</v>
      </c>
      <c r="BK48" s="60" t="s">
        <v>540</v>
      </c>
    </row>
    <row r="49" spans="12:63" x14ac:dyDescent="0.25">
      <c r="L49" s="60">
        <v>241</v>
      </c>
      <c r="M49" s="60" t="s">
        <v>276</v>
      </c>
      <c r="N49" s="60">
        <v>32.837000000000003</v>
      </c>
      <c r="O49" s="60">
        <v>114</v>
      </c>
      <c r="P49" s="60">
        <v>115</v>
      </c>
      <c r="Q49" s="60" t="s">
        <v>539</v>
      </c>
      <c r="U49" s="60">
        <v>9</v>
      </c>
      <c r="V49" s="60" t="s">
        <v>417</v>
      </c>
      <c r="W49" s="60">
        <v>98.51</v>
      </c>
      <c r="X49" s="60" t="s">
        <v>418</v>
      </c>
      <c r="Y49" s="60">
        <v>41</v>
      </c>
      <c r="Z49" s="60" t="s">
        <v>539</v>
      </c>
      <c r="AM49" s="60">
        <v>201</v>
      </c>
      <c r="AN49" s="60" t="s">
        <v>194</v>
      </c>
      <c r="AO49" s="60">
        <v>119.923</v>
      </c>
      <c r="AP49" s="60">
        <v>90</v>
      </c>
      <c r="AQ49" s="60">
        <v>91</v>
      </c>
      <c r="AR49" s="60" t="s">
        <v>540</v>
      </c>
      <c r="AW49" s="60">
        <v>35</v>
      </c>
      <c r="AX49" s="60" t="s">
        <v>282</v>
      </c>
      <c r="AY49" s="60">
        <v>29.029</v>
      </c>
      <c r="AZ49" s="60">
        <v>163</v>
      </c>
      <c r="BA49" s="60">
        <v>164</v>
      </c>
      <c r="BB49" s="60" t="s">
        <v>539</v>
      </c>
      <c r="BC49" s="78"/>
      <c r="BD49" s="78"/>
      <c r="BF49" s="60">
        <v>54</v>
      </c>
      <c r="BG49" s="60" t="s">
        <v>280</v>
      </c>
      <c r="BH49" s="60">
        <v>29.029</v>
      </c>
      <c r="BI49" s="60">
        <v>162</v>
      </c>
      <c r="BJ49" s="60">
        <v>163</v>
      </c>
      <c r="BK49" s="60" t="s">
        <v>540</v>
      </c>
    </row>
    <row r="50" spans="12:63" x14ac:dyDescent="0.25">
      <c r="L50" s="60">
        <v>61</v>
      </c>
      <c r="M50" s="60" t="s">
        <v>316</v>
      </c>
      <c r="N50" s="60">
        <v>32.837000000000003</v>
      </c>
      <c r="O50" s="60">
        <v>115</v>
      </c>
      <c r="P50" s="60">
        <v>116</v>
      </c>
      <c r="Q50" s="60" t="s">
        <v>539</v>
      </c>
      <c r="AM50" s="60">
        <v>129</v>
      </c>
      <c r="AN50" s="60" t="s">
        <v>425</v>
      </c>
      <c r="AO50" s="60">
        <v>119.923</v>
      </c>
      <c r="AP50" s="60">
        <v>91</v>
      </c>
      <c r="AQ50" s="60">
        <v>92</v>
      </c>
      <c r="AR50" s="60" t="s">
        <v>540</v>
      </c>
      <c r="AW50" s="60">
        <v>88</v>
      </c>
      <c r="AX50" s="60" t="s">
        <v>430</v>
      </c>
      <c r="AY50" s="60">
        <v>29.029</v>
      </c>
      <c r="AZ50" s="60">
        <v>164</v>
      </c>
      <c r="BA50" s="60">
        <v>165</v>
      </c>
      <c r="BB50" s="60" t="s">
        <v>539</v>
      </c>
      <c r="BC50" s="78"/>
      <c r="BD50" s="78"/>
      <c r="BF50" s="60">
        <v>35</v>
      </c>
      <c r="BG50" s="60" t="s">
        <v>282</v>
      </c>
      <c r="BH50" s="60">
        <v>29.029</v>
      </c>
      <c r="BI50" s="60">
        <v>163</v>
      </c>
      <c r="BJ50" s="60">
        <v>164</v>
      </c>
      <c r="BK50" s="60" t="s">
        <v>540</v>
      </c>
    </row>
    <row r="51" spans="12:63" x14ac:dyDescent="0.25">
      <c r="L51" s="60">
        <v>76</v>
      </c>
      <c r="M51" s="60" t="s">
        <v>412</v>
      </c>
      <c r="N51" s="60">
        <v>32.837000000000003</v>
      </c>
      <c r="O51" s="60">
        <v>116</v>
      </c>
      <c r="P51" s="60">
        <v>195</v>
      </c>
      <c r="Q51" s="60" t="s">
        <v>539</v>
      </c>
      <c r="AM51" s="60">
        <v>111</v>
      </c>
      <c r="AN51" s="60" t="s">
        <v>183</v>
      </c>
      <c r="AO51" s="60">
        <v>119.923</v>
      </c>
      <c r="AP51" s="60">
        <v>92</v>
      </c>
      <c r="AQ51" s="60">
        <v>93</v>
      </c>
      <c r="AR51" s="60" t="s">
        <v>540</v>
      </c>
      <c r="AW51" s="60">
        <v>230</v>
      </c>
      <c r="AX51" s="60" t="s">
        <v>252</v>
      </c>
      <c r="AY51" s="60">
        <v>29.029</v>
      </c>
      <c r="AZ51" s="60">
        <v>166</v>
      </c>
      <c r="BA51" s="60">
        <v>167</v>
      </c>
      <c r="BB51" s="60" t="s">
        <v>540</v>
      </c>
      <c r="BC51" s="78"/>
      <c r="BD51" s="78"/>
      <c r="BF51" s="60">
        <v>88</v>
      </c>
      <c r="BG51" s="60" t="s">
        <v>430</v>
      </c>
      <c r="BH51" s="60">
        <v>29.029</v>
      </c>
      <c r="BI51" s="60">
        <v>164</v>
      </c>
      <c r="BJ51" s="60">
        <v>165</v>
      </c>
      <c r="BK51" s="60" t="s">
        <v>540</v>
      </c>
    </row>
    <row r="52" spans="12:63" x14ac:dyDescent="0.25">
      <c r="L52" s="60">
        <v>132</v>
      </c>
      <c r="M52" s="60" t="s">
        <v>308</v>
      </c>
      <c r="N52" s="60">
        <v>32.837000000000003</v>
      </c>
      <c r="O52" s="60">
        <v>117</v>
      </c>
      <c r="P52" s="60">
        <v>118</v>
      </c>
      <c r="Q52" s="60" t="s">
        <v>539</v>
      </c>
      <c r="AM52" s="60">
        <v>88</v>
      </c>
      <c r="AN52" s="60" t="s">
        <v>192</v>
      </c>
      <c r="AO52" s="60">
        <v>119.923</v>
      </c>
      <c r="AP52" s="60">
        <v>93</v>
      </c>
      <c r="AQ52" s="60">
        <v>94</v>
      </c>
      <c r="AR52" s="60" t="s">
        <v>540</v>
      </c>
      <c r="AW52" s="60">
        <v>145</v>
      </c>
      <c r="AX52" s="60" t="s">
        <v>253</v>
      </c>
      <c r="AY52" s="60">
        <v>29.029</v>
      </c>
      <c r="AZ52" s="60">
        <v>167</v>
      </c>
      <c r="BA52" s="60">
        <v>168</v>
      </c>
      <c r="BB52" s="60" t="s">
        <v>540</v>
      </c>
      <c r="BC52" s="78"/>
      <c r="BD52" s="78"/>
      <c r="BF52" s="60">
        <v>145</v>
      </c>
      <c r="BG52" s="60" t="s">
        <v>253</v>
      </c>
      <c r="BH52" s="60">
        <v>29.029</v>
      </c>
      <c r="BI52" s="60">
        <v>167</v>
      </c>
      <c r="BJ52" s="60">
        <v>168</v>
      </c>
      <c r="BK52" s="60" t="s">
        <v>540</v>
      </c>
    </row>
    <row r="53" spans="12:63" x14ac:dyDescent="0.25">
      <c r="L53" s="60">
        <v>154</v>
      </c>
      <c r="M53" s="60" t="s">
        <v>411</v>
      </c>
      <c r="N53" s="60">
        <v>32.837000000000003</v>
      </c>
      <c r="O53" s="60">
        <v>117</v>
      </c>
      <c r="P53" s="60">
        <v>195</v>
      </c>
      <c r="Q53" s="60" t="s">
        <v>539</v>
      </c>
      <c r="AM53" s="60">
        <v>74</v>
      </c>
      <c r="AN53" s="60" t="s">
        <v>230</v>
      </c>
      <c r="AO53" s="60">
        <v>119.923</v>
      </c>
      <c r="AP53" s="60">
        <v>94</v>
      </c>
      <c r="AQ53" s="60">
        <v>95</v>
      </c>
      <c r="AR53" s="60" t="s">
        <v>540</v>
      </c>
      <c r="AW53" s="60">
        <v>129</v>
      </c>
      <c r="AX53" s="60" t="s">
        <v>235</v>
      </c>
      <c r="AY53" s="60">
        <v>29.029</v>
      </c>
      <c r="AZ53" s="60">
        <v>168</v>
      </c>
      <c r="BA53" s="60">
        <v>169</v>
      </c>
      <c r="BB53" s="60" t="s">
        <v>540</v>
      </c>
      <c r="BC53" s="78"/>
      <c r="BD53" s="78"/>
      <c r="BF53" s="60">
        <v>129</v>
      </c>
      <c r="BG53" s="60" t="s">
        <v>235</v>
      </c>
      <c r="BH53" s="60">
        <v>29.029</v>
      </c>
      <c r="BI53" s="60">
        <v>168</v>
      </c>
      <c r="BJ53" s="60">
        <v>169</v>
      </c>
      <c r="BK53" s="60" t="s">
        <v>540</v>
      </c>
    </row>
    <row r="54" spans="12:63" x14ac:dyDescent="0.25">
      <c r="L54" s="60">
        <v>212</v>
      </c>
      <c r="M54" s="60" t="s">
        <v>309</v>
      </c>
      <c r="N54" s="60">
        <v>32.837000000000003</v>
      </c>
      <c r="O54" s="60">
        <v>118</v>
      </c>
      <c r="P54" s="60">
        <v>119</v>
      </c>
      <c r="Q54" s="60" t="s">
        <v>539</v>
      </c>
      <c r="AM54" s="60">
        <v>248</v>
      </c>
      <c r="AN54" s="60" t="s">
        <v>215</v>
      </c>
      <c r="AO54" s="60">
        <v>119.923</v>
      </c>
      <c r="AP54" s="60">
        <v>95</v>
      </c>
      <c r="AQ54" s="60">
        <v>96</v>
      </c>
      <c r="AR54" s="60" t="s">
        <v>540</v>
      </c>
      <c r="AW54" s="60">
        <v>104</v>
      </c>
      <c r="AX54" s="60" t="s">
        <v>236</v>
      </c>
      <c r="AY54" s="60">
        <v>29.029</v>
      </c>
      <c r="AZ54" s="60">
        <v>169</v>
      </c>
      <c r="BA54" s="60">
        <v>170</v>
      </c>
      <c r="BB54" s="60" t="s">
        <v>540</v>
      </c>
      <c r="BC54" s="78"/>
      <c r="BD54" s="78"/>
      <c r="BF54" s="60">
        <v>104</v>
      </c>
      <c r="BG54" s="60" t="s">
        <v>236</v>
      </c>
      <c r="BH54" s="60">
        <v>29.029</v>
      </c>
      <c r="BI54" s="60">
        <v>169</v>
      </c>
      <c r="BJ54" s="60">
        <v>170</v>
      </c>
      <c r="BK54" s="60" t="s">
        <v>540</v>
      </c>
    </row>
    <row r="55" spans="12:63" x14ac:dyDescent="0.25">
      <c r="L55" s="60">
        <v>173</v>
      </c>
      <c r="M55" s="60" t="s">
        <v>310</v>
      </c>
      <c r="N55" s="60">
        <v>32.837000000000003</v>
      </c>
      <c r="O55" s="60">
        <v>119</v>
      </c>
      <c r="P55" s="60">
        <v>120</v>
      </c>
      <c r="Q55" s="60" t="s">
        <v>539</v>
      </c>
      <c r="AM55" s="60">
        <v>116</v>
      </c>
      <c r="AN55" s="60" t="s">
        <v>214</v>
      </c>
      <c r="AO55" s="60">
        <v>119.923</v>
      </c>
      <c r="AP55" s="60">
        <v>96</v>
      </c>
      <c r="AQ55" s="60">
        <v>97</v>
      </c>
      <c r="AR55" s="60" t="s">
        <v>540</v>
      </c>
      <c r="AW55" s="60">
        <v>79</v>
      </c>
      <c r="AX55" s="60" t="s">
        <v>237</v>
      </c>
      <c r="AY55" s="60">
        <v>29.029</v>
      </c>
      <c r="AZ55" s="60">
        <v>170</v>
      </c>
      <c r="BA55" s="60">
        <v>171</v>
      </c>
      <c r="BB55" s="60" t="s">
        <v>540</v>
      </c>
      <c r="BC55" s="78"/>
      <c r="BD55" s="78"/>
      <c r="BF55" s="60">
        <v>79</v>
      </c>
      <c r="BG55" s="60" t="s">
        <v>237</v>
      </c>
      <c r="BH55" s="60">
        <v>29.029</v>
      </c>
      <c r="BI55" s="60">
        <v>170</v>
      </c>
      <c r="BJ55" s="60">
        <v>171</v>
      </c>
      <c r="BK55" s="60" t="s">
        <v>540</v>
      </c>
    </row>
    <row r="56" spans="12:63" x14ac:dyDescent="0.25">
      <c r="L56" s="60">
        <v>133</v>
      </c>
      <c r="M56" s="60" t="s">
        <v>312</v>
      </c>
      <c r="N56" s="60">
        <v>32.835999999999999</v>
      </c>
      <c r="O56" s="60">
        <v>120</v>
      </c>
      <c r="P56" s="60">
        <v>121</v>
      </c>
      <c r="Q56" s="60" t="s">
        <v>539</v>
      </c>
      <c r="AM56" s="60">
        <v>128</v>
      </c>
      <c r="AN56" s="60" t="s">
        <v>213</v>
      </c>
      <c r="AO56" s="60">
        <v>119.923</v>
      </c>
      <c r="AP56" s="60">
        <v>97</v>
      </c>
      <c r="AQ56" s="60">
        <v>98</v>
      </c>
      <c r="AR56" s="60" t="s">
        <v>540</v>
      </c>
      <c r="AW56" s="60">
        <v>89</v>
      </c>
      <c r="AX56" s="60" t="s">
        <v>238</v>
      </c>
      <c r="AY56" s="60">
        <v>29.029</v>
      </c>
      <c r="AZ56" s="60">
        <v>171</v>
      </c>
      <c r="BA56" s="60">
        <v>172</v>
      </c>
      <c r="BB56" s="60" t="s">
        <v>540</v>
      </c>
      <c r="BC56" s="78"/>
      <c r="BD56" s="78"/>
      <c r="BF56" s="60">
        <v>89</v>
      </c>
      <c r="BG56" s="60" t="s">
        <v>238</v>
      </c>
      <c r="BH56" s="60">
        <v>29.029</v>
      </c>
      <c r="BI56" s="60">
        <v>171</v>
      </c>
      <c r="BJ56" s="60">
        <v>172</v>
      </c>
      <c r="BK56" s="60" t="s">
        <v>540</v>
      </c>
    </row>
    <row r="57" spans="12:63" x14ac:dyDescent="0.25">
      <c r="AM57" s="60">
        <v>138</v>
      </c>
      <c r="AN57" s="60" t="s">
        <v>212</v>
      </c>
      <c r="AO57" s="60">
        <v>119.923</v>
      </c>
      <c r="AP57" s="60">
        <v>98</v>
      </c>
      <c r="AQ57" s="60">
        <v>99</v>
      </c>
      <c r="AR57" s="60" t="s">
        <v>540</v>
      </c>
      <c r="AW57" s="60">
        <v>89</v>
      </c>
      <c r="AX57" s="60" t="s">
        <v>239</v>
      </c>
      <c r="AY57" s="60">
        <v>29.029</v>
      </c>
      <c r="AZ57" s="60">
        <v>172</v>
      </c>
      <c r="BA57" s="60">
        <v>173</v>
      </c>
      <c r="BB57" s="60" t="s">
        <v>540</v>
      </c>
      <c r="BC57" s="78"/>
      <c r="BD57" s="78"/>
      <c r="BF57" s="60">
        <v>89</v>
      </c>
      <c r="BG57" s="60" t="s">
        <v>239</v>
      </c>
      <c r="BH57" s="60">
        <v>29.029</v>
      </c>
      <c r="BI57" s="60">
        <v>172</v>
      </c>
      <c r="BJ57" s="60">
        <v>173</v>
      </c>
      <c r="BK57" s="60" t="s">
        <v>540</v>
      </c>
    </row>
    <row r="58" spans="12:63" x14ac:dyDescent="0.25">
      <c r="AM58" s="60">
        <v>184</v>
      </c>
      <c r="AN58" s="60" t="s">
        <v>426</v>
      </c>
      <c r="AO58" s="60">
        <v>228.42</v>
      </c>
      <c r="AP58" s="60">
        <v>99</v>
      </c>
      <c r="AQ58" s="60">
        <v>194</v>
      </c>
      <c r="AR58" s="60" t="s">
        <v>539</v>
      </c>
      <c r="AW58" s="60">
        <v>45</v>
      </c>
      <c r="AX58" s="60" t="s">
        <v>240</v>
      </c>
      <c r="AY58" s="60">
        <v>29.029</v>
      </c>
      <c r="AZ58" s="60">
        <v>173</v>
      </c>
      <c r="BA58" s="60">
        <v>174</v>
      </c>
      <c r="BB58" s="60" t="s">
        <v>540</v>
      </c>
      <c r="BC58" s="78"/>
      <c r="BD58" s="78"/>
      <c r="BF58" s="60">
        <v>45</v>
      </c>
      <c r="BG58" s="60" t="s">
        <v>240</v>
      </c>
      <c r="BH58" s="60">
        <v>29.029</v>
      </c>
      <c r="BI58" s="60">
        <v>173</v>
      </c>
      <c r="BJ58" s="60">
        <v>174</v>
      </c>
      <c r="BK58" s="60" t="s">
        <v>540</v>
      </c>
    </row>
    <row r="59" spans="12:63" x14ac:dyDescent="0.25">
      <c r="AM59" s="60">
        <v>351</v>
      </c>
      <c r="AN59" s="60" t="s">
        <v>277</v>
      </c>
      <c r="AO59" s="60">
        <v>228.42500000000001</v>
      </c>
      <c r="AP59" s="60">
        <v>192</v>
      </c>
      <c r="AQ59" s="60">
        <v>193</v>
      </c>
      <c r="AR59" s="60" t="s">
        <v>539</v>
      </c>
      <c r="AW59" s="60">
        <v>43</v>
      </c>
      <c r="AX59" s="60" t="s">
        <v>241</v>
      </c>
      <c r="AY59" s="60">
        <v>29.029</v>
      </c>
      <c r="AZ59" s="60">
        <v>174</v>
      </c>
      <c r="BA59" s="60">
        <v>175</v>
      </c>
      <c r="BB59" s="60" t="s">
        <v>540</v>
      </c>
      <c r="BC59" s="78"/>
      <c r="BD59" s="78"/>
      <c r="BF59" s="60">
        <v>43</v>
      </c>
      <c r="BG59" s="60" t="s">
        <v>241</v>
      </c>
      <c r="BH59" s="60">
        <v>29.029</v>
      </c>
      <c r="BI59" s="60">
        <v>174</v>
      </c>
      <c r="BJ59" s="60">
        <v>175</v>
      </c>
      <c r="BK59" s="60" t="s">
        <v>540</v>
      </c>
    </row>
    <row r="60" spans="12:63" x14ac:dyDescent="0.25">
      <c r="AM60" s="60">
        <v>169</v>
      </c>
      <c r="AN60" s="60" t="s">
        <v>427</v>
      </c>
      <c r="AO60" s="60">
        <v>228.42500000000001</v>
      </c>
      <c r="AP60" s="60">
        <v>193</v>
      </c>
      <c r="AQ60" s="60">
        <v>194</v>
      </c>
      <c r="AR60" s="60" t="s">
        <v>539</v>
      </c>
      <c r="AW60" s="60">
        <v>66</v>
      </c>
      <c r="AX60" s="60" t="s">
        <v>243</v>
      </c>
      <c r="AY60" s="60">
        <v>29.029</v>
      </c>
      <c r="AZ60" s="60">
        <v>175</v>
      </c>
      <c r="BA60" s="60">
        <v>176</v>
      </c>
      <c r="BB60" s="60" t="s">
        <v>540</v>
      </c>
      <c r="BC60" s="78"/>
      <c r="BD60" s="78"/>
      <c r="BF60" s="60">
        <v>66</v>
      </c>
      <c r="BG60" s="60" t="s">
        <v>243</v>
      </c>
      <c r="BH60" s="60">
        <v>29.029</v>
      </c>
      <c r="BI60" s="60">
        <v>175</v>
      </c>
      <c r="BJ60" s="60">
        <v>176</v>
      </c>
      <c r="BK60" s="60" t="s">
        <v>540</v>
      </c>
    </row>
    <row r="61" spans="12:63" x14ac:dyDescent="0.25">
      <c r="AW61" s="60">
        <v>48</v>
      </c>
      <c r="AX61" s="60" t="s">
        <v>242</v>
      </c>
      <c r="AY61" s="60">
        <v>29.029</v>
      </c>
      <c r="AZ61" s="60">
        <v>176</v>
      </c>
      <c r="BA61" s="60">
        <v>177</v>
      </c>
      <c r="BB61" s="60" t="s">
        <v>540</v>
      </c>
      <c r="BC61" s="78"/>
      <c r="BD61" s="78"/>
      <c r="BF61" s="60">
        <v>48</v>
      </c>
      <c r="BG61" s="60" t="s">
        <v>242</v>
      </c>
      <c r="BH61" s="60">
        <v>29.029</v>
      </c>
      <c r="BI61" s="60">
        <v>176</v>
      </c>
      <c r="BJ61" s="60">
        <v>177</v>
      </c>
      <c r="BK61" s="60" t="s">
        <v>540</v>
      </c>
    </row>
    <row r="62" spans="12:63" x14ac:dyDescent="0.25">
      <c r="AW62" s="60">
        <v>19</v>
      </c>
      <c r="AX62" s="60" t="s">
        <v>244</v>
      </c>
      <c r="AY62" s="60">
        <v>29.029</v>
      </c>
      <c r="AZ62" s="60">
        <v>177</v>
      </c>
      <c r="BA62" s="60">
        <v>178</v>
      </c>
      <c r="BB62" s="60" t="s">
        <v>540</v>
      </c>
      <c r="BC62" s="78"/>
      <c r="BD62" s="78"/>
      <c r="BF62" s="60">
        <v>19</v>
      </c>
      <c r="BG62" s="60" t="s">
        <v>244</v>
      </c>
      <c r="BH62" s="60">
        <v>29.029</v>
      </c>
      <c r="BI62" s="60">
        <v>177</v>
      </c>
      <c r="BJ62" s="60">
        <v>178</v>
      </c>
      <c r="BK62" s="60" t="s">
        <v>540</v>
      </c>
    </row>
    <row r="63" spans="12:63" x14ac:dyDescent="0.25">
      <c r="AW63" s="60">
        <v>58</v>
      </c>
      <c r="AX63" s="60" t="s">
        <v>245</v>
      </c>
      <c r="AY63" s="60">
        <v>29.029</v>
      </c>
      <c r="AZ63" s="60">
        <v>178</v>
      </c>
      <c r="BA63" s="60">
        <v>179</v>
      </c>
      <c r="BB63" s="60" t="s">
        <v>540</v>
      </c>
      <c r="BC63" s="78"/>
      <c r="BD63" s="78"/>
      <c r="BF63" s="60">
        <v>58</v>
      </c>
      <c r="BG63" s="60" t="s">
        <v>245</v>
      </c>
      <c r="BH63" s="60">
        <v>29.029</v>
      </c>
      <c r="BI63" s="60">
        <v>178</v>
      </c>
      <c r="BJ63" s="60">
        <v>179</v>
      </c>
      <c r="BK63" s="60" t="s">
        <v>540</v>
      </c>
    </row>
    <row r="64" spans="12:63" x14ac:dyDescent="0.25">
      <c r="AW64" s="60">
        <v>84</v>
      </c>
      <c r="AX64" s="60" t="s">
        <v>246</v>
      </c>
      <c r="AY64" s="60">
        <v>29.029</v>
      </c>
      <c r="AZ64" s="60">
        <v>179</v>
      </c>
      <c r="BA64" s="60">
        <v>180</v>
      </c>
      <c r="BB64" s="60" t="s">
        <v>540</v>
      </c>
      <c r="BC64" s="78"/>
      <c r="BD64" s="78"/>
      <c r="BF64" s="60">
        <v>84</v>
      </c>
      <c r="BG64" s="60" t="s">
        <v>246</v>
      </c>
      <c r="BH64" s="60">
        <v>29.029</v>
      </c>
      <c r="BI64" s="60">
        <v>179</v>
      </c>
      <c r="BJ64" s="60">
        <v>180</v>
      </c>
      <c r="BK64" s="60" t="s">
        <v>540</v>
      </c>
    </row>
    <row r="65" spans="49:63" x14ac:dyDescent="0.25">
      <c r="AW65" s="60">
        <v>105</v>
      </c>
      <c r="AX65" s="60" t="s">
        <v>247</v>
      </c>
      <c r="AY65" s="60">
        <v>29.029</v>
      </c>
      <c r="AZ65" s="60">
        <v>180</v>
      </c>
      <c r="BA65" s="60">
        <v>181</v>
      </c>
      <c r="BB65" s="60" t="s">
        <v>540</v>
      </c>
      <c r="BC65" s="78"/>
      <c r="BD65" s="78"/>
      <c r="BF65" s="60">
        <v>105</v>
      </c>
      <c r="BG65" s="60" t="s">
        <v>247</v>
      </c>
      <c r="BH65" s="60">
        <v>29.029</v>
      </c>
      <c r="BI65" s="60">
        <v>180</v>
      </c>
      <c r="BJ65" s="60">
        <v>181</v>
      </c>
      <c r="BK65" s="60" t="s">
        <v>540</v>
      </c>
    </row>
    <row r="66" spans="49:63" x14ac:dyDescent="0.25">
      <c r="AW66" s="60">
        <v>90</v>
      </c>
      <c r="AX66" s="60" t="s">
        <v>248</v>
      </c>
      <c r="AY66" s="60">
        <v>29.029</v>
      </c>
      <c r="AZ66" s="60">
        <v>181</v>
      </c>
      <c r="BA66" s="60">
        <v>182</v>
      </c>
      <c r="BB66" s="60" t="s">
        <v>540</v>
      </c>
      <c r="BC66" s="78"/>
      <c r="BD66" s="78"/>
      <c r="BF66" s="60">
        <v>90</v>
      </c>
      <c r="BG66" s="60" t="s">
        <v>248</v>
      </c>
      <c r="BH66" s="60">
        <v>29.029</v>
      </c>
      <c r="BI66" s="60">
        <v>181</v>
      </c>
      <c r="BJ66" s="60">
        <v>182</v>
      </c>
      <c r="BK66" s="60" t="s">
        <v>540</v>
      </c>
    </row>
    <row r="67" spans="49:63" x14ac:dyDescent="0.25">
      <c r="AW67" s="60">
        <v>78</v>
      </c>
      <c r="AX67" s="60" t="s">
        <v>249</v>
      </c>
      <c r="AY67" s="60">
        <v>29.029</v>
      </c>
      <c r="AZ67" s="60">
        <v>182</v>
      </c>
      <c r="BA67" s="60">
        <v>183</v>
      </c>
      <c r="BB67" s="60" t="s">
        <v>540</v>
      </c>
      <c r="BC67" s="78"/>
      <c r="BD67" s="78"/>
      <c r="BF67" s="60">
        <v>78</v>
      </c>
      <c r="BG67" s="60" t="s">
        <v>249</v>
      </c>
      <c r="BH67" s="60">
        <v>29.029</v>
      </c>
      <c r="BI67" s="60">
        <v>182</v>
      </c>
      <c r="BJ67" s="60">
        <v>183</v>
      </c>
      <c r="BK67" s="60" t="s">
        <v>540</v>
      </c>
    </row>
    <row r="68" spans="49:63" x14ac:dyDescent="0.25">
      <c r="AW68" s="60">
        <v>83</v>
      </c>
      <c r="AX68" s="60" t="s">
        <v>250</v>
      </c>
      <c r="AY68" s="60">
        <v>29.029</v>
      </c>
      <c r="AZ68" s="60">
        <v>183</v>
      </c>
      <c r="BA68" s="60">
        <v>184</v>
      </c>
      <c r="BB68" s="60" t="s">
        <v>540</v>
      </c>
      <c r="BC68" s="78"/>
      <c r="BD68" s="78"/>
      <c r="BF68" s="60">
        <v>83</v>
      </c>
      <c r="BG68" s="60" t="s">
        <v>250</v>
      </c>
      <c r="BH68" s="60">
        <v>29.029</v>
      </c>
      <c r="BI68" s="60">
        <v>183</v>
      </c>
      <c r="BJ68" s="60">
        <v>184</v>
      </c>
      <c r="BK68" s="60" t="s">
        <v>540</v>
      </c>
    </row>
    <row r="69" spans="49:63" x14ac:dyDescent="0.25">
      <c r="AW69" s="60">
        <v>175</v>
      </c>
      <c r="AX69" s="60" t="s">
        <v>432</v>
      </c>
      <c r="AY69" s="60">
        <v>29.029</v>
      </c>
      <c r="AZ69" s="60">
        <v>184</v>
      </c>
      <c r="BA69" s="60">
        <v>185</v>
      </c>
      <c r="BB69" s="60" t="s">
        <v>540</v>
      </c>
      <c r="BC69" s="78"/>
      <c r="BD69" s="78"/>
      <c r="BF69" s="60">
        <v>175</v>
      </c>
      <c r="BG69" s="60" t="s">
        <v>432</v>
      </c>
      <c r="BH69" s="60">
        <v>29.029</v>
      </c>
      <c r="BI69" s="60">
        <v>184</v>
      </c>
      <c r="BJ69" s="60">
        <v>185</v>
      </c>
      <c r="BK69" s="60" t="s">
        <v>540</v>
      </c>
    </row>
    <row r="70" spans="49:63" x14ac:dyDescent="0.25">
      <c r="AW70" s="60">
        <v>169</v>
      </c>
      <c r="AX70" s="60" t="s">
        <v>269</v>
      </c>
      <c r="AY70" s="60">
        <v>29.029</v>
      </c>
      <c r="AZ70" s="60">
        <v>185</v>
      </c>
      <c r="BA70" s="60">
        <v>186</v>
      </c>
      <c r="BB70" s="60" t="s">
        <v>540</v>
      </c>
      <c r="BC70" s="78"/>
      <c r="BD70" s="78"/>
      <c r="BF70" s="60">
        <v>169</v>
      </c>
      <c r="BG70" s="60" t="s">
        <v>269</v>
      </c>
      <c r="BH70" s="60">
        <v>29.029</v>
      </c>
      <c r="BI70" s="60">
        <v>185</v>
      </c>
      <c r="BJ70" s="60">
        <v>186</v>
      </c>
      <c r="BK70" s="60" t="s">
        <v>540</v>
      </c>
    </row>
    <row r="71" spans="49:63" x14ac:dyDescent="0.25">
      <c r="AW71" s="60">
        <v>169</v>
      </c>
      <c r="AX71" s="60" t="s">
        <v>270</v>
      </c>
      <c r="AY71" s="60">
        <v>29.029</v>
      </c>
      <c r="AZ71" s="60">
        <v>186</v>
      </c>
      <c r="BA71" s="60">
        <v>187</v>
      </c>
      <c r="BB71" s="60" t="s">
        <v>540</v>
      </c>
      <c r="BC71" s="78"/>
      <c r="BD71" s="78"/>
      <c r="BF71" s="60">
        <v>169</v>
      </c>
      <c r="BG71" s="60" t="s">
        <v>270</v>
      </c>
      <c r="BH71" s="60">
        <v>29.029</v>
      </c>
      <c r="BI71" s="60">
        <v>186</v>
      </c>
      <c r="BJ71" s="60">
        <v>187</v>
      </c>
      <c r="BK71" s="60" t="s">
        <v>540</v>
      </c>
    </row>
    <row r="72" spans="49:63" x14ac:dyDescent="0.25">
      <c r="AW72" s="60">
        <v>134</v>
      </c>
      <c r="AX72" s="60" t="s">
        <v>272</v>
      </c>
      <c r="AY72" s="60">
        <v>29.029</v>
      </c>
      <c r="AZ72" s="60">
        <v>187</v>
      </c>
      <c r="BA72" s="60">
        <v>188</v>
      </c>
      <c r="BB72" s="60" t="s">
        <v>540</v>
      </c>
      <c r="BC72" s="78"/>
      <c r="BD72" s="78"/>
      <c r="BF72" s="60">
        <v>134</v>
      </c>
      <c r="BG72" s="60" t="s">
        <v>272</v>
      </c>
      <c r="BH72" s="60">
        <v>29.029</v>
      </c>
      <c r="BI72" s="60">
        <v>187</v>
      </c>
      <c r="BJ72" s="60">
        <v>188</v>
      </c>
      <c r="BK72" s="60" t="s">
        <v>540</v>
      </c>
    </row>
    <row r="73" spans="49:63" x14ac:dyDescent="0.25">
      <c r="AW73" s="60">
        <v>263</v>
      </c>
      <c r="AX73" s="60" t="s">
        <v>271</v>
      </c>
      <c r="AY73" s="60">
        <v>29.029</v>
      </c>
      <c r="AZ73" s="60">
        <v>188</v>
      </c>
      <c r="BA73" s="60">
        <v>189</v>
      </c>
      <c r="BB73" s="60" t="s">
        <v>540</v>
      </c>
      <c r="BC73" s="78"/>
      <c r="BD73" s="78"/>
      <c r="BF73" s="60">
        <v>263</v>
      </c>
      <c r="BG73" s="60" t="s">
        <v>271</v>
      </c>
      <c r="BH73" s="60">
        <v>29.029</v>
      </c>
      <c r="BI73" s="60">
        <v>188</v>
      </c>
      <c r="BJ73" s="60">
        <v>189</v>
      </c>
      <c r="BK73" s="60" t="s">
        <v>540</v>
      </c>
    </row>
    <row r="74" spans="49:63" x14ac:dyDescent="0.25">
      <c r="AW74" s="60">
        <v>257</v>
      </c>
      <c r="AX74" s="60" t="s">
        <v>273</v>
      </c>
      <c r="AY74" s="60">
        <v>29.029</v>
      </c>
      <c r="AZ74" s="60">
        <v>189</v>
      </c>
      <c r="BA74" s="60">
        <v>190</v>
      </c>
      <c r="BB74" s="60" t="s">
        <v>540</v>
      </c>
      <c r="BC74" s="78"/>
      <c r="BD74" s="78"/>
      <c r="BF74" s="60">
        <v>257</v>
      </c>
      <c r="BG74" s="60" t="s">
        <v>273</v>
      </c>
      <c r="BH74" s="60">
        <v>29.029</v>
      </c>
      <c r="BI74" s="60">
        <v>189</v>
      </c>
      <c r="BJ74" s="60">
        <v>190</v>
      </c>
      <c r="BK74" s="60" t="s">
        <v>540</v>
      </c>
    </row>
    <row r="75" spans="49:63" x14ac:dyDescent="0.25">
      <c r="AW75" s="60">
        <v>173</v>
      </c>
      <c r="AX75" s="60" t="s">
        <v>274</v>
      </c>
      <c r="AY75" s="60">
        <v>29.029</v>
      </c>
      <c r="AZ75" s="60">
        <v>190</v>
      </c>
      <c r="BA75" s="60">
        <v>191</v>
      </c>
      <c r="BB75" s="60" t="s">
        <v>540</v>
      </c>
      <c r="BC75" s="78"/>
      <c r="BD75" s="78"/>
      <c r="BF75" s="60">
        <v>173</v>
      </c>
      <c r="BG75" s="60" t="s">
        <v>274</v>
      </c>
      <c r="BH75" s="60">
        <v>29.029</v>
      </c>
      <c r="BI75" s="60">
        <v>190</v>
      </c>
      <c r="BJ75" s="60">
        <v>191</v>
      </c>
      <c r="BK75" s="60" t="s">
        <v>540</v>
      </c>
    </row>
    <row r="76" spans="49:63" x14ac:dyDescent="0.25">
      <c r="AW76" s="60">
        <v>47</v>
      </c>
      <c r="AX76" s="60" t="s">
        <v>275</v>
      </c>
      <c r="AY76" s="60">
        <v>29.029</v>
      </c>
      <c r="AZ76" s="60">
        <v>191</v>
      </c>
      <c r="BA76" s="60">
        <v>192</v>
      </c>
      <c r="BB76" s="60" t="s">
        <v>540</v>
      </c>
      <c r="BC76" s="78"/>
      <c r="BD76" s="78"/>
      <c r="BF76" s="60">
        <v>47</v>
      </c>
      <c r="BG76" s="60" t="s">
        <v>275</v>
      </c>
      <c r="BH76" s="60">
        <v>29.029</v>
      </c>
      <c r="BI76" s="60">
        <v>191</v>
      </c>
      <c r="BJ76" s="60">
        <v>192</v>
      </c>
      <c r="BK76" s="60" t="s">
        <v>540</v>
      </c>
    </row>
    <row r="77" spans="49:63" x14ac:dyDescent="0.25">
      <c r="AW77" s="60">
        <v>351</v>
      </c>
      <c r="AX77" s="60" t="s">
        <v>277</v>
      </c>
      <c r="AY77" s="60">
        <v>228.42500000000001</v>
      </c>
      <c r="AZ77" s="60">
        <v>192</v>
      </c>
      <c r="BA77" s="60">
        <v>193</v>
      </c>
      <c r="BB77" s="60" t="s">
        <v>540</v>
      </c>
      <c r="BC77" s="78"/>
      <c r="BD77" s="78"/>
      <c r="BF77" s="60">
        <v>351</v>
      </c>
      <c r="BG77" s="60" t="s">
        <v>277</v>
      </c>
      <c r="BH77" s="60">
        <v>228.42500000000001</v>
      </c>
      <c r="BI77" s="60">
        <v>192</v>
      </c>
      <c r="BJ77" s="60">
        <v>193</v>
      </c>
      <c r="BK77" s="60" t="s">
        <v>540</v>
      </c>
    </row>
    <row r="78" spans="49:63" x14ac:dyDescent="0.25">
      <c r="AW78" s="60">
        <v>169</v>
      </c>
      <c r="AX78" s="60" t="s">
        <v>427</v>
      </c>
      <c r="AY78" s="60">
        <v>228.42500000000001</v>
      </c>
      <c r="AZ78" s="60">
        <v>193</v>
      </c>
      <c r="BA78" s="60">
        <v>194</v>
      </c>
      <c r="BB78" s="60" t="s">
        <v>540</v>
      </c>
      <c r="BC78" s="78"/>
      <c r="BD78" s="78"/>
      <c r="BF78" s="60">
        <v>169</v>
      </c>
      <c r="BG78" s="60" t="s">
        <v>427</v>
      </c>
      <c r="BH78" s="60">
        <v>228.42500000000001</v>
      </c>
      <c r="BI78" s="60">
        <v>193</v>
      </c>
      <c r="BJ78" s="60">
        <v>194</v>
      </c>
      <c r="BK78" s="60" t="s">
        <v>540</v>
      </c>
    </row>
  </sheetData>
  <mergeCells count="7">
    <mergeCell ref="C7:H7"/>
    <mergeCell ref="AW7:BB7"/>
    <mergeCell ref="BF7:BK7"/>
    <mergeCell ref="AM7:AR7"/>
    <mergeCell ref="AD7:AI7"/>
    <mergeCell ref="U7:Z7"/>
    <mergeCell ref="L7:Q7"/>
  </mergeCells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35B26-12B1-4DA4-B00C-29C34CCF51BD}">
  <sheetPr codeName="Feuil12"/>
  <dimension ref="C5:BT35"/>
  <sheetViews>
    <sheetView topLeftCell="AK3" zoomScaleNormal="100" workbookViewId="0">
      <selection activeCell="AN8" sqref="AN8:AQ35"/>
    </sheetView>
  </sheetViews>
  <sheetFormatPr baseColWidth="10" defaultRowHeight="15" x14ac:dyDescent="0.25"/>
  <cols>
    <col min="3" max="3" width="17.5703125" bestFit="1" customWidth="1"/>
    <col min="4" max="4" width="22.42578125" bestFit="1" customWidth="1"/>
    <col min="5" max="5" width="6.42578125" bestFit="1" customWidth="1"/>
    <col min="6" max="6" width="30.5703125" bestFit="1" customWidth="1"/>
    <col min="7" max="7" width="36.28515625" bestFit="1" customWidth="1"/>
    <col min="9" max="9" width="13.85546875" bestFit="1" customWidth="1"/>
    <col min="21" max="21" width="20.42578125" bestFit="1" customWidth="1"/>
    <col min="22" max="22" width="41.42578125" bestFit="1" customWidth="1"/>
    <col min="23" max="23" width="25.140625" bestFit="1" customWidth="1"/>
    <col min="27" max="27" width="55.140625" bestFit="1" customWidth="1"/>
    <col min="28" max="28" width="15.140625" bestFit="1" customWidth="1"/>
    <col min="29" max="29" width="37.5703125" bestFit="1" customWidth="1"/>
    <col min="33" max="33" width="30.140625" bestFit="1" customWidth="1"/>
    <col min="34" max="34" width="22.140625" bestFit="1" customWidth="1"/>
    <col min="35" max="35" width="17.28515625" bestFit="1" customWidth="1"/>
    <col min="36" max="36" width="25.7109375" bestFit="1" customWidth="1"/>
    <col min="41" max="41" width="33" bestFit="1" customWidth="1"/>
    <col min="42" max="42" width="40.140625" bestFit="1" customWidth="1"/>
    <col min="43" max="43" width="31.140625" bestFit="1" customWidth="1"/>
    <col min="46" max="46" width="9.42578125" customWidth="1"/>
    <col min="47" max="47" width="24.42578125" customWidth="1"/>
    <col min="51" max="51" width="38.140625" bestFit="1" customWidth="1"/>
    <col min="52" max="52" width="36.85546875" bestFit="1" customWidth="1"/>
    <col min="54" max="54" width="31.85546875" bestFit="1" customWidth="1"/>
    <col min="55" max="55" width="35.85546875" bestFit="1" customWidth="1"/>
    <col min="59" max="59" width="50.140625" bestFit="1" customWidth="1"/>
    <col min="60" max="60" width="19.28515625" bestFit="1" customWidth="1"/>
    <col min="61" max="61" width="40.42578125" bestFit="1" customWidth="1"/>
    <col min="66" max="66" width="16.5703125" customWidth="1"/>
    <col min="67" max="67" width="17.140625" customWidth="1"/>
    <col min="68" max="68" width="21.7109375" customWidth="1"/>
    <col min="69" max="69" width="20.42578125" customWidth="1"/>
    <col min="70" max="70" width="16.85546875" customWidth="1"/>
    <col min="72" max="72" width="16.85546875" customWidth="1"/>
  </cols>
  <sheetData>
    <row r="5" spans="3:72" ht="21" x14ac:dyDescent="0.35">
      <c r="C5" s="245" t="s">
        <v>319</v>
      </c>
      <c r="D5" s="245"/>
      <c r="E5" s="245"/>
      <c r="F5" s="245"/>
      <c r="G5" s="245"/>
      <c r="AA5" s="246" t="s">
        <v>552</v>
      </c>
      <c r="AB5" s="246"/>
      <c r="AC5" s="246"/>
    </row>
    <row r="6" spans="3:72" ht="15.75" x14ac:dyDescent="0.25">
      <c r="C6" s="79" t="s">
        <v>320</v>
      </c>
      <c r="D6" s="79" t="s">
        <v>321</v>
      </c>
      <c r="E6" s="79" t="s">
        <v>322</v>
      </c>
      <c r="F6" s="79" t="s">
        <v>323</v>
      </c>
      <c r="G6" s="79" t="s">
        <v>324</v>
      </c>
      <c r="I6" s="119" t="s">
        <v>976</v>
      </c>
      <c r="M6" t="s">
        <v>320</v>
      </c>
      <c r="N6" t="s">
        <v>321</v>
      </c>
      <c r="O6" t="s">
        <v>322</v>
      </c>
      <c r="P6" t="s">
        <v>323</v>
      </c>
      <c r="Q6" t="s">
        <v>324</v>
      </c>
      <c r="R6" t="s">
        <v>976</v>
      </c>
      <c r="U6" s="63" t="s">
        <v>348</v>
      </c>
      <c r="V6" s="63" t="s">
        <v>349</v>
      </c>
      <c r="W6" s="63" t="s">
        <v>350</v>
      </c>
      <c r="AA6" s="88" t="s">
        <v>441</v>
      </c>
      <c r="AB6" s="88" t="s">
        <v>442</v>
      </c>
      <c r="AC6" s="88" t="s">
        <v>443</v>
      </c>
      <c r="AG6" s="247" t="s">
        <v>552</v>
      </c>
      <c r="AH6" s="248"/>
      <c r="AI6" s="248"/>
      <c r="AJ6" s="248"/>
    </row>
    <row r="7" spans="3:72" x14ac:dyDescent="0.25">
      <c r="C7" s="63">
        <v>2</v>
      </c>
      <c r="D7" s="63">
        <v>6</v>
      </c>
      <c r="E7" s="63" t="s">
        <v>325</v>
      </c>
      <c r="F7" s="80">
        <v>6</v>
      </c>
      <c r="G7" s="63">
        <v>5</v>
      </c>
      <c r="H7" s="63">
        <v>6</v>
      </c>
      <c r="I7" s="120">
        <f>F7-G7</f>
        <v>1</v>
      </c>
      <c r="M7">
        <v>9</v>
      </c>
      <c r="N7">
        <v>13</v>
      </c>
      <c r="O7" t="s">
        <v>959</v>
      </c>
      <c r="P7">
        <v>18</v>
      </c>
      <c r="Q7">
        <v>13</v>
      </c>
      <c r="R7">
        <v>1.5</v>
      </c>
      <c r="U7" s="63" t="s">
        <v>351</v>
      </c>
      <c r="V7" s="63">
        <v>150</v>
      </c>
      <c r="W7" s="63" t="s">
        <v>352</v>
      </c>
      <c r="AA7" s="89" t="s">
        <v>444</v>
      </c>
      <c r="AB7" s="63"/>
      <c r="AC7" s="63"/>
      <c r="AG7" s="88" t="s">
        <v>445</v>
      </c>
      <c r="AH7" s="88" t="s">
        <v>446</v>
      </c>
      <c r="AI7" s="88" t="s">
        <v>447</v>
      </c>
      <c r="AJ7" s="88" t="s">
        <v>448</v>
      </c>
    </row>
    <row r="8" spans="3:72" x14ac:dyDescent="0.25">
      <c r="C8" s="63">
        <v>6</v>
      </c>
      <c r="D8" s="63">
        <v>8</v>
      </c>
      <c r="E8" s="63" t="s">
        <v>326</v>
      </c>
      <c r="F8" s="81">
        <v>8</v>
      </c>
      <c r="G8" s="63">
        <v>8</v>
      </c>
      <c r="H8" s="63">
        <v>8</v>
      </c>
      <c r="I8" s="120">
        <f t="shared" ref="I8:I32" si="0">F8-G8</f>
        <v>0</v>
      </c>
      <c r="M8">
        <v>13</v>
      </c>
      <c r="N8">
        <v>16</v>
      </c>
      <c r="O8" t="s">
        <v>960</v>
      </c>
      <c r="P8">
        <v>22</v>
      </c>
      <c r="Q8">
        <v>16</v>
      </c>
      <c r="R8">
        <v>1.5</v>
      </c>
      <c r="U8" s="63" t="s">
        <v>353</v>
      </c>
      <c r="V8" s="63">
        <v>150</v>
      </c>
      <c r="W8" s="63" t="s">
        <v>354</v>
      </c>
      <c r="AA8" s="88" t="s">
        <v>449</v>
      </c>
      <c r="AB8" s="63" t="s">
        <v>450</v>
      </c>
      <c r="AC8" s="63" t="s">
        <v>451</v>
      </c>
      <c r="AG8" s="88" t="s">
        <v>452</v>
      </c>
      <c r="AH8" s="63" t="s">
        <v>453</v>
      </c>
      <c r="AI8" s="63" t="s">
        <v>454</v>
      </c>
      <c r="AJ8" s="63" t="s">
        <v>455</v>
      </c>
      <c r="AN8" s="63" t="s">
        <v>60</v>
      </c>
      <c r="AO8" s="63" t="s">
        <v>570</v>
      </c>
      <c r="AP8" s="63" t="s">
        <v>571</v>
      </c>
      <c r="AQ8" s="63" t="s">
        <v>572</v>
      </c>
    </row>
    <row r="9" spans="3:72" ht="19.5" customHeight="1" x14ac:dyDescent="0.25">
      <c r="C9" s="63">
        <v>8</v>
      </c>
      <c r="D9" s="63">
        <v>10</v>
      </c>
      <c r="E9" s="63" t="s">
        <v>327</v>
      </c>
      <c r="F9" s="81">
        <v>10</v>
      </c>
      <c r="G9" s="63">
        <v>9</v>
      </c>
      <c r="H9" s="63">
        <v>10</v>
      </c>
      <c r="I9" s="120">
        <f t="shared" si="0"/>
        <v>1</v>
      </c>
      <c r="M9">
        <v>16</v>
      </c>
      <c r="N9">
        <v>20</v>
      </c>
      <c r="O9" t="s">
        <v>961</v>
      </c>
      <c r="P9">
        <v>26</v>
      </c>
      <c r="Q9">
        <v>20</v>
      </c>
      <c r="R9">
        <v>1.5</v>
      </c>
      <c r="U9" s="63" t="s">
        <v>355</v>
      </c>
      <c r="V9" s="63" t="s">
        <v>356</v>
      </c>
      <c r="W9" s="63" t="s">
        <v>357</v>
      </c>
      <c r="AA9" s="88" t="s">
        <v>456</v>
      </c>
      <c r="AB9" s="63" t="s">
        <v>450</v>
      </c>
      <c r="AC9" s="63" t="s">
        <v>457</v>
      </c>
      <c r="AG9" s="88" t="s">
        <v>458</v>
      </c>
      <c r="AH9" s="63" t="s">
        <v>453</v>
      </c>
      <c r="AI9" s="63" t="s">
        <v>454</v>
      </c>
      <c r="AJ9" s="63" t="s">
        <v>455</v>
      </c>
      <c r="AN9" s="63">
        <v>20</v>
      </c>
      <c r="AO9" s="63">
        <v>20</v>
      </c>
      <c r="AP9" s="63">
        <v>1</v>
      </c>
      <c r="AQ9" s="63">
        <v>18</v>
      </c>
      <c r="AT9" t="s">
        <v>788</v>
      </c>
      <c r="AU9" t="s">
        <v>1338</v>
      </c>
      <c r="AV9" t="s">
        <v>1339</v>
      </c>
      <c r="AY9" t="s">
        <v>1357</v>
      </c>
      <c r="AZ9" t="s">
        <v>1358</v>
      </c>
      <c r="BA9" t="s">
        <v>1359</v>
      </c>
      <c r="BB9" t="s">
        <v>1360</v>
      </c>
      <c r="BC9" t="s">
        <v>1361</v>
      </c>
      <c r="BG9" t="s">
        <v>1369</v>
      </c>
      <c r="BH9" t="s">
        <v>1370</v>
      </c>
      <c r="BI9" t="s">
        <v>1371</v>
      </c>
      <c r="BJ9" t="s">
        <v>1372</v>
      </c>
      <c r="BK9" t="s">
        <v>1373</v>
      </c>
      <c r="BN9" s="150" t="s">
        <v>1377</v>
      </c>
      <c r="BO9" s="150" t="s">
        <v>1378</v>
      </c>
      <c r="BP9" s="150" t="s">
        <v>1379</v>
      </c>
      <c r="BQ9" s="150" t="s">
        <v>1359</v>
      </c>
      <c r="BR9" s="150" t="s">
        <v>1380</v>
      </c>
      <c r="BS9" s="150" t="s">
        <v>1381</v>
      </c>
      <c r="BT9" s="150" t="s">
        <v>1382</v>
      </c>
    </row>
    <row r="10" spans="3:72" ht="16.5" customHeight="1" x14ac:dyDescent="0.25">
      <c r="C10" s="63">
        <v>10</v>
      </c>
      <c r="D10" s="63">
        <v>15</v>
      </c>
      <c r="E10" s="63" t="s">
        <v>328</v>
      </c>
      <c r="F10" s="63">
        <v>21</v>
      </c>
      <c r="G10" s="63">
        <v>15</v>
      </c>
      <c r="H10" s="63">
        <v>15</v>
      </c>
      <c r="I10" s="120">
        <f t="shared" si="0"/>
        <v>6</v>
      </c>
      <c r="M10">
        <v>20</v>
      </c>
      <c r="N10">
        <v>25</v>
      </c>
      <c r="O10" t="s">
        <v>962</v>
      </c>
      <c r="P10">
        <v>32</v>
      </c>
      <c r="Q10">
        <v>25</v>
      </c>
      <c r="R10">
        <v>1.9</v>
      </c>
      <c r="U10" s="63" t="s">
        <v>358</v>
      </c>
      <c r="V10" s="63">
        <v>140</v>
      </c>
      <c r="W10" s="63"/>
      <c r="AA10" s="88" t="s">
        <v>459</v>
      </c>
      <c r="AB10" s="63" t="s">
        <v>450</v>
      </c>
      <c r="AC10" s="63" t="s">
        <v>460</v>
      </c>
      <c r="AG10" s="243" t="s">
        <v>461</v>
      </c>
      <c r="AH10" s="63" t="s">
        <v>462</v>
      </c>
      <c r="AI10" s="63" t="s">
        <v>463</v>
      </c>
      <c r="AJ10" s="63" t="s">
        <v>464</v>
      </c>
      <c r="AN10" s="63">
        <v>25</v>
      </c>
      <c r="AO10" s="63">
        <v>25</v>
      </c>
      <c r="AP10" s="63">
        <v>1.2</v>
      </c>
      <c r="AQ10" s="63">
        <v>22.6</v>
      </c>
      <c r="AT10">
        <v>80</v>
      </c>
      <c r="AU10" t="s">
        <v>1340</v>
      </c>
      <c r="AV10" t="s">
        <v>1341</v>
      </c>
      <c r="AY10" t="s">
        <v>1018</v>
      </c>
      <c r="AZ10" t="s">
        <v>1362</v>
      </c>
      <c r="BA10">
        <v>14695</v>
      </c>
      <c r="BB10">
        <v>343306</v>
      </c>
      <c r="BC10" t="s">
        <v>1364</v>
      </c>
      <c r="BG10" t="s">
        <v>1020</v>
      </c>
      <c r="BH10" t="s">
        <v>1122</v>
      </c>
      <c r="BI10">
        <v>435980</v>
      </c>
      <c r="BJ10" t="s">
        <v>1374</v>
      </c>
      <c r="BK10" t="s">
        <v>1374</v>
      </c>
      <c r="BN10" s="150" t="s">
        <v>1015</v>
      </c>
      <c r="BO10" s="150" t="s">
        <v>1383</v>
      </c>
      <c r="BP10" s="150" t="s">
        <v>1384</v>
      </c>
      <c r="BQ10" s="150" t="s">
        <v>1363</v>
      </c>
      <c r="BR10" s="150">
        <v>256728</v>
      </c>
      <c r="BS10" s="150" t="s">
        <v>1374</v>
      </c>
      <c r="BT10" s="150" t="s">
        <v>1374</v>
      </c>
    </row>
    <row r="11" spans="3:72" ht="18.95" customHeight="1" x14ac:dyDescent="0.25">
      <c r="C11" s="63">
        <v>15</v>
      </c>
      <c r="D11" s="63">
        <v>20</v>
      </c>
      <c r="E11" s="63" t="s">
        <v>329</v>
      </c>
      <c r="F11" s="63">
        <v>27</v>
      </c>
      <c r="G11" s="63">
        <v>20</v>
      </c>
      <c r="H11" s="63">
        <v>20</v>
      </c>
      <c r="I11" s="120">
        <f t="shared" si="0"/>
        <v>7</v>
      </c>
      <c r="M11">
        <v>25</v>
      </c>
      <c r="N11">
        <v>30</v>
      </c>
      <c r="O11" t="s">
        <v>963</v>
      </c>
      <c r="P11">
        <v>38</v>
      </c>
      <c r="Q11">
        <v>31</v>
      </c>
      <c r="R11">
        <v>1.9</v>
      </c>
      <c r="U11" s="63" t="s">
        <v>359</v>
      </c>
      <c r="V11" s="63">
        <v>140</v>
      </c>
      <c r="W11" s="63" t="s">
        <v>354</v>
      </c>
      <c r="AA11" s="88" t="s">
        <v>465</v>
      </c>
      <c r="AB11" s="63" t="s">
        <v>450</v>
      </c>
      <c r="AC11" s="63" t="s">
        <v>457</v>
      </c>
      <c r="AG11" s="244"/>
      <c r="AH11" s="63" t="s">
        <v>466</v>
      </c>
      <c r="AI11" s="63" t="s">
        <v>467</v>
      </c>
      <c r="AJ11" s="63"/>
      <c r="AN11" s="63">
        <v>32</v>
      </c>
      <c r="AO11" s="63">
        <v>32</v>
      </c>
      <c r="AP11" s="63">
        <v>1.6</v>
      </c>
      <c r="AQ11" s="63">
        <v>28.8</v>
      </c>
      <c r="AT11">
        <v>125</v>
      </c>
      <c r="AU11" t="s">
        <v>1342</v>
      </c>
      <c r="AV11" t="s">
        <v>1341</v>
      </c>
      <c r="AY11" t="s">
        <v>1019</v>
      </c>
      <c r="AZ11" t="s">
        <v>1365</v>
      </c>
      <c r="BA11">
        <v>14695</v>
      </c>
      <c r="BB11">
        <v>968131</v>
      </c>
      <c r="BC11" t="s">
        <v>1366</v>
      </c>
      <c r="BG11" t="s">
        <v>1021</v>
      </c>
      <c r="BH11" t="s">
        <v>1122</v>
      </c>
      <c r="BI11">
        <v>435980</v>
      </c>
      <c r="BJ11" t="s">
        <v>1374</v>
      </c>
      <c r="BK11" t="s">
        <v>1374</v>
      </c>
      <c r="BN11" s="150" t="s">
        <v>1022</v>
      </c>
      <c r="BO11" s="150" t="s">
        <v>1122</v>
      </c>
      <c r="BP11" s="150" t="s">
        <v>1385</v>
      </c>
      <c r="BQ11" s="150" t="s">
        <v>1363</v>
      </c>
      <c r="BR11" s="150">
        <v>210836</v>
      </c>
      <c r="BS11" s="150" t="s">
        <v>1374</v>
      </c>
      <c r="BT11" s="150" t="s">
        <v>1374</v>
      </c>
    </row>
    <row r="12" spans="3:72" x14ac:dyDescent="0.25">
      <c r="C12" s="63">
        <v>20</v>
      </c>
      <c r="D12" s="63">
        <v>25</v>
      </c>
      <c r="E12" s="63" t="s">
        <v>330</v>
      </c>
      <c r="F12" s="63">
        <v>34</v>
      </c>
      <c r="G12" s="63">
        <v>25</v>
      </c>
      <c r="H12" s="63">
        <v>25</v>
      </c>
      <c r="I12" s="120">
        <f t="shared" si="0"/>
        <v>9</v>
      </c>
      <c r="M12">
        <v>30</v>
      </c>
      <c r="N12">
        <v>40</v>
      </c>
      <c r="O12" t="s">
        <v>964</v>
      </c>
      <c r="P12">
        <v>48</v>
      </c>
      <c r="Q12">
        <v>40</v>
      </c>
      <c r="R12">
        <v>1.9</v>
      </c>
      <c r="U12" s="63" t="s">
        <v>360</v>
      </c>
      <c r="V12" s="63">
        <v>140</v>
      </c>
      <c r="W12" s="63" t="s">
        <v>354</v>
      </c>
      <c r="AA12" s="88" t="s">
        <v>468</v>
      </c>
      <c r="AB12" s="63" t="s">
        <v>450</v>
      </c>
      <c r="AC12" s="63" t="s">
        <v>469</v>
      </c>
      <c r="AG12" s="243" t="s">
        <v>369</v>
      </c>
      <c r="AH12" s="63" t="s">
        <v>470</v>
      </c>
      <c r="AI12" s="63" t="s">
        <v>471</v>
      </c>
      <c r="AJ12" s="63" t="s">
        <v>472</v>
      </c>
      <c r="AN12" s="63">
        <v>40</v>
      </c>
      <c r="AO12" s="63">
        <v>40</v>
      </c>
      <c r="AP12" s="63">
        <v>1.9</v>
      </c>
      <c r="AQ12" s="63">
        <v>36.200000000000003</v>
      </c>
      <c r="AT12">
        <v>130</v>
      </c>
      <c r="AU12" t="s">
        <v>1343</v>
      </c>
      <c r="AV12" t="s">
        <v>1341</v>
      </c>
      <c r="AY12" t="s">
        <v>1016</v>
      </c>
      <c r="AZ12" t="s">
        <v>1367</v>
      </c>
      <c r="BA12">
        <v>14695</v>
      </c>
      <c r="BB12">
        <v>1260000</v>
      </c>
      <c r="BC12" t="s">
        <v>1366</v>
      </c>
    </row>
    <row r="13" spans="3:72" x14ac:dyDescent="0.25">
      <c r="C13" s="63">
        <v>25</v>
      </c>
      <c r="D13" s="63">
        <v>32</v>
      </c>
      <c r="E13" s="63" t="s">
        <v>331</v>
      </c>
      <c r="F13" s="63">
        <v>42</v>
      </c>
      <c r="G13" s="63">
        <v>33</v>
      </c>
      <c r="H13" s="63">
        <v>32</v>
      </c>
      <c r="I13" s="120">
        <f t="shared" si="0"/>
        <v>9</v>
      </c>
      <c r="M13">
        <v>40</v>
      </c>
      <c r="N13">
        <v>42</v>
      </c>
      <c r="P13">
        <v>48</v>
      </c>
      <c r="Q13">
        <v>42</v>
      </c>
      <c r="R13">
        <v>2</v>
      </c>
      <c r="U13" s="63" t="s">
        <v>361</v>
      </c>
      <c r="V13" s="63" t="s">
        <v>362</v>
      </c>
      <c r="W13" s="63" t="s">
        <v>363</v>
      </c>
      <c r="AA13" s="88" t="s">
        <v>473</v>
      </c>
      <c r="AB13" s="63" t="s">
        <v>450</v>
      </c>
      <c r="AC13" s="63" t="s">
        <v>474</v>
      </c>
      <c r="AG13" s="244"/>
      <c r="AH13" s="63" t="s">
        <v>466</v>
      </c>
      <c r="AI13" s="63" t="s">
        <v>475</v>
      </c>
      <c r="AJ13" s="63"/>
      <c r="AN13" s="63">
        <v>50</v>
      </c>
      <c r="AO13" s="63">
        <v>50</v>
      </c>
      <c r="AP13" s="63">
        <v>2.4</v>
      </c>
      <c r="AQ13" s="63">
        <v>45.2</v>
      </c>
      <c r="AT13">
        <v>200</v>
      </c>
      <c r="AU13" t="s">
        <v>1344</v>
      </c>
      <c r="AV13" t="s">
        <v>1345</v>
      </c>
      <c r="AY13" t="s">
        <v>1017</v>
      </c>
      <c r="AZ13" t="s">
        <v>1368</v>
      </c>
      <c r="BA13">
        <v>14695</v>
      </c>
      <c r="BB13">
        <v>4995900</v>
      </c>
      <c r="BC13" t="s">
        <v>1366</v>
      </c>
    </row>
    <row r="14" spans="3:72" x14ac:dyDescent="0.25">
      <c r="C14" s="63">
        <v>32</v>
      </c>
      <c r="D14" s="63">
        <v>40</v>
      </c>
      <c r="E14" s="63" t="s">
        <v>332</v>
      </c>
      <c r="F14" s="63">
        <v>50</v>
      </c>
      <c r="G14" s="63">
        <v>40</v>
      </c>
      <c r="H14" s="63">
        <v>40</v>
      </c>
      <c r="I14" s="120">
        <f t="shared" si="0"/>
        <v>10</v>
      </c>
      <c r="M14">
        <v>42</v>
      </c>
      <c r="N14">
        <v>50</v>
      </c>
      <c r="O14" t="s">
        <v>965</v>
      </c>
      <c r="P14">
        <v>60</v>
      </c>
      <c r="Q14">
        <v>51</v>
      </c>
      <c r="R14">
        <v>2.4</v>
      </c>
      <c r="U14" s="63" t="s">
        <v>364</v>
      </c>
      <c r="V14" s="63" t="s">
        <v>365</v>
      </c>
      <c r="W14" s="63" t="s">
        <v>366</v>
      </c>
      <c r="AA14" s="88" t="s">
        <v>476</v>
      </c>
      <c r="AB14" s="63" t="s">
        <v>450</v>
      </c>
      <c r="AC14" s="63" t="s">
        <v>477</v>
      </c>
      <c r="AG14" s="243" t="s">
        <v>478</v>
      </c>
      <c r="AH14" s="63" t="s">
        <v>479</v>
      </c>
      <c r="AI14" s="63" t="s">
        <v>463</v>
      </c>
      <c r="AJ14" s="63" t="s">
        <v>480</v>
      </c>
      <c r="AN14" s="63">
        <v>63</v>
      </c>
      <c r="AO14" s="63">
        <v>63</v>
      </c>
      <c r="AP14" s="63">
        <v>3</v>
      </c>
      <c r="AQ14" s="63">
        <v>57</v>
      </c>
      <c r="AT14">
        <v>250</v>
      </c>
      <c r="AU14" t="s">
        <v>1346</v>
      </c>
      <c r="AV14" t="s">
        <v>1347</v>
      </c>
    </row>
    <row r="15" spans="3:72" x14ac:dyDescent="0.25">
      <c r="C15" s="63">
        <v>40</v>
      </c>
      <c r="D15" s="63">
        <v>50</v>
      </c>
      <c r="E15" s="63" t="s">
        <v>333</v>
      </c>
      <c r="F15" s="63">
        <v>63</v>
      </c>
      <c r="G15" s="63">
        <v>51</v>
      </c>
      <c r="H15" s="63">
        <v>50</v>
      </c>
      <c r="I15" s="120">
        <f t="shared" si="0"/>
        <v>12</v>
      </c>
      <c r="M15">
        <v>50</v>
      </c>
      <c r="N15">
        <v>63</v>
      </c>
      <c r="P15">
        <v>76</v>
      </c>
      <c r="Q15">
        <v>59.2</v>
      </c>
      <c r="R15">
        <v>3</v>
      </c>
      <c r="U15" s="63" t="s">
        <v>367</v>
      </c>
      <c r="V15" s="63">
        <v>130</v>
      </c>
      <c r="W15" s="63"/>
      <c r="AA15" s="88" t="s">
        <v>481</v>
      </c>
      <c r="AB15" s="63" t="s">
        <v>450</v>
      </c>
      <c r="AC15" s="63" t="s">
        <v>482</v>
      </c>
      <c r="AG15" s="244"/>
      <c r="AH15" s="63" t="s">
        <v>483</v>
      </c>
      <c r="AI15" s="63" t="s">
        <v>484</v>
      </c>
      <c r="AJ15" s="63"/>
      <c r="AN15" s="63">
        <v>75</v>
      </c>
      <c r="AO15" s="63">
        <v>75</v>
      </c>
      <c r="AP15" s="63">
        <v>3.6</v>
      </c>
      <c r="AQ15" s="63">
        <v>67.8</v>
      </c>
      <c r="AT15">
        <v>300</v>
      </c>
      <c r="AU15" t="s">
        <v>1348</v>
      </c>
      <c r="AV15" t="s">
        <v>1347</v>
      </c>
    </row>
    <row r="16" spans="3:72" x14ac:dyDescent="0.25">
      <c r="C16" s="63">
        <v>50</v>
      </c>
      <c r="D16" s="63">
        <v>65</v>
      </c>
      <c r="E16" s="63" t="s">
        <v>334</v>
      </c>
      <c r="F16" s="63">
        <v>76</v>
      </c>
      <c r="G16" s="63">
        <v>67</v>
      </c>
      <c r="H16" s="63">
        <v>65</v>
      </c>
      <c r="I16" s="120">
        <f t="shared" si="0"/>
        <v>9</v>
      </c>
      <c r="M16">
        <v>63</v>
      </c>
      <c r="N16">
        <v>65</v>
      </c>
      <c r="O16" t="s">
        <v>966</v>
      </c>
      <c r="P16">
        <v>76</v>
      </c>
      <c r="Q16">
        <v>67</v>
      </c>
      <c r="R16">
        <v>3</v>
      </c>
      <c r="U16" s="63" t="s">
        <v>368</v>
      </c>
      <c r="V16" s="63">
        <v>120</v>
      </c>
      <c r="W16" s="63"/>
      <c r="AA16" s="88" t="s">
        <v>485</v>
      </c>
      <c r="AB16" s="63" t="s">
        <v>450</v>
      </c>
      <c r="AC16" s="63" t="s">
        <v>457</v>
      </c>
      <c r="AG16" s="243" t="s">
        <v>486</v>
      </c>
      <c r="AH16" s="63" t="s">
        <v>354</v>
      </c>
      <c r="AI16" s="63" t="s">
        <v>487</v>
      </c>
      <c r="AJ16" s="63" t="s">
        <v>471</v>
      </c>
      <c r="AN16" s="63">
        <v>90</v>
      </c>
      <c r="AO16" s="63">
        <v>90</v>
      </c>
      <c r="AP16" s="63">
        <v>4.3</v>
      </c>
      <c r="AQ16" s="63">
        <v>81.400000000000006</v>
      </c>
      <c r="AT16">
        <v>350</v>
      </c>
      <c r="AU16" t="s">
        <v>1349</v>
      </c>
      <c r="AV16" t="s">
        <v>1347</v>
      </c>
    </row>
    <row r="17" spans="3:48" x14ac:dyDescent="0.25">
      <c r="C17" s="63">
        <v>65</v>
      </c>
      <c r="D17" s="63">
        <v>80</v>
      </c>
      <c r="E17" s="63" t="s">
        <v>335</v>
      </c>
      <c r="F17" s="63">
        <v>89</v>
      </c>
      <c r="G17" s="63">
        <v>77</v>
      </c>
      <c r="H17" s="63">
        <v>80</v>
      </c>
      <c r="I17" s="120">
        <f t="shared" si="0"/>
        <v>12</v>
      </c>
      <c r="M17">
        <v>65</v>
      </c>
      <c r="N17">
        <v>75</v>
      </c>
      <c r="P17">
        <v>89</v>
      </c>
      <c r="Q17">
        <v>70.599999999999994</v>
      </c>
      <c r="R17">
        <v>3.6</v>
      </c>
      <c r="U17" s="63" t="s">
        <v>369</v>
      </c>
      <c r="V17" s="63">
        <v>120</v>
      </c>
      <c r="W17" s="63"/>
      <c r="AA17" s="88" t="s">
        <v>488</v>
      </c>
      <c r="AB17" s="63" t="s">
        <v>450</v>
      </c>
      <c r="AC17" s="63" t="s">
        <v>489</v>
      </c>
      <c r="AG17" s="244"/>
      <c r="AH17" s="63" t="s">
        <v>490</v>
      </c>
      <c r="AI17" s="63" t="s">
        <v>491</v>
      </c>
      <c r="AJ17" s="63"/>
      <c r="AN17" s="63">
        <v>110</v>
      </c>
      <c r="AO17" s="63">
        <v>110</v>
      </c>
      <c r="AP17" s="63">
        <v>5.3</v>
      </c>
      <c r="AQ17" s="63">
        <v>99.4</v>
      </c>
      <c r="AT17">
        <v>400</v>
      </c>
      <c r="AU17" t="s">
        <v>1350</v>
      </c>
      <c r="AV17" t="s">
        <v>1347</v>
      </c>
    </row>
    <row r="18" spans="3:48" x14ac:dyDescent="0.25">
      <c r="C18" s="63">
        <v>80</v>
      </c>
      <c r="D18" s="63">
        <v>100</v>
      </c>
      <c r="E18" s="63" t="s">
        <v>336</v>
      </c>
      <c r="F18" s="63">
        <v>114</v>
      </c>
      <c r="G18" s="63">
        <v>100</v>
      </c>
      <c r="H18" s="63">
        <v>100</v>
      </c>
      <c r="I18" s="120">
        <f t="shared" si="0"/>
        <v>14</v>
      </c>
      <c r="M18">
        <v>75</v>
      </c>
      <c r="N18">
        <v>80</v>
      </c>
      <c r="O18" t="s">
        <v>967</v>
      </c>
      <c r="P18">
        <v>89</v>
      </c>
      <c r="Q18">
        <v>77</v>
      </c>
      <c r="R18">
        <v>3.8</v>
      </c>
      <c r="U18" s="63" t="s">
        <v>370</v>
      </c>
      <c r="V18" s="63">
        <v>120</v>
      </c>
      <c r="W18" s="63"/>
      <c r="AA18" s="88" t="s">
        <v>492</v>
      </c>
      <c r="AB18" s="63" t="s">
        <v>450</v>
      </c>
      <c r="AC18" s="63" t="s">
        <v>493</v>
      </c>
      <c r="AG18" s="243" t="s">
        <v>494</v>
      </c>
      <c r="AH18" s="63" t="s">
        <v>495</v>
      </c>
      <c r="AI18" s="63" t="s">
        <v>463</v>
      </c>
      <c r="AJ18" s="63" t="s">
        <v>491</v>
      </c>
      <c r="AN18" s="63">
        <v>125</v>
      </c>
      <c r="AO18" s="63">
        <v>125</v>
      </c>
      <c r="AP18" s="63">
        <v>6</v>
      </c>
      <c r="AQ18" s="63">
        <v>113</v>
      </c>
      <c r="AT18">
        <v>450</v>
      </c>
      <c r="AU18" t="s">
        <v>1351</v>
      </c>
      <c r="AV18" t="s">
        <v>1347</v>
      </c>
    </row>
    <row r="19" spans="3:48" x14ac:dyDescent="0.25">
      <c r="C19" s="63">
        <v>100</v>
      </c>
      <c r="D19" s="63">
        <v>125</v>
      </c>
      <c r="E19" s="63" t="s">
        <v>337</v>
      </c>
      <c r="F19" s="63">
        <v>140</v>
      </c>
      <c r="G19" s="63">
        <v>125</v>
      </c>
      <c r="H19" s="63">
        <v>125</v>
      </c>
      <c r="I19" s="120">
        <f t="shared" si="0"/>
        <v>15</v>
      </c>
      <c r="M19">
        <v>80</v>
      </c>
      <c r="N19">
        <v>90</v>
      </c>
      <c r="P19">
        <v>114</v>
      </c>
      <c r="Q19">
        <v>84.6</v>
      </c>
      <c r="R19">
        <v>4.3</v>
      </c>
      <c r="U19" s="63" t="s">
        <v>371</v>
      </c>
      <c r="V19" s="63">
        <v>130</v>
      </c>
      <c r="W19" s="63"/>
      <c r="AA19" s="88" t="s">
        <v>496</v>
      </c>
      <c r="AB19" s="63" t="s">
        <v>450</v>
      </c>
      <c r="AC19" s="63" t="s">
        <v>477</v>
      </c>
      <c r="AG19" s="244"/>
      <c r="AH19" s="63" t="s">
        <v>497</v>
      </c>
      <c r="AI19" s="63" t="s">
        <v>484</v>
      </c>
      <c r="AJ19" s="63"/>
      <c r="AN19" s="63">
        <v>140</v>
      </c>
      <c r="AO19" s="63">
        <v>140</v>
      </c>
      <c r="AP19" s="63">
        <v>6.7</v>
      </c>
      <c r="AQ19" s="63">
        <v>126.6</v>
      </c>
      <c r="AT19">
        <v>500</v>
      </c>
      <c r="AU19" t="s">
        <v>1352</v>
      </c>
      <c r="AV19" t="s">
        <v>1347</v>
      </c>
    </row>
    <row r="20" spans="3:48" x14ac:dyDescent="0.25">
      <c r="C20" s="63">
        <v>125</v>
      </c>
      <c r="D20" s="63">
        <v>150</v>
      </c>
      <c r="E20" s="63" t="s">
        <v>338</v>
      </c>
      <c r="F20" s="63">
        <v>168</v>
      </c>
      <c r="G20" s="63">
        <v>150</v>
      </c>
      <c r="H20" s="63">
        <v>150</v>
      </c>
      <c r="I20" s="120">
        <f t="shared" si="0"/>
        <v>18</v>
      </c>
      <c r="M20">
        <v>90</v>
      </c>
      <c r="N20">
        <v>100</v>
      </c>
      <c r="O20" t="s">
        <v>968</v>
      </c>
      <c r="P20">
        <v>114</v>
      </c>
      <c r="Q20">
        <v>100</v>
      </c>
      <c r="R20">
        <v>4.3</v>
      </c>
      <c r="U20" s="63" t="s">
        <v>372</v>
      </c>
      <c r="V20" s="63">
        <v>130</v>
      </c>
      <c r="W20" s="63"/>
      <c r="AA20" s="88" t="s">
        <v>498</v>
      </c>
      <c r="AB20" s="63" t="s">
        <v>450</v>
      </c>
      <c r="AC20" s="63" t="s">
        <v>499</v>
      </c>
      <c r="AG20" s="243" t="s">
        <v>500</v>
      </c>
      <c r="AH20" s="63" t="s">
        <v>501</v>
      </c>
      <c r="AI20" s="63" t="s">
        <v>502</v>
      </c>
      <c r="AJ20" s="63" t="s">
        <v>503</v>
      </c>
      <c r="AN20" s="63">
        <v>160</v>
      </c>
      <c r="AO20" s="63">
        <v>160</v>
      </c>
      <c r="AP20" s="63">
        <v>7.7</v>
      </c>
      <c r="AQ20" s="63">
        <v>144.6</v>
      </c>
      <c r="AT20">
        <v>600</v>
      </c>
      <c r="AU20" t="s">
        <v>1353</v>
      </c>
      <c r="AV20" t="s">
        <v>1347</v>
      </c>
    </row>
    <row r="21" spans="3:48" x14ac:dyDescent="0.25">
      <c r="C21" s="63">
        <v>150</v>
      </c>
      <c r="D21" s="63">
        <v>200</v>
      </c>
      <c r="E21" s="63" t="s">
        <v>339</v>
      </c>
      <c r="F21" s="63">
        <v>219</v>
      </c>
      <c r="G21" s="63">
        <v>200</v>
      </c>
      <c r="H21" s="63">
        <v>200</v>
      </c>
      <c r="I21" s="120">
        <f t="shared" si="0"/>
        <v>19</v>
      </c>
      <c r="M21">
        <v>100</v>
      </c>
      <c r="N21">
        <v>110</v>
      </c>
      <c r="P21">
        <v>129</v>
      </c>
      <c r="Q21">
        <v>103.6</v>
      </c>
      <c r="R21">
        <v>4.8</v>
      </c>
      <c r="AA21" s="88" t="s">
        <v>504</v>
      </c>
      <c r="AB21" s="63" t="s">
        <v>450</v>
      </c>
      <c r="AC21" s="63" t="s">
        <v>489</v>
      </c>
      <c r="AG21" s="244"/>
      <c r="AH21" s="63" t="s">
        <v>505</v>
      </c>
      <c r="AI21" s="63" t="s">
        <v>506</v>
      </c>
      <c r="AJ21" s="63"/>
      <c r="AN21" s="63">
        <v>180</v>
      </c>
      <c r="AO21" s="63">
        <v>180</v>
      </c>
      <c r="AP21" s="63">
        <v>8.6</v>
      </c>
      <c r="AQ21" s="63">
        <v>162.80000000000001</v>
      </c>
      <c r="AT21">
        <v>800</v>
      </c>
      <c r="AU21" t="s">
        <v>1354</v>
      </c>
      <c r="AV21" t="s">
        <v>1347</v>
      </c>
    </row>
    <row r="22" spans="3:48" x14ac:dyDescent="0.25">
      <c r="C22" s="63">
        <v>200</v>
      </c>
      <c r="D22" s="63">
        <v>250</v>
      </c>
      <c r="E22" s="63" t="s">
        <v>340</v>
      </c>
      <c r="F22" s="63">
        <v>273</v>
      </c>
      <c r="G22" s="63">
        <v>250</v>
      </c>
      <c r="H22" s="63">
        <v>250</v>
      </c>
      <c r="I22" s="120">
        <f t="shared" si="0"/>
        <v>23</v>
      </c>
      <c r="M22">
        <v>110</v>
      </c>
      <c r="N22">
        <v>125</v>
      </c>
      <c r="O22" t="s">
        <v>969</v>
      </c>
      <c r="P22">
        <v>140</v>
      </c>
      <c r="Q22">
        <v>125</v>
      </c>
      <c r="R22">
        <v>5.4</v>
      </c>
      <c r="AA22" s="88" t="s">
        <v>507</v>
      </c>
      <c r="AB22" s="63" t="s">
        <v>450</v>
      </c>
      <c r="AC22" s="63" t="s">
        <v>508</v>
      </c>
      <c r="AG22" s="243" t="s">
        <v>509</v>
      </c>
      <c r="AH22" s="63" t="s">
        <v>510</v>
      </c>
      <c r="AI22" s="63" t="s">
        <v>511</v>
      </c>
      <c r="AJ22" s="63"/>
      <c r="AN22" s="63">
        <v>200</v>
      </c>
      <c r="AO22" s="63">
        <v>200</v>
      </c>
      <c r="AP22" s="63">
        <v>9.6</v>
      </c>
      <c r="AQ22" s="63">
        <v>180.8</v>
      </c>
    </row>
    <row r="23" spans="3:48" x14ac:dyDescent="0.25">
      <c r="C23" s="63">
        <v>250</v>
      </c>
      <c r="D23" s="63">
        <v>300</v>
      </c>
      <c r="E23" s="63" t="s">
        <v>341</v>
      </c>
      <c r="F23" s="63">
        <v>325</v>
      </c>
      <c r="G23" s="63">
        <v>300</v>
      </c>
      <c r="H23" s="63">
        <v>300</v>
      </c>
      <c r="I23" s="120">
        <f t="shared" si="0"/>
        <v>25</v>
      </c>
      <c r="M23">
        <v>125</v>
      </c>
      <c r="N23">
        <v>130</v>
      </c>
      <c r="P23">
        <v>168</v>
      </c>
      <c r="Q23">
        <v>131.80000000000001</v>
      </c>
      <c r="R23">
        <v>5.4</v>
      </c>
      <c r="U23" s="63" t="s">
        <v>348</v>
      </c>
      <c r="V23" s="63" t="s">
        <v>373</v>
      </c>
      <c r="W23" s="63" t="s">
        <v>374</v>
      </c>
      <c r="AA23" s="88" t="s">
        <v>512</v>
      </c>
      <c r="AB23" s="63" t="s">
        <v>450</v>
      </c>
      <c r="AC23" s="63" t="s">
        <v>513</v>
      </c>
      <c r="AG23" s="244"/>
      <c r="AH23" s="63" t="s">
        <v>514</v>
      </c>
      <c r="AI23" s="63" t="s">
        <v>515</v>
      </c>
      <c r="AJ23" s="63"/>
      <c r="AN23" s="63">
        <v>225</v>
      </c>
      <c r="AO23" s="63">
        <v>225</v>
      </c>
      <c r="AP23" s="63">
        <v>10.8</v>
      </c>
      <c r="AQ23" s="63">
        <v>203.4</v>
      </c>
    </row>
    <row r="24" spans="3:48" x14ac:dyDescent="0.25">
      <c r="C24" s="63">
        <v>300</v>
      </c>
      <c r="D24" s="63">
        <v>350</v>
      </c>
      <c r="E24" s="63" t="s">
        <v>342</v>
      </c>
      <c r="F24" s="63">
        <v>377</v>
      </c>
      <c r="G24" s="63">
        <v>350</v>
      </c>
      <c r="H24" s="63">
        <v>350</v>
      </c>
      <c r="I24" s="120">
        <f t="shared" si="0"/>
        <v>27</v>
      </c>
      <c r="M24">
        <v>130</v>
      </c>
      <c r="N24">
        <v>140</v>
      </c>
      <c r="P24">
        <v>168</v>
      </c>
      <c r="Q24">
        <v>137.80000000000001</v>
      </c>
      <c r="R24">
        <v>6.2</v>
      </c>
      <c r="U24" s="63" t="s">
        <v>375</v>
      </c>
      <c r="V24" s="63">
        <v>150</v>
      </c>
      <c r="W24" s="63">
        <v>135</v>
      </c>
      <c r="AA24" s="89" t="s">
        <v>516</v>
      </c>
      <c r="AB24" s="63"/>
      <c r="AC24" s="63"/>
      <c r="AG24" s="88" t="s">
        <v>517</v>
      </c>
      <c r="AH24" s="63" t="s">
        <v>518</v>
      </c>
      <c r="AI24" s="63" t="s">
        <v>519</v>
      </c>
      <c r="AJ24" s="63"/>
      <c r="AN24" s="63">
        <v>250</v>
      </c>
      <c r="AO24" s="63">
        <v>250</v>
      </c>
      <c r="AP24" s="63">
        <v>11.9</v>
      </c>
      <c r="AQ24" s="63">
        <v>226.2</v>
      </c>
    </row>
    <row r="25" spans="3:48" x14ac:dyDescent="0.25">
      <c r="C25" s="63">
        <v>350</v>
      </c>
      <c r="D25" s="63">
        <v>400</v>
      </c>
      <c r="E25" s="63" t="s">
        <v>343</v>
      </c>
      <c r="F25" s="63">
        <v>426</v>
      </c>
      <c r="G25" s="63">
        <v>400</v>
      </c>
      <c r="H25" s="63">
        <v>400</v>
      </c>
      <c r="I25" s="120">
        <f t="shared" si="0"/>
        <v>26</v>
      </c>
      <c r="M25">
        <v>140</v>
      </c>
      <c r="N25">
        <v>150</v>
      </c>
      <c r="O25" t="s">
        <v>970</v>
      </c>
      <c r="P25">
        <v>165</v>
      </c>
      <c r="Q25">
        <v>146</v>
      </c>
      <c r="R25">
        <v>6.2</v>
      </c>
      <c r="U25" s="63" t="s">
        <v>376</v>
      </c>
      <c r="V25" s="63">
        <v>140</v>
      </c>
      <c r="W25" s="63">
        <v>130</v>
      </c>
      <c r="AA25" s="88" t="s">
        <v>520</v>
      </c>
      <c r="AB25" s="63" t="s">
        <v>450</v>
      </c>
      <c r="AC25" s="63" t="s">
        <v>508</v>
      </c>
      <c r="AG25" s="88" t="s">
        <v>473</v>
      </c>
      <c r="AH25" s="63" t="s">
        <v>518</v>
      </c>
      <c r="AI25" s="63" t="s">
        <v>521</v>
      </c>
      <c r="AJ25" s="63"/>
      <c r="AN25" s="63">
        <v>280</v>
      </c>
      <c r="AO25" s="63">
        <v>280</v>
      </c>
      <c r="AP25" s="63">
        <v>13.4</v>
      </c>
      <c r="AQ25" s="63">
        <v>253.2</v>
      </c>
    </row>
    <row r="26" spans="3:48" x14ac:dyDescent="0.25">
      <c r="C26" s="63">
        <v>400</v>
      </c>
      <c r="D26" s="63">
        <v>450</v>
      </c>
      <c r="E26" s="63" t="s">
        <v>345</v>
      </c>
      <c r="F26" s="63">
        <v>470</v>
      </c>
      <c r="G26" s="63">
        <v>421</v>
      </c>
      <c r="H26" s="63">
        <v>450</v>
      </c>
      <c r="I26" s="120">
        <f t="shared" si="0"/>
        <v>49</v>
      </c>
      <c r="M26">
        <v>150</v>
      </c>
      <c r="N26">
        <v>160</v>
      </c>
      <c r="P26">
        <v>182</v>
      </c>
      <c r="Q26">
        <v>150.6</v>
      </c>
      <c r="R26">
        <v>6.2</v>
      </c>
      <c r="U26" s="63" t="s">
        <v>364</v>
      </c>
      <c r="V26" s="63">
        <v>130</v>
      </c>
      <c r="W26" s="63">
        <v>100</v>
      </c>
      <c r="AA26" s="88" t="s">
        <v>522</v>
      </c>
      <c r="AB26" s="63" t="s">
        <v>450</v>
      </c>
      <c r="AC26" s="63" t="s">
        <v>523</v>
      </c>
      <c r="AG26" s="88" t="s">
        <v>476</v>
      </c>
      <c r="AH26" s="63" t="s">
        <v>518</v>
      </c>
      <c r="AI26" s="63" t="s">
        <v>524</v>
      </c>
      <c r="AJ26" s="63"/>
      <c r="AN26" s="63">
        <v>315</v>
      </c>
      <c r="AO26" s="63">
        <v>315</v>
      </c>
      <c r="AP26" s="63">
        <v>15</v>
      </c>
      <c r="AQ26" s="63">
        <v>285</v>
      </c>
    </row>
    <row r="27" spans="3:48" x14ac:dyDescent="0.25">
      <c r="C27" s="63">
        <v>450</v>
      </c>
      <c r="D27" s="63">
        <v>500</v>
      </c>
      <c r="E27" s="63" t="s">
        <v>346</v>
      </c>
      <c r="F27" s="63">
        <v>520</v>
      </c>
      <c r="G27" s="63">
        <v>466</v>
      </c>
      <c r="H27" s="63">
        <v>500</v>
      </c>
      <c r="I27" s="120">
        <f t="shared" si="0"/>
        <v>54</v>
      </c>
      <c r="M27">
        <v>160</v>
      </c>
      <c r="N27">
        <v>200</v>
      </c>
      <c r="O27" t="s">
        <v>971</v>
      </c>
      <c r="P27">
        <v>216</v>
      </c>
      <c r="Q27">
        <v>194</v>
      </c>
      <c r="R27">
        <v>7.7</v>
      </c>
      <c r="U27" s="63" t="s">
        <v>359</v>
      </c>
      <c r="V27" s="63">
        <v>140</v>
      </c>
      <c r="W27" s="63">
        <v>130</v>
      </c>
      <c r="AA27" s="88" t="s">
        <v>525</v>
      </c>
      <c r="AB27" s="63" t="s">
        <v>450</v>
      </c>
      <c r="AC27" s="63" t="s">
        <v>526</v>
      </c>
      <c r="AG27" s="88" t="s">
        <v>527</v>
      </c>
      <c r="AH27" s="63" t="s">
        <v>518</v>
      </c>
      <c r="AI27" s="63" t="s">
        <v>491</v>
      </c>
      <c r="AJ27" s="63"/>
      <c r="AN27" s="63">
        <v>355</v>
      </c>
      <c r="AO27" s="63">
        <v>355</v>
      </c>
      <c r="AP27" s="63">
        <v>16.899999999999999</v>
      </c>
      <c r="AQ27" s="63">
        <v>321.2</v>
      </c>
    </row>
    <row r="28" spans="3:48" x14ac:dyDescent="0.25">
      <c r="C28" s="63">
        <v>500</v>
      </c>
      <c r="D28" s="63">
        <v>600</v>
      </c>
      <c r="E28" s="63" t="s">
        <v>347</v>
      </c>
      <c r="F28" s="63">
        <v>630</v>
      </c>
      <c r="G28" s="63">
        <v>565</v>
      </c>
      <c r="H28" s="63">
        <v>600</v>
      </c>
      <c r="I28" s="120">
        <f t="shared" si="0"/>
        <v>65</v>
      </c>
      <c r="M28">
        <v>200</v>
      </c>
      <c r="N28">
        <v>250</v>
      </c>
      <c r="O28" t="s">
        <v>972</v>
      </c>
      <c r="P28">
        <v>267</v>
      </c>
      <c r="Q28">
        <v>239</v>
      </c>
      <c r="R28">
        <v>9.6</v>
      </c>
      <c r="AA28" s="88" t="s">
        <v>528</v>
      </c>
      <c r="AB28" s="63" t="s">
        <v>450</v>
      </c>
      <c r="AC28" s="63" t="s">
        <v>529</v>
      </c>
      <c r="AG28" s="88" t="s">
        <v>530</v>
      </c>
      <c r="AH28" s="63" t="s">
        <v>518</v>
      </c>
      <c r="AI28" s="63" t="s">
        <v>531</v>
      </c>
      <c r="AJ28" s="63"/>
      <c r="AN28" s="63">
        <v>400</v>
      </c>
      <c r="AO28" s="63">
        <v>400</v>
      </c>
      <c r="AP28" s="63">
        <v>19.100000000000001</v>
      </c>
      <c r="AQ28" s="63">
        <v>361.8</v>
      </c>
    </row>
    <row r="29" spans="3:48" x14ac:dyDescent="0.25">
      <c r="C29" s="63">
        <v>600</v>
      </c>
      <c r="D29" s="63">
        <f>C30</f>
        <v>700</v>
      </c>
      <c r="E29" s="63" t="s">
        <v>347</v>
      </c>
      <c r="F29" s="63">
        <v>610</v>
      </c>
      <c r="G29" s="63">
        <v>600</v>
      </c>
      <c r="H29" s="63">
        <f>G30</f>
        <v>700</v>
      </c>
      <c r="I29" s="120">
        <f t="shared" si="0"/>
        <v>10</v>
      </c>
      <c r="M29">
        <v>250</v>
      </c>
      <c r="N29">
        <v>300</v>
      </c>
      <c r="O29" t="s">
        <v>973</v>
      </c>
      <c r="P29">
        <v>318</v>
      </c>
      <c r="Q29">
        <v>284</v>
      </c>
      <c r="R29">
        <v>11.5</v>
      </c>
      <c r="AA29" s="88" t="s">
        <v>522</v>
      </c>
      <c r="AB29" s="63" t="s">
        <v>450</v>
      </c>
      <c r="AC29" s="63" t="s">
        <v>532</v>
      </c>
      <c r="AN29" s="63">
        <v>450</v>
      </c>
      <c r="AO29" s="63">
        <v>450</v>
      </c>
      <c r="AP29" s="63">
        <v>21.5</v>
      </c>
      <c r="AQ29" s="63">
        <v>407</v>
      </c>
    </row>
    <row r="30" spans="3:48" x14ac:dyDescent="0.25">
      <c r="C30" s="63">
        <v>700</v>
      </c>
      <c r="D30" s="63">
        <f t="shared" ref="D30:D31" si="1">C31</f>
        <v>800</v>
      </c>
      <c r="E30" s="63" t="s">
        <v>437</v>
      </c>
      <c r="F30" s="63">
        <v>711</v>
      </c>
      <c r="G30" s="63">
        <v>700</v>
      </c>
      <c r="H30" s="63">
        <f t="shared" ref="H30:H31" si="2">G31</f>
        <v>800</v>
      </c>
      <c r="I30" s="120">
        <f t="shared" si="0"/>
        <v>11</v>
      </c>
      <c r="M30">
        <v>300</v>
      </c>
      <c r="N30">
        <v>350</v>
      </c>
      <c r="O30" t="s">
        <v>974</v>
      </c>
      <c r="P30">
        <v>370</v>
      </c>
      <c r="Q30">
        <v>332</v>
      </c>
      <c r="R30">
        <v>13.4</v>
      </c>
      <c r="AA30" s="88" t="s">
        <v>533</v>
      </c>
      <c r="AB30" s="63" t="s">
        <v>450</v>
      </c>
      <c r="AC30" s="63" t="s">
        <v>534</v>
      </c>
      <c r="AN30" s="63">
        <v>500</v>
      </c>
      <c r="AO30" s="63">
        <v>500</v>
      </c>
      <c r="AP30" s="63">
        <v>23.9</v>
      </c>
      <c r="AQ30" s="63">
        <v>452.2</v>
      </c>
    </row>
    <row r="31" spans="3:48" x14ac:dyDescent="0.25">
      <c r="C31" s="63">
        <v>800</v>
      </c>
      <c r="D31" s="63">
        <f t="shared" si="1"/>
        <v>900</v>
      </c>
      <c r="E31" s="63" t="s">
        <v>438</v>
      </c>
      <c r="F31" s="63">
        <v>813</v>
      </c>
      <c r="G31" s="63">
        <v>800</v>
      </c>
      <c r="H31" s="63">
        <f t="shared" si="2"/>
        <v>900</v>
      </c>
      <c r="I31" s="120">
        <f t="shared" si="0"/>
        <v>13</v>
      </c>
      <c r="M31">
        <v>350</v>
      </c>
      <c r="N31">
        <v>400</v>
      </c>
      <c r="O31" t="s">
        <v>975</v>
      </c>
      <c r="P31">
        <v>420</v>
      </c>
      <c r="Q31">
        <v>376</v>
      </c>
      <c r="R31">
        <v>15.3</v>
      </c>
      <c r="AA31" s="88" t="s">
        <v>535</v>
      </c>
      <c r="AB31" s="63" t="s">
        <v>450</v>
      </c>
      <c r="AC31" s="63" t="s">
        <v>536</v>
      </c>
      <c r="AN31" s="63">
        <v>560</v>
      </c>
      <c r="AO31" s="63">
        <v>560</v>
      </c>
      <c r="AP31" s="63">
        <v>26.7</v>
      </c>
      <c r="AQ31" s="63">
        <v>506.6</v>
      </c>
    </row>
    <row r="32" spans="3:48" x14ac:dyDescent="0.25">
      <c r="C32" s="63">
        <v>900</v>
      </c>
      <c r="D32" s="63">
        <v>1000</v>
      </c>
      <c r="E32" s="63" t="s">
        <v>439</v>
      </c>
      <c r="F32" s="63">
        <v>914</v>
      </c>
      <c r="G32" s="63">
        <v>900</v>
      </c>
      <c r="H32" s="63">
        <v>1000</v>
      </c>
      <c r="I32" s="120">
        <f t="shared" si="0"/>
        <v>14</v>
      </c>
      <c r="M32">
        <v>400</v>
      </c>
      <c r="N32">
        <v>450</v>
      </c>
      <c r="O32" t="s">
        <v>345</v>
      </c>
      <c r="P32">
        <v>470</v>
      </c>
      <c r="Q32">
        <v>421</v>
      </c>
      <c r="R32">
        <v>17.2</v>
      </c>
      <c r="AA32" s="88" t="s">
        <v>537</v>
      </c>
      <c r="AB32" s="63" t="s">
        <v>450</v>
      </c>
      <c r="AC32" s="63" t="s">
        <v>538</v>
      </c>
      <c r="AN32" s="63">
        <v>630</v>
      </c>
      <c r="AO32" s="63">
        <v>630</v>
      </c>
      <c r="AP32" s="63">
        <v>30</v>
      </c>
      <c r="AQ32" s="63">
        <v>570</v>
      </c>
    </row>
    <row r="33" spans="13:43" x14ac:dyDescent="0.25">
      <c r="M33">
        <v>450</v>
      </c>
      <c r="N33">
        <v>500</v>
      </c>
      <c r="O33" t="s">
        <v>346</v>
      </c>
      <c r="P33">
        <v>520</v>
      </c>
      <c r="Q33">
        <v>466</v>
      </c>
      <c r="R33">
        <v>19.2</v>
      </c>
      <c r="AN33" s="63">
        <v>710</v>
      </c>
      <c r="AO33" s="63">
        <v>710</v>
      </c>
      <c r="AP33" s="63">
        <v>33.9</v>
      </c>
      <c r="AQ33" s="63">
        <v>642.20000000000005</v>
      </c>
    </row>
    <row r="34" spans="13:43" x14ac:dyDescent="0.25">
      <c r="M34">
        <v>500</v>
      </c>
      <c r="N34">
        <v>600</v>
      </c>
      <c r="O34" t="s">
        <v>347</v>
      </c>
      <c r="P34">
        <v>630</v>
      </c>
      <c r="Q34">
        <v>565</v>
      </c>
      <c r="R34">
        <v>22.7</v>
      </c>
      <c r="AN34" s="63">
        <v>800</v>
      </c>
      <c r="AO34" s="63">
        <v>800</v>
      </c>
      <c r="AP34" s="63">
        <v>38.1</v>
      </c>
      <c r="AQ34" s="63">
        <v>723.8</v>
      </c>
    </row>
    <row r="35" spans="13:43" x14ac:dyDescent="0.25">
      <c r="AN35" s="63">
        <v>900</v>
      </c>
      <c r="AO35" s="63">
        <v>900</v>
      </c>
      <c r="AP35" s="63">
        <v>42.9</v>
      </c>
      <c r="AQ35" s="63">
        <v>814.2</v>
      </c>
    </row>
  </sheetData>
  <mergeCells count="10">
    <mergeCell ref="AG18:AG19"/>
    <mergeCell ref="AG20:AG21"/>
    <mergeCell ref="AG22:AG23"/>
    <mergeCell ref="C5:G5"/>
    <mergeCell ref="AG10:AG11"/>
    <mergeCell ref="AG12:AG13"/>
    <mergeCell ref="AG14:AG15"/>
    <mergeCell ref="AG16:AG17"/>
    <mergeCell ref="AA5:AC5"/>
    <mergeCell ref="AG6:AJ6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9FC3-8432-47BB-946B-6CD3D6E4C8D7}">
  <sheetPr codeName="Feuil15"/>
  <dimension ref="B2:FA254"/>
  <sheetViews>
    <sheetView workbookViewId="0">
      <selection activeCell="EO175" sqref="EO175:EO207"/>
    </sheetView>
  </sheetViews>
  <sheetFormatPr baseColWidth="10" defaultRowHeight="15" x14ac:dyDescent="0.25"/>
  <cols>
    <col min="2" max="2" width="9.7109375" customWidth="1"/>
    <col min="3" max="3" width="8.85546875" bestFit="1" customWidth="1"/>
    <col min="4" max="4" width="11.85546875" bestFit="1" customWidth="1"/>
    <col min="5" max="6" width="11.85546875" customWidth="1"/>
    <col min="7" max="7" width="16.5703125" customWidth="1"/>
    <col min="8" max="8" width="15" customWidth="1"/>
    <col min="9" max="9" width="8.5703125" customWidth="1"/>
    <col min="10" max="10" width="17.5703125" customWidth="1"/>
    <col min="11" max="11" width="11.42578125" bestFit="1" customWidth="1"/>
    <col min="12" max="12" width="14.85546875" customWidth="1"/>
    <col min="13" max="13" width="12" bestFit="1" customWidth="1"/>
    <col min="14" max="14" width="14.5703125" bestFit="1" customWidth="1"/>
    <col min="15" max="16" width="12" bestFit="1" customWidth="1"/>
    <col min="17" max="17" width="16.5703125" customWidth="1"/>
    <col min="18" max="21" width="17.28515625" customWidth="1"/>
    <col min="22" max="22" width="6.42578125" bestFit="1" customWidth="1"/>
    <col min="23" max="23" width="10.140625" bestFit="1" customWidth="1"/>
    <col min="24" max="24" width="10.28515625" bestFit="1" customWidth="1"/>
    <col min="25" max="25" width="7.5703125" bestFit="1" customWidth="1"/>
    <col min="26" max="28" width="10.42578125" customWidth="1"/>
    <col min="29" max="30" width="10.140625" bestFit="1" customWidth="1"/>
    <col min="31" max="31" width="10.5703125" bestFit="1" customWidth="1"/>
    <col min="33" max="33" width="10" bestFit="1" customWidth="1"/>
    <col min="34" max="34" width="6.140625" bestFit="1" customWidth="1"/>
    <col min="35" max="35" width="8.5703125" bestFit="1" customWidth="1"/>
    <col min="36" max="36" width="10.5703125" bestFit="1" customWidth="1"/>
    <col min="37" max="37" width="10.140625" bestFit="1" customWidth="1"/>
    <col min="40" max="43" width="11.42578125" bestFit="1" customWidth="1"/>
    <col min="61" max="61" width="11.42578125" bestFit="1" customWidth="1"/>
    <col min="63" max="64" width="11.42578125" bestFit="1" customWidth="1"/>
    <col min="65" max="67" width="11.42578125" customWidth="1"/>
    <col min="86" max="88" width="11.42578125" bestFit="1" customWidth="1"/>
    <col min="108" max="108" width="11.42578125" bestFit="1" customWidth="1"/>
    <col min="109" max="110" width="12" bestFit="1" customWidth="1"/>
    <col min="132" max="132" width="11.42578125" bestFit="1" customWidth="1"/>
    <col min="155" max="155" width="11.42578125" bestFit="1" customWidth="1"/>
    <col min="157" max="157" width="11.42578125" bestFit="1" customWidth="1"/>
  </cols>
  <sheetData>
    <row r="2" spans="2:157" ht="26.1" customHeight="1" x14ac:dyDescent="0.25">
      <c r="EK2" s="78">
        <f ca="1">0.005 + ($D$79 - 0.005) * RAND()</f>
        <v>-2.3988771430932899E-2</v>
      </c>
    </row>
    <row r="3" spans="2:157" x14ac:dyDescent="0.25">
      <c r="E3" s="78">
        <f ca="1">0.005 + ($D$79 - 0.005) * RAND()</f>
        <v>-6.0841738835827323E-2</v>
      </c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</row>
    <row r="4" spans="2:157" x14ac:dyDescent="0.25"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</row>
    <row r="5" spans="2:157" x14ac:dyDescent="0.25"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</row>
    <row r="6" spans="2:157" x14ac:dyDescent="0.25">
      <c r="B6" s="106"/>
      <c r="C6" s="233" t="s">
        <v>111</v>
      </c>
      <c r="D6" s="233"/>
      <c r="E6" s="233"/>
      <c r="F6" s="233"/>
      <c r="G6" s="233"/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78"/>
      <c r="S6" s="78"/>
      <c r="T6" s="78"/>
      <c r="U6" s="78"/>
      <c r="V6" s="78"/>
      <c r="W6" s="78"/>
      <c r="X6" s="78"/>
      <c r="Y6" s="249" t="s">
        <v>203</v>
      </c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V6" s="233" t="s">
        <v>233</v>
      </c>
      <c r="AW6" s="233"/>
      <c r="AX6" s="233"/>
      <c r="AY6" s="233"/>
      <c r="AZ6" s="233"/>
      <c r="BA6" s="233"/>
      <c r="BB6" s="233"/>
      <c r="BC6" s="233"/>
      <c r="BD6" s="233"/>
      <c r="BE6" s="233"/>
      <c r="BF6" s="233"/>
      <c r="BG6" s="233"/>
      <c r="BH6" s="233"/>
      <c r="BI6" s="233"/>
      <c r="BT6" s="233" t="s">
        <v>255</v>
      </c>
      <c r="BU6" s="233"/>
      <c r="BV6" s="233"/>
      <c r="BW6" s="233"/>
      <c r="BX6" s="233"/>
      <c r="BY6" s="233"/>
      <c r="BZ6" s="233"/>
      <c r="CA6" s="233"/>
      <c r="CB6" s="233"/>
      <c r="CC6" s="233"/>
      <c r="CD6" s="233"/>
      <c r="CE6" s="233"/>
      <c r="CF6" s="233"/>
      <c r="CG6" s="106"/>
      <c r="CH6" s="106"/>
      <c r="CI6" s="106"/>
      <c r="CJ6" s="106"/>
      <c r="CP6" t="s">
        <v>279</v>
      </c>
      <c r="DN6" t="s">
        <v>305</v>
      </c>
      <c r="EK6" t="s">
        <v>317</v>
      </c>
    </row>
    <row r="7" spans="2:157" ht="45" x14ac:dyDescent="0.25">
      <c r="B7" s="106"/>
      <c r="C7" s="106" t="s">
        <v>542</v>
      </c>
      <c r="D7" s="106" t="s">
        <v>102</v>
      </c>
      <c r="E7" s="106" t="s">
        <v>905</v>
      </c>
      <c r="F7" s="106" t="s">
        <v>906</v>
      </c>
      <c r="G7" s="106" t="s">
        <v>384</v>
      </c>
      <c r="H7" s="107" t="s">
        <v>440</v>
      </c>
      <c r="I7" s="107" t="s">
        <v>106</v>
      </c>
      <c r="J7" s="107" t="s">
        <v>107</v>
      </c>
      <c r="K7" s="107" t="s">
        <v>379</v>
      </c>
      <c r="L7" s="107" t="s">
        <v>385</v>
      </c>
      <c r="M7" s="107" t="s">
        <v>387</v>
      </c>
      <c r="N7" s="107" t="s">
        <v>388</v>
      </c>
      <c r="O7" s="107" t="s">
        <v>386</v>
      </c>
      <c r="P7" s="78" t="s">
        <v>907</v>
      </c>
      <c r="Q7" s="107" t="s">
        <v>908</v>
      </c>
      <c r="R7" s="107" t="s">
        <v>910</v>
      </c>
      <c r="S7" s="107"/>
      <c r="T7" s="107"/>
      <c r="U7" s="107"/>
      <c r="V7" s="78"/>
      <c r="W7" s="78" t="s">
        <v>544</v>
      </c>
      <c r="X7" s="78" t="s">
        <v>545</v>
      </c>
      <c r="Y7" s="78" t="s">
        <v>542</v>
      </c>
      <c r="Z7" s="78" t="s">
        <v>102</v>
      </c>
      <c r="AA7" s="106" t="s">
        <v>905</v>
      </c>
      <c r="AB7" s="106" t="s">
        <v>906</v>
      </c>
      <c r="AC7" s="78" t="s">
        <v>384</v>
      </c>
      <c r="AD7" s="78" t="s">
        <v>440</v>
      </c>
      <c r="AE7" s="78" t="s">
        <v>106</v>
      </c>
      <c r="AF7" s="78" t="s">
        <v>107</v>
      </c>
      <c r="AG7" s="78" t="s">
        <v>379</v>
      </c>
      <c r="AH7" s="78" t="s">
        <v>385</v>
      </c>
      <c r="AI7" s="78" t="s">
        <v>550</v>
      </c>
      <c r="AJ7" s="78" t="s">
        <v>551</v>
      </c>
      <c r="AK7" s="78" t="s">
        <v>387</v>
      </c>
      <c r="AL7" t="s">
        <v>388</v>
      </c>
      <c r="AM7" t="s">
        <v>386</v>
      </c>
      <c r="AN7" s="78" t="s">
        <v>907</v>
      </c>
      <c r="AO7" s="107" t="s">
        <v>908</v>
      </c>
      <c r="AP7" s="107" t="s">
        <v>910</v>
      </c>
      <c r="AQ7" s="107" t="s">
        <v>911</v>
      </c>
      <c r="AR7" s="107"/>
      <c r="AU7" t="s">
        <v>544</v>
      </c>
      <c r="AV7" t="s">
        <v>545</v>
      </c>
      <c r="AW7" t="s">
        <v>542</v>
      </c>
      <c r="AX7" t="s">
        <v>102</v>
      </c>
      <c r="AY7" s="106" t="s">
        <v>905</v>
      </c>
      <c r="AZ7" s="106" t="s">
        <v>906</v>
      </c>
      <c r="BA7" t="s">
        <v>384</v>
      </c>
      <c r="BB7" t="s">
        <v>440</v>
      </c>
      <c r="BC7" t="s">
        <v>106</v>
      </c>
      <c r="BD7" t="s">
        <v>107</v>
      </c>
      <c r="BE7" t="s">
        <v>379</v>
      </c>
      <c r="BF7" t="s">
        <v>385</v>
      </c>
      <c r="BG7" t="s">
        <v>387</v>
      </c>
      <c r="BH7" t="s">
        <v>388</v>
      </c>
      <c r="BI7" t="s">
        <v>386</v>
      </c>
      <c r="BJ7" s="78" t="s">
        <v>907</v>
      </c>
      <c r="BK7" s="107" t="s">
        <v>908</v>
      </c>
      <c r="BL7" s="107" t="s">
        <v>910</v>
      </c>
      <c r="BM7" s="107" t="s">
        <v>911</v>
      </c>
      <c r="BN7" s="107"/>
      <c r="BR7" t="s">
        <v>544</v>
      </c>
      <c r="BS7" t="s">
        <v>545</v>
      </c>
      <c r="BT7" t="s">
        <v>542</v>
      </c>
      <c r="BU7" t="s">
        <v>102</v>
      </c>
      <c r="BV7" s="106" t="s">
        <v>905</v>
      </c>
      <c r="BW7" s="106" t="s">
        <v>906</v>
      </c>
      <c r="BX7" t="s">
        <v>384</v>
      </c>
      <c r="BY7" t="s">
        <v>440</v>
      </c>
      <c r="BZ7" t="s">
        <v>106</v>
      </c>
      <c r="CA7" t="s">
        <v>107</v>
      </c>
      <c r="CB7" t="s">
        <v>379</v>
      </c>
      <c r="CC7" t="s">
        <v>385</v>
      </c>
      <c r="CD7" t="s">
        <v>387</v>
      </c>
      <c r="CE7" t="s">
        <v>388</v>
      </c>
      <c r="CF7" t="s">
        <v>386</v>
      </c>
      <c r="CG7" s="78" t="s">
        <v>907</v>
      </c>
      <c r="CH7" s="107" t="s">
        <v>908</v>
      </c>
      <c r="CI7" s="107" t="s">
        <v>910</v>
      </c>
      <c r="CJ7" s="107" t="s">
        <v>911</v>
      </c>
      <c r="CN7" t="s">
        <v>544</v>
      </c>
      <c r="CO7" t="s">
        <v>545</v>
      </c>
      <c r="CP7" t="s">
        <v>542</v>
      </c>
      <c r="CQ7" t="s">
        <v>102</v>
      </c>
      <c r="CR7" s="106" t="s">
        <v>905</v>
      </c>
      <c r="CS7" s="106" t="s">
        <v>906</v>
      </c>
      <c r="CT7" t="s">
        <v>384</v>
      </c>
      <c r="CU7" t="s">
        <v>440</v>
      </c>
      <c r="CV7" t="s">
        <v>106</v>
      </c>
      <c r="CW7" t="s">
        <v>107</v>
      </c>
      <c r="CX7" t="s">
        <v>379</v>
      </c>
      <c r="CY7" t="s">
        <v>385</v>
      </c>
      <c r="CZ7" t="s">
        <v>387</v>
      </c>
      <c r="DA7" t="s">
        <v>388</v>
      </c>
      <c r="DB7" t="s">
        <v>386</v>
      </c>
      <c r="DC7" s="78" t="s">
        <v>907</v>
      </c>
      <c r="DD7" s="107" t="s">
        <v>908</v>
      </c>
      <c r="DE7" s="107" t="s">
        <v>910</v>
      </c>
      <c r="DF7" s="107" t="s">
        <v>911</v>
      </c>
      <c r="DG7" s="107"/>
      <c r="DH7" s="107"/>
      <c r="DI7" s="107"/>
      <c r="DJ7" s="107"/>
      <c r="DL7" t="s">
        <v>544</v>
      </c>
      <c r="DM7" t="s">
        <v>545</v>
      </c>
      <c r="DN7" t="s">
        <v>542</v>
      </c>
      <c r="DO7" t="s">
        <v>102</v>
      </c>
      <c r="DP7" s="106" t="s">
        <v>905</v>
      </c>
      <c r="DQ7" s="106" t="s">
        <v>906</v>
      </c>
      <c r="DR7" t="s">
        <v>384</v>
      </c>
      <c r="DS7" t="s">
        <v>440</v>
      </c>
      <c r="DT7" t="s">
        <v>106</v>
      </c>
      <c r="DU7" t="s">
        <v>107</v>
      </c>
      <c r="DV7" t="s">
        <v>379</v>
      </c>
      <c r="DW7" t="s">
        <v>385</v>
      </c>
      <c r="DX7" t="s">
        <v>387</v>
      </c>
      <c r="DY7" t="s">
        <v>388</v>
      </c>
      <c r="DZ7" t="s">
        <v>386</v>
      </c>
      <c r="EA7" s="78" t="s">
        <v>907</v>
      </c>
      <c r="EB7" s="107" t="s">
        <v>908</v>
      </c>
      <c r="EC7" s="107" t="s">
        <v>910</v>
      </c>
      <c r="ED7" s="107" t="s">
        <v>911</v>
      </c>
      <c r="EE7" s="107"/>
      <c r="EF7" s="107"/>
      <c r="EG7" s="107"/>
      <c r="EI7" t="s">
        <v>544</v>
      </c>
      <c r="EJ7" t="s">
        <v>545</v>
      </c>
      <c r="EK7" t="s">
        <v>542</v>
      </c>
      <c r="EL7" t="s">
        <v>102</v>
      </c>
      <c r="EM7" s="106" t="s">
        <v>905</v>
      </c>
      <c r="EN7" s="106" t="s">
        <v>906</v>
      </c>
      <c r="EO7" t="s">
        <v>384</v>
      </c>
      <c r="EP7" t="s">
        <v>440</v>
      </c>
      <c r="EQ7" t="s">
        <v>106</v>
      </c>
      <c r="ER7" t="s">
        <v>107</v>
      </c>
      <c r="ES7" t="s">
        <v>379</v>
      </c>
      <c r="ET7" t="s">
        <v>385</v>
      </c>
      <c r="EU7" t="s">
        <v>387</v>
      </c>
      <c r="EV7" t="s">
        <v>388</v>
      </c>
      <c r="EW7" t="s">
        <v>386</v>
      </c>
      <c r="EX7" s="78" t="s">
        <v>907</v>
      </c>
      <c r="EY7" s="107" t="s">
        <v>908</v>
      </c>
      <c r="EZ7" s="107" t="s">
        <v>910</v>
      </c>
      <c r="FA7" s="107" t="s">
        <v>911</v>
      </c>
    </row>
    <row r="8" spans="2:157" x14ac:dyDescent="0.25">
      <c r="B8" s="106">
        <v>1</v>
      </c>
      <c r="C8" s="106" t="s">
        <v>539</v>
      </c>
      <c r="D8" s="106" t="s">
        <v>884</v>
      </c>
      <c r="E8" s="106" t="str">
        <f>INDEX(Pipes_result_save_V1!$G$2:$G$206,MATCH(D8,Pipes_result_save_V1!$I$2:$I$206,0))</f>
        <v>N165</v>
      </c>
      <c r="F8" s="106" t="str">
        <f>INDEX(Pipes_result_save_V1!$H$2:$H$206,MATCH(D8,Pipes_result_save_V1!$I$2:$I$206,0))</f>
        <v>N84</v>
      </c>
      <c r="G8" s="106">
        <v>9.6000000000000002E-2</v>
      </c>
      <c r="H8" s="107">
        <v>350</v>
      </c>
      <c r="I8" s="107">
        <v>150</v>
      </c>
      <c r="J8" s="107">
        <v>96</v>
      </c>
      <c r="K8" s="107">
        <v>15.904695680187142</v>
      </c>
      <c r="L8" s="107">
        <v>9.6000000000000002E-2</v>
      </c>
      <c r="M8" s="107">
        <v>0.20734410255996347</v>
      </c>
      <c r="N8" s="107">
        <v>4.0000133118859607</v>
      </c>
      <c r="O8" s="107">
        <f>INDEX(Pipes_result_save_V1!$K$2:$K$206,MATCH(D8,Pipes_result_save_V1!$I$2:$I$206,0)) *POWER(10,-3)</f>
        <v>-2.7296918869018551E-2</v>
      </c>
      <c r="P8" s="78">
        <v>6.4431228208937999E-3</v>
      </c>
      <c r="Q8" s="78">
        <f>G8+$D$79</f>
        <v>1.7403064923816505E-2</v>
      </c>
      <c r="R8" s="78">
        <f>IF(C8="positif",ABS(Q8),ABS(Q8)*(-1))</f>
        <v>1.7403064923816505E-2</v>
      </c>
      <c r="S8" s="78"/>
      <c r="T8" s="78"/>
      <c r="U8" s="78"/>
      <c r="V8" s="78"/>
      <c r="W8" s="78">
        <v>0</v>
      </c>
      <c r="X8" s="78">
        <v>1</v>
      </c>
      <c r="Y8" s="78" t="s">
        <v>539</v>
      </c>
      <c r="Z8" s="78" t="s">
        <v>184</v>
      </c>
      <c r="AA8" s="106" t="str">
        <f>INDEX(Pipes_result_save_V1!$G$2:$G$206,MATCH(Z8,Pipes_result_save_V1!$I$2:$I$206,0))</f>
        <v>N82</v>
      </c>
      <c r="AB8" s="106" t="str">
        <f>INDEX(Pipes_result_save_V1!$H$2:$H$206,MATCH(Z8,Pipes_result_save_V1!$I$2:$I$206,0))</f>
        <v>N81</v>
      </c>
      <c r="AC8" s="78">
        <v>9.0894000000000003E-2</v>
      </c>
      <c r="AD8" s="78">
        <v>350</v>
      </c>
      <c r="AE8" s="78">
        <v>150</v>
      </c>
      <c r="AF8" s="78">
        <v>68</v>
      </c>
      <c r="AG8" s="78">
        <v>11.265826106799226</v>
      </c>
      <c r="AH8" s="78">
        <v>9.0894000000000003E-2</v>
      </c>
      <c r="AI8" s="78">
        <v>0</v>
      </c>
      <c r="AJ8" s="78">
        <v>0</v>
      </c>
      <c r="AK8" s="78">
        <v>0.13273035727434446</v>
      </c>
      <c r="AL8">
        <v>2.7044317740674404</v>
      </c>
      <c r="AM8" s="107">
        <f>INDEX(Pipes_result_save_V1!$K$2:$K$206,MATCH(Z8,Pipes_result_save_V1!$I$2:$I$206,0)) *POWER(10,-3)</f>
        <v>-5.1448749542236327E-2</v>
      </c>
      <c r="AN8" s="78">
        <v>-1.7548399279513731E-3</v>
      </c>
      <c r="AO8" s="78">
        <f>AC8+$Z$79</f>
        <v>6.8047178482065776E-2</v>
      </c>
      <c r="AP8" s="78">
        <f>IF(Y8="positif",ABS(AO8),ABS(AO8)*(-1))</f>
        <v>6.8047178482065776E-2</v>
      </c>
      <c r="AQ8" s="78" cm="1">
        <f t="array" ref="AQ8">IF(W8=0,
IF(Y8="positif",ABS(AO8),ABS(AO8)*(-1)),
INDEX($R$8:$R$77,W8))</f>
        <v>6.8047178482065776E-2</v>
      </c>
      <c r="AR8" s="78"/>
      <c r="AU8">
        <v>0</v>
      </c>
      <c r="AV8">
        <v>1</v>
      </c>
      <c r="AW8" t="s">
        <v>539</v>
      </c>
      <c r="AX8" t="s">
        <v>421</v>
      </c>
      <c r="AY8" s="106" t="str">
        <f>INDEX(Pipes_result_save_V1!$G$2:$G$206,MATCH(AX8,Pipes_result_save_V1!$I$2:$I$206,0))</f>
        <v>N42</v>
      </c>
      <c r="AZ8" s="106" t="str">
        <f>INDEX(Pipes_result_save_V1!$H$2:$H$206,MATCH(AX8,Pipes_result_save_V1!$I$2:$I$206,0))</f>
        <v>N72</v>
      </c>
      <c r="BA8">
        <v>3.2835999999999997E-2</v>
      </c>
      <c r="BB8">
        <v>250</v>
      </c>
      <c r="BC8">
        <v>150</v>
      </c>
      <c r="BD8">
        <v>42</v>
      </c>
      <c r="BE8">
        <v>35.833817943811347</v>
      </c>
      <c r="BF8">
        <v>3.2835999999999997E-2</v>
      </c>
      <c r="BG8">
        <v>6.405805386727606E-2</v>
      </c>
      <c r="BH8">
        <v>3.6129710001886743</v>
      </c>
      <c r="BI8" s="107">
        <f>INDEX(Pipes_result_save_V1!$K$2:$K$206,MATCH(AX8,Pipes_result_save_V1!$I$2:$I$206,0)) *POWER(10,-3)</f>
        <v>6.4305412292480477E-2</v>
      </c>
      <c r="BJ8" s="78">
        <v>5.753361051944573E-3</v>
      </c>
      <c r="BK8" s="78">
        <f>BA8+$AY$46</f>
        <v>3.8249255700015396E-2</v>
      </c>
      <c r="BL8" s="78">
        <f>IF(AW8="positif",ABS(BK8),ABS(BK8)*(-1))</f>
        <v>3.8249255700015396E-2</v>
      </c>
      <c r="BM8" s="78" cm="1">
        <f t="array" ref="BM8">IF(AU8=0,
IF(AW8="positif",ABS(BK8),ABS(BK8)*(-1)),
INDEX($AQ$8:$AQ$77,AU8))</f>
        <v>3.8249255700015396E-2</v>
      </c>
      <c r="BN8" s="78"/>
      <c r="BR8">
        <v>0</v>
      </c>
      <c r="BS8">
        <v>1</v>
      </c>
      <c r="BT8" t="s">
        <v>539</v>
      </c>
      <c r="BU8" t="s">
        <v>414</v>
      </c>
      <c r="BV8" s="106" t="str">
        <f>INDEX(Pipes_result_save_V1!$G$2:$G$206,MATCH(BU8,Pipes_result_save_V1!$I$2:$I$206,0))</f>
        <v>N52</v>
      </c>
      <c r="BW8" s="106" t="str">
        <f>INDEX(Pipes_result_save_V1!$H$2:$H$206,MATCH(BU8,Pipes_result_save_V1!$I$2:$I$206,0))</f>
        <v>N42</v>
      </c>
      <c r="BX8">
        <v>3.2835999999999997E-2</v>
      </c>
      <c r="BY8">
        <v>250</v>
      </c>
      <c r="BZ8">
        <v>150</v>
      </c>
      <c r="CA8">
        <v>223</v>
      </c>
      <c r="CB8">
        <v>190.26050955880785</v>
      </c>
      <c r="CC8">
        <v>3.2835999999999997E-2</v>
      </c>
      <c r="CD8">
        <v>0.34011776220006096</v>
      </c>
      <c r="CE8">
        <v>19.183155548620817</v>
      </c>
      <c r="CF8" s="107">
        <f>INDEX(Pipes_result_save_V1!$K$2:$K$206,MATCH(BU8,Pipes_result_save_V1!$I$2:$I$206,0)) *POWER(10,-3)</f>
        <v>-3.351390075683594E-2</v>
      </c>
      <c r="CG8" s="78">
        <v>6.0903187807181871E-3</v>
      </c>
      <c r="CH8" s="78">
        <f>BX8+$BX$61</f>
        <v>2.3579796114934291E-2</v>
      </c>
      <c r="CI8" s="78">
        <f>IF(BT8="positif",ABS(CH8),ABS(CH8)*(-1))</f>
        <v>2.3579796114934291E-2</v>
      </c>
      <c r="CJ8" s="78" cm="1">
        <f t="array" ref="CJ8">IF(BR8=0,
IF(BT8="positif",ABS(CH8),ABS(CH8)*(-1)),
INDEX($BM$8:$BM$44,BR8))</f>
        <v>2.3579796114934291E-2</v>
      </c>
      <c r="CN8">
        <v>0</v>
      </c>
      <c r="CO8">
        <v>1</v>
      </c>
      <c r="CP8" t="s">
        <v>540</v>
      </c>
      <c r="CQ8" t="s">
        <v>404</v>
      </c>
      <c r="CR8" s="106" t="str">
        <f>INDEX(Pipes_result_save_V1!$G$2:$G$206,MATCH(CQ8,Pipes_result_save_V1!$I$2:$I$206,0))</f>
        <v>N31</v>
      </c>
      <c r="CS8" s="106" t="str">
        <f>INDEX(Pipes_result_save_V1!$H$2:$H$206,MATCH(CQ8,Pipes_result_save_V1!$I$2:$I$206,0))</f>
        <v>N17</v>
      </c>
      <c r="CT8">
        <v>0.16656000000000001</v>
      </c>
      <c r="CU8">
        <v>466</v>
      </c>
      <c r="CV8">
        <v>150</v>
      </c>
      <c r="CW8">
        <v>211</v>
      </c>
      <c r="CX8">
        <v>8.6693039509464178</v>
      </c>
      <c r="CY8">
        <v>-0.16656000000000001</v>
      </c>
      <c r="CZ8">
        <v>-0.31356904893752557</v>
      </c>
      <c r="DA8">
        <v>3.4866107026434761</v>
      </c>
      <c r="DB8" s="107">
        <f>INDEX(Pipes_result_save_V1!$K$2:$K$206,MATCH(CQ8,Pipes_result_save_V1!$I$2:$I$206,0)) *POWER(10,-3)</f>
        <v>7.1654319763183594E-2</v>
      </c>
      <c r="DC8" s="78">
        <v>6.2765342189460916E-3</v>
      </c>
      <c r="DD8" s="78">
        <f>CT8+$CT$50</f>
        <v>0.15497564373451178</v>
      </c>
      <c r="DE8" s="78">
        <f>IF(CP8="positif",ABS(DD8),ABS(DD8)*(-1))</f>
        <v>-0.15497564373451178</v>
      </c>
      <c r="DF8" s="78" cm="1">
        <f t="array" ref="DF8">IF(CN8=0,
IF(CP8="positif",ABS(DD8),ABS(DD8)*(-1)),
INDEX($BM$8:$BM$44,CN8))</f>
        <v>-0.15497564373451178</v>
      </c>
      <c r="DG8" s="78"/>
      <c r="DH8" s="78"/>
      <c r="DI8" s="78"/>
      <c r="DJ8" s="78"/>
      <c r="DL8">
        <v>0</v>
      </c>
      <c r="DM8">
        <v>1</v>
      </c>
      <c r="DN8" t="s">
        <v>539</v>
      </c>
      <c r="DO8" t="s">
        <v>399</v>
      </c>
      <c r="DP8" s="106" t="str">
        <f>INDEX(Pipes_result_save_V1!$G$2:$G$206,MATCH(DO8,Pipes_result_save_V1!$I$2:$I$206,0))</f>
        <v>N18</v>
      </c>
      <c r="DQ8" s="106" t="str">
        <f>INDEX(Pipes_result_save_V1!$H$2:$H$206,MATCH(DO8,Pipes_result_save_V1!$I$2:$I$206,0))</f>
        <v>N3</v>
      </c>
      <c r="DR8">
        <v>0.16656000000000001</v>
      </c>
      <c r="DS8">
        <v>466</v>
      </c>
      <c r="DT8">
        <v>150</v>
      </c>
      <c r="DU8">
        <v>93</v>
      </c>
      <c r="DV8">
        <v>3.821067618189653</v>
      </c>
      <c r="DW8">
        <v>0.16656000000000001</v>
      </c>
      <c r="DX8">
        <v>0.13820815901037856</v>
      </c>
      <c r="DY8">
        <v>1.5367525845774561</v>
      </c>
      <c r="DZ8" s="107">
        <f>INDEX(Pipes_result_save_V1!$K$2:$K$206,MATCH(DO8,Pipes_result_save_V1!$I$2:$I$206,0)) *POWER(10,-3)</f>
        <v>-0.20916310119628909</v>
      </c>
      <c r="EA8" s="78">
        <v>5.5779905744318134E-3</v>
      </c>
      <c r="EB8" s="78">
        <f>DR8+$DP$57</f>
        <v>0.16714548384202288</v>
      </c>
      <c r="EC8" s="78">
        <f>IF(DN8="positif",ABS(EB8),ABS(EB8)*(-1))</f>
        <v>0.16714548384202288</v>
      </c>
      <c r="ED8" s="78" cm="1">
        <f t="array" ref="ED8">IF(DL8=0,
IF(DN8="positif",ABS(EB8),ABS(EB8)*(-1)),
INDEX($BM$8:$BM$44,DL8))</f>
        <v>0.16714548384202288</v>
      </c>
      <c r="EE8" s="78"/>
      <c r="EF8" s="78"/>
      <c r="EI8">
        <v>0</v>
      </c>
      <c r="EJ8">
        <v>1</v>
      </c>
      <c r="EK8" t="s">
        <v>539</v>
      </c>
      <c r="EL8" t="s">
        <v>405</v>
      </c>
      <c r="EM8" s="106" t="str">
        <f>INDEX(Pipes_result_save_V1!$G$2:$G$206,MATCH(EL8,Pipes_result_save_V1!$I$2:$I$206,0))</f>
        <v>R3</v>
      </c>
      <c r="EN8" s="106" t="str">
        <f>INDEX(Pipes_result_save_V1!$H$2:$H$206,MATCH(EL8,Pipes_result_save_V1!$I$2:$I$206,0))</f>
        <v>N1</v>
      </c>
      <c r="EO8">
        <v>0.33212000000000003</v>
      </c>
      <c r="EP8">
        <v>700</v>
      </c>
      <c r="EQ8">
        <v>150</v>
      </c>
      <c r="ER8">
        <v>47</v>
      </c>
      <c r="ES8">
        <v>0.26609387608691482</v>
      </c>
      <c r="ET8">
        <v>0.33212000000000003</v>
      </c>
      <c r="EU8">
        <v>3.4552006595457756E-2</v>
      </c>
      <c r="EV8">
        <v>0.19267227572801324</v>
      </c>
      <c r="EW8" s="107">
        <f>INDEX(Pipes_result_save_V1!$K$2:$K$206,MATCH(EL8,Pipes_result_save_V1!$I$2:$I$206,0)) *POWER(10,-3)</f>
        <v>0.3321200561523438</v>
      </c>
      <c r="EX8" s="78">
        <v>5.1620385675249583E-3</v>
      </c>
      <c r="EY8" s="78">
        <f>EO8+$EO$42</f>
        <v>0.29471177598290738</v>
      </c>
      <c r="EZ8" s="78">
        <f>IF(EK8="positif",ABS(EY8),ABS(EY8)*(-1))</f>
        <v>0.29471177598290738</v>
      </c>
      <c r="FA8" s="78" cm="1">
        <f t="array" ref="FA8">IF(EI8=0,
IF(EK8="positif",ABS(EY8),ABS(EY8)*(-1)),
INDEX($BM$8:$BM$44,EI8))</f>
        <v>0.29471177598290738</v>
      </c>
    </row>
    <row r="9" spans="2:157" x14ac:dyDescent="0.25">
      <c r="B9" s="106">
        <v>2</v>
      </c>
      <c r="C9" s="106" t="s">
        <v>539</v>
      </c>
      <c r="D9" s="106" t="s">
        <v>201</v>
      </c>
      <c r="E9" s="106" t="str">
        <f>INDEX(Pipes_result_save_V1!$G$2:$G$206,MATCH(D9,Pipes_result_save_V1!$I$2:$I$206,0))</f>
        <v>N84</v>
      </c>
      <c r="F9" s="106" t="str">
        <f>INDEX(Pipes_result_save_V1!$H$2:$H$206,MATCH(D9,Pipes_result_save_V1!$I$2:$I$206,0))</f>
        <v>N85</v>
      </c>
      <c r="G9" s="106">
        <v>9.5000000000000001E-2</v>
      </c>
      <c r="H9" s="107">
        <v>350</v>
      </c>
      <c r="I9" s="107">
        <v>150</v>
      </c>
      <c r="J9" s="107">
        <v>95</v>
      </c>
      <c r="K9" s="107">
        <v>15.739021766851859</v>
      </c>
      <c r="L9" s="107">
        <v>9.5000000000000001E-2</v>
      </c>
      <c r="M9" s="107">
        <v>0.2012434958680151</v>
      </c>
      <c r="N9" s="107">
        <v>3.9231889931322512</v>
      </c>
      <c r="O9" s="107">
        <f>INDEX(Pipes_result_save_V1!$K$2:$K$206,MATCH(D9,Pipes_result_save_V1!$I$2:$I$206,0)) *POWER(10,-3)</f>
        <v>2.0083776473999022E-2</v>
      </c>
      <c r="P9" s="78">
        <v>5.1523291787287252E-3</v>
      </c>
      <c r="Q9" s="78">
        <f t="shared" ref="Q9:Q72" si="0">G9+$D$79</f>
        <v>1.6403064923816504E-2</v>
      </c>
      <c r="R9" s="78">
        <f t="shared" ref="R9:R72" si="1">IF(C9="positif",ABS(Q9),ABS(Q9)*(-1))</f>
        <v>1.6403064923816504E-2</v>
      </c>
      <c r="S9" s="78"/>
      <c r="T9" s="78"/>
      <c r="U9" s="78"/>
      <c r="V9" s="78"/>
      <c r="W9" s="78">
        <v>0</v>
      </c>
      <c r="X9" s="78">
        <v>2</v>
      </c>
      <c r="Y9" s="78" t="s">
        <v>539</v>
      </c>
      <c r="Z9" s="78" t="s">
        <v>422</v>
      </c>
      <c r="AA9" s="106" t="str">
        <f>INDEX(Pipes_result_save_V1!$G$2:$G$206,MATCH(Z9,Pipes_result_save_V1!$I$2:$I$206,0))</f>
        <v>N81</v>
      </c>
      <c r="AB9" s="106" t="str">
        <f>INDEX(Pipes_result_save_V1!$H$2:$H$206,MATCH(Z9,Pipes_result_save_V1!$I$2:$I$206,0))</f>
        <v>N135</v>
      </c>
      <c r="AC9" s="78">
        <v>5.8057999999999998E-2</v>
      </c>
      <c r="AD9" s="78">
        <v>300</v>
      </c>
      <c r="AE9" s="78">
        <v>150</v>
      </c>
      <c r="AF9" s="78">
        <v>88</v>
      </c>
      <c r="AG9" s="78">
        <v>30.891188328490372</v>
      </c>
      <c r="AH9" s="78">
        <v>5.8057999999999998E-2</v>
      </c>
      <c r="AI9" s="78">
        <v>0</v>
      </c>
      <c r="AJ9" s="78">
        <v>0</v>
      </c>
      <c r="AK9" s="78">
        <v>0.15867451177943664</v>
      </c>
      <c r="AL9">
        <v>5.061579727436647</v>
      </c>
      <c r="AM9" s="107">
        <f>INDEX(Pipes_result_save_V1!$K$2:$K$206,MATCH(Z9,Pipes_result_save_V1!$I$2:$I$206,0)) *POWER(10,-3)</f>
        <v>2.2272217273712159E-3</v>
      </c>
      <c r="AN9" s="78">
        <v>3.9753378517913395E-3</v>
      </c>
      <c r="AO9" s="78">
        <f t="shared" ref="AO9:AO72" si="2">AC9+$Z$79</f>
        <v>3.5211178482065772E-2</v>
      </c>
      <c r="AP9" s="78">
        <f t="shared" ref="AP9:AP72" si="3">IF(Y9="positif",ABS(AO9),ABS(AO9)*(-1))</f>
        <v>3.5211178482065772E-2</v>
      </c>
      <c r="AQ9" s="78" cm="1">
        <f t="array" ref="AQ9">IF(W9=0,
IF(Y9="positif",ABS(AO9),ABS(AO9)*(-1)),
INDEX($R$8:$R$77,W9))</f>
        <v>3.5211178482065772E-2</v>
      </c>
      <c r="AU9">
        <v>0</v>
      </c>
      <c r="AV9">
        <v>2</v>
      </c>
      <c r="AW9" t="s">
        <v>540</v>
      </c>
      <c r="AX9" t="s">
        <v>413</v>
      </c>
      <c r="AY9" s="106" t="str">
        <f>INDEX(Pipes_result_save_V1!$G$2:$G$206,MATCH(AX9,Pipes_result_save_V1!$I$2:$I$206,0))</f>
        <v>N111</v>
      </c>
      <c r="AZ9" s="106" t="str">
        <f>INDEX(Pipes_result_save_V1!$H$2:$H$206,MATCH(AX9,Pipes_result_save_V1!$I$2:$I$206,0))</f>
        <v>N42</v>
      </c>
      <c r="BA9">
        <v>3.2835999999999997E-2</v>
      </c>
      <c r="BB9">
        <v>250</v>
      </c>
      <c r="BC9">
        <v>150</v>
      </c>
      <c r="BD9">
        <v>42</v>
      </c>
      <c r="BE9">
        <v>35.833817943811347</v>
      </c>
      <c r="BF9">
        <v>-3.2835999999999997E-2</v>
      </c>
      <c r="BG9">
        <v>-6.405805386727606E-2</v>
      </c>
      <c r="BH9">
        <v>3.6129710001886743</v>
      </c>
      <c r="BI9" s="107">
        <f>INDEX(Pipes_result_save_V1!$K$2:$K$206,MATCH(AX9,Pipes_result_save_V1!$I$2:$I$206,0)) *POWER(10,-3)</f>
        <v>-8.0635652542114262E-3</v>
      </c>
      <c r="BJ9" s="78">
        <v>5.8404372619920604E-3</v>
      </c>
      <c r="BK9" s="78">
        <f t="shared" ref="BK9:BK44" si="4">BA9+$AY$46</f>
        <v>3.8249255700015396E-2</v>
      </c>
      <c r="BL9" s="78">
        <f t="shared" ref="BL9:BL44" si="5">IF(AW9="positif",ABS(BK9),ABS(BK9)*(-1))</f>
        <v>-3.8249255700015396E-2</v>
      </c>
      <c r="BM9" s="78" cm="1">
        <f t="array" ref="BM9">IF(AU9=0,
IF(AW9="positif",ABS(BK9),ABS(BK9)*(-1)),
INDEX($AQ$8:$AQ$77,AU9))</f>
        <v>-3.8249255700015396E-2</v>
      </c>
      <c r="BN9" s="78"/>
      <c r="BO9" s="107"/>
      <c r="BR9">
        <v>1</v>
      </c>
      <c r="BS9">
        <v>2</v>
      </c>
      <c r="BT9" t="s">
        <v>540</v>
      </c>
      <c r="BU9" t="s">
        <v>421</v>
      </c>
      <c r="BV9" s="106" t="str">
        <f>INDEX(Pipes_result_save_V1!$G$2:$G$206,MATCH(BU9,Pipes_result_save_V1!$I$2:$I$206,0))</f>
        <v>N42</v>
      </c>
      <c r="BW9" s="106" t="str">
        <f>INDEX(Pipes_result_save_V1!$H$2:$H$206,MATCH(BU9,Pipes_result_save_V1!$I$2:$I$206,0))</f>
        <v>N72</v>
      </c>
      <c r="BX9">
        <v>3.2835999999999997E-2</v>
      </c>
      <c r="BY9">
        <v>250</v>
      </c>
      <c r="BZ9">
        <v>150</v>
      </c>
      <c r="CA9">
        <v>91</v>
      </c>
      <c r="CB9">
        <v>77.639938878257922</v>
      </c>
      <c r="CC9">
        <v>3.8249255700015396E-2</v>
      </c>
      <c r="CD9">
        <v>0.18412084510295368</v>
      </c>
      <c r="CE9">
        <v>8.9149919100395199</v>
      </c>
      <c r="CF9" s="107">
        <f>INDEX(Pipes_result_save_V1!$K$2:$K$206,MATCH(BU9,Pipes_result_save_V1!$I$2:$I$206,0)) *POWER(10,-3)</f>
        <v>6.4305412292480477E-2</v>
      </c>
      <c r="CG9" s="78">
        <v>5.0228789967472947E-3</v>
      </c>
      <c r="CH9" s="78">
        <f t="shared" ref="CH9:CH59" si="6">BX9+$BX$61</f>
        <v>2.3579796114934291E-2</v>
      </c>
      <c r="CI9" s="78">
        <f t="shared" ref="CI9:CI59" si="7">IF(BT9="positif",ABS(CH9),ABS(CH9)*(-1))</f>
        <v>-2.3579796114934291E-2</v>
      </c>
      <c r="CJ9" s="78" cm="1">
        <f t="array" ref="CJ9">IF(BR9=0,
IF(BT9="positif",ABS(CH9),ABS(CH9)*(-1)),
INDEX($BM$8:$BM$44,BR9))</f>
        <v>3.8249255700015396E-2</v>
      </c>
      <c r="CN9">
        <v>0</v>
      </c>
      <c r="CO9">
        <v>2</v>
      </c>
      <c r="CP9" t="s">
        <v>539</v>
      </c>
      <c r="CQ9" t="s">
        <v>416</v>
      </c>
      <c r="CR9" s="106" t="str">
        <f>INDEX(Pipes_result_save_V1!$G$2:$G$206,MATCH(CQ9,Pipes_result_save_V1!$I$2:$I$206,0))</f>
        <v>N43</v>
      </c>
      <c r="CS9" s="106" t="str">
        <f>INDEX(Pipes_result_save_V1!$H$2:$H$206,MATCH(CQ9,Pipes_result_save_V1!$I$2:$I$206,0))</f>
        <v>N17</v>
      </c>
      <c r="CT9">
        <v>0.16656000000000001</v>
      </c>
      <c r="CU9">
        <v>466</v>
      </c>
      <c r="CV9">
        <v>150</v>
      </c>
      <c r="CW9">
        <v>232</v>
      </c>
      <c r="CX9">
        <v>9.5321256711827917</v>
      </c>
      <c r="CY9">
        <v>0.16656000000000001</v>
      </c>
      <c r="CZ9">
        <v>0.34477734290761108</v>
      </c>
      <c r="DA9">
        <v>3.8336193507738692</v>
      </c>
      <c r="DB9" s="107">
        <f>INDEX(Pipes_result_save_V1!$K$2:$K$206,MATCH(CQ9,Pipes_result_save_V1!$I$2:$I$206,0)) *POWER(10,-3)</f>
        <v>-6.128554534912109E-2</v>
      </c>
      <c r="DC9" s="78">
        <v>5.6258596043895891E-3</v>
      </c>
      <c r="DD9" s="78">
        <f t="shared" ref="DD9:DD48" si="8">CT9+$CT$50</f>
        <v>0.15497564373451178</v>
      </c>
      <c r="DE9" s="78">
        <f t="shared" ref="DE9:DE48" si="9">IF(CP9="positif",ABS(DD9),ABS(DD9)*(-1))</f>
        <v>0.15497564373451178</v>
      </c>
      <c r="DF9" s="78" cm="1">
        <f t="array" ref="DF9">IF(CN9=0,
IF(CP9="positif",ABS(DD9),ABS(DD9)*(-1)),
INDEX($BM$8:$BM$44,CN9))</f>
        <v>0.15497564373451178</v>
      </c>
      <c r="DL9">
        <v>0</v>
      </c>
      <c r="DM9">
        <v>2</v>
      </c>
      <c r="DN9" t="s">
        <v>540</v>
      </c>
      <c r="DO9" t="s">
        <v>400</v>
      </c>
      <c r="DP9" s="106" t="str">
        <f>INDEX(Pipes_result_save_V1!$G$2:$G$206,MATCH(DO9,Pipes_result_save_V1!$I$2:$I$206,0))</f>
        <v>N3</v>
      </c>
      <c r="DQ9" s="106" t="str">
        <f>INDEX(Pipes_result_save_V1!$H$2:$H$206,MATCH(DO9,Pipes_result_save_V1!$I$2:$I$206,0))</f>
        <v>N4</v>
      </c>
      <c r="DR9">
        <v>0.16656000000000001</v>
      </c>
      <c r="DS9">
        <v>466</v>
      </c>
      <c r="DT9">
        <v>150</v>
      </c>
      <c r="DU9">
        <v>181</v>
      </c>
      <c r="DV9">
        <v>7.4367014934658844</v>
      </c>
      <c r="DW9">
        <v>-0.16656000000000001</v>
      </c>
      <c r="DX9">
        <v>-0.26898577183740346</v>
      </c>
      <c r="DY9">
        <v>2.9908840624571997</v>
      </c>
      <c r="DZ9" s="107">
        <f>INDEX(Pipes_result_save_V1!$K$2:$K$206,MATCH(DO9,Pipes_result_save_V1!$I$2:$I$206,0)) *POWER(10,-3)</f>
        <v>0.11761656188964839</v>
      </c>
      <c r="EA9" s="78">
        <v>5.1155246570994449E-3</v>
      </c>
      <c r="EB9" s="78">
        <f t="shared" ref="EB9:EB55" si="10">DR9+$DP$57</f>
        <v>0.16714548384202288</v>
      </c>
      <c r="EC9" s="78">
        <f t="shared" ref="EC9:EC55" si="11">IF(DN9="positif",ABS(EB9),ABS(EB9)*(-1))</f>
        <v>-0.16714548384202288</v>
      </c>
      <c r="ED9" s="78" cm="1">
        <f t="array" ref="ED9">IF(DL9=0,
IF(DN9="positif",ABS(EB9),ABS(EB9)*(-1)),
INDEX($BM$8:$BM$44,DL9))</f>
        <v>-0.16714548384202288</v>
      </c>
      <c r="EE9" s="78"/>
      <c r="EF9" s="78"/>
      <c r="EI9">
        <v>0</v>
      </c>
      <c r="EJ9">
        <v>2</v>
      </c>
      <c r="EK9" t="s">
        <v>539</v>
      </c>
      <c r="EL9" t="s">
        <v>406</v>
      </c>
      <c r="EM9" s="106" t="str">
        <f>INDEX(Pipes_result_save_V1!$G$2:$G$206,MATCH(EL9,Pipes_result_save_V1!$I$2:$I$206,0))</f>
        <v>N1</v>
      </c>
      <c r="EN9" s="106" t="str">
        <f>INDEX(Pipes_result_save_V1!$H$2:$H$206,MATCH(EL9,Pipes_result_save_V1!$I$2:$I$206,0))</f>
        <v>N2</v>
      </c>
      <c r="EO9">
        <v>0.33212000000000003</v>
      </c>
      <c r="EP9">
        <v>700</v>
      </c>
      <c r="EQ9">
        <v>150</v>
      </c>
      <c r="ER9">
        <v>117</v>
      </c>
      <c r="ES9">
        <v>0.66240390430146878</v>
      </c>
      <c r="ET9">
        <v>0.33212000000000003</v>
      </c>
      <c r="EU9">
        <v>8.6012441950394827E-2</v>
      </c>
      <c r="EV9">
        <v>0.47963098425909684</v>
      </c>
      <c r="EW9" s="107">
        <f>INDEX(Pipes_result_save_V1!$K$2:$K$206,MATCH(EL9,Pipes_result_save_V1!$I$2:$I$206,0)) *POWER(10,-3)</f>
        <v>0.33091619873046879</v>
      </c>
      <c r="EX9" s="78">
        <v>5.2236693919670936E-3</v>
      </c>
      <c r="EY9" s="78">
        <f t="shared" ref="EY9:EY40" si="12">EO9+$EO$42</f>
        <v>0.29471177598290738</v>
      </c>
      <c r="EZ9" s="78">
        <f t="shared" ref="EZ9:EZ40" si="13">IF(EK9="positif",ABS(EY9),ABS(EY9)*(-1))</f>
        <v>0.29471177598290738</v>
      </c>
      <c r="FA9" s="78" cm="1">
        <f t="array" ref="FA9">IF(EI9=0,
IF(EK9="positif",ABS(EY9),ABS(EY9)*(-1)),
INDEX($BM$8:$BM$44,EI9))</f>
        <v>0.29471177598290738</v>
      </c>
    </row>
    <row r="10" spans="2:157" x14ac:dyDescent="0.25">
      <c r="B10" s="106">
        <v>3</v>
      </c>
      <c r="C10" s="106" t="s">
        <v>539</v>
      </c>
      <c r="D10" s="106" t="s">
        <v>199</v>
      </c>
      <c r="E10" s="106" t="str">
        <f>INDEX(Pipes_result_save_V1!$G$2:$G$206,MATCH(D10,Pipes_result_save_V1!$I$2:$I$206,0))</f>
        <v>N85</v>
      </c>
      <c r="F10" s="106" t="str">
        <f>INDEX(Pipes_result_save_V1!$H$2:$H$206,MATCH(D10,Pipes_result_save_V1!$I$2:$I$206,0))</f>
        <v>N86</v>
      </c>
      <c r="G10" s="106">
        <v>7.2999999999999995E-2</v>
      </c>
      <c r="H10" s="107">
        <v>350</v>
      </c>
      <c r="I10" s="107">
        <v>150</v>
      </c>
      <c r="J10" s="107">
        <v>73</v>
      </c>
      <c r="K10" s="107">
        <v>12.094195673475639</v>
      </c>
      <c r="L10" s="107">
        <v>7.2999999999999995E-2</v>
      </c>
      <c r="M10" s="107">
        <v>9.4940371718878883E-2</v>
      </c>
      <c r="N10" s="107">
        <v>2.4086242249775851</v>
      </c>
      <c r="O10" s="107">
        <f>INDEX(Pipes_result_save_V1!$K$2:$K$206,MATCH(D10,Pipes_result_save_V1!$I$2:$I$206,0)) *POWER(10,-3)</f>
        <v>1.9125244140625001E-2</v>
      </c>
      <c r="P10" s="78">
        <v>5.5356757694688587E-3</v>
      </c>
      <c r="Q10" s="78">
        <f t="shared" si="0"/>
        <v>-5.5969350761835013E-3</v>
      </c>
      <c r="R10" s="78">
        <f t="shared" si="1"/>
        <v>5.5969350761835013E-3</v>
      </c>
      <c r="S10" s="78"/>
      <c r="T10" s="78"/>
      <c r="U10" s="78"/>
      <c r="V10" s="78"/>
      <c r="W10" s="78">
        <v>0</v>
      </c>
      <c r="X10" s="78">
        <v>3</v>
      </c>
      <c r="Y10" s="78" t="s">
        <v>539</v>
      </c>
      <c r="Z10" s="78" t="s">
        <v>200</v>
      </c>
      <c r="AA10" s="106" t="str">
        <f>INDEX(Pipes_result_save_V1!$G$2:$G$206,MATCH(Z10,Pipes_result_save_V1!$I$2:$I$206,0))</f>
        <v>N83</v>
      </c>
      <c r="AB10" s="106" t="str">
        <f>INDEX(Pipes_result_save_V1!$H$2:$H$206,MATCH(Z10,Pipes_result_save_V1!$I$2:$I$206,0))</f>
        <v>N82</v>
      </c>
      <c r="AC10" s="78">
        <v>9.0894000000000003E-2</v>
      </c>
      <c r="AD10" s="78">
        <v>350</v>
      </c>
      <c r="AE10" s="78">
        <v>150</v>
      </c>
      <c r="AF10" s="78">
        <v>152</v>
      </c>
      <c r="AG10" s="78">
        <v>25.182434826962975</v>
      </c>
      <c r="AH10" s="78">
        <v>9.0894000000000003E-2</v>
      </c>
      <c r="AI10" s="78">
        <v>0</v>
      </c>
      <c r="AJ10" s="78">
        <v>0</v>
      </c>
      <c r="AK10" s="78">
        <v>0.29669138684853463</v>
      </c>
      <c r="AL10">
        <v>6.0452004361507479</v>
      </c>
      <c r="AM10" s="107">
        <f>INDEX(Pipes_result_save_V1!$K$2:$K$206,MATCH(Z10,Pipes_result_save_V1!$I$2:$I$206,0)) *POWER(10,-3)</f>
        <v>-5.0193531036376957E-2</v>
      </c>
      <c r="AN10" s="78">
        <v>1.5341845089411276E-3</v>
      </c>
      <c r="AO10" s="78">
        <f t="shared" si="2"/>
        <v>6.8047178482065776E-2</v>
      </c>
      <c r="AP10" s="78">
        <f t="shared" si="3"/>
        <v>6.8047178482065776E-2</v>
      </c>
      <c r="AQ10" s="78" cm="1">
        <f t="array" ref="AQ10">IF(W10=0,
IF(Y10="positif",ABS(AO10),ABS(AO10)*(-1)),
INDEX($R$8:$R$77,W10))</f>
        <v>6.8047178482065776E-2</v>
      </c>
      <c r="AU10">
        <v>0</v>
      </c>
      <c r="AV10">
        <v>3</v>
      </c>
      <c r="AW10" t="s">
        <v>539</v>
      </c>
      <c r="AX10" t="s">
        <v>181</v>
      </c>
      <c r="AY10" s="106" t="str">
        <f>INDEX(Pipes_result_save_V1!$G$2:$G$206,MATCH(AX10,Pipes_result_save_V1!$I$2:$I$206,0))</f>
        <v>N72</v>
      </c>
      <c r="AZ10" s="106" t="str">
        <f>INDEX(Pipes_result_save_V1!$H$2:$H$206,MATCH(AX10,Pipes_result_save_V1!$I$2:$I$206,0))</f>
        <v>N73</v>
      </c>
      <c r="BA10">
        <v>3.2837000000000005E-2</v>
      </c>
      <c r="BB10">
        <v>250</v>
      </c>
      <c r="BC10">
        <v>150</v>
      </c>
      <c r="BD10">
        <v>72</v>
      </c>
      <c r="BE10">
        <v>61.429402189390885</v>
      </c>
      <c r="BF10">
        <v>3.2837000000000005E-2</v>
      </c>
      <c r="BG10">
        <v>0.10982000037454172</v>
      </c>
      <c r="BH10">
        <v>6.19382527921708</v>
      </c>
      <c r="BI10" s="107">
        <f>INDEX(Pipes_result_save_V1!$K$2:$K$206,MATCH(AX10,Pipes_result_save_V1!$I$2:$I$206,0)) *POWER(10,-3)</f>
        <v>6.3329761505126952E-2</v>
      </c>
      <c r="BJ10" s="78">
        <v>5.2013618015163731E-3</v>
      </c>
      <c r="BK10" s="78">
        <f t="shared" si="4"/>
        <v>3.8250255700015404E-2</v>
      </c>
      <c r="BL10" s="78">
        <f t="shared" si="5"/>
        <v>3.8250255700015404E-2</v>
      </c>
      <c r="BM10" s="78" cm="1">
        <f t="array" ref="BM10">IF(AU10=0,
IF(AW10="positif",ABS(BK10),ABS(BK10)*(-1)),
INDEX($AQ$8:$AQ$77,AU10))</f>
        <v>3.8250255700015404E-2</v>
      </c>
      <c r="BN10" s="78"/>
      <c r="BO10" s="78"/>
      <c r="BR10">
        <v>0</v>
      </c>
      <c r="BS10">
        <v>3</v>
      </c>
      <c r="BT10" t="s">
        <v>539</v>
      </c>
      <c r="BU10" t="s">
        <v>159</v>
      </c>
      <c r="BV10" s="106" t="str">
        <f>INDEX(Pipes_result_save_V1!$G$2:$G$206,MATCH(BU10,Pipes_result_save_V1!$I$2:$I$206,0))</f>
        <v>N53</v>
      </c>
      <c r="BW10" s="106" t="str">
        <f>INDEX(Pipes_result_save_V1!$H$2:$H$206,MATCH(BU10,Pipes_result_save_V1!$I$2:$I$206,0))</f>
        <v>N52</v>
      </c>
      <c r="BX10">
        <v>3.2837000000000005E-2</v>
      </c>
      <c r="BY10">
        <v>250</v>
      </c>
      <c r="BZ10">
        <v>150</v>
      </c>
      <c r="CA10">
        <v>94</v>
      </c>
      <c r="CB10">
        <v>80.199497302815871</v>
      </c>
      <c r="CC10">
        <v>3.2837000000000005E-2</v>
      </c>
      <c r="CD10">
        <v>0.14337611160009611</v>
      </c>
      <c r="CE10">
        <v>8.0863830034222985</v>
      </c>
      <c r="CF10" s="107">
        <f>INDEX(Pipes_result_save_V1!$K$2:$K$206,MATCH(BU10,Pipes_result_save_V1!$I$2:$I$206,0)) *POWER(10,-3)</f>
        <v>-3.1705240249633788E-2</v>
      </c>
      <c r="CG10" s="78">
        <v>5.890773312039058E-3</v>
      </c>
      <c r="CH10" s="78">
        <f t="shared" si="6"/>
        <v>2.3580796114934299E-2</v>
      </c>
      <c r="CI10" s="78">
        <f t="shared" si="7"/>
        <v>2.3580796114934299E-2</v>
      </c>
      <c r="CJ10" s="78" cm="1">
        <f t="array" ref="CJ10">IF(BR10=0,
IF(BT10="positif",ABS(CH10),ABS(CH10)*(-1)),
INDEX($BM$8:$BM$44,BR10))</f>
        <v>2.3580796114934299E-2</v>
      </c>
      <c r="CN10">
        <v>0</v>
      </c>
      <c r="CO10">
        <v>3</v>
      </c>
      <c r="CP10" t="s">
        <v>540</v>
      </c>
      <c r="CQ10" t="s">
        <v>138</v>
      </c>
      <c r="CR10" s="106" t="str">
        <f>INDEX(Pipes_result_save_V1!$G$2:$G$206,MATCH(CQ10,Pipes_result_save_V1!$I$2:$I$206,0))</f>
        <v>N32</v>
      </c>
      <c r="CS10" s="106" t="str">
        <f>INDEX(Pipes_result_save_V1!$H$2:$H$206,MATCH(CQ10,Pipes_result_save_V1!$I$2:$I$206,0))</f>
        <v>N31</v>
      </c>
      <c r="CT10">
        <v>8.3280000000000007E-2</v>
      </c>
      <c r="CU10">
        <v>350</v>
      </c>
      <c r="CV10">
        <v>150</v>
      </c>
      <c r="CW10">
        <v>129</v>
      </c>
      <c r="CX10">
        <v>21.371934820251475</v>
      </c>
      <c r="CY10">
        <v>-8.3280000000000007E-2</v>
      </c>
      <c r="CZ10">
        <v>-0.21413381180980889</v>
      </c>
      <c r="DA10">
        <v>4.7619574864525225</v>
      </c>
      <c r="DB10" s="107">
        <f>INDEX(Pipes_result_save_V1!$K$2:$K$206,MATCH(CQ10,Pipes_result_save_V1!$I$2:$I$206,0)) *POWER(10,-3)</f>
        <v>-0.11996421051025391</v>
      </c>
      <c r="DC10" s="78">
        <v>5.6823466040250145E-3</v>
      </c>
      <c r="DD10" s="78">
        <f t="shared" si="8"/>
        <v>7.169564373451176E-2</v>
      </c>
      <c r="DE10" s="78">
        <f t="shared" si="9"/>
        <v>-7.169564373451176E-2</v>
      </c>
      <c r="DF10" s="78" cm="1">
        <f t="array" ref="DF10">IF(CN10=0,
IF(CP10="positif",ABS(DD10),ABS(DD10)*(-1)),
INDEX($BM$8:$BM$44,CN10))</f>
        <v>-7.169564373451176E-2</v>
      </c>
      <c r="DL10">
        <v>0</v>
      </c>
      <c r="DM10">
        <v>3</v>
      </c>
      <c r="DN10" t="s">
        <v>540</v>
      </c>
      <c r="DO10" t="s">
        <v>401</v>
      </c>
      <c r="DP10" s="106" t="str">
        <f>INDEX(Pipes_result_save_V1!$G$2:$G$206,MATCH(DO10,Pipes_result_save_V1!$I$2:$I$206,0))</f>
        <v>N4</v>
      </c>
      <c r="DQ10" s="106" t="str">
        <f>INDEX(Pipes_result_save_V1!$H$2:$H$206,MATCH(DO10,Pipes_result_save_V1!$I$2:$I$206,0))</f>
        <v>N5</v>
      </c>
      <c r="DR10">
        <v>0.16656000000000001</v>
      </c>
      <c r="DS10">
        <v>466</v>
      </c>
      <c r="DT10">
        <v>150</v>
      </c>
      <c r="DU10">
        <v>133</v>
      </c>
      <c r="DV10">
        <v>5.4645375614970311</v>
      </c>
      <c r="DW10">
        <v>-0.16656000000000001</v>
      </c>
      <c r="DX10">
        <v>-0.19765252847720807</v>
      </c>
      <c r="DY10">
        <v>2.1977214381591574</v>
      </c>
      <c r="DZ10" s="107">
        <f>INDEX(Pipes_result_save_V1!$K$2:$K$206,MATCH(DO10,Pipes_result_save_V1!$I$2:$I$206,0)) *POWER(10,-3)</f>
        <v>0.1158250274658203</v>
      </c>
      <c r="EA10" s="78">
        <v>5.0833954696630455E-3</v>
      </c>
      <c r="EB10" s="78">
        <f t="shared" si="10"/>
        <v>0.16714548384202288</v>
      </c>
      <c r="EC10" s="78">
        <f t="shared" si="11"/>
        <v>-0.16714548384202288</v>
      </c>
      <c r="ED10" s="78" cm="1">
        <f t="array" ref="ED10">IF(DL10=0,
IF(DN10="positif",ABS(EB10),ABS(EB10)*(-1)),
INDEX($BM$8:$BM$44,DL10))</f>
        <v>-0.16714548384202288</v>
      </c>
      <c r="EE10" s="78"/>
      <c r="EF10" s="78"/>
      <c r="EI10">
        <v>0</v>
      </c>
      <c r="EJ10">
        <v>3</v>
      </c>
      <c r="EK10" t="s">
        <v>539</v>
      </c>
      <c r="EL10" t="s">
        <v>407</v>
      </c>
      <c r="EM10" s="106" t="str">
        <f>INDEX(Pipes_result_save_V1!$G$2:$G$206,MATCH(EL10,Pipes_result_save_V1!$I$2:$I$206,0))</f>
        <v>N2</v>
      </c>
      <c r="EN10" s="106" t="str">
        <f>INDEX(Pipes_result_save_V1!$H$2:$H$206,MATCH(EL10,Pipes_result_save_V1!$I$2:$I$206,0))</f>
        <v>N3</v>
      </c>
      <c r="EO10">
        <v>0.33212000000000003</v>
      </c>
      <c r="EP10">
        <v>700</v>
      </c>
      <c r="EQ10">
        <v>150</v>
      </c>
      <c r="ER10">
        <v>167</v>
      </c>
      <c r="ES10">
        <v>0.94548249588329314</v>
      </c>
      <c r="ET10">
        <v>0.33212000000000003</v>
      </c>
      <c r="EU10">
        <v>0.1227698957753499</v>
      </c>
      <c r="EV10">
        <v>0.68460149035272788</v>
      </c>
      <c r="EW10" s="107">
        <f>INDEX(Pipes_result_save_V1!$K$2:$K$206,MATCH(EL10,Pipes_result_save_V1!$I$2:$I$206,0)) *POWER(10,-3)</f>
        <v>0.32929580688476562</v>
      </c>
      <c r="EX10" s="78">
        <v>6.474608799300445E-3</v>
      </c>
      <c r="EY10" s="78">
        <f t="shared" si="12"/>
        <v>0.29471177598290738</v>
      </c>
      <c r="EZ10" s="78">
        <f t="shared" si="13"/>
        <v>0.29471177598290738</v>
      </c>
      <c r="FA10" s="78" cm="1">
        <f t="array" ref="FA10">IF(EI10=0,
IF(EK10="positif",ABS(EY10),ABS(EY10)*(-1)),
INDEX($BM$8:$BM$44,EI10))</f>
        <v>0.29471177598290738</v>
      </c>
    </row>
    <row r="11" spans="2:157" x14ac:dyDescent="0.25">
      <c r="B11" s="106">
        <v>4</v>
      </c>
      <c r="C11" s="106" t="s">
        <v>539</v>
      </c>
      <c r="D11" s="106" t="s">
        <v>198</v>
      </c>
      <c r="E11" s="106" t="str">
        <f>INDEX(Pipes_result_save_V1!$G$2:$G$206,MATCH(D11,Pipes_result_save_V1!$I$2:$I$206,0))</f>
        <v>N86</v>
      </c>
      <c r="F11" s="106" t="str">
        <f>INDEX(Pipes_result_save_V1!$H$2:$H$206,MATCH(D11,Pipes_result_save_V1!$I$2:$I$206,0))</f>
        <v>N87</v>
      </c>
      <c r="G11" s="106">
        <v>7.6999999999999999E-2</v>
      </c>
      <c r="H11" s="107">
        <v>350</v>
      </c>
      <c r="I11" s="107">
        <v>150</v>
      </c>
      <c r="J11" s="107">
        <v>77</v>
      </c>
      <c r="K11" s="107">
        <v>12.756891326816771</v>
      </c>
      <c r="L11" s="107">
        <v>7.6999999999999999E-2</v>
      </c>
      <c r="M11" s="107">
        <v>0.11054158283193545</v>
      </c>
      <c r="N11" s="107">
        <v>2.6587404078538244</v>
      </c>
      <c r="O11" s="107">
        <f>INDEX(Pipes_result_save_V1!$K$2:$K$206,MATCH(D11,Pipes_result_save_V1!$I$2:$I$206,0)) *POWER(10,-3)</f>
        <v>1.8269411087036131E-2</v>
      </c>
      <c r="P11" s="78">
        <v>6.0150194757186077E-3</v>
      </c>
      <c r="Q11" s="78">
        <f t="shared" si="0"/>
        <v>-1.5969350761834977E-3</v>
      </c>
      <c r="R11" s="78">
        <f t="shared" si="1"/>
        <v>1.5969350761834977E-3</v>
      </c>
      <c r="S11" s="78"/>
      <c r="T11" s="78"/>
      <c r="U11" s="78"/>
      <c r="V11" s="78"/>
      <c r="W11" s="78">
        <v>0</v>
      </c>
      <c r="X11" s="78">
        <v>4</v>
      </c>
      <c r="Y11" s="78" t="s">
        <v>539</v>
      </c>
      <c r="Z11" s="78" t="s">
        <v>202</v>
      </c>
      <c r="AA11" s="106" t="str">
        <f>INDEX(Pipes_result_save_V1!$G$2:$G$206,MATCH(Z11,Pipes_result_save_V1!$I$2:$I$206,0))</f>
        <v>N84</v>
      </c>
      <c r="AB11" s="106" t="str">
        <f>INDEX(Pipes_result_save_V1!$H$2:$H$206,MATCH(Z11,Pipes_result_save_V1!$I$2:$I$206,0))</f>
        <v>N83</v>
      </c>
      <c r="AC11" s="78">
        <v>9.0894000000000003E-2</v>
      </c>
      <c r="AD11" s="78">
        <v>350</v>
      </c>
      <c r="AE11" s="78">
        <v>150</v>
      </c>
      <c r="AF11" s="78">
        <v>75</v>
      </c>
      <c r="AG11" s="78">
        <v>12.425543500146206</v>
      </c>
      <c r="AH11" s="78">
        <v>9.0894000000000003E-2</v>
      </c>
      <c r="AI11" s="78">
        <v>0</v>
      </c>
      <c r="AJ11" s="78">
        <v>0</v>
      </c>
      <c r="AK11" s="78">
        <v>0.14639377640552698</v>
      </c>
      <c r="AL11">
        <v>2.982829162574383</v>
      </c>
      <c r="AM11" s="107">
        <f>INDEX(Pipes_result_save_V1!$K$2:$K$206,MATCH(Z11,Pipes_result_save_V1!$I$2:$I$206,0)) *POWER(10,-3)</f>
        <v>-4.8898372650146481E-2</v>
      </c>
      <c r="AN11" s="78">
        <v>3.6478905222830926E-3</v>
      </c>
      <c r="AO11" s="78">
        <f t="shared" si="2"/>
        <v>6.8047178482065776E-2</v>
      </c>
      <c r="AP11" s="78">
        <f t="shared" si="3"/>
        <v>6.8047178482065776E-2</v>
      </c>
      <c r="AQ11" s="78" cm="1">
        <f t="array" ref="AQ11">IF(W11=0,
IF(Y11="positif",ABS(AO11),ABS(AO11)*(-1)),
INDEX($R$8:$R$77,W11))</f>
        <v>6.8047178482065776E-2</v>
      </c>
      <c r="AU11">
        <v>0</v>
      </c>
      <c r="AV11">
        <v>4</v>
      </c>
      <c r="AW11" t="s">
        <v>539</v>
      </c>
      <c r="AX11" t="s">
        <v>179</v>
      </c>
      <c r="AY11" s="106" t="str">
        <f>INDEX(Pipes_result_save_V1!$G$2:$G$206,MATCH(AX11,Pipes_result_save_V1!$I$2:$I$206,0))</f>
        <v>N73</v>
      </c>
      <c r="AZ11" s="106" t="str">
        <f>INDEX(Pipes_result_save_V1!$H$2:$H$206,MATCH(AX11,Pipes_result_save_V1!$I$2:$I$206,0))</f>
        <v>N74</v>
      </c>
      <c r="BA11">
        <v>3.2837000000000005E-2</v>
      </c>
      <c r="BB11">
        <v>250</v>
      </c>
      <c r="BC11">
        <v>150</v>
      </c>
      <c r="BD11">
        <v>73</v>
      </c>
      <c r="BE11">
        <v>62.282588330910201</v>
      </c>
      <c r="BF11">
        <v>3.2837000000000005E-2</v>
      </c>
      <c r="BG11">
        <v>0.11134527815752146</v>
      </c>
      <c r="BH11">
        <v>6.2798506303173163</v>
      </c>
      <c r="BI11" s="107">
        <f>INDEX(Pipes_result_save_V1!$K$2:$K$206,MATCH(AX11,Pipes_result_save_V1!$I$2:$I$206,0)) *POWER(10,-3)</f>
        <v>6.2376930236816418E-2</v>
      </c>
      <c r="BJ11" s="78">
        <v>6.030104226897608E-3</v>
      </c>
      <c r="BK11" s="78">
        <f t="shared" si="4"/>
        <v>3.8250255700015404E-2</v>
      </c>
      <c r="BL11" s="78">
        <f t="shared" si="5"/>
        <v>3.8250255700015404E-2</v>
      </c>
      <c r="BM11" s="78" cm="1">
        <f t="array" ref="BM11">IF(AU11=0,
IF(AW11="positif",ABS(BK11),ABS(BK11)*(-1)),
INDEX($AQ$8:$AQ$77,AU11))</f>
        <v>3.8250255700015404E-2</v>
      </c>
      <c r="BN11" s="78"/>
      <c r="BO11" s="78"/>
      <c r="BR11">
        <v>0</v>
      </c>
      <c r="BS11">
        <v>4</v>
      </c>
      <c r="BT11" t="s">
        <v>539</v>
      </c>
      <c r="BU11" t="s">
        <v>158</v>
      </c>
      <c r="BV11" s="106" t="str">
        <f>INDEX(Pipes_result_save_V1!$G$2:$G$206,MATCH(BU11,Pipes_result_save_V1!$I$2:$I$206,0))</f>
        <v>N54</v>
      </c>
      <c r="BW11" s="106" t="str">
        <f>INDEX(Pipes_result_save_V1!$H$2:$H$206,MATCH(BU11,Pipes_result_save_V1!$I$2:$I$206,0))</f>
        <v>N53</v>
      </c>
      <c r="BX11">
        <v>3.2837000000000005E-2</v>
      </c>
      <c r="BY11">
        <v>250</v>
      </c>
      <c r="BZ11">
        <v>150</v>
      </c>
      <c r="CA11">
        <v>191</v>
      </c>
      <c r="CB11">
        <v>162.95855303018971</v>
      </c>
      <c r="CC11">
        <v>3.2837000000000005E-2</v>
      </c>
      <c r="CD11">
        <v>0.29132805654913152</v>
      </c>
      <c r="CE11">
        <v>16.430842060145309</v>
      </c>
      <c r="CF11" s="107">
        <f>INDEX(Pipes_result_save_V1!$K$2:$K$206,MATCH(BU11,Pipes_result_save_V1!$I$2:$I$206,0)) *POWER(10,-3)</f>
        <v>-3.0079156875610351E-2</v>
      </c>
      <c r="CG11" s="78">
        <v>6.1574795089512106E-3</v>
      </c>
      <c r="CH11" s="78">
        <f t="shared" si="6"/>
        <v>2.3580796114934299E-2</v>
      </c>
      <c r="CI11" s="78">
        <f t="shared" si="7"/>
        <v>2.3580796114934299E-2</v>
      </c>
      <c r="CJ11" s="78" cm="1">
        <f t="array" ref="CJ11">IF(BR11=0,
IF(BT11="positif",ABS(CH11),ABS(CH11)*(-1)),
INDEX($BM$8:$BM$44,BR11))</f>
        <v>2.3580796114934299E-2</v>
      </c>
      <c r="CN11">
        <v>0</v>
      </c>
      <c r="CO11">
        <v>4</v>
      </c>
      <c r="CP11" t="s">
        <v>540</v>
      </c>
      <c r="CQ11" t="s">
        <v>137</v>
      </c>
      <c r="CR11" s="106" t="str">
        <f>INDEX(Pipes_result_save_V1!$G$2:$G$206,MATCH(CQ11,Pipes_result_save_V1!$I$2:$I$206,0))</f>
        <v>N33</v>
      </c>
      <c r="CS11" s="106" t="str">
        <f>INDEX(Pipes_result_save_V1!$H$2:$H$206,MATCH(CQ11,Pipes_result_save_V1!$I$2:$I$206,0))</f>
        <v>N32</v>
      </c>
      <c r="CT11">
        <v>8.3280000000000007E-2</v>
      </c>
      <c r="CU11">
        <v>350</v>
      </c>
      <c r="CV11">
        <v>150</v>
      </c>
      <c r="CW11">
        <v>157</v>
      </c>
      <c r="CX11">
        <v>26.01080439363939</v>
      </c>
      <c r="CY11">
        <v>-8.3280000000000007E-2</v>
      </c>
      <c r="CZ11">
        <v>-0.26061246863674414</v>
      </c>
      <c r="DA11">
        <v>5.795560661806558</v>
      </c>
      <c r="DB11" s="107">
        <f>INDEX(Pipes_result_save_V1!$K$2:$K$206,MATCH(CQ11,Pipes_result_save_V1!$I$2:$I$206,0)) *POWER(10,-3)</f>
        <v>-0.1183324203491211</v>
      </c>
      <c r="DC11" s="78">
        <v>6.0996730274598832E-3</v>
      </c>
      <c r="DD11" s="78">
        <f t="shared" si="8"/>
        <v>7.169564373451176E-2</v>
      </c>
      <c r="DE11" s="78">
        <f t="shared" si="9"/>
        <v>-7.169564373451176E-2</v>
      </c>
      <c r="DF11" s="78" cm="1">
        <f t="array" ref="DF11">IF(CN11=0,
IF(CP11="positif",ABS(DD11),ABS(DD11)*(-1)),
INDEX($BM$8:$BM$44,CN11))</f>
        <v>-7.169564373451176E-2</v>
      </c>
      <c r="DL11">
        <v>0</v>
      </c>
      <c r="DM11">
        <v>4</v>
      </c>
      <c r="DN11" t="s">
        <v>540</v>
      </c>
      <c r="DO11" t="s">
        <v>403</v>
      </c>
      <c r="DP11" s="106" t="str">
        <f>INDEX(Pipes_result_save_V1!$G$2:$G$206,MATCH(DO11,Pipes_result_save_V1!$I$2:$I$206,0))</f>
        <v>N5</v>
      </c>
      <c r="DQ11" s="106" t="str">
        <f>INDEX(Pipes_result_save_V1!$H$2:$H$206,MATCH(DO11,Pipes_result_save_V1!$I$2:$I$206,0))</f>
        <v>N6</v>
      </c>
      <c r="DR11">
        <v>0.16656000000000001</v>
      </c>
      <c r="DS11">
        <v>466</v>
      </c>
      <c r="DT11">
        <v>150</v>
      </c>
      <c r="DU11">
        <v>75</v>
      </c>
      <c r="DV11">
        <v>3.0815061437013331</v>
      </c>
      <c r="DW11">
        <v>-0.16656000000000001</v>
      </c>
      <c r="DX11">
        <v>-0.11145819275030529</v>
      </c>
      <c r="DY11">
        <v>1.2393166004656904</v>
      </c>
      <c r="DZ11" s="107">
        <f>INDEX(Pipes_result_save_V1!$K$2:$K$206,MATCH(DO11,Pipes_result_save_V1!$I$2:$I$206,0)) *POWER(10,-3)</f>
        <v>0.1146382675170898</v>
      </c>
      <c r="EA11" s="78">
        <v>5.3390830705729595E-3</v>
      </c>
      <c r="EB11" s="78">
        <f t="shared" si="10"/>
        <v>0.16714548384202288</v>
      </c>
      <c r="EC11" s="78">
        <f t="shared" si="11"/>
        <v>-0.16714548384202288</v>
      </c>
      <c r="ED11" s="78" cm="1">
        <f t="array" ref="ED11">IF(DL11=0,
IF(DN11="positif",ABS(EB11),ABS(EB11)*(-1)),
INDEX($BM$8:$BM$44,DL11))</f>
        <v>-0.16714548384202288</v>
      </c>
      <c r="EE11" s="78"/>
      <c r="EF11" s="78"/>
      <c r="EI11">
        <v>1</v>
      </c>
      <c r="EJ11">
        <v>4</v>
      </c>
      <c r="EK11" t="s">
        <v>540</v>
      </c>
      <c r="EL11" t="s">
        <v>399</v>
      </c>
      <c r="EM11" s="106" t="str">
        <f>INDEX(Pipes_result_save_V1!$G$2:$G$206,MATCH(EL11,Pipes_result_save_V1!$I$2:$I$206,0))</f>
        <v>N18</v>
      </c>
      <c r="EN11" s="106" t="str">
        <f>INDEX(Pipes_result_save_V1!$H$2:$H$206,MATCH(EL11,Pipes_result_save_V1!$I$2:$I$206,0))</f>
        <v>N3</v>
      </c>
      <c r="EO11">
        <v>0.16656000000000001</v>
      </c>
      <c r="EP11">
        <v>466</v>
      </c>
      <c r="EQ11">
        <v>150</v>
      </c>
      <c r="ER11">
        <v>93</v>
      </c>
      <c r="ES11">
        <v>3.821067618189653</v>
      </c>
      <c r="ET11">
        <v>-0.17814435626548825</v>
      </c>
      <c r="EU11">
        <v>-0.15653613023676707</v>
      </c>
      <c r="EV11">
        <v>1.6273595149230984</v>
      </c>
      <c r="EW11" s="107">
        <f>INDEX(Pipes_result_save_V1!$K$2:$K$206,MATCH(EL11,Pipes_result_save_V1!$I$2:$I$206,0)) *POWER(10,-3)</f>
        <v>-0.20916310119628909</v>
      </c>
      <c r="EX11" s="78">
        <v>6.4633791434452279E-3</v>
      </c>
      <c r="EY11" s="78">
        <f t="shared" si="12"/>
        <v>0.12915177598290734</v>
      </c>
      <c r="EZ11" s="78">
        <f t="shared" si="13"/>
        <v>-0.12915177598290734</v>
      </c>
      <c r="FA11" s="78" cm="1">
        <f t="array" ref="FA11">IF(EI11=0,
IF(EK11="positif",ABS(EY11),ABS(EY11)*(-1)),
INDEX($BM$8:$BM$44,EI11))</f>
        <v>3.8249255700015396E-2</v>
      </c>
    </row>
    <row r="12" spans="2:157" x14ac:dyDescent="0.25">
      <c r="B12" s="106">
        <v>5</v>
      </c>
      <c r="C12" s="106" t="s">
        <v>539</v>
      </c>
      <c r="D12" s="106" t="s">
        <v>197</v>
      </c>
      <c r="E12" s="106" t="str">
        <f>INDEX(Pipes_result_save_V1!$G$2:$G$206,MATCH(D12,Pipes_result_save_V1!$I$2:$I$206,0))</f>
        <v>N87</v>
      </c>
      <c r="F12" s="106" t="str">
        <f>INDEX(Pipes_result_save_V1!$H$2:$H$206,MATCH(D12,Pipes_result_save_V1!$I$2:$I$206,0))</f>
        <v>N88</v>
      </c>
      <c r="G12" s="106">
        <v>0.25</v>
      </c>
      <c r="H12" s="107">
        <v>565</v>
      </c>
      <c r="I12" s="107">
        <v>150</v>
      </c>
      <c r="J12" s="107">
        <v>250</v>
      </c>
      <c r="K12" s="107">
        <v>4.0190332028082514</v>
      </c>
      <c r="L12" s="107">
        <v>0.25</v>
      </c>
      <c r="M12" s="107">
        <v>0.30839440487044523</v>
      </c>
      <c r="N12" s="107">
        <v>2.2845857512802583</v>
      </c>
      <c r="O12" s="107">
        <f>INDEX(Pipes_result_save_V1!$K$2:$K$206,MATCH(D12,Pipes_result_save_V1!$I$2:$I$206,0)) *POWER(10,-3)</f>
        <v>1.6403696060180661E-2</v>
      </c>
      <c r="P12" s="78">
        <v>5.9554526288505532E-3</v>
      </c>
      <c r="Q12" s="78">
        <f t="shared" si="0"/>
        <v>0.17140306492381652</v>
      </c>
      <c r="R12" s="78">
        <f t="shared" si="1"/>
        <v>0.17140306492381652</v>
      </c>
      <c r="S12" s="78"/>
      <c r="T12" s="78"/>
      <c r="U12" s="78"/>
      <c r="V12" s="78"/>
      <c r="W12" s="78">
        <v>0</v>
      </c>
      <c r="X12" s="78">
        <v>5</v>
      </c>
      <c r="Y12" s="78" t="s">
        <v>540</v>
      </c>
      <c r="Z12" s="106" t="s">
        <v>884</v>
      </c>
      <c r="AA12" s="106" t="str">
        <f>INDEX(Pipes_result_save_V1!$G$2:$G$206,MATCH(Z12,Pipes_result_save_V1!$I$2:$I$206,0))</f>
        <v>N165</v>
      </c>
      <c r="AB12" s="106" t="str">
        <f>INDEX(Pipes_result_save_V1!$H$2:$H$206,MATCH(Z12,Pipes_result_save_V1!$I$2:$I$206,0))</f>
        <v>N84</v>
      </c>
      <c r="AC12" s="78">
        <v>2.9028999999999999E-2</v>
      </c>
      <c r="AD12" s="78">
        <v>200</v>
      </c>
      <c r="AE12" s="78">
        <v>150</v>
      </c>
      <c r="AF12" s="78">
        <v>96</v>
      </c>
      <c r="AG12" s="78">
        <v>242.86431051954654</v>
      </c>
      <c r="AH12" s="78">
        <v>-2.9028999999999999E-2</v>
      </c>
      <c r="AI12" s="78">
        <v>0</v>
      </c>
      <c r="AJ12" s="78">
        <v>0</v>
      </c>
      <c r="AK12" s="78">
        <v>-0.34556416714209448</v>
      </c>
      <c r="AL12">
        <v>22.046396277762213</v>
      </c>
      <c r="AM12" s="107">
        <f>INDEX(Pipes_result_save_V1!$K$2:$K$206,MATCH(Z12,Pipes_result_save_V1!$I$2:$I$206,0)) *POWER(10,-3)</f>
        <v>-2.7296918869018551E-2</v>
      </c>
      <c r="AN12" s="78">
        <v>1.1755613789145893E-3</v>
      </c>
      <c r="AO12" s="78">
        <f t="shared" si="2"/>
        <v>6.1821784820657692E-3</v>
      </c>
      <c r="AP12" s="78">
        <f t="shared" si="3"/>
        <v>-6.1821784820657692E-3</v>
      </c>
      <c r="AQ12" s="78" cm="1">
        <f t="array" ref="AQ12">IF(W12=0,
IF(Y12="positif",ABS(AO12),ABS(AO12)*(-1)),
INDEX($R$8:$R$77,W12))</f>
        <v>-6.1821784820657692E-3</v>
      </c>
      <c r="AU12">
        <v>0</v>
      </c>
      <c r="AV12">
        <v>5</v>
      </c>
      <c r="AW12" t="s">
        <v>539</v>
      </c>
      <c r="AX12" t="s">
        <v>180</v>
      </c>
      <c r="AY12" s="106" t="str">
        <f>INDEX(Pipes_result_save_V1!$G$2:$G$206,MATCH(AX12,Pipes_result_save_V1!$I$2:$I$206,0))</f>
        <v>N74</v>
      </c>
      <c r="AZ12" s="106" t="str">
        <f>INDEX(Pipes_result_save_V1!$H$2:$H$206,MATCH(AX12,Pipes_result_save_V1!$I$2:$I$206,0))</f>
        <v>N75</v>
      </c>
      <c r="BA12">
        <v>3.2837000000000005E-2</v>
      </c>
      <c r="BB12">
        <v>250</v>
      </c>
      <c r="BC12">
        <v>150</v>
      </c>
      <c r="BD12">
        <v>74</v>
      </c>
      <c r="BE12">
        <v>63.135774472429517</v>
      </c>
      <c r="BF12">
        <v>3.2837000000000005E-2</v>
      </c>
      <c r="BG12">
        <v>0.1128705559405012</v>
      </c>
      <c r="BH12">
        <v>6.3658759814175534</v>
      </c>
      <c r="BI12" s="107">
        <f>INDEX(Pipes_result_save_V1!$K$2:$K$206,MATCH(AX12,Pipes_result_save_V1!$I$2:$I$206,0)) *POWER(10,-3)</f>
        <v>6.1372756958007813E-2</v>
      </c>
      <c r="BJ12" s="78">
        <v>6.0754373213024147E-3</v>
      </c>
      <c r="BK12" s="78">
        <f t="shared" si="4"/>
        <v>3.8250255700015404E-2</v>
      </c>
      <c r="BL12" s="78">
        <f t="shared" si="5"/>
        <v>3.8250255700015404E-2</v>
      </c>
      <c r="BM12" s="78" cm="1">
        <f t="array" ref="BM12">IF(AU12=0,
IF(AW12="positif",ABS(BK12),ABS(BK12)*(-1)),
INDEX($AQ$8:$AQ$77,AU12))</f>
        <v>3.8250255700015404E-2</v>
      </c>
      <c r="BN12" s="78"/>
      <c r="BO12" s="78"/>
      <c r="BR12">
        <v>0</v>
      </c>
      <c r="BS12">
        <v>5</v>
      </c>
      <c r="BT12" t="s">
        <v>539</v>
      </c>
      <c r="BU12" t="s">
        <v>130</v>
      </c>
      <c r="BV12" s="106" t="str">
        <f>INDEX(Pipes_result_save_V1!$G$2:$G$206,MATCH(BU12,Pipes_result_save_V1!$I$2:$I$206,0))</f>
        <v>N55</v>
      </c>
      <c r="BW12" s="106" t="str">
        <f>INDEX(Pipes_result_save_V1!$H$2:$H$206,MATCH(BU12,Pipes_result_save_V1!$I$2:$I$206,0))</f>
        <v>N54</v>
      </c>
      <c r="BX12">
        <v>3.2837000000000005E-2</v>
      </c>
      <c r="BY12">
        <v>250</v>
      </c>
      <c r="BZ12">
        <v>150</v>
      </c>
      <c r="CA12">
        <v>77</v>
      </c>
      <c r="CB12">
        <v>65.695332896987466</v>
      </c>
      <c r="CC12">
        <v>3.2837000000000005E-2</v>
      </c>
      <c r="CD12">
        <v>0.11744638928944044</v>
      </c>
      <c r="CE12">
        <v>6.6239520347182648</v>
      </c>
      <c r="CF12" s="107">
        <f>INDEX(Pipes_result_save_V1!$K$2:$K$206,MATCH(BU12,Pipes_result_save_V1!$I$2:$I$206,0)) *POWER(10,-3)</f>
        <v>-2.8550071716308592E-2</v>
      </c>
      <c r="CG12" s="78">
        <v>5.4589137819041553E-3</v>
      </c>
      <c r="CH12" s="78">
        <f t="shared" si="6"/>
        <v>2.3580796114934299E-2</v>
      </c>
      <c r="CI12" s="78">
        <f t="shared" si="7"/>
        <v>2.3580796114934299E-2</v>
      </c>
      <c r="CJ12" s="78" cm="1">
        <f t="array" ref="CJ12">IF(BR12=0,
IF(BT12="positif",ABS(CH12),ABS(CH12)*(-1)),
INDEX($BM$8:$BM$44,BR12))</f>
        <v>2.3580796114934299E-2</v>
      </c>
      <c r="CN12">
        <v>0</v>
      </c>
      <c r="CO12">
        <v>5</v>
      </c>
      <c r="CP12" t="s">
        <v>540</v>
      </c>
      <c r="CQ12" t="s">
        <v>136</v>
      </c>
      <c r="CR12" s="106" t="str">
        <f>INDEX(Pipes_result_save_V1!$G$2:$G$206,MATCH(CQ12,Pipes_result_save_V1!$I$2:$I$206,0))</f>
        <v>N34</v>
      </c>
      <c r="CS12" s="106" t="str">
        <f>INDEX(Pipes_result_save_V1!$H$2:$H$206,MATCH(CQ12,Pipes_result_save_V1!$I$2:$I$206,0))</f>
        <v>N33</v>
      </c>
      <c r="CT12">
        <v>8.3280000000000007E-2</v>
      </c>
      <c r="CU12">
        <v>350</v>
      </c>
      <c r="CV12">
        <v>150</v>
      </c>
      <c r="CW12">
        <v>82</v>
      </c>
      <c r="CX12">
        <v>13.585260893493183</v>
      </c>
      <c r="CY12">
        <v>-8.3280000000000007E-2</v>
      </c>
      <c r="CZ12">
        <v>-0.13611606642173896</v>
      </c>
      <c r="DA12">
        <v>3.0269807278225334</v>
      </c>
      <c r="DB12" s="107">
        <f>INDEX(Pipes_result_save_V1!$K$2:$K$206,MATCH(CQ12,Pipes_result_save_V1!$I$2:$I$206,0)) *POWER(10,-3)</f>
        <v>-0.11696879577636721</v>
      </c>
      <c r="DC12" s="78">
        <v>6.3272602333288921E-3</v>
      </c>
      <c r="DD12" s="78">
        <f t="shared" si="8"/>
        <v>7.169564373451176E-2</v>
      </c>
      <c r="DE12" s="78">
        <f t="shared" si="9"/>
        <v>-7.169564373451176E-2</v>
      </c>
      <c r="DF12" s="78" cm="1">
        <f t="array" ref="DF12">IF(CN12=0,
IF(CP12="positif",ABS(DD12),ABS(DD12)*(-1)),
INDEX($BM$8:$BM$44,CN12))</f>
        <v>-7.169564373451176E-2</v>
      </c>
      <c r="DL12">
        <v>0</v>
      </c>
      <c r="DM12">
        <v>5</v>
      </c>
      <c r="DN12" t="s">
        <v>540</v>
      </c>
      <c r="DO12" t="s">
        <v>396</v>
      </c>
      <c r="DP12" s="106" t="str">
        <f>INDEX(Pipes_result_save_V1!$G$2:$G$206,MATCH(DO12,Pipes_result_save_V1!$I$2:$I$206,0))</f>
        <v>N6</v>
      </c>
      <c r="DQ12" s="106" t="str">
        <f>INDEX(Pipes_result_save_V1!$H$2:$H$206,MATCH(DO12,Pipes_result_save_V1!$I$2:$I$206,0))</f>
        <v>N7</v>
      </c>
      <c r="DR12">
        <v>0.16656000000000001</v>
      </c>
      <c r="DS12">
        <v>466</v>
      </c>
      <c r="DT12">
        <v>150</v>
      </c>
      <c r="DU12">
        <v>94</v>
      </c>
      <c r="DV12">
        <v>3.8621543667723377</v>
      </c>
      <c r="DW12">
        <v>-0.16656000000000001</v>
      </c>
      <c r="DX12">
        <v>-0.13969426824704931</v>
      </c>
      <c r="DY12">
        <v>1.5532768059169988</v>
      </c>
      <c r="DZ12" s="107">
        <f>INDEX(Pipes_result_save_V1!$K$2:$K$206,MATCH(DO12,Pipes_result_save_V1!$I$2:$I$206,0)) *POWER(10,-3)</f>
        <v>0.1136740341186523</v>
      </c>
      <c r="EA12" s="78">
        <v>5.5846881956221669E-3</v>
      </c>
      <c r="EB12" s="78">
        <f t="shared" si="10"/>
        <v>0.16714548384202288</v>
      </c>
      <c r="EC12" s="78">
        <f t="shared" si="11"/>
        <v>-0.16714548384202288</v>
      </c>
      <c r="ED12" s="78" cm="1">
        <f t="array" ref="ED12">IF(DL12=0,
IF(DN12="positif",ABS(EB12),ABS(EB12)*(-1)),
INDEX($BM$8:$BM$44,DL12))</f>
        <v>-0.16714548384202288</v>
      </c>
      <c r="EE12" s="78"/>
      <c r="EF12" s="78"/>
      <c r="EI12">
        <v>2</v>
      </c>
      <c r="EJ12">
        <v>5</v>
      </c>
      <c r="EK12" t="s">
        <v>539</v>
      </c>
      <c r="EL12" t="s">
        <v>400</v>
      </c>
      <c r="EM12" s="106" t="str">
        <f>INDEX(Pipes_result_save_V1!$G$2:$G$206,MATCH(EL12,Pipes_result_save_V1!$I$2:$I$206,0))</f>
        <v>N3</v>
      </c>
      <c r="EN12" s="106" t="str">
        <f>INDEX(Pipes_result_save_V1!$H$2:$H$206,MATCH(EL12,Pipes_result_save_V1!$I$2:$I$206,0))</f>
        <v>N4</v>
      </c>
      <c r="EO12">
        <v>0.16656000000000001</v>
      </c>
      <c r="EP12">
        <v>466</v>
      </c>
      <c r="EQ12">
        <v>150</v>
      </c>
      <c r="ER12">
        <v>181</v>
      </c>
      <c r="ES12">
        <v>7.4367014934658844</v>
      </c>
      <c r="ET12">
        <v>0.15497564373451178</v>
      </c>
      <c r="EU12">
        <v>0.23536845520519051</v>
      </c>
      <c r="EV12">
        <v>2.8127153953737118</v>
      </c>
      <c r="EW12" s="107">
        <f>INDEX(Pipes_result_save_V1!$K$2:$K$206,MATCH(EL12,Pipes_result_save_V1!$I$2:$I$206,0)) *POWER(10,-3)</f>
        <v>0.11761656188964839</v>
      </c>
      <c r="EX12" s="78">
        <v>6.2925356570970392E-3</v>
      </c>
      <c r="EY12" s="78">
        <f t="shared" si="12"/>
        <v>0.12915177598290734</v>
      </c>
      <c r="EZ12" s="78">
        <f t="shared" si="13"/>
        <v>0.12915177598290734</v>
      </c>
      <c r="FA12" s="78" cm="1">
        <f t="array" ref="FA12">IF(EI12=0,
IF(EK12="positif",ABS(EY12),ABS(EY12)*(-1)),
INDEX($BM$8:$BM$44,EI12))</f>
        <v>-3.8249255700015396E-2</v>
      </c>
    </row>
    <row r="13" spans="2:157" ht="30" x14ac:dyDescent="0.25">
      <c r="B13" s="106">
        <v>6</v>
      </c>
      <c r="C13" s="106" t="s">
        <v>539</v>
      </c>
      <c r="D13" s="106" t="s">
        <v>196</v>
      </c>
      <c r="E13" s="106" t="str">
        <f>INDEX(Pipes_result_save_V1!$G$2:$G$206,MATCH(D13,Pipes_result_save_V1!$I$2:$I$206,0))</f>
        <v>N88</v>
      </c>
      <c r="F13" s="106" t="str">
        <f>INDEX(Pipes_result_save_V1!$H$2:$H$206,MATCH(D13,Pipes_result_save_V1!$I$2:$I$206,0))</f>
        <v>N89</v>
      </c>
      <c r="G13" s="106">
        <v>6.3E-2</v>
      </c>
      <c r="H13" s="107">
        <v>300</v>
      </c>
      <c r="I13" s="107">
        <v>150</v>
      </c>
      <c r="J13" s="107">
        <v>63</v>
      </c>
      <c r="K13" s="107">
        <v>22.115282553351062</v>
      </c>
      <c r="L13" s="107">
        <v>6.3E-2</v>
      </c>
      <c r="M13" s="107">
        <v>0.132151224021303</v>
      </c>
      <c r="N13" s="107">
        <v>3.8848264585309997</v>
      </c>
      <c r="O13" s="107">
        <f>INDEX(Pipes_result_save_V1!$K$2:$K$206,MATCH(D13,Pipes_result_save_V1!$I$2:$I$206,0)) *POWER(10,-3)</f>
        <v>1.461785984039307E-2</v>
      </c>
      <c r="P13" s="78">
        <v>6.4376277225501911E-3</v>
      </c>
      <c r="Q13" s="78">
        <f t="shared" si="0"/>
        <v>-1.5596935076183496E-2</v>
      </c>
      <c r="R13" s="78">
        <f t="shared" si="1"/>
        <v>1.5596935076183496E-2</v>
      </c>
      <c r="S13" s="78"/>
      <c r="T13" s="78"/>
      <c r="U13" s="78"/>
      <c r="V13" s="78"/>
      <c r="W13" s="78">
        <v>0</v>
      </c>
      <c r="X13" s="78">
        <v>6</v>
      </c>
      <c r="Y13" s="78" t="s">
        <v>540</v>
      </c>
      <c r="Z13" s="78" t="s">
        <v>436</v>
      </c>
      <c r="AA13" s="106" t="str">
        <f>INDEX(Pipes_result_save_V1!$G$2:$G$206,MATCH(Z13,Pipes_result_save_V1!$I$2:$I$206,0))</f>
        <v>N127</v>
      </c>
      <c r="AB13" s="106" t="str">
        <f>INDEX(Pipes_result_save_V1!$H$2:$H$206,MATCH(Z13,Pipes_result_save_V1!$I$2:$I$206,0))</f>
        <v>N136</v>
      </c>
      <c r="AC13" s="78">
        <v>5.8057999999999998E-2</v>
      </c>
      <c r="AD13" s="78">
        <v>300</v>
      </c>
      <c r="AE13" s="78">
        <v>150</v>
      </c>
      <c r="AF13" s="78">
        <v>222</v>
      </c>
      <c r="AG13" s="78">
        <v>77.930043283237083</v>
      </c>
      <c r="AH13" s="78">
        <v>-5.8057999999999998E-2</v>
      </c>
      <c r="AI13" s="78">
        <v>0</v>
      </c>
      <c r="AJ13" s="78">
        <v>0</v>
      </c>
      <c r="AK13" s="78">
        <v>-0.40029251835266977</v>
      </c>
      <c r="AL13">
        <v>12.768985221487904</v>
      </c>
      <c r="AM13" s="107">
        <f>INDEX(Pipes_result_save_V1!$K$2:$K$206,MATCH(Z13,Pipes_result_save_V1!$I$2:$I$206,0)) *POWER(10,-3)</f>
        <v>3.1976058959960939E-2</v>
      </c>
      <c r="AN13" s="78">
        <v>3.2090603882803858E-3</v>
      </c>
      <c r="AO13" s="78">
        <f t="shared" si="2"/>
        <v>3.5211178482065772E-2</v>
      </c>
      <c r="AP13" s="78">
        <f t="shared" si="3"/>
        <v>-3.5211178482065772E-2</v>
      </c>
      <c r="AQ13" s="78" cm="1">
        <f t="array" ref="AQ13">IF(W13=0,
IF(Y13="positif",ABS(AO13),ABS(AO13)*(-1)),
INDEX($R$8:$R$77,W13))</f>
        <v>-3.5211178482065772E-2</v>
      </c>
      <c r="AU13">
        <v>0</v>
      </c>
      <c r="AV13">
        <v>6</v>
      </c>
      <c r="AW13" t="s">
        <v>539</v>
      </c>
      <c r="AX13" t="s">
        <v>178</v>
      </c>
      <c r="AY13" s="106" t="str">
        <f>INDEX(Pipes_result_save_V1!$G$2:$G$206,MATCH(AX13,Pipes_result_save_V1!$I$2:$I$206,0))</f>
        <v>N75</v>
      </c>
      <c r="AZ13" s="106" t="str">
        <f>INDEX(Pipes_result_save_V1!$H$2:$H$206,MATCH(AX13,Pipes_result_save_V1!$I$2:$I$206,0))</f>
        <v>N76</v>
      </c>
      <c r="BA13">
        <v>3.2837000000000005E-2</v>
      </c>
      <c r="BB13">
        <v>250</v>
      </c>
      <c r="BC13">
        <v>150</v>
      </c>
      <c r="BD13">
        <v>75</v>
      </c>
      <c r="BE13">
        <v>63.988960613948841</v>
      </c>
      <c r="BF13">
        <v>3.2837000000000005E-2</v>
      </c>
      <c r="BG13">
        <v>0.11439583372348096</v>
      </c>
      <c r="BH13">
        <v>6.4519013325177914</v>
      </c>
      <c r="BI13" s="107">
        <f>INDEX(Pipes_result_save_V1!$K$2:$K$206,MATCH(AX13,Pipes_result_save_V1!$I$2:$I$206,0)) *POWER(10,-3)</f>
        <v>6.0362876892089835E-2</v>
      </c>
      <c r="BJ13" s="78">
        <v>5.6477156408531754E-3</v>
      </c>
      <c r="BK13" s="78">
        <f t="shared" si="4"/>
        <v>3.8250255700015404E-2</v>
      </c>
      <c r="BL13" s="78">
        <f t="shared" si="5"/>
        <v>3.8250255700015404E-2</v>
      </c>
      <c r="BM13" s="78" cm="1">
        <f t="array" ref="BM13">IF(AU13=0,
IF(AW13="positif",ABS(BK13),ABS(BK13)*(-1)),
INDEX($AQ$8:$AQ$77,AU13))</f>
        <v>3.8250255700015404E-2</v>
      </c>
      <c r="BN13" s="78"/>
      <c r="BO13" s="78"/>
      <c r="BR13">
        <v>0</v>
      </c>
      <c r="BS13">
        <v>6</v>
      </c>
      <c r="BT13" t="s">
        <v>539</v>
      </c>
      <c r="BU13" t="s">
        <v>129</v>
      </c>
      <c r="BV13" s="106" t="str">
        <f>INDEX(Pipes_result_save_V1!$G$2:$G$206,MATCH(BU13,Pipes_result_save_V1!$I$2:$I$206,0))</f>
        <v>N56</v>
      </c>
      <c r="BW13" s="106" t="str">
        <f>INDEX(Pipes_result_save_V1!$H$2:$H$206,MATCH(BU13,Pipes_result_save_V1!$I$2:$I$206,0))</f>
        <v>N55</v>
      </c>
      <c r="BX13">
        <v>3.2837000000000005E-2</v>
      </c>
      <c r="BY13">
        <v>250</v>
      </c>
      <c r="BZ13">
        <v>150</v>
      </c>
      <c r="CA13">
        <v>77</v>
      </c>
      <c r="CB13">
        <v>65.695332896987466</v>
      </c>
      <c r="CC13">
        <v>3.2837000000000005E-2</v>
      </c>
      <c r="CD13">
        <v>0.11744638928944044</v>
      </c>
      <c r="CE13">
        <v>6.6239520347182648</v>
      </c>
      <c r="CF13" s="107">
        <f>INDEX(Pipes_result_save_V1!$K$2:$K$206,MATCH(BU13,Pipes_result_save_V1!$I$2:$I$206,0)) *POWER(10,-3)</f>
        <v>-2.7671417236328121E-2</v>
      </c>
      <c r="CG13" s="78">
        <v>5.1170571745524735E-3</v>
      </c>
      <c r="CH13" s="78">
        <f t="shared" si="6"/>
        <v>2.3580796114934299E-2</v>
      </c>
      <c r="CI13" s="78">
        <f t="shared" si="7"/>
        <v>2.3580796114934299E-2</v>
      </c>
      <c r="CJ13" s="78" cm="1">
        <f t="array" ref="CJ13">IF(BR13=0,
IF(BT13="positif",ABS(CH13),ABS(CH13)*(-1)),
INDEX($BM$8:$BM$44,BR13))</f>
        <v>2.3580796114934299E-2</v>
      </c>
      <c r="CN13">
        <v>0</v>
      </c>
      <c r="CO13">
        <v>6</v>
      </c>
      <c r="CP13" t="s">
        <v>540</v>
      </c>
      <c r="CQ13" t="s">
        <v>134</v>
      </c>
      <c r="CR13" s="106" t="str">
        <f>INDEX(Pipes_result_save_V1!$G$2:$G$206,MATCH(CQ13,Pipes_result_save_V1!$I$2:$I$206,0))</f>
        <v>N35</v>
      </c>
      <c r="CS13" s="106" t="str">
        <f>INDEX(Pipes_result_save_V1!$H$2:$H$206,MATCH(CQ13,Pipes_result_save_V1!$I$2:$I$206,0))</f>
        <v>N34</v>
      </c>
      <c r="CT13">
        <v>8.3280000000000007E-2</v>
      </c>
      <c r="CU13">
        <v>350</v>
      </c>
      <c r="CV13">
        <v>150</v>
      </c>
      <c r="CW13">
        <v>69</v>
      </c>
      <c r="CX13">
        <v>11.431500020134509</v>
      </c>
      <c r="CY13">
        <v>-8.3280000000000007E-2</v>
      </c>
      <c r="CZ13">
        <v>-0.11453669003780474</v>
      </c>
      <c r="DA13">
        <v>2.5470935392653025</v>
      </c>
      <c r="DB13" s="107">
        <f>INDEX(Pipes_result_save_V1!$K$2:$K$206,MATCH(CQ13,Pipes_result_save_V1!$I$2:$I$206,0)) *POWER(10,-3)</f>
        <v>-0.1161072616577148</v>
      </c>
      <c r="DC13" s="78">
        <v>6.5534383745440121E-3</v>
      </c>
      <c r="DD13" s="78">
        <f t="shared" si="8"/>
        <v>7.169564373451176E-2</v>
      </c>
      <c r="DE13" s="78">
        <f t="shared" si="9"/>
        <v>-7.169564373451176E-2</v>
      </c>
      <c r="DF13" s="78" cm="1">
        <f t="array" ref="DF13">IF(CN13=0,
IF(CP13="positif",ABS(DD13),ABS(DD13)*(-1)),
INDEX($BM$8:$BM$44,CN13))</f>
        <v>-7.169564373451176E-2</v>
      </c>
      <c r="DL13">
        <v>0</v>
      </c>
      <c r="DM13">
        <v>6</v>
      </c>
      <c r="DN13" t="s">
        <v>540</v>
      </c>
      <c r="DO13" t="s">
        <v>409</v>
      </c>
      <c r="DP13" s="106" t="str">
        <f>INDEX(Pipes_result_save_V1!$G$2:$G$206,MATCH(DO13,Pipes_result_save_V1!$I$2:$I$206,0))</f>
        <v>N7</v>
      </c>
      <c r="DQ13" s="106" t="str">
        <f>INDEX(Pipes_result_save_V1!$H$2:$H$206,MATCH(DO13,Pipes_result_save_V1!$I$2:$I$206,0))</f>
        <v>N106</v>
      </c>
      <c r="DR13">
        <v>8.3280000000000007E-2</v>
      </c>
      <c r="DS13">
        <v>350</v>
      </c>
      <c r="DT13">
        <v>150</v>
      </c>
      <c r="DU13">
        <v>322</v>
      </c>
      <c r="DV13">
        <v>53.347000093961036</v>
      </c>
      <c r="DW13">
        <v>-8.3280000000000007E-2</v>
      </c>
      <c r="DX13">
        <v>-0.53450455350975545</v>
      </c>
      <c r="DY13">
        <v>11.886436516571411</v>
      </c>
      <c r="DZ13" s="107">
        <f>INDEX(Pipes_result_save_V1!$K$2:$K$206,MATCH(DO13,Pipes_result_save_V1!$I$2:$I$206,0)) *POWER(10,-3)</f>
        <v>7.9282783508300786E-2</v>
      </c>
      <c r="EA13" s="78">
        <v>5.9367404767737527E-3</v>
      </c>
      <c r="EB13" s="78">
        <f t="shared" si="10"/>
        <v>8.3865483842022887E-2</v>
      </c>
      <c r="EC13" s="78">
        <f t="shared" si="11"/>
        <v>-8.3865483842022887E-2</v>
      </c>
      <c r="ED13" s="78" cm="1">
        <f t="array" ref="ED13">IF(DL13=0,
IF(DN13="positif",ABS(EB13),ABS(EB13)*(-1)),
INDEX($BM$8:$BM$44,DL13))</f>
        <v>-8.3865483842022887E-2</v>
      </c>
      <c r="EE13" s="78"/>
      <c r="EF13" s="78"/>
      <c r="EI13">
        <v>3</v>
      </c>
      <c r="EJ13">
        <v>6</v>
      </c>
      <c r="EK13" t="s">
        <v>539</v>
      </c>
      <c r="EL13" t="s">
        <v>401</v>
      </c>
      <c r="EM13" s="106" t="str">
        <f>INDEX(Pipes_result_save_V1!$G$2:$G$206,MATCH(EL13,Pipes_result_save_V1!$I$2:$I$206,0))</f>
        <v>N4</v>
      </c>
      <c r="EN13" s="106" t="str">
        <f>INDEX(Pipes_result_save_V1!$H$2:$H$206,MATCH(EL13,Pipes_result_save_V1!$I$2:$I$206,0))</f>
        <v>N5</v>
      </c>
      <c r="EO13">
        <v>0.16656000000000001</v>
      </c>
      <c r="EP13">
        <v>466</v>
      </c>
      <c r="EQ13">
        <v>150</v>
      </c>
      <c r="ER13">
        <v>133</v>
      </c>
      <c r="ES13">
        <v>5.4645375614970311</v>
      </c>
      <c r="ET13">
        <v>-9.4864356265488253E-2</v>
      </c>
      <c r="EU13">
        <v>-6.9686441817195688E-2</v>
      </c>
      <c r="EV13">
        <v>1.3604613505652203</v>
      </c>
      <c r="EW13" s="107">
        <f>INDEX(Pipes_result_save_V1!$K$2:$K$206,MATCH(EL13,Pipes_result_save_V1!$I$2:$I$206,0)) *POWER(10,-3)</f>
        <v>0.1158250274658203</v>
      </c>
      <c r="EX13" s="78">
        <v>5.2981749260163141E-3</v>
      </c>
      <c r="EY13" s="78">
        <f t="shared" si="12"/>
        <v>0.12915177598290734</v>
      </c>
      <c r="EZ13" s="78">
        <f t="shared" si="13"/>
        <v>0.12915177598290734</v>
      </c>
      <c r="FA13" s="78" cm="1">
        <f t="array" ref="FA13">IF(EI13=0,
IF(EK13="positif",ABS(EY13),ABS(EY13)*(-1)),
INDEX($BM$8:$BM$44,EI13))</f>
        <v>3.8250255700015404E-2</v>
      </c>
    </row>
    <row r="14" spans="2:157" ht="30" x14ac:dyDescent="0.25">
      <c r="B14" s="106">
        <v>7</v>
      </c>
      <c r="C14" s="106" t="s">
        <v>539</v>
      </c>
      <c r="D14" s="106" t="s">
        <v>195</v>
      </c>
      <c r="E14" s="106" t="str">
        <f>INDEX(Pipes_result_save_V1!$G$2:$G$206,MATCH(D14,Pipes_result_save_V1!$I$2:$I$206,0))</f>
        <v>N89</v>
      </c>
      <c r="F14" s="106" t="str">
        <f>INDEX(Pipes_result_save_V1!$H$2:$H$206,MATCH(D14,Pipes_result_save_V1!$I$2:$I$206,0))</f>
        <v>N90</v>
      </c>
      <c r="G14" s="106">
        <v>4.1000000000000002E-2</v>
      </c>
      <c r="H14" s="107">
        <v>250</v>
      </c>
      <c r="I14" s="107">
        <v>150</v>
      </c>
      <c r="J14" s="107">
        <v>41</v>
      </c>
      <c r="K14" s="107">
        <v>34.980631802292031</v>
      </c>
      <c r="L14" s="107">
        <v>4.1000000000000002E-2</v>
      </c>
      <c r="M14" s="107">
        <v>9.4341624853503211E-2</v>
      </c>
      <c r="N14" s="107">
        <v>4.2614802250899499</v>
      </c>
      <c r="O14" s="107">
        <f>INDEX(Pipes_result_save_V1!$K$2:$K$206,MATCH(D14,Pipes_result_save_V1!$I$2:$I$206,0)) *POWER(10,-3)</f>
        <v>1.402448272705078E-2</v>
      </c>
      <c r="P14" s="78">
        <v>6.1790292582421221E-3</v>
      </c>
      <c r="Q14" s="78">
        <f t="shared" si="0"/>
        <v>-3.7596935076183495E-2</v>
      </c>
      <c r="R14" s="78">
        <f t="shared" si="1"/>
        <v>3.7596935076183495E-2</v>
      </c>
      <c r="S14" s="78"/>
      <c r="T14" s="78"/>
      <c r="U14" s="78"/>
      <c r="V14" s="78"/>
      <c r="W14" s="78">
        <v>0</v>
      </c>
      <c r="X14" s="78">
        <v>7</v>
      </c>
      <c r="Y14" s="78" t="s">
        <v>539</v>
      </c>
      <c r="Z14" s="78" t="s">
        <v>292</v>
      </c>
      <c r="AA14" s="106" t="str">
        <f>INDEX(Pipes_result_save_V1!$G$2:$G$206,MATCH(Z14,Pipes_result_save_V1!$I$2:$I$206,0))</f>
        <v>N128</v>
      </c>
      <c r="AB14" s="106" t="str">
        <f>INDEX(Pipes_result_save_V1!$H$2:$H$206,MATCH(Z14,Pipes_result_save_V1!$I$2:$I$206,0))</f>
        <v>N127</v>
      </c>
      <c r="AC14" s="78">
        <v>5.8057999999999998E-2</v>
      </c>
      <c r="AD14" s="78">
        <v>300</v>
      </c>
      <c r="AE14" s="78">
        <v>150</v>
      </c>
      <c r="AF14" s="78">
        <v>190</v>
      </c>
      <c r="AG14" s="78">
        <v>66.696883891058746</v>
      </c>
      <c r="AH14" s="78">
        <v>5.8057999999999998E-2</v>
      </c>
      <c r="AI14" s="78">
        <v>0</v>
      </c>
      <c r="AJ14" s="78">
        <v>0</v>
      </c>
      <c r="AK14" s="78">
        <v>0.34259269588741997</v>
      </c>
      <c r="AL14">
        <v>10.928410775147302</v>
      </c>
      <c r="AM14" s="107">
        <f>INDEX(Pipes_result_save_V1!$K$2:$K$206,MATCH(Z14,Pipes_result_save_V1!$I$2:$I$206,0)) *POWER(10,-3)</f>
        <v>-9.0811767578125001E-3</v>
      </c>
      <c r="AN14" s="78">
        <v>1.7520822324454286E-3</v>
      </c>
      <c r="AO14" s="78">
        <f t="shared" si="2"/>
        <v>3.5211178482065772E-2</v>
      </c>
      <c r="AP14" s="78">
        <f t="shared" si="3"/>
        <v>3.5211178482065772E-2</v>
      </c>
      <c r="AQ14" s="78" cm="1">
        <f t="array" ref="AQ14">IF(W14=0,
IF(Y14="positif",ABS(AO14),ABS(AO14)*(-1)),
INDEX($R$8:$R$77,W14))</f>
        <v>3.5211178482065772E-2</v>
      </c>
      <c r="AU14">
        <v>0</v>
      </c>
      <c r="AV14">
        <v>7</v>
      </c>
      <c r="AW14" t="s">
        <v>539</v>
      </c>
      <c r="AX14" t="s">
        <v>189</v>
      </c>
      <c r="AY14" s="106" t="str">
        <f>INDEX(Pipes_result_save_V1!$G$2:$G$206,MATCH(AX14,Pipes_result_save_V1!$I$2:$I$206,0))</f>
        <v>N76</v>
      </c>
      <c r="AZ14" s="106" t="str">
        <f>INDEX(Pipes_result_save_V1!$H$2:$H$206,MATCH(AX14,Pipes_result_save_V1!$I$2:$I$206,0))</f>
        <v>N77</v>
      </c>
      <c r="BA14">
        <v>3.2837000000000005E-2</v>
      </c>
      <c r="BB14">
        <v>250</v>
      </c>
      <c r="BC14">
        <v>150</v>
      </c>
      <c r="BD14">
        <v>76</v>
      </c>
      <c r="BE14">
        <v>64.84214675546815</v>
      </c>
      <c r="BF14">
        <v>3.2837000000000005E-2</v>
      </c>
      <c r="BG14">
        <v>0.1159211115064607</v>
      </c>
      <c r="BH14">
        <v>6.5379266836180276</v>
      </c>
      <c r="BI14" s="107">
        <f>INDEX(Pipes_result_save_V1!$K$2:$K$206,MATCH(AX14,Pipes_result_save_V1!$I$2:$I$206,0)) *POWER(10,-3)</f>
        <v>5.9427165985107423E-2</v>
      </c>
      <c r="BJ14" s="78">
        <v>5.1678069077390172E-3</v>
      </c>
      <c r="BK14" s="78">
        <f t="shared" si="4"/>
        <v>3.8250255700015404E-2</v>
      </c>
      <c r="BL14" s="78">
        <f t="shared" si="5"/>
        <v>3.8250255700015404E-2</v>
      </c>
      <c r="BM14" s="78" cm="1">
        <f t="array" ref="BM14">IF(AU14=0,
IF(AW14="positif",ABS(BK14),ABS(BK14)*(-1)),
INDEX($AQ$8:$AQ$77,AU14))</f>
        <v>3.8250255700015404E-2</v>
      </c>
      <c r="BN14" s="78"/>
      <c r="BO14" s="78"/>
      <c r="BR14">
        <v>0</v>
      </c>
      <c r="BS14">
        <v>7</v>
      </c>
      <c r="BT14" t="s">
        <v>539</v>
      </c>
      <c r="BU14" t="s">
        <v>128</v>
      </c>
      <c r="BV14" s="106" t="str">
        <f>INDEX(Pipes_result_save_V1!$G$2:$G$206,MATCH(BU14,Pipes_result_save_V1!$I$2:$I$206,0))</f>
        <v>N57</v>
      </c>
      <c r="BW14" s="106" t="str">
        <f>INDEX(Pipes_result_save_V1!$H$2:$H$206,MATCH(BU14,Pipes_result_save_V1!$I$2:$I$206,0))</f>
        <v>N56</v>
      </c>
      <c r="BX14">
        <v>3.2837000000000005E-2</v>
      </c>
      <c r="BY14">
        <v>250</v>
      </c>
      <c r="BZ14">
        <v>150</v>
      </c>
      <c r="CA14">
        <v>76</v>
      </c>
      <c r="CB14">
        <v>64.84214675546815</v>
      </c>
      <c r="CC14">
        <v>3.2837000000000005E-2</v>
      </c>
      <c r="CD14">
        <v>0.1159211115064607</v>
      </c>
      <c r="CE14">
        <v>6.5379266836180276</v>
      </c>
      <c r="CF14" s="107">
        <f>INDEX(Pipes_result_save_V1!$K$2:$K$206,MATCH(BU14,Pipes_result_save_V1!$I$2:$I$206,0)) *POWER(10,-3)</f>
        <v>-2.6798467636108398E-2</v>
      </c>
      <c r="CG14" s="78">
        <v>5.8060254579695826E-3</v>
      </c>
      <c r="CH14" s="78">
        <f t="shared" si="6"/>
        <v>2.3580796114934299E-2</v>
      </c>
      <c r="CI14" s="78">
        <f t="shared" si="7"/>
        <v>2.3580796114934299E-2</v>
      </c>
      <c r="CJ14" s="78" cm="1">
        <f t="array" ref="CJ14">IF(BR14=0,
IF(BT14="positif",ABS(CH14),ABS(CH14)*(-1)),
INDEX($BM$8:$BM$44,BR14))</f>
        <v>2.3580796114934299E-2</v>
      </c>
      <c r="CN14">
        <v>0</v>
      </c>
      <c r="CO14">
        <v>7</v>
      </c>
      <c r="CP14" t="s">
        <v>540</v>
      </c>
      <c r="CQ14" t="s">
        <v>135</v>
      </c>
      <c r="CR14" s="106" t="str">
        <f>INDEX(Pipes_result_save_V1!$G$2:$G$206,MATCH(CQ14,Pipes_result_save_V1!$I$2:$I$206,0))</f>
        <v>N36</v>
      </c>
      <c r="CS14" s="106" t="str">
        <f>INDEX(Pipes_result_save_V1!$H$2:$H$206,MATCH(CQ14,Pipes_result_save_V1!$I$2:$I$206,0))</f>
        <v>N35</v>
      </c>
      <c r="CT14">
        <v>8.3280000000000007E-2</v>
      </c>
      <c r="CU14">
        <v>350</v>
      </c>
      <c r="CV14">
        <v>150</v>
      </c>
      <c r="CW14">
        <v>73</v>
      </c>
      <c r="CX14">
        <v>12.094195673475639</v>
      </c>
      <c r="CY14">
        <v>-8.3280000000000007E-2</v>
      </c>
      <c r="CZ14">
        <v>-0.12117649815593834</v>
      </c>
      <c r="DA14">
        <v>2.69475113574445</v>
      </c>
      <c r="DB14" s="107">
        <f>INDEX(Pipes_result_save_V1!$K$2:$K$206,MATCH(CQ14,Pipes_result_save_V1!$I$2:$I$206,0)) *POWER(10,-3)</f>
        <v>-0.1152970657348633</v>
      </c>
      <c r="DC14" s="78">
        <v>5.6497529229469576E-3</v>
      </c>
      <c r="DD14" s="78">
        <f t="shared" si="8"/>
        <v>7.169564373451176E-2</v>
      </c>
      <c r="DE14" s="78">
        <f t="shared" si="9"/>
        <v>-7.169564373451176E-2</v>
      </c>
      <c r="DF14" s="78" cm="1">
        <f t="array" ref="DF14">IF(CN14=0,
IF(CP14="positif",ABS(DD14),ABS(DD14)*(-1)),
INDEX($BM$8:$BM$44,CN14))</f>
        <v>-7.169564373451176E-2</v>
      </c>
      <c r="DL14">
        <v>0</v>
      </c>
      <c r="DM14">
        <v>7</v>
      </c>
      <c r="DN14" t="s">
        <v>539</v>
      </c>
      <c r="DO14" t="s">
        <v>151</v>
      </c>
      <c r="DP14" s="106" t="str">
        <f>INDEX(Pipes_result_save_V1!$G$2:$G$206,MATCH(DO14,Pipes_result_save_V1!$I$2:$I$206,0))</f>
        <v>N19</v>
      </c>
      <c r="DQ14" s="106" t="str">
        <f>INDEX(Pipes_result_save_V1!$H$2:$H$206,MATCH(DO14,Pipes_result_save_V1!$I$2:$I$206,0))</f>
        <v>N18</v>
      </c>
      <c r="DR14">
        <v>0.16656000000000001</v>
      </c>
      <c r="DS14">
        <v>466</v>
      </c>
      <c r="DT14">
        <v>150</v>
      </c>
      <c r="DU14">
        <v>56</v>
      </c>
      <c r="DV14">
        <v>2.3008579206303286</v>
      </c>
      <c r="DW14">
        <v>0.16656000000000001</v>
      </c>
      <c r="DX14">
        <v>8.3222117253561281E-2</v>
      </c>
      <c r="DY14">
        <v>0.92535639501438216</v>
      </c>
      <c r="DZ14" s="107">
        <f>INDEX(Pipes_result_save_V1!$K$2:$K$206,MATCH(DO14,Pipes_result_save_V1!$I$2:$I$206,0)) *POWER(10,-3)</f>
        <v>-0.20831297302246091</v>
      </c>
      <c r="EA14" s="78">
        <v>6.3972910940920513E-3</v>
      </c>
      <c r="EB14" s="78">
        <f t="shared" si="10"/>
        <v>0.16714548384202288</v>
      </c>
      <c r="EC14" s="78">
        <f t="shared" si="11"/>
        <v>0.16714548384202288</v>
      </c>
      <c r="ED14" s="78" cm="1">
        <f t="array" ref="ED14">IF(DL14=0,
IF(DN14="positif",ABS(EB14),ABS(EB14)*(-1)),
INDEX($BM$8:$BM$44,DL14))</f>
        <v>0.16714548384202288</v>
      </c>
      <c r="EE14" s="78"/>
      <c r="EF14" s="78"/>
      <c r="EI14">
        <v>4</v>
      </c>
      <c r="EJ14">
        <v>7</v>
      </c>
      <c r="EK14" t="s">
        <v>539</v>
      </c>
      <c r="EL14" t="s">
        <v>403</v>
      </c>
      <c r="EM14" s="106" t="str">
        <f>INDEX(Pipes_result_save_V1!$G$2:$G$206,MATCH(EL14,Pipes_result_save_V1!$I$2:$I$206,0))</f>
        <v>N5</v>
      </c>
      <c r="EN14" s="106" t="str">
        <f>INDEX(Pipes_result_save_V1!$H$2:$H$206,MATCH(EL14,Pipes_result_save_V1!$I$2:$I$206,0))</f>
        <v>N6</v>
      </c>
      <c r="EO14">
        <v>0.16656000000000001</v>
      </c>
      <c r="EP14">
        <v>466</v>
      </c>
      <c r="EQ14">
        <v>150</v>
      </c>
      <c r="ER14">
        <v>75</v>
      </c>
      <c r="ES14">
        <v>3.0815061437013331</v>
      </c>
      <c r="ET14">
        <v>-9.4864356265488253E-2</v>
      </c>
      <c r="EU14">
        <v>-3.9296865686388543E-2</v>
      </c>
      <c r="EV14">
        <v>0.76717745332625198</v>
      </c>
      <c r="EW14" s="107">
        <f>INDEX(Pipes_result_save_V1!$K$2:$K$206,MATCH(EL14,Pipes_result_save_V1!$I$2:$I$206,0)) *POWER(10,-3)</f>
        <v>0.1146382675170898</v>
      </c>
      <c r="EX14" s="78">
        <v>5.5595164112455788E-3</v>
      </c>
      <c r="EY14" s="78">
        <f t="shared" si="12"/>
        <v>0.12915177598290734</v>
      </c>
      <c r="EZ14" s="78">
        <f t="shared" si="13"/>
        <v>0.12915177598290734</v>
      </c>
      <c r="FA14" s="78" cm="1">
        <f t="array" ref="FA14">IF(EI14=0,
IF(EK14="positif",ABS(EY14),ABS(EY14)*(-1)),
INDEX($BM$8:$BM$44,EI14))</f>
        <v>3.8250255700015404E-2</v>
      </c>
    </row>
    <row r="15" spans="2:157" ht="30" x14ac:dyDescent="0.25">
      <c r="B15" s="106">
        <v>8</v>
      </c>
      <c r="C15" s="106" t="s">
        <v>539</v>
      </c>
      <c r="D15" s="106" t="s">
        <v>194</v>
      </c>
      <c r="E15" s="106" t="str">
        <f>INDEX(Pipes_result_save_V1!$G$2:$G$206,MATCH(D15,Pipes_result_save_V1!$I$2:$I$206,0))</f>
        <v>N90</v>
      </c>
      <c r="F15" s="106" t="str">
        <f>INDEX(Pipes_result_save_V1!$H$2:$H$206,MATCH(D15,Pipes_result_save_V1!$I$2:$I$206,0))</f>
        <v>N91</v>
      </c>
      <c r="G15" s="106">
        <v>0.20100000000000001</v>
      </c>
      <c r="H15" s="107">
        <v>565</v>
      </c>
      <c r="I15" s="107">
        <v>150</v>
      </c>
      <c r="J15" s="107">
        <v>201</v>
      </c>
      <c r="K15" s="107">
        <v>3.2313026950578347</v>
      </c>
      <c r="L15" s="107">
        <v>0.20100000000000001</v>
      </c>
      <c r="M15" s="107">
        <v>0.16553763307059088</v>
      </c>
      <c r="N15" s="107">
        <v>1.5252522211280313</v>
      </c>
      <c r="O15" s="107">
        <f>INDEX(Pipes_result_save_V1!$K$2:$K$206,MATCH(D15,Pipes_result_save_V1!$I$2:$I$206,0)) *POWER(10,-3)</f>
        <v>1.264373970031738E-2</v>
      </c>
      <c r="P15" s="78">
        <v>6.5072513739895029E-3</v>
      </c>
      <c r="Q15" s="78">
        <f t="shared" si="0"/>
        <v>0.12240306492381652</v>
      </c>
      <c r="R15" s="78">
        <f t="shared" si="1"/>
        <v>0.12240306492381652</v>
      </c>
      <c r="S15" s="78"/>
      <c r="T15" s="78"/>
      <c r="U15" s="78"/>
      <c r="V15" s="78"/>
      <c r="W15" s="78">
        <v>0</v>
      </c>
      <c r="X15" s="78">
        <v>8</v>
      </c>
      <c r="Y15" s="78" t="s">
        <v>539</v>
      </c>
      <c r="Z15" s="78" t="s">
        <v>291</v>
      </c>
      <c r="AA15" s="106" t="str">
        <f>INDEX(Pipes_result_save_V1!$G$2:$G$206,MATCH(Z15,Pipes_result_save_V1!$I$2:$I$206,0))</f>
        <v>N129</v>
      </c>
      <c r="AB15" s="106" t="str">
        <f>INDEX(Pipes_result_save_V1!$H$2:$H$206,MATCH(Z15,Pipes_result_save_V1!$I$2:$I$206,0))</f>
        <v>N128</v>
      </c>
      <c r="AC15" s="78">
        <v>5.8057999999999998E-2</v>
      </c>
      <c r="AD15" s="78">
        <v>300</v>
      </c>
      <c r="AE15" s="78">
        <v>150</v>
      </c>
      <c r="AF15" s="78">
        <v>290</v>
      </c>
      <c r="AG15" s="78">
        <v>101.80050699161599</v>
      </c>
      <c r="AH15" s="78">
        <v>5.8057999999999998E-2</v>
      </c>
      <c r="AI15" s="78">
        <v>0</v>
      </c>
      <c r="AJ15" s="78">
        <v>0</v>
      </c>
      <c r="AK15" s="78">
        <v>0.52290464109132528</v>
      </c>
      <c r="AL15">
        <v>16.680205919961676</v>
      </c>
      <c r="AM15" s="107">
        <f>INDEX(Pipes_result_save_V1!$K$2:$K$206,MATCH(Z15,Pipes_result_save_V1!$I$2:$I$206,0)) *POWER(10,-3)</f>
        <v>-6.3425126075744628E-3</v>
      </c>
      <c r="AN15" s="78">
        <v>4.3014822979732074E-3</v>
      </c>
      <c r="AO15" s="78">
        <f t="shared" si="2"/>
        <v>3.5211178482065772E-2</v>
      </c>
      <c r="AP15" s="78">
        <f t="shared" si="3"/>
        <v>3.5211178482065772E-2</v>
      </c>
      <c r="AQ15" s="78" cm="1">
        <f t="array" ref="AQ15">IF(W15=0,
IF(Y15="positif",ABS(AO15),ABS(AO15)*(-1)),
INDEX($R$8:$R$77,W15))</f>
        <v>3.5211178482065772E-2</v>
      </c>
      <c r="AU15">
        <v>0</v>
      </c>
      <c r="AV15">
        <v>8</v>
      </c>
      <c r="AW15" t="s">
        <v>539</v>
      </c>
      <c r="AX15" t="s">
        <v>188</v>
      </c>
      <c r="AY15" s="106" t="str">
        <f>INDEX(Pipes_result_save_V1!$G$2:$G$206,MATCH(AX15,Pipes_result_save_V1!$I$2:$I$206,0))</f>
        <v>N77</v>
      </c>
      <c r="AZ15" s="106" t="str">
        <f>INDEX(Pipes_result_save_V1!$H$2:$H$206,MATCH(AX15,Pipes_result_save_V1!$I$2:$I$206,0))</f>
        <v>N78</v>
      </c>
      <c r="BA15">
        <v>3.2837000000000005E-2</v>
      </c>
      <c r="BB15">
        <v>250</v>
      </c>
      <c r="BC15">
        <v>150</v>
      </c>
      <c r="BD15">
        <v>77</v>
      </c>
      <c r="BE15">
        <v>65.695332896987466</v>
      </c>
      <c r="BF15">
        <v>3.2837000000000005E-2</v>
      </c>
      <c r="BG15">
        <v>0.11744638928944044</v>
      </c>
      <c r="BH15">
        <v>6.6239520347182648</v>
      </c>
      <c r="BI15" s="107">
        <f>INDEX(Pipes_result_save_V1!$K$2:$K$206,MATCH(AX15,Pipes_result_save_V1!$I$2:$I$206,0)) *POWER(10,-3)</f>
        <v>5.8537097930908201E-2</v>
      </c>
      <c r="BJ15" s="78">
        <v>5.2131629820899731E-3</v>
      </c>
      <c r="BK15" s="78">
        <f t="shared" si="4"/>
        <v>3.8250255700015404E-2</v>
      </c>
      <c r="BL15" s="78">
        <f t="shared" si="5"/>
        <v>3.8250255700015404E-2</v>
      </c>
      <c r="BM15" s="78" cm="1">
        <f t="array" ref="BM15">IF(AU15=0,
IF(AW15="positif",ABS(BK15),ABS(BK15)*(-1)),
INDEX($AQ$8:$AQ$77,AU15))</f>
        <v>3.8250255700015404E-2</v>
      </c>
      <c r="BN15" s="78"/>
      <c r="BO15" s="78"/>
      <c r="BR15">
        <v>0</v>
      </c>
      <c r="BS15">
        <v>8</v>
      </c>
      <c r="BT15" t="s">
        <v>539</v>
      </c>
      <c r="BU15" t="s">
        <v>127</v>
      </c>
      <c r="BV15" s="106" t="str">
        <f>INDEX(Pipes_result_save_V1!$G$2:$G$206,MATCH(BU15,Pipes_result_save_V1!$I$2:$I$206,0))</f>
        <v>N58</v>
      </c>
      <c r="BW15" s="106" t="str">
        <f>INDEX(Pipes_result_save_V1!$H$2:$H$206,MATCH(BU15,Pipes_result_save_V1!$I$2:$I$206,0))</f>
        <v>N57</v>
      </c>
      <c r="BX15">
        <v>3.2837000000000005E-2</v>
      </c>
      <c r="BY15">
        <v>250</v>
      </c>
      <c r="BZ15">
        <v>150</v>
      </c>
      <c r="CA15">
        <v>36</v>
      </c>
      <c r="CB15">
        <v>30.714701094695442</v>
      </c>
      <c r="CC15">
        <v>3.2837000000000005E-2</v>
      </c>
      <c r="CD15">
        <v>5.4910000187270859E-2</v>
      </c>
      <c r="CE15">
        <v>3.09691263960854</v>
      </c>
      <c r="CF15" s="107">
        <f>INDEX(Pipes_result_save_V1!$K$2:$K$206,MATCH(BU15,Pipes_result_save_V1!$I$2:$I$206,0)) *POWER(10,-3)</f>
        <v>-2.6159444808959962E-2</v>
      </c>
      <c r="CG15" s="78">
        <v>5.1975307395639636E-3</v>
      </c>
      <c r="CH15" s="78">
        <f t="shared" si="6"/>
        <v>2.3580796114934299E-2</v>
      </c>
      <c r="CI15" s="78">
        <f t="shared" si="7"/>
        <v>2.3580796114934299E-2</v>
      </c>
      <c r="CJ15" s="78" cm="1">
        <f t="array" ref="CJ15">IF(BR15=0,
IF(BT15="positif",ABS(CH15),ABS(CH15)*(-1)),
INDEX($BM$8:$BM$44,BR15))</f>
        <v>2.3580796114934299E-2</v>
      </c>
      <c r="CN15">
        <v>0</v>
      </c>
      <c r="CO15">
        <v>8</v>
      </c>
      <c r="CP15" t="s">
        <v>540</v>
      </c>
      <c r="CQ15" t="s">
        <v>133</v>
      </c>
      <c r="CR15" s="106" t="str">
        <f>INDEX(Pipes_result_save_V1!$G$2:$G$206,MATCH(CQ15,Pipes_result_save_V1!$I$2:$I$206,0))</f>
        <v>N37</v>
      </c>
      <c r="CS15" s="106" t="str">
        <f>INDEX(Pipes_result_save_V1!$H$2:$H$206,MATCH(CQ15,Pipes_result_save_V1!$I$2:$I$206,0))</f>
        <v>N36</v>
      </c>
      <c r="CT15">
        <v>8.3280000000000007E-2</v>
      </c>
      <c r="CU15">
        <v>350</v>
      </c>
      <c r="CV15">
        <v>150</v>
      </c>
      <c r="CW15">
        <v>81</v>
      </c>
      <c r="CX15">
        <v>13.419586980157902</v>
      </c>
      <c r="CY15">
        <v>-8.3280000000000007E-2</v>
      </c>
      <c r="CZ15">
        <v>-0.13445611439220556</v>
      </c>
      <c r="DA15">
        <v>2.9900663287027465</v>
      </c>
      <c r="DB15" s="107">
        <f>INDEX(Pipes_result_save_V1!$K$2:$K$206,MATCH(CQ15,Pipes_result_save_V1!$I$2:$I$206,0)) *POWER(10,-3)</f>
        <v>-0.11441841125488281</v>
      </c>
      <c r="DC15" s="78">
        <v>6.1696904257668578E-3</v>
      </c>
      <c r="DD15" s="78">
        <f t="shared" si="8"/>
        <v>7.169564373451176E-2</v>
      </c>
      <c r="DE15" s="78">
        <f t="shared" si="9"/>
        <v>-7.169564373451176E-2</v>
      </c>
      <c r="DF15" s="78" cm="1">
        <f t="array" ref="DF15">IF(CN15=0,
IF(CP15="positif",ABS(DD15),ABS(DD15)*(-1)),
INDEX($BM$8:$BM$44,CN15))</f>
        <v>-7.169564373451176E-2</v>
      </c>
      <c r="DL15">
        <v>0</v>
      </c>
      <c r="DM15">
        <v>8</v>
      </c>
      <c r="DN15" t="s">
        <v>539</v>
      </c>
      <c r="DO15" t="s">
        <v>150</v>
      </c>
      <c r="DP15" s="106" t="str">
        <f>INDEX(Pipes_result_save_V1!$G$2:$G$206,MATCH(DO15,Pipes_result_save_V1!$I$2:$I$206,0))</f>
        <v>N20</v>
      </c>
      <c r="DQ15" s="106" t="str">
        <f>INDEX(Pipes_result_save_V1!$H$2:$H$206,MATCH(DO15,Pipes_result_save_V1!$I$2:$I$206,0))</f>
        <v>N19</v>
      </c>
      <c r="DR15">
        <v>0.16656000000000001</v>
      </c>
      <c r="DS15">
        <v>466</v>
      </c>
      <c r="DT15">
        <v>150</v>
      </c>
      <c r="DU15">
        <v>60</v>
      </c>
      <c r="DV15">
        <v>2.4652049149610664</v>
      </c>
      <c r="DW15">
        <v>0.16656000000000001</v>
      </c>
      <c r="DX15">
        <v>8.9166554200244233E-2</v>
      </c>
      <c r="DY15">
        <v>0.9914532803725522</v>
      </c>
      <c r="DZ15" s="107">
        <f>INDEX(Pipes_result_save_V1!$K$2:$K$206,MATCH(DO15,Pipes_result_save_V1!$I$2:$I$206,0)) *POWER(10,-3)</f>
        <v>-0.207651123046875</v>
      </c>
      <c r="EA15" s="78">
        <v>6.1394164288756797E-3</v>
      </c>
      <c r="EB15" s="78">
        <f t="shared" si="10"/>
        <v>0.16714548384202288</v>
      </c>
      <c r="EC15" s="78">
        <f t="shared" si="11"/>
        <v>0.16714548384202288</v>
      </c>
      <c r="ED15" s="78" cm="1">
        <f t="array" ref="ED15">IF(DL15=0,
IF(DN15="positif",ABS(EB15),ABS(EB15)*(-1)),
INDEX($BM$8:$BM$44,DL15))</f>
        <v>0.16714548384202288</v>
      </c>
      <c r="EE15" s="78"/>
      <c r="EF15" s="78"/>
      <c r="EI15">
        <v>5</v>
      </c>
      <c r="EJ15">
        <v>8</v>
      </c>
      <c r="EK15" t="s">
        <v>539</v>
      </c>
      <c r="EL15" t="s">
        <v>396</v>
      </c>
      <c r="EM15" s="106" t="str">
        <f>INDEX(Pipes_result_save_V1!$G$2:$G$206,MATCH(EL15,Pipes_result_save_V1!$I$2:$I$206,0))</f>
        <v>N6</v>
      </c>
      <c r="EN15" s="106" t="str">
        <f>INDEX(Pipes_result_save_V1!$H$2:$H$206,MATCH(EL15,Pipes_result_save_V1!$I$2:$I$206,0))</f>
        <v>N7</v>
      </c>
      <c r="EO15">
        <v>0.16656000000000001</v>
      </c>
      <c r="EP15">
        <v>466</v>
      </c>
      <c r="EQ15">
        <v>150</v>
      </c>
      <c r="ER15">
        <v>94</v>
      </c>
      <c r="ES15">
        <v>3.8621543667723377</v>
      </c>
      <c r="ET15">
        <v>-9.4864356265488253E-2</v>
      </c>
      <c r="EU15">
        <v>-4.9252071660273643E-2</v>
      </c>
      <c r="EV15">
        <v>0.96152907483556926</v>
      </c>
      <c r="EW15" s="107">
        <f>INDEX(Pipes_result_save_V1!$K$2:$K$206,MATCH(EL15,Pipes_result_save_V1!$I$2:$I$206,0)) *POWER(10,-3)</f>
        <v>0.1136740341186523</v>
      </c>
      <c r="EX15" s="78">
        <v>5.9866222049283595E-3</v>
      </c>
      <c r="EY15" s="78">
        <f t="shared" si="12"/>
        <v>0.12915177598290734</v>
      </c>
      <c r="EZ15" s="78">
        <f t="shared" si="13"/>
        <v>0.12915177598290734</v>
      </c>
      <c r="FA15" s="78" cm="1">
        <f t="array" ref="FA15">IF(EI15=0,
IF(EK15="positif",ABS(EY15),ABS(EY15)*(-1)),
INDEX($BM$8:$BM$44,EI15))</f>
        <v>3.8250255700015404E-2</v>
      </c>
    </row>
    <row r="16" spans="2:157" ht="30" x14ac:dyDescent="0.25">
      <c r="B16" s="106">
        <v>9</v>
      </c>
      <c r="C16" s="106" t="s">
        <v>539</v>
      </c>
      <c r="D16" s="106" t="s">
        <v>425</v>
      </c>
      <c r="E16" s="106" t="str">
        <f>INDEX(Pipes_result_save_V1!$G$2:$G$206,MATCH(D16,Pipes_result_save_V1!$I$2:$I$206,0))</f>
        <v>N91</v>
      </c>
      <c r="F16" s="106" t="str">
        <f>INDEX(Pipes_result_save_V1!$H$2:$H$206,MATCH(D16,Pipes_result_save_V1!$I$2:$I$206,0))</f>
        <v>N92</v>
      </c>
      <c r="G16" s="106">
        <v>0.129</v>
      </c>
      <c r="H16" s="107">
        <v>421</v>
      </c>
      <c r="I16" s="107">
        <v>150</v>
      </c>
      <c r="J16" s="107">
        <v>129</v>
      </c>
      <c r="K16" s="107">
        <v>8.6920295923619637</v>
      </c>
      <c r="L16" s="107">
        <v>0.129</v>
      </c>
      <c r="M16" s="107">
        <v>0.19585440315176539</v>
      </c>
      <c r="N16" s="107">
        <v>2.8118011987369731</v>
      </c>
      <c r="O16" s="107">
        <f>INDEX(Pipes_result_save_V1!$K$2:$K$206,MATCH(D16,Pipes_result_save_V1!$I$2:$I$206,0)) *POWER(10,-3)</f>
        <v>1.0760909080505369E-2</v>
      </c>
      <c r="P16" s="78">
        <v>5.6664658257871477E-3</v>
      </c>
      <c r="Q16" s="78">
        <f t="shared" si="0"/>
        <v>5.0403064923816507E-2</v>
      </c>
      <c r="R16" s="78">
        <f t="shared" si="1"/>
        <v>5.0403064923816507E-2</v>
      </c>
      <c r="S16" s="78"/>
      <c r="T16" s="78"/>
      <c r="U16" s="78"/>
      <c r="V16" s="78"/>
      <c r="W16" s="78">
        <v>0</v>
      </c>
      <c r="X16" s="78">
        <v>9</v>
      </c>
      <c r="Y16" s="78" t="s">
        <v>539</v>
      </c>
      <c r="Z16" s="78" t="s">
        <v>293</v>
      </c>
      <c r="AA16" s="106" t="str">
        <f>INDEX(Pipes_result_save_V1!$G$2:$G$206,MATCH(Z16,Pipes_result_save_V1!$I$2:$I$206,0))</f>
        <v>N130</v>
      </c>
      <c r="AB16" s="106" t="str">
        <f>INDEX(Pipes_result_save_V1!$H$2:$H$206,MATCH(Z16,Pipes_result_save_V1!$I$2:$I$206,0))</f>
        <v>N129</v>
      </c>
      <c r="AC16" s="78">
        <v>5.8057999999999998E-2</v>
      </c>
      <c r="AD16" s="78">
        <v>300</v>
      </c>
      <c r="AE16" s="78">
        <v>150</v>
      </c>
      <c r="AF16" s="78">
        <v>82</v>
      </c>
      <c r="AG16" s="78">
        <v>28.784970942456937</v>
      </c>
      <c r="AH16" s="78">
        <v>5.8057999999999998E-2</v>
      </c>
      <c r="AI16" s="78">
        <v>0</v>
      </c>
      <c r="AJ16" s="78">
        <v>0</v>
      </c>
      <c r="AK16" s="78">
        <v>0.14785579506720234</v>
      </c>
      <c r="AL16">
        <v>4.7164720187477842</v>
      </c>
      <c r="AM16" s="107">
        <f>INDEX(Pipes_result_save_V1!$K$2:$K$206,MATCH(Z16,Pipes_result_save_V1!$I$2:$I$206,0)) *POWER(10,-3)</f>
        <v>-4.2200489044189457E-3</v>
      </c>
      <c r="AN16" s="78">
        <v>2.0451193143003572E-3</v>
      </c>
      <c r="AO16" s="78">
        <f t="shared" si="2"/>
        <v>3.5211178482065772E-2</v>
      </c>
      <c r="AP16" s="78">
        <f t="shared" si="3"/>
        <v>3.5211178482065772E-2</v>
      </c>
      <c r="AQ16" s="78" cm="1">
        <f t="array" ref="AQ16">IF(W16=0,
IF(Y16="positif",ABS(AO16),ABS(AO16)*(-1)),
INDEX($R$8:$R$77,W16))</f>
        <v>3.5211178482065772E-2</v>
      </c>
      <c r="AU16">
        <v>0</v>
      </c>
      <c r="AV16">
        <v>9</v>
      </c>
      <c r="AW16" t="s">
        <v>539</v>
      </c>
      <c r="AX16" t="s">
        <v>186</v>
      </c>
      <c r="AY16" s="106" t="str">
        <f>INDEX(Pipes_result_save_V1!$G$2:$G$206,MATCH(AX16,Pipes_result_save_V1!$I$2:$I$206,0))</f>
        <v>N78</v>
      </c>
      <c r="AZ16" s="106" t="str">
        <f>INDEX(Pipes_result_save_V1!$H$2:$H$206,MATCH(AX16,Pipes_result_save_V1!$I$2:$I$206,0))</f>
        <v>N79</v>
      </c>
      <c r="BA16">
        <v>3.2837000000000005E-2</v>
      </c>
      <c r="BB16">
        <v>250</v>
      </c>
      <c r="BC16">
        <v>150</v>
      </c>
      <c r="BD16">
        <v>78</v>
      </c>
      <c r="BE16">
        <v>66.548519038506782</v>
      </c>
      <c r="BF16">
        <v>3.2837000000000005E-2</v>
      </c>
      <c r="BG16">
        <v>0.11897166707242018</v>
      </c>
      <c r="BH16">
        <v>6.7099773858185019</v>
      </c>
      <c r="BI16" s="107">
        <f>INDEX(Pipes_result_save_V1!$K$2:$K$206,MATCH(AX16,Pipes_result_save_V1!$I$2:$I$206,0)) *POWER(10,-3)</f>
        <v>5.7179180145263672E-2</v>
      </c>
      <c r="BJ16" s="78">
        <v>5.4724288895827613E-3</v>
      </c>
      <c r="BK16" s="78">
        <f t="shared" si="4"/>
        <v>3.8250255700015404E-2</v>
      </c>
      <c r="BL16" s="78">
        <f t="shared" si="5"/>
        <v>3.8250255700015404E-2</v>
      </c>
      <c r="BM16" s="78" cm="1">
        <f t="array" ref="BM16">IF(AU16=0,
IF(AW16="positif",ABS(BK16),ABS(BK16)*(-1)),
INDEX($AQ$8:$AQ$77,AU16))</f>
        <v>3.8250255700015404E-2</v>
      </c>
      <c r="BN16" s="78"/>
      <c r="BO16" s="78"/>
      <c r="BR16">
        <v>0</v>
      </c>
      <c r="BS16">
        <v>9</v>
      </c>
      <c r="BT16" t="s">
        <v>539</v>
      </c>
      <c r="BU16" t="s">
        <v>126</v>
      </c>
      <c r="BV16" s="106" t="str">
        <f>INDEX(Pipes_result_save_V1!$G$2:$G$206,MATCH(BU16,Pipes_result_save_V1!$I$2:$I$206,0))</f>
        <v>N59</v>
      </c>
      <c r="BW16" s="106" t="str">
        <f>INDEX(Pipes_result_save_V1!$H$2:$H$206,MATCH(BU16,Pipes_result_save_V1!$I$2:$I$206,0))</f>
        <v>N58</v>
      </c>
      <c r="BX16">
        <v>3.2837000000000005E-2</v>
      </c>
      <c r="BY16">
        <v>250</v>
      </c>
      <c r="BZ16">
        <v>150</v>
      </c>
      <c r="CA16">
        <v>32</v>
      </c>
      <c r="CB16">
        <v>27.30195652861817</v>
      </c>
      <c r="CC16">
        <v>3.2837000000000005E-2</v>
      </c>
      <c r="CD16">
        <v>4.8808889055351877E-2</v>
      </c>
      <c r="CE16">
        <v>2.7528112352075911</v>
      </c>
      <c r="CF16" s="107">
        <f>INDEX(Pipes_result_save_V1!$K$2:$K$206,MATCH(BU16,Pipes_result_save_V1!$I$2:$I$206,0)) *POWER(10,-3)</f>
        <v>-2.5771469116210942E-2</v>
      </c>
      <c r="CG16" s="78">
        <v>5.5781242088045243E-3</v>
      </c>
      <c r="CH16" s="78">
        <f t="shared" si="6"/>
        <v>2.3580796114934299E-2</v>
      </c>
      <c r="CI16" s="78">
        <f t="shared" si="7"/>
        <v>2.3580796114934299E-2</v>
      </c>
      <c r="CJ16" s="78" cm="1">
        <f t="array" ref="CJ16">IF(BR16=0,
IF(BT16="positif",ABS(CH16),ABS(CH16)*(-1)),
INDEX($BM$8:$BM$44,BR16))</f>
        <v>2.3580796114934299E-2</v>
      </c>
      <c r="CN16">
        <v>0</v>
      </c>
      <c r="CO16">
        <v>9</v>
      </c>
      <c r="CP16" t="s">
        <v>540</v>
      </c>
      <c r="CQ16" t="s">
        <v>132</v>
      </c>
      <c r="CR16" s="106" t="str">
        <f>INDEX(Pipes_result_save_V1!$G$2:$G$206,MATCH(CQ16,Pipes_result_save_V1!$I$2:$I$206,0))</f>
        <v>N38</v>
      </c>
      <c r="CS16" s="106" t="str">
        <f>INDEX(Pipes_result_save_V1!$H$2:$H$206,MATCH(CQ16,Pipes_result_save_V1!$I$2:$I$206,0))</f>
        <v>N37</v>
      </c>
      <c r="CT16">
        <v>8.3280000000000007E-2</v>
      </c>
      <c r="CU16">
        <v>350</v>
      </c>
      <c r="CV16">
        <v>150</v>
      </c>
      <c r="CW16">
        <v>101</v>
      </c>
      <c r="CX16">
        <v>16.733065246863553</v>
      </c>
      <c r="CY16">
        <v>-8.3280000000000007E-2</v>
      </c>
      <c r="CZ16">
        <v>-0.16765515498287359</v>
      </c>
      <c r="DA16">
        <v>3.7283543110984856</v>
      </c>
      <c r="DB16" s="107">
        <f>INDEX(Pipes_result_save_V1!$K$2:$K$206,MATCH(CQ16,Pipes_result_save_V1!$I$2:$I$206,0)) *POWER(10,-3)</f>
        <v>-0.1133800048828125</v>
      </c>
      <c r="DC16" s="78">
        <v>5.3039577739582063E-3</v>
      </c>
      <c r="DD16" s="78">
        <f t="shared" si="8"/>
        <v>7.169564373451176E-2</v>
      </c>
      <c r="DE16" s="78">
        <f t="shared" si="9"/>
        <v>-7.169564373451176E-2</v>
      </c>
      <c r="DF16" s="78" cm="1">
        <f t="array" ref="DF16">IF(CN16=0,
IF(CP16="positif",ABS(DD16),ABS(DD16)*(-1)),
INDEX($BM$8:$BM$44,CN16))</f>
        <v>-7.169564373451176E-2</v>
      </c>
      <c r="DL16">
        <v>0</v>
      </c>
      <c r="DM16">
        <v>9</v>
      </c>
      <c r="DN16" t="s">
        <v>539</v>
      </c>
      <c r="DO16" t="s">
        <v>149</v>
      </c>
      <c r="DP16" s="106" t="str">
        <f>INDEX(Pipes_result_save_V1!$G$2:$G$206,MATCH(DO16,Pipes_result_save_V1!$I$2:$I$206,0))</f>
        <v>N21</v>
      </c>
      <c r="DQ16" s="106" t="str">
        <f>INDEX(Pipes_result_save_V1!$H$2:$H$206,MATCH(DO16,Pipes_result_save_V1!$I$2:$I$206,0))</f>
        <v>N20</v>
      </c>
      <c r="DR16">
        <v>0.16656000000000001</v>
      </c>
      <c r="DS16">
        <v>466</v>
      </c>
      <c r="DT16">
        <v>150</v>
      </c>
      <c r="DU16">
        <v>67</v>
      </c>
      <c r="DV16">
        <v>2.7528121550398579</v>
      </c>
      <c r="DW16">
        <v>0.16656000000000001</v>
      </c>
      <c r="DX16">
        <v>9.9569318856939398E-2</v>
      </c>
      <c r="DY16">
        <v>1.1071228297493503</v>
      </c>
      <c r="DZ16" s="107">
        <f>INDEX(Pipes_result_save_V1!$K$2:$K$206,MATCH(DO16,Pipes_result_save_V1!$I$2:$I$206,0)) *POWER(10,-3)</f>
        <v>-0.20692651367187501</v>
      </c>
      <c r="EA16" s="78">
        <v>6.4258328353900933E-3</v>
      </c>
      <c r="EB16" s="78">
        <f t="shared" si="10"/>
        <v>0.16714548384202288</v>
      </c>
      <c r="EC16" s="78">
        <f t="shared" si="11"/>
        <v>0.16714548384202288</v>
      </c>
      <c r="ED16" s="78" cm="1">
        <f t="array" ref="ED16">IF(DL16=0,
IF(DN16="positif",ABS(EB16),ABS(EB16)*(-1)),
INDEX($BM$8:$BM$44,DL16))</f>
        <v>0.16714548384202288</v>
      </c>
      <c r="EE16" s="78"/>
      <c r="EF16" s="78"/>
      <c r="EI16">
        <v>0</v>
      </c>
      <c r="EJ16">
        <v>9</v>
      </c>
      <c r="EK16" t="s">
        <v>539</v>
      </c>
      <c r="EL16" t="s">
        <v>402</v>
      </c>
      <c r="EM16" s="106" t="str">
        <f>INDEX(Pipes_result_save_V1!$G$2:$G$206,MATCH(EL16,Pipes_result_save_V1!$I$2:$I$206,0))</f>
        <v>N8</v>
      </c>
      <c r="EN16" s="106" t="str">
        <f>INDEX(Pipes_result_save_V1!$H$2:$H$206,MATCH(EL16,Pipes_result_save_V1!$I$2:$I$206,0))</f>
        <v>N7</v>
      </c>
      <c r="EO16">
        <v>8.3280000000000007E-2</v>
      </c>
      <c r="EP16">
        <v>350</v>
      </c>
      <c r="EQ16">
        <v>150</v>
      </c>
      <c r="ER16">
        <v>133</v>
      </c>
      <c r="ES16">
        <v>22.034630473592603</v>
      </c>
      <c r="ET16">
        <v>8.3280000000000007E-2</v>
      </c>
      <c r="EU16">
        <v>0.22077361992794248</v>
      </c>
      <c r="EV16">
        <v>4.9096150829316691</v>
      </c>
      <c r="EW16" s="107">
        <f>INDEX(Pipes_result_save_V1!$K$2:$K$206,MATCH(EL16,Pipes_result_save_V1!$I$2:$I$206,0)) *POWER(10,-3)</f>
        <v>-3.1258901596069338E-2</v>
      </c>
      <c r="EX16" s="78">
        <v>5.419887647284332E-3</v>
      </c>
      <c r="EY16" s="78">
        <f t="shared" si="12"/>
        <v>4.5871775982907335E-2</v>
      </c>
      <c r="EZ16" s="78">
        <f t="shared" si="13"/>
        <v>4.5871775982907335E-2</v>
      </c>
      <c r="FA16" s="78" cm="1">
        <f t="array" ref="FA16">IF(EI16=0,
IF(EK16="positif",ABS(EY16),ABS(EY16)*(-1)),
INDEX($BM$8:$BM$44,EI16))</f>
        <v>4.5871775982907335E-2</v>
      </c>
    </row>
    <row r="17" spans="2:157" ht="14.45" customHeight="1" x14ac:dyDescent="0.25">
      <c r="B17" s="106">
        <v>10</v>
      </c>
      <c r="C17" s="106" t="s">
        <v>539</v>
      </c>
      <c r="D17" s="106" t="s">
        <v>183</v>
      </c>
      <c r="E17" s="106" t="str">
        <f>INDEX(Pipes_result_save_V1!$G$2:$G$206,MATCH(D17,Pipes_result_save_V1!$I$2:$I$206,0))</f>
        <v>N92</v>
      </c>
      <c r="F17" s="106" t="str">
        <f>INDEX(Pipes_result_save_V1!$H$2:$H$206,MATCH(D17,Pipes_result_save_V1!$I$2:$I$206,0))</f>
        <v>N93</v>
      </c>
      <c r="G17" s="106">
        <v>0.111</v>
      </c>
      <c r="H17" s="107">
        <v>400</v>
      </c>
      <c r="I17" s="107">
        <v>150</v>
      </c>
      <c r="J17" s="107">
        <v>111</v>
      </c>
      <c r="K17" s="107">
        <v>9.5961788981398755</v>
      </c>
      <c r="L17" s="107">
        <v>0.111</v>
      </c>
      <c r="M17" s="107">
        <v>0.16369540640591485</v>
      </c>
      <c r="N17" s="107">
        <v>2.7312062402140032</v>
      </c>
      <c r="O17" s="107">
        <f>INDEX(Pipes_result_save_V1!$K$2:$K$206,MATCH(D17,Pipes_result_save_V1!$I$2:$I$206,0)) *POWER(10,-3)</f>
        <v>9.3915777206420893E-3</v>
      </c>
      <c r="P17" s="78">
        <v>5.1410950439355957E-3</v>
      </c>
      <c r="Q17" s="78">
        <f t="shared" si="0"/>
        <v>3.2403064923816505E-2</v>
      </c>
      <c r="R17" s="78">
        <f t="shared" si="1"/>
        <v>3.2403064923816505E-2</v>
      </c>
      <c r="S17" s="78"/>
      <c r="T17" s="78"/>
      <c r="U17" s="78"/>
      <c r="V17" s="78"/>
      <c r="W17" s="78">
        <v>0</v>
      </c>
      <c r="X17" s="78">
        <v>10</v>
      </c>
      <c r="Y17" s="78" t="s">
        <v>539</v>
      </c>
      <c r="Z17" s="78" t="s">
        <v>294</v>
      </c>
      <c r="AA17" s="106" t="str">
        <f>INDEX(Pipes_result_save_V1!$G$2:$G$206,MATCH(Z17,Pipes_result_save_V1!$I$2:$I$206,0))</f>
        <v>N131</v>
      </c>
      <c r="AB17" s="106" t="str">
        <f>INDEX(Pipes_result_save_V1!$H$2:$H$206,MATCH(Z17,Pipes_result_save_V1!$I$2:$I$206,0))</f>
        <v>N130</v>
      </c>
      <c r="AC17" s="78">
        <v>5.8057999999999998E-2</v>
      </c>
      <c r="AD17" s="78">
        <v>300</v>
      </c>
      <c r="AE17" s="78">
        <v>150</v>
      </c>
      <c r="AF17" s="78">
        <v>75</v>
      </c>
      <c r="AG17" s="78">
        <v>26.327717325417932</v>
      </c>
      <c r="AH17" s="78">
        <v>5.8057999999999998E-2</v>
      </c>
      <c r="AI17" s="78">
        <v>0</v>
      </c>
      <c r="AJ17" s="78">
        <v>0</v>
      </c>
      <c r="AK17" s="78">
        <v>0.13523395890292897</v>
      </c>
      <c r="AL17">
        <v>4.3138463586107783</v>
      </c>
      <c r="AM17" s="107">
        <f>INDEX(Pipes_result_save_V1!$K$2:$K$206,MATCH(Z17,Pipes_result_save_V1!$I$2:$I$206,0)) *POWER(10,-3)</f>
        <v>-3.3242774009704591E-3</v>
      </c>
      <c r="AN17" s="78">
        <v>2.9765588437570896E-3</v>
      </c>
      <c r="AO17" s="78">
        <f t="shared" si="2"/>
        <v>3.5211178482065772E-2</v>
      </c>
      <c r="AP17" s="78">
        <f t="shared" si="3"/>
        <v>3.5211178482065772E-2</v>
      </c>
      <c r="AQ17" s="78" cm="1">
        <f t="array" ref="AQ17">IF(W17=0,
IF(Y17="positif",ABS(AO17),ABS(AO17)*(-1)),
INDEX($R$8:$R$77,W17))</f>
        <v>3.5211178482065772E-2</v>
      </c>
      <c r="AU17">
        <v>0</v>
      </c>
      <c r="AV17">
        <v>10</v>
      </c>
      <c r="AW17" t="s">
        <v>539</v>
      </c>
      <c r="AX17" t="s">
        <v>187</v>
      </c>
      <c r="AY17" s="106" t="str">
        <f>INDEX(Pipes_result_save_V1!$G$2:$G$206,MATCH(AX17,Pipes_result_save_V1!$I$2:$I$206,0))</f>
        <v>N80</v>
      </c>
      <c r="AZ17" s="106" t="str">
        <f>INDEX(Pipes_result_save_V1!$H$2:$H$206,MATCH(AX17,Pipes_result_save_V1!$I$2:$I$206,0))</f>
        <v>N79</v>
      </c>
      <c r="BA17">
        <v>3.2837000000000005E-2</v>
      </c>
      <c r="BB17">
        <v>250</v>
      </c>
      <c r="BC17">
        <v>150</v>
      </c>
      <c r="BD17">
        <v>79</v>
      </c>
      <c r="BE17">
        <v>67.401705180026113</v>
      </c>
      <c r="BF17">
        <v>3.2837000000000005E-2</v>
      </c>
      <c r="BG17">
        <v>0.12049694485539995</v>
      </c>
      <c r="BH17">
        <v>6.7960027369187399</v>
      </c>
      <c r="BI17" s="107">
        <f>INDEX(Pipes_result_save_V1!$K$2:$K$206,MATCH(AX17,Pipes_result_save_V1!$I$2:$I$206,0)) *POWER(10,-3)</f>
        <v>-5.5878314971923831E-2</v>
      </c>
      <c r="BJ17" s="78">
        <v>5.4515790317720761E-3</v>
      </c>
      <c r="BK17" s="78">
        <f t="shared" si="4"/>
        <v>3.8250255700015404E-2</v>
      </c>
      <c r="BL17" s="78">
        <f t="shared" si="5"/>
        <v>3.8250255700015404E-2</v>
      </c>
      <c r="BM17" s="78" cm="1">
        <f t="array" ref="BM17">IF(AU17=0,
IF(AW17="positif",ABS(BK17),ABS(BK17)*(-1)),
INDEX($AQ$8:$AQ$77,AU17))</f>
        <v>3.8250255700015404E-2</v>
      </c>
      <c r="BN17" s="78"/>
      <c r="BO17" s="78"/>
      <c r="BR17">
        <v>0</v>
      </c>
      <c r="BS17">
        <v>10</v>
      </c>
      <c r="BT17" t="s">
        <v>539</v>
      </c>
      <c r="BU17" t="s">
        <v>125</v>
      </c>
      <c r="BV17" s="106" t="str">
        <f>INDEX(Pipes_result_save_V1!$G$2:$G$206,MATCH(BU17,Pipes_result_save_V1!$I$2:$I$206,0))</f>
        <v>N60</v>
      </c>
      <c r="BW17" s="106" t="str">
        <f>INDEX(Pipes_result_save_V1!$H$2:$H$206,MATCH(BU17,Pipes_result_save_V1!$I$2:$I$206,0))</f>
        <v>N59</v>
      </c>
      <c r="BX17">
        <v>3.2837000000000005E-2</v>
      </c>
      <c r="BY17">
        <v>250</v>
      </c>
      <c r="BZ17">
        <v>150</v>
      </c>
      <c r="CA17">
        <v>79</v>
      </c>
      <c r="CB17">
        <v>67.401705180026113</v>
      </c>
      <c r="CC17">
        <v>3.2837000000000005E-2</v>
      </c>
      <c r="CD17">
        <v>0.12049694485539995</v>
      </c>
      <c r="CE17">
        <v>6.7960027369187399</v>
      </c>
      <c r="CF17" s="107">
        <f>INDEX(Pipes_result_save_V1!$K$2:$K$206,MATCH(BU17,Pipes_result_save_V1!$I$2:$I$206,0)) *POWER(10,-3)</f>
        <v>-2.5138153076171878E-2</v>
      </c>
      <c r="CG17" s="78">
        <v>6.2043547710051656E-3</v>
      </c>
      <c r="CH17" s="78">
        <f t="shared" si="6"/>
        <v>2.3580796114934299E-2</v>
      </c>
      <c r="CI17" s="78">
        <f t="shared" si="7"/>
        <v>2.3580796114934299E-2</v>
      </c>
      <c r="CJ17" s="78" cm="1">
        <f t="array" ref="CJ17">IF(BR17=0,
IF(BT17="positif",ABS(CH17),ABS(CH17)*(-1)),
INDEX($BM$8:$BM$44,BR17))</f>
        <v>2.3580796114934299E-2</v>
      </c>
      <c r="CN17">
        <v>0</v>
      </c>
      <c r="CO17">
        <v>10</v>
      </c>
      <c r="CP17" t="s">
        <v>540</v>
      </c>
      <c r="CQ17" t="s">
        <v>408</v>
      </c>
      <c r="CR17" s="106" t="str">
        <f>INDEX(Pipes_result_save_V1!$G$2:$G$206,MATCH(CQ17,Pipes_result_save_V1!$I$2:$I$206,0))</f>
        <v>N39</v>
      </c>
      <c r="CS17" s="106" t="str">
        <f>INDEX(Pipes_result_save_V1!$H$2:$H$206,MATCH(CQ17,Pipes_result_save_V1!$I$2:$I$206,0))</f>
        <v>N38</v>
      </c>
      <c r="CT17">
        <v>8.3280000000000007E-2</v>
      </c>
      <c r="CU17">
        <v>350</v>
      </c>
      <c r="CV17">
        <v>150</v>
      </c>
      <c r="CW17">
        <v>91</v>
      </c>
      <c r="CX17">
        <v>15.076326113510728</v>
      </c>
      <c r="CY17">
        <v>-8.3280000000000007E-2</v>
      </c>
      <c r="CZ17">
        <v>-0.15105563468753958</v>
      </c>
      <c r="DA17">
        <v>3.3592103199006162</v>
      </c>
      <c r="DB17" s="107">
        <f>INDEX(Pipes_result_save_V1!$K$2:$K$206,MATCH(CQ17,Pipes_result_save_V1!$I$2:$I$206,0)) *POWER(10,-3)</f>
        <v>-0.112284538269043</v>
      </c>
      <c r="DC17" s="78">
        <v>6.194731456914444E-3</v>
      </c>
      <c r="DD17" s="78">
        <f t="shared" si="8"/>
        <v>7.169564373451176E-2</v>
      </c>
      <c r="DE17" s="78">
        <f t="shared" si="9"/>
        <v>-7.169564373451176E-2</v>
      </c>
      <c r="DF17" s="78" cm="1">
        <f t="array" ref="DF17">IF(CN17=0,
IF(CP17="positif",ABS(DD17),ABS(DD17)*(-1)),
INDEX($BM$8:$BM$44,CN17))</f>
        <v>-7.169564373451176E-2</v>
      </c>
      <c r="DL17">
        <v>0</v>
      </c>
      <c r="DM17">
        <v>10</v>
      </c>
      <c r="DN17" t="s">
        <v>539</v>
      </c>
      <c r="DO17" t="s">
        <v>148</v>
      </c>
      <c r="DP17" s="106" t="str">
        <f>INDEX(Pipes_result_save_V1!$G$2:$G$206,MATCH(DO17,Pipes_result_save_V1!$I$2:$I$206,0))</f>
        <v>N22</v>
      </c>
      <c r="DQ17" s="106" t="str">
        <f>INDEX(Pipes_result_save_V1!$H$2:$H$206,MATCH(DO17,Pipes_result_save_V1!$I$2:$I$206,0))</f>
        <v>N21</v>
      </c>
      <c r="DR17">
        <v>0.16656000000000001</v>
      </c>
      <c r="DS17">
        <v>466</v>
      </c>
      <c r="DT17">
        <v>150</v>
      </c>
      <c r="DU17">
        <v>194</v>
      </c>
      <c r="DV17">
        <v>7.9708292250407817</v>
      </c>
      <c r="DW17">
        <v>0.16656000000000001</v>
      </c>
      <c r="DX17">
        <v>0.28830519191412302</v>
      </c>
      <c r="DY17">
        <v>3.2056989398712523</v>
      </c>
      <c r="DZ17" s="107">
        <f>INDEX(Pipes_result_save_V1!$K$2:$K$206,MATCH(DO17,Pipes_result_save_V1!$I$2:$I$206,0)) *POWER(10,-3)</f>
        <v>-0.2054373626708984</v>
      </c>
      <c r="EA17" s="78">
        <v>6.026751064043042E-3</v>
      </c>
      <c r="EB17" s="78">
        <f t="shared" si="10"/>
        <v>0.16714548384202288</v>
      </c>
      <c r="EC17" s="78">
        <f t="shared" si="11"/>
        <v>0.16714548384202288</v>
      </c>
      <c r="ED17" s="78" cm="1">
        <f t="array" ref="ED17">IF(DL17=0,
IF(DN17="positif",ABS(EB17),ABS(EB17)*(-1)),
INDEX($BM$8:$BM$44,DL17))</f>
        <v>0.16714548384202288</v>
      </c>
      <c r="EE17" s="78"/>
      <c r="EF17" s="78"/>
      <c r="EI17">
        <v>0</v>
      </c>
      <c r="EJ17">
        <v>10</v>
      </c>
      <c r="EK17" t="s">
        <v>539</v>
      </c>
      <c r="EL17" t="s">
        <v>174</v>
      </c>
      <c r="EM17" s="106" t="str">
        <f>INDEX(Pipes_result_save_V1!$G$2:$G$206,MATCH(EL17,Pipes_result_save_V1!$I$2:$I$206,0))</f>
        <v>N9</v>
      </c>
      <c r="EN17" s="106" t="str">
        <f>INDEX(Pipes_result_save_V1!$H$2:$H$206,MATCH(EL17,Pipes_result_save_V1!$I$2:$I$206,0))</f>
        <v>N8</v>
      </c>
      <c r="EO17">
        <v>8.3280000000000007E-2</v>
      </c>
      <c r="EP17">
        <v>350</v>
      </c>
      <c r="EQ17">
        <v>150</v>
      </c>
      <c r="ER17">
        <v>178</v>
      </c>
      <c r="ES17">
        <v>29.489956573680328</v>
      </c>
      <c r="ET17">
        <v>8.3280000000000007E-2</v>
      </c>
      <c r="EU17">
        <v>0.29547146125694557</v>
      </c>
      <c r="EV17">
        <v>6.5707630433220849</v>
      </c>
      <c r="EW17" s="107">
        <f>INDEX(Pipes_result_save_V1!$K$2:$K$206,MATCH(EL17,Pipes_result_save_V1!$I$2:$I$206,0)) *POWER(10,-3)</f>
        <v>-2.9484477996826169E-2</v>
      </c>
      <c r="EX17" s="78">
        <v>5.2253689992558623E-3</v>
      </c>
      <c r="EY17" s="78">
        <f t="shared" si="12"/>
        <v>4.5871775982907335E-2</v>
      </c>
      <c r="EZ17" s="78">
        <f t="shared" si="13"/>
        <v>4.5871775982907335E-2</v>
      </c>
      <c r="FA17" s="78" cm="1">
        <f t="array" ref="FA17">IF(EI17=0,
IF(EK17="positif",ABS(EY17),ABS(EY17)*(-1)),
INDEX($BM$8:$BM$44,EI17))</f>
        <v>4.5871775982907335E-2</v>
      </c>
    </row>
    <row r="18" spans="2:157" ht="30" x14ac:dyDescent="0.25">
      <c r="B18" s="106">
        <v>11</v>
      </c>
      <c r="C18" s="106" t="s">
        <v>539</v>
      </c>
      <c r="D18" s="106" t="s">
        <v>192</v>
      </c>
      <c r="E18" s="106" t="str">
        <f>INDEX(Pipes_result_save_V1!$G$2:$G$206,MATCH(D18,Pipes_result_save_V1!$I$2:$I$206,0))</f>
        <v>N93</v>
      </c>
      <c r="F18" s="106" t="str">
        <f>INDEX(Pipes_result_save_V1!$H$2:$H$206,MATCH(D18,Pipes_result_save_V1!$I$2:$I$206,0))</f>
        <v>N94</v>
      </c>
      <c r="G18" s="106">
        <v>8.7999999999999995E-2</v>
      </c>
      <c r="H18" s="107">
        <v>350</v>
      </c>
      <c r="I18" s="107">
        <v>150</v>
      </c>
      <c r="J18" s="107">
        <v>88</v>
      </c>
      <c r="K18" s="107">
        <v>14.579304373504881</v>
      </c>
      <c r="L18" s="107">
        <v>8.7999999999999995E-2</v>
      </c>
      <c r="M18" s="107">
        <v>0.16177772046556005</v>
      </c>
      <c r="N18" s="107">
        <v>3.4046856625251967</v>
      </c>
      <c r="O18" s="107">
        <f>INDEX(Pipes_result_save_V1!$K$2:$K$206,MATCH(D18,Pipes_result_save_V1!$I$2:$I$206,0)) *POWER(10,-3)</f>
        <v>8.256173133850098E-3</v>
      </c>
      <c r="P18" s="78">
        <v>6.4400131087253634E-3</v>
      </c>
      <c r="Q18" s="78">
        <f t="shared" si="0"/>
        <v>9.4030649238164982E-3</v>
      </c>
      <c r="R18" s="78">
        <f t="shared" si="1"/>
        <v>9.4030649238164982E-3</v>
      </c>
      <c r="S18" s="78"/>
      <c r="T18" s="78"/>
      <c r="U18" s="78"/>
      <c r="V18" s="78"/>
      <c r="W18" s="78">
        <v>0</v>
      </c>
      <c r="X18" s="78">
        <v>11</v>
      </c>
      <c r="Y18" s="78" t="s">
        <v>539</v>
      </c>
      <c r="Z18" s="78" t="s">
        <v>295</v>
      </c>
      <c r="AA18" s="106" t="str">
        <f>INDEX(Pipes_result_save_V1!$G$2:$G$206,MATCH(Z18,Pipes_result_save_V1!$I$2:$I$206,0))</f>
        <v>N132</v>
      </c>
      <c r="AB18" s="106" t="str">
        <f>INDEX(Pipes_result_save_V1!$H$2:$H$206,MATCH(Z18,Pipes_result_save_V1!$I$2:$I$206,0))</f>
        <v>N131</v>
      </c>
      <c r="AC18" s="78">
        <v>5.8057999999999998E-2</v>
      </c>
      <c r="AD18" s="78">
        <v>300</v>
      </c>
      <c r="AE18" s="78">
        <v>150</v>
      </c>
      <c r="AF18" s="78">
        <v>108</v>
      </c>
      <c r="AG18" s="78">
        <v>37.911912948601824</v>
      </c>
      <c r="AH18" s="78">
        <v>5.8057999999999998E-2</v>
      </c>
      <c r="AI18" s="78">
        <v>0</v>
      </c>
      <c r="AJ18" s="78">
        <v>0</v>
      </c>
      <c r="AK18" s="78">
        <v>0.19473690082021772</v>
      </c>
      <c r="AL18">
        <v>6.2119387563995216</v>
      </c>
      <c r="AM18" s="107">
        <f>INDEX(Pipes_result_save_V1!$K$2:$K$206,MATCH(Z18,Pipes_result_save_V1!$I$2:$I$206,0)) *POWER(10,-3)</f>
        <v>-2.2801618576049803E-3</v>
      </c>
      <c r="AN18" s="78">
        <v>4.9607976540950102E-3</v>
      </c>
      <c r="AO18" s="78">
        <f t="shared" si="2"/>
        <v>3.5211178482065772E-2</v>
      </c>
      <c r="AP18" s="78">
        <f t="shared" si="3"/>
        <v>3.5211178482065772E-2</v>
      </c>
      <c r="AQ18" s="78" cm="1">
        <f t="array" ref="AQ18">IF(W18=0,
IF(Y18="positif",ABS(AO18),ABS(AO18)*(-1)),
INDEX($R$8:$R$77,W18))</f>
        <v>3.5211178482065772E-2</v>
      </c>
      <c r="AU18">
        <v>0</v>
      </c>
      <c r="AV18">
        <v>11</v>
      </c>
      <c r="AW18" t="s">
        <v>539</v>
      </c>
      <c r="AX18" t="s">
        <v>185</v>
      </c>
      <c r="AY18" s="106" t="str">
        <f>INDEX(Pipes_result_save_V1!$G$2:$G$206,MATCH(AX18,Pipes_result_save_V1!$I$2:$I$206,0))</f>
        <v>N81</v>
      </c>
      <c r="AZ18" s="106" t="str">
        <f>INDEX(Pipes_result_save_V1!$H$2:$H$206,MATCH(AX18,Pipes_result_save_V1!$I$2:$I$206,0))</f>
        <v>N80</v>
      </c>
      <c r="BA18">
        <v>3.2835999999999997E-2</v>
      </c>
      <c r="BB18">
        <v>250</v>
      </c>
      <c r="BC18">
        <v>150</v>
      </c>
      <c r="BD18">
        <v>80</v>
      </c>
      <c r="BE18">
        <v>68.254891321545429</v>
      </c>
      <c r="BF18">
        <v>3.2835999999999997E-2</v>
      </c>
      <c r="BG18">
        <v>0.12201534069957347</v>
      </c>
      <c r="BH18">
        <v>6.8818495241689046</v>
      </c>
      <c r="BI18" s="107">
        <f>INDEX(Pipes_result_save_V1!$K$2:$K$206,MATCH(AX18,Pipes_result_save_V1!$I$2:$I$206,0)) *POWER(10,-3)</f>
        <v>-5.5022480010986329E-2</v>
      </c>
      <c r="BJ18" s="78">
        <v>6.4606581198190681E-3</v>
      </c>
      <c r="BK18" s="78">
        <f t="shared" si="4"/>
        <v>3.8249255700015396E-2</v>
      </c>
      <c r="BL18" s="78">
        <f t="shared" si="5"/>
        <v>3.8249255700015396E-2</v>
      </c>
      <c r="BM18" s="78" cm="1">
        <f t="array" ref="BM18">IF(AU18=0,
IF(AW18="positif",ABS(BK18),ABS(BK18)*(-1)),
INDEX($AQ$8:$AQ$77,AU18))</f>
        <v>3.8249255700015396E-2</v>
      </c>
      <c r="BN18" s="78"/>
      <c r="BO18" s="78"/>
      <c r="BR18">
        <v>0</v>
      </c>
      <c r="BS18">
        <v>11</v>
      </c>
      <c r="BT18" t="s">
        <v>539</v>
      </c>
      <c r="BU18" t="s">
        <v>124</v>
      </c>
      <c r="BV18" s="106" t="str">
        <f>INDEX(Pipes_result_save_V1!$G$2:$G$206,MATCH(BU18,Pipes_result_save_V1!$I$2:$I$206,0))</f>
        <v>N61</v>
      </c>
      <c r="BW18" s="106" t="str">
        <f>INDEX(Pipes_result_save_V1!$H$2:$H$206,MATCH(BU18,Pipes_result_save_V1!$I$2:$I$206,0))</f>
        <v>N60</v>
      </c>
      <c r="BX18">
        <v>3.2837000000000005E-2</v>
      </c>
      <c r="BY18">
        <v>250</v>
      </c>
      <c r="BZ18">
        <v>150</v>
      </c>
      <c r="CA18">
        <v>51</v>
      </c>
      <c r="CB18">
        <v>43.512493217485208</v>
      </c>
      <c r="CC18">
        <v>3.2837000000000005E-2</v>
      </c>
      <c r="CD18">
        <v>7.7789166931967052E-2</v>
      </c>
      <c r="CE18">
        <v>4.3872929061120978</v>
      </c>
      <c r="CF18" s="107">
        <f>INDEX(Pipes_result_save_V1!$K$2:$K$206,MATCH(BU18,Pipes_result_save_V1!$I$2:$I$206,0)) *POWER(10,-3)</f>
        <v>-2.439643096923828E-2</v>
      </c>
      <c r="CG18" s="78">
        <v>5.6834226732106396E-3</v>
      </c>
      <c r="CH18" s="78">
        <f t="shared" si="6"/>
        <v>2.3580796114934299E-2</v>
      </c>
      <c r="CI18" s="78">
        <f t="shared" si="7"/>
        <v>2.3580796114934299E-2</v>
      </c>
      <c r="CJ18" s="78" cm="1">
        <f t="array" ref="CJ18">IF(BR18=0,
IF(BT18="positif",ABS(CH18),ABS(CH18)*(-1)),
INDEX($BM$8:$BM$44,BR18))</f>
        <v>2.3580796114934299E-2</v>
      </c>
      <c r="CN18">
        <v>0</v>
      </c>
      <c r="CO18">
        <v>11</v>
      </c>
      <c r="CP18" t="s">
        <v>540</v>
      </c>
      <c r="CQ18" t="s">
        <v>172</v>
      </c>
      <c r="CR18" s="106" t="str">
        <f>INDEX(Pipes_result_save_V1!$G$2:$G$206,MATCH(CQ18,Pipes_result_save_V1!$I$2:$I$206,0))</f>
        <v>N40</v>
      </c>
      <c r="CS18" s="106" t="str">
        <f>INDEX(Pipes_result_save_V1!$H$2:$H$206,MATCH(CQ18,Pipes_result_save_V1!$I$2:$I$206,0))</f>
        <v>N39</v>
      </c>
      <c r="CT18">
        <v>8.3280000000000007E-2</v>
      </c>
      <c r="CU18">
        <v>350</v>
      </c>
      <c r="CV18">
        <v>150</v>
      </c>
      <c r="CW18">
        <v>87</v>
      </c>
      <c r="CX18">
        <v>14.413630460169598</v>
      </c>
      <c r="CY18">
        <v>-8.3280000000000007E-2</v>
      </c>
      <c r="CZ18">
        <v>-0.14441582656940599</v>
      </c>
      <c r="DA18">
        <v>3.2115527234214682</v>
      </c>
      <c r="DB18" s="107">
        <f>INDEX(Pipes_result_save_V1!$K$2:$K$206,MATCH(CQ18,Pipes_result_save_V1!$I$2:$I$206,0)) *POWER(10,-3)</f>
        <v>-0.1112689437866211</v>
      </c>
      <c r="DC18" s="78">
        <v>5.341244150467433E-3</v>
      </c>
      <c r="DD18" s="78">
        <f t="shared" si="8"/>
        <v>7.169564373451176E-2</v>
      </c>
      <c r="DE18" s="78">
        <f t="shared" si="9"/>
        <v>-7.169564373451176E-2</v>
      </c>
      <c r="DF18" s="78" cm="1">
        <f t="array" ref="DF18">IF(CN18=0,
IF(CP18="positif",ABS(DD18),ABS(DD18)*(-1)),
INDEX($BM$8:$BM$44,CN18))</f>
        <v>-7.169564373451176E-2</v>
      </c>
      <c r="DL18">
        <v>0</v>
      </c>
      <c r="DM18">
        <v>11</v>
      </c>
      <c r="DN18" t="s">
        <v>539</v>
      </c>
      <c r="DO18" t="s">
        <v>147</v>
      </c>
      <c r="DP18" s="106" t="str">
        <f>INDEX(Pipes_result_save_V1!$G$2:$G$206,MATCH(DO18,Pipes_result_save_V1!$I$2:$I$206,0))</f>
        <v>N23</v>
      </c>
      <c r="DQ18" s="106" t="str">
        <f>INDEX(Pipes_result_save_V1!$H$2:$H$206,MATCH(DO18,Pipes_result_save_V1!$I$2:$I$206,0))</f>
        <v>N22</v>
      </c>
      <c r="DR18">
        <v>0.16656000000000001</v>
      </c>
      <c r="DS18">
        <v>466</v>
      </c>
      <c r="DT18">
        <v>150</v>
      </c>
      <c r="DU18">
        <v>74</v>
      </c>
      <c r="DV18">
        <v>3.0404193951186484</v>
      </c>
      <c r="DW18">
        <v>0.16656000000000001</v>
      </c>
      <c r="DX18">
        <v>0.10997208351363455</v>
      </c>
      <c r="DY18">
        <v>1.2227923791261477</v>
      </c>
      <c r="DZ18" s="107">
        <f>INDEX(Pipes_result_save_V1!$K$2:$K$206,MATCH(DO18,Pipes_result_save_V1!$I$2:$I$206,0)) *POWER(10,-3)</f>
        <v>-0.20390827941894532</v>
      </c>
      <c r="EA18" s="78">
        <v>5.186407326757592E-3</v>
      </c>
      <c r="EB18" s="78">
        <f t="shared" si="10"/>
        <v>0.16714548384202288</v>
      </c>
      <c r="EC18" s="78">
        <f t="shared" si="11"/>
        <v>0.16714548384202288</v>
      </c>
      <c r="ED18" s="78" cm="1">
        <f t="array" ref="ED18">IF(DL18=0,
IF(DN18="positif",ABS(EB18),ABS(EB18)*(-1)),
INDEX($BM$8:$BM$44,DL18))</f>
        <v>0.16714548384202288</v>
      </c>
      <c r="EE18" s="78"/>
      <c r="EF18" s="78"/>
      <c r="EI18">
        <v>0</v>
      </c>
      <c r="EJ18">
        <v>11</v>
      </c>
      <c r="EK18" t="s">
        <v>539</v>
      </c>
      <c r="EL18" t="s">
        <v>175</v>
      </c>
      <c r="EM18" s="106" t="str">
        <f>INDEX(Pipes_result_save_V1!$G$2:$G$206,MATCH(EL18,Pipes_result_save_V1!$I$2:$I$206,0))</f>
        <v>N10</v>
      </c>
      <c r="EN18" s="106" t="str">
        <f>INDEX(Pipes_result_save_V1!$H$2:$H$206,MATCH(EL18,Pipes_result_save_V1!$I$2:$I$206,0))</f>
        <v>N9</v>
      </c>
      <c r="EO18">
        <v>8.3280000000000007E-2</v>
      </c>
      <c r="EP18">
        <v>350</v>
      </c>
      <c r="EQ18">
        <v>150</v>
      </c>
      <c r="ER18">
        <v>198</v>
      </c>
      <c r="ES18">
        <v>32.803434840385982</v>
      </c>
      <c r="ET18">
        <v>8.3280000000000007E-2</v>
      </c>
      <c r="EU18">
        <v>0.32867050184761359</v>
      </c>
      <c r="EV18">
        <v>7.3090510257178245</v>
      </c>
      <c r="EW18" s="107">
        <f>INDEX(Pipes_result_save_V1!$K$2:$K$206,MATCH(EL18,Pipes_result_save_V1!$I$2:$I$206,0)) *POWER(10,-3)</f>
        <v>-2.7339191436767583E-2</v>
      </c>
      <c r="EX18" s="78">
        <v>6.4474007047654585E-3</v>
      </c>
      <c r="EY18" s="78">
        <f t="shared" si="12"/>
        <v>4.5871775982907335E-2</v>
      </c>
      <c r="EZ18" s="78">
        <f t="shared" si="13"/>
        <v>4.5871775982907335E-2</v>
      </c>
      <c r="FA18" s="78" cm="1">
        <f t="array" ref="FA18">IF(EI18=0,
IF(EK18="positif",ABS(EY18),ABS(EY18)*(-1)),
INDEX($BM$8:$BM$44,EI18))</f>
        <v>4.5871775982907335E-2</v>
      </c>
    </row>
    <row r="19" spans="2:157" ht="30" x14ac:dyDescent="0.25">
      <c r="B19" s="106">
        <v>12</v>
      </c>
      <c r="C19" s="106" t="s">
        <v>539</v>
      </c>
      <c r="D19" s="106" t="s">
        <v>230</v>
      </c>
      <c r="E19" s="106" t="str">
        <f>INDEX(Pipes_result_save_V1!$G$2:$G$206,MATCH(D19,Pipes_result_save_V1!$I$2:$I$206,0))</f>
        <v>N94</v>
      </c>
      <c r="F19" s="106" t="str">
        <f>INDEX(Pipes_result_save_V1!$H$2:$H$206,MATCH(D19,Pipes_result_save_V1!$I$2:$I$206,0))</f>
        <v>N95</v>
      </c>
      <c r="G19" s="106">
        <v>7.3999999999999996E-2</v>
      </c>
      <c r="H19" s="107">
        <v>350</v>
      </c>
      <c r="I19" s="107">
        <v>150</v>
      </c>
      <c r="J19" s="107">
        <v>74</v>
      </c>
      <c r="K19" s="107">
        <v>12.259869586810922</v>
      </c>
      <c r="L19" s="107">
        <v>7.3999999999999996E-2</v>
      </c>
      <c r="M19" s="107">
        <v>9.8696782594534224E-2</v>
      </c>
      <c r="N19" s="107">
        <v>2.4700870454740191</v>
      </c>
      <c r="O19" s="107">
        <f>INDEX(Pipes_result_save_V1!$K$2:$K$206,MATCH(D19,Pipes_result_save_V1!$I$2:$I$206,0)) *POWER(10,-3)</f>
        <v>7.3318743705749513E-3</v>
      </c>
      <c r="P19" s="78">
        <v>6.2863093128296037E-3</v>
      </c>
      <c r="Q19" s="78">
        <f t="shared" si="0"/>
        <v>-4.5969350761835004E-3</v>
      </c>
      <c r="R19" s="78">
        <f t="shared" si="1"/>
        <v>4.5969350761835004E-3</v>
      </c>
      <c r="S19" s="78"/>
      <c r="T19" s="78"/>
      <c r="U19" s="78"/>
      <c r="V19" s="78"/>
      <c r="W19" s="78">
        <v>0</v>
      </c>
      <c r="X19" s="78">
        <v>12</v>
      </c>
      <c r="Y19" s="78" t="s">
        <v>539</v>
      </c>
      <c r="Z19" s="78" t="s">
        <v>296</v>
      </c>
      <c r="AA19" s="106" t="str">
        <f>INDEX(Pipes_result_save_V1!$G$2:$G$206,MATCH(Z19,Pipes_result_save_V1!$I$2:$I$206,0))</f>
        <v>N133</v>
      </c>
      <c r="AB19" s="106" t="str">
        <f>INDEX(Pipes_result_save_V1!$H$2:$H$206,MATCH(Z19,Pipes_result_save_V1!$I$2:$I$206,0))</f>
        <v>N132</v>
      </c>
      <c r="AC19" s="78">
        <v>5.8057999999999998E-2</v>
      </c>
      <c r="AD19" s="78">
        <v>300</v>
      </c>
      <c r="AE19" s="78">
        <v>150</v>
      </c>
      <c r="AF19" s="78">
        <v>150</v>
      </c>
      <c r="AG19" s="78">
        <v>52.655434650835865</v>
      </c>
      <c r="AH19" s="78">
        <v>5.8057999999999998E-2</v>
      </c>
      <c r="AI19" s="78">
        <v>0</v>
      </c>
      <c r="AJ19" s="78">
        <v>0</v>
      </c>
      <c r="AK19" s="78">
        <v>0.27046791780585794</v>
      </c>
      <c r="AL19">
        <v>8.6276927172215565</v>
      </c>
      <c r="AM19" s="107">
        <f>INDEX(Pipes_result_save_V1!$K$2:$K$206,MATCH(Z19,Pipes_result_save_V1!$I$2:$I$206,0)) *POWER(10,-3)</f>
        <v>-8.0813032388687132E-4</v>
      </c>
      <c r="AN19" s="78">
        <v>4.851489264708366E-3</v>
      </c>
      <c r="AO19" s="78">
        <f t="shared" si="2"/>
        <v>3.5211178482065772E-2</v>
      </c>
      <c r="AP19" s="78">
        <f t="shared" si="3"/>
        <v>3.5211178482065772E-2</v>
      </c>
      <c r="AQ19" s="78" cm="1">
        <f t="array" ref="AQ19">IF(W19=0,
IF(Y19="positif",ABS(AO19),ABS(AO19)*(-1)),
INDEX($R$8:$R$77,W19))</f>
        <v>3.5211178482065772E-2</v>
      </c>
      <c r="AU19">
        <v>2</v>
      </c>
      <c r="AV19">
        <v>12</v>
      </c>
      <c r="AW19" t="s">
        <v>540</v>
      </c>
      <c r="AX19" t="s">
        <v>422</v>
      </c>
      <c r="AY19" s="106" t="str">
        <f>INDEX(Pipes_result_save_V1!$G$2:$G$206,MATCH(AX19,Pipes_result_save_V1!$I$2:$I$206,0))</f>
        <v>N81</v>
      </c>
      <c r="AZ19" s="106" t="str">
        <f>INDEX(Pipes_result_save_V1!$H$2:$H$206,MATCH(AX19,Pipes_result_save_V1!$I$2:$I$206,0))</f>
        <v>N135</v>
      </c>
      <c r="BA19">
        <v>5.8057999999999998E-2</v>
      </c>
      <c r="BB19">
        <v>300</v>
      </c>
      <c r="BC19">
        <v>150</v>
      </c>
      <c r="BD19">
        <v>81</v>
      </c>
      <c r="BE19">
        <v>28.433934711451364</v>
      </c>
      <c r="BF19">
        <v>3.5211178482065772E-2</v>
      </c>
      <c r="BG19">
        <v>5.7848134769030488E-2</v>
      </c>
      <c r="BH19">
        <v>3.0426344760602615</v>
      </c>
      <c r="BI19" s="107">
        <f>INDEX(Pipes_result_save_V1!$K$2:$K$206,MATCH(AX19,Pipes_result_save_V1!$I$2:$I$206,0)) *POWER(10,-3)</f>
        <v>2.2272217273712159E-3</v>
      </c>
      <c r="BJ19" s="78">
        <v>5.5853532612658713E-3</v>
      </c>
      <c r="BK19" s="78">
        <f t="shared" si="4"/>
        <v>6.3471255700015397E-2</v>
      </c>
      <c r="BL19" s="78">
        <f t="shared" si="5"/>
        <v>-6.3471255700015397E-2</v>
      </c>
      <c r="BM19" s="78" cm="1">
        <f t="array" ref="BM19">IF(AU19=0,
IF(AW19="positif",ABS(BK19),ABS(BK19)*(-1)),
INDEX($AQ$8:$AQ$77,AU19))</f>
        <v>3.5211178482065772E-2</v>
      </c>
      <c r="BN19" s="78"/>
      <c r="BO19" s="78"/>
      <c r="BR19">
        <v>0</v>
      </c>
      <c r="BS19">
        <v>12</v>
      </c>
      <c r="BT19" t="s">
        <v>539</v>
      </c>
      <c r="BU19" t="s">
        <v>123</v>
      </c>
      <c r="BV19" s="106" t="str">
        <f>INDEX(Pipes_result_save_V1!$G$2:$G$206,MATCH(BU19,Pipes_result_save_V1!$I$2:$I$206,0))</f>
        <v>N62</v>
      </c>
      <c r="BW19" s="106" t="str">
        <f>INDEX(Pipes_result_save_V1!$H$2:$H$206,MATCH(BU19,Pipes_result_save_V1!$I$2:$I$206,0))</f>
        <v>N61</v>
      </c>
      <c r="BX19">
        <v>3.2837000000000005E-2</v>
      </c>
      <c r="BY19">
        <v>250</v>
      </c>
      <c r="BZ19">
        <v>150</v>
      </c>
      <c r="CA19">
        <v>73</v>
      </c>
      <c r="CB19">
        <v>62.282588330910201</v>
      </c>
      <c r="CC19">
        <v>3.2837000000000005E-2</v>
      </c>
      <c r="CD19">
        <v>0.11134527815752146</v>
      </c>
      <c r="CE19">
        <v>6.2798506303173163</v>
      </c>
      <c r="CF19" s="107">
        <f>INDEX(Pipes_result_save_V1!$K$2:$K$206,MATCH(BU19,Pipes_result_save_V1!$I$2:$I$206,0)) *POWER(10,-3)</f>
        <v>-2.3688943862915039E-2</v>
      </c>
      <c r="CG19" s="78">
        <v>6.0413349936045812E-3</v>
      </c>
      <c r="CH19" s="78">
        <f t="shared" si="6"/>
        <v>2.3580796114934299E-2</v>
      </c>
      <c r="CI19" s="78">
        <f t="shared" si="7"/>
        <v>2.3580796114934299E-2</v>
      </c>
      <c r="CJ19" s="78" cm="1">
        <f t="array" ref="CJ19">IF(BR19=0,
IF(BT19="positif",ABS(CH19),ABS(CH19)*(-1)),
INDEX($BM$8:$BM$44,BR19))</f>
        <v>2.3580796114934299E-2</v>
      </c>
      <c r="CN19">
        <v>0</v>
      </c>
      <c r="CO19">
        <v>12</v>
      </c>
      <c r="CP19" t="s">
        <v>540</v>
      </c>
      <c r="CQ19" t="s">
        <v>170</v>
      </c>
      <c r="CR19" s="106" t="str">
        <f>INDEX(Pipes_result_save_V1!$G$2:$G$206,MATCH(CQ19,Pipes_result_save_V1!$I$2:$I$206,0))</f>
        <v>N41</v>
      </c>
      <c r="CS19" s="106" t="str">
        <f>INDEX(Pipes_result_save_V1!$H$2:$H$206,MATCH(CQ19,Pipes_result_save_V1!$I$2:$I$206,0))</f>
        <v>N40</v>
      </c>
      <c r="CT19">
        <v>8.3280000000000007E-2</v>
      </c>
      <c r="CU19">
        <v>350</v>
      </c>
      <c r="CV19">
        <v>150</v>
      </c>
      <c r="CW19">
        <v>94</v>
      </c>
      <c r="CX19">
        <v>15.573347853516577</v>
      </c>
      <c r="CY19">
        <v>-8.3280000000000007E-2</v>
      </c>
      <c r="CZ19">
        <v>-0.15603549077613979</v>
      </c>
      <c r="DA19">
        <v>3.4699535172599769</v>
      </c>
      <c r="DB19" s="107">
        <f>INDEX(Pipes_result_save_V1!$K$2:$K$206,MATCH(CQ19,Pipes_result_save_V1!$I$2:$I$206,0)) *POWER(10,-3)</f>
        <v>-0.10984255981445309</v>
      </c>
      <c r="DC19" s="78">
        <v>5.2385239985790026E-3</v>
      </c>
      <c r="DD19" s="78">
        <f t="shared" si="8"/>
        <v>7.169564373451176E-2</v>
      </c>
      <c r="DE19" s="78">
        <f t="shared" si="9"/>
        <v>-7.169564373451176E-2</v>
      </c>
      <c r="DF19" s="78" cm="1">
        <f t="array" ref="DF19">IF(CN19=0,
IF(CP19="positif",ABS(DD19),ABS(DD19)*(-1)),
INDEX($BM$8:$BM$44,CN19))</f>
        <v>-7.169564373451176E-2</v>
      </c>
      <c r="DL19">
        <v>0</v>
      </c>
      <c r="DM19">
        <v>12</v>
      </c>
      <c r="DN19" t="s">
        <v>539</v>
      </c>
      <c r="DO19" t="s">
        <v>146</v>
      </c>
      <c r="DP19" s="106" t="str">
        <f>INDEX(Pipes_result_save_V1!$G$2:$G$206,MATCH(DO19,Pipes_result_save_V1!$I$2:$I$206,0))</f>
        <v>N24</v>
      </c>
      <c r="DQ19" s="106" t="str">
        <f>INDEX(Pipes_result_save_V1!$H$2:$H$206,MATCH(DO19,Pipes_result_save_V1!$I$2:$I$206,0))</f>
        <v>N23</v>
      </c>
      <c r="DR19">
        <v>0.16656000000000001</v>
      </c>
      <c r="DS19">
        <v>466</v>
      </c>
      <c r="DT19">
        <v>150</v>
      </c>
      <c r="DU19">
        <v>92</v>
      </c>
      <c r="DV19">
        <v>3.7799808696069688</v>
      </c>
      <c r="DW19">
        <v>0.16656000000000001</v>
      </c>
      <c r="DX19">
        <v>0.13672204977370783</v>
      </c>
      <c r="DY19">
        <v>1.5202283632379134</v>
      </c>
      <c r="DZ19" s="107">
        <f>INDEX(Pipes_result_save_V1!$K$2:$K$206,MATCH(DO19,Pipes_result_save_V1!$I$2:$I$206,0)) *POWER(10,-3)</f>
        <v>-0.20296116638183592</v>
      </c>
      <c r="EA19" s="78">
        <v>5.1205947079335547E-3</v>
      </c>
      <c r="EB19" s="78">
        <f t="shared" si="10"/>
        <v>0.16714548384202288</v>
      </c>
      <c r="EC19" s="78">
        <f t="shared" si="11"/>
        <v>0.16714548384202288</v>
      </c>
      <c r="ED19" s="78" cm="1">
        <f t="array" ref="ED19">IF(DL19=0,
IF(DN19="positif",ABS(EB19),ABS(EB19)*(-1)),
INDEX($BM$8:$BM$44,DL19))</f>
        <v>0.16714548384202288</v>
      </c>
      <c r="EE19" s="78"/>
      <c r="EF19" s="78"/>
      <c r="EI19">
        <v>0</v>
      </c>
      <c r="EJ19">
        <v>12</v>
      </c>
      <c r="EK19" t="s">
        <v>539</v>
      </c>
      <c r="EL19" t="s">
        <v>176</v>
      </c>
      <c r="EM19" s="106" t="str">
        <f>INDEX(Pipes_result_save_V1!$G$2:$G$206,MATCH(EL19,Pipes_result_save_V1!$I$2:$I$206,0))</f>
        <v>N11</v>
      </c>
      <c r="EN19" s="106" t="str">
        <f>INDEX(Pipes_result_save_V1!$H$2:$H$206,MATCH(EL19,Pipes_result_save_V1!$I$2:$I$206,0))</f>
        <v>N10</v>
      </c>
      <c r="EO19">
        <v>8.3280000000000007E-2</v>
      </c>
      <c r="EP19">
        <v>350</v>
      </c>
      <c r="EQ19">
        <v>150</v>
      </c>
      <c r="ER19">
        <v>174</v>
      </c>
      <c r="ES19">
        <v>28.827260920339196</v>
      </c>
      <c r="ET19">
        <v>8.3280000000000007E-2</v>
      </c>
      <c r="EU19">
        <v>0.28883165313881198</v>
      </c>
      <c r="EV19">
        <v>6.4231054468429365</v>
      </c>
      <c r="EW19" s="107">
        <f>INDEX(Pipes_result_save_V1!$K$2:$K$206,MATCH(EL19,Pipes_result_save_V1!$I$2:$I$206,0)) *POWER(10,-3)</f>
        <v>-2.5216728210449218E-2</v>
      </c>
      <c r="EX19" s="78">
        <v>6.0070813399753509E-3</v>
      </c>
      <c r="EY19" s="78">
        <f t="shared" si="12"/>
        <v>4.5871775982907335E-2</v>
      </c>
      <c r="EZ19" s="78">
        <f t="shared" si="13"/>
        <v>4.5871775982907335E-2</v>
      </c>
      <c r="FA19" s="78" cm="1">
        <f t="array" ref="FA19">IF(EI19=0,
IF(EK19="positif",ABS(EY19),ABS(EY19)*(-1)),
INDEX($BM$8:$BM$44,EI19))</f>
        <v>4.5871775982907335E-2</v>
      </c>
    </row>
    <row r="20" spans="2:157" ht="30" x14ac:dyDescent="0.25">
      <c r="B20" s="106">
        <v>13</v>
      </c>
      <c r="C20" s="106" t="s">
        <v>539</v>
      </c>
      <c r="D20" s="106" t="s">
        <v>215</v>
      </c>
      <c r="E20" s="106" t="str">
        <f>INDEX(Pipes_result_save_V1!$G$2:$G$206,MATCH(D20,Pipes_result_save_V1!$I$2:$I$206,0))</f>
        <v>N95</v>
      </c>
      <c r="F20" s="106" t="str">
        <f>INDEX(Pipes_result_save_V1!$H$2:$H$206,MATCH(D20,Pipes_result_save_V1!$I$2:$I$206,0))</f>
        <v>N96</v>
      </c>
      <c r="G20" s="106">
        <v>0.248</v>
      </c>
      <c r="H20" s="107">
        <v>565</v>
      </c>
      <c r="I20" s="107">
        <v>150</v>
      </c>
      <c r="J20" s="107">
        <v>248</v>
      </c>
      <c r="K20" s="107">
        <v>3.9868809371857856</v>
      </c>
      <c r="L20" s="107">
        <v>0.248</v>
      </c>
      <c r="M20" s="107">
        <v>0.30141008477405656</v>
      </c>
      <c r="N20" s="107">
        <v>2.2508527298449703</v>
      </c>
      <c r="O20" s="107">
        <f>INDEX(Pipes_result_save_V1!$K$2:$K$206,MATCH(D20,Pipes_result_save_V1!$I$2:$I$206,0)) *POWER(10,-3)</f>
        <v>5.4946870803833005E-3</v>
      </c>
      <c r="P20" s="78">
        <v>5.0800818278635036E-3</v>
      </c>
      <c r="Q20" s="78">
        <f t="shared" si="0"/>
        <v>0.16940306492381652</v>
      </c>
      <c r="R20" s="78">
        <f t="shared" si="1"/>
        <v>0.16940306492381652</v>
      </c>
      <c r="S20" s="78"/>
      <c r="T20" s="78"/>
      <c r="U20" s="78"/>
      <c r="V20" s="78"/>
      <c r="W20" s="78">
        <v>0</v>
      </c>
      <c r="X20" s="78">
        <v>13</v>
      </c>
      <c r="Y20" s="78" t="s">
        <v>539</v>
      </c>
      <c r="Z20" s="78" t="s">
        <v>297</v>
      </c>
      <c r="AA20" s="106" t="str">
        <f>INDEX(Pipes_result_save_V1!$G$2:$G$206,MATCH(Z20,Pipes_result_save_V1!$I$2:$I$206,0))</f>
        <v>N134</v>
      </c>
      <c r="AB20" s="106" t="str">
        <f>INDEX(Pipes_result_save_V1!$H$2:$H$206,MATCH(Z20,Pipes_result_save_V1!$I$2:$I$206,0))</f>
        <v>N133</v>
      </c>
      <c r="AC20" s="78">
        <v>5.8057999999999998E-2</v>
      </c>
      <c r="AD20" s="78">
        <v>300</v>
      </c>
      <c r="AE20" s="78">
        <v>150</v>
      </c>
      <c r="AF20" s="78">
        <v>54</v>
      </c>
      <c r="AG20" s="78">
        <v>18.955956474300912</v>
      </c>
      <c r="AH20" s="78">
        <v>5.8057999999999998E-2</v>
      </c>
      <c r="AI20" s="78">
        <v>0</v>
      </c>
      <c r="AJ20" s="78">
        <v>0</v>
      </c>
      <c r="AK20" s="78">
        <v>9.7368450410108859E-2</v>
      </c>
      <c r="AL20">
        <v>3.1059693781997608</v>
      </c>
      <c r="AM20" s="107">
        <f>INDEX(Pipes_result_save_V1!$K$2:$K$206,MATCH(Z20,Pipes_result_save_V1!$I$2:$I$206,0)) *POWER(10,-3)</f>
        <v>3.558016419410706E-4</v>
      </c>
      <c r="AN20" s="78">
        <v>4.391108088355699E-3</v>
      </c>
      <c r="AO20" s="78">
        <f t="shared" si="2"/>
        <v>3.5211178482065772E-2</v>
      </c>
      <c r="AP20" s="78">
        <f t="shared" si="3"/>
        <v>3.5211178482065772E-2</v>
      </c>
      <c r="AQ20" s="78" cm="1">
        <f t="array" ref="AQ20">IF(W20=0,
IF(Y20="positif",ABS(AO20),ABS(AO20)*(-1)),
INDEX($R$8:$R$77,W20))</f>
        <v>3.5211178482065772E-2</v>
      </c>
      <c r="AU20">
        <v>0</v>
      </c>
      <c r="AV20">
        <v>13</v>
      </c>
      <c r="AW20" t="s">
        <v>540</v>
      </c>
      <c r="AX20" t="s">
        <v>263</v>
      </c>
      <c r="AY20" s="106" t="str">
        <f>INDEX(Pipes_result_save_V1!$G$2:$G$206,MATCH(AX20,Pipes_result_save_V1!$I$2:$I$206,0))</f>
        <v>N112</v>
      </c>
      <c r="AZ20" s="106" t="str">
        <f>INDEX(Pipes_result_save_V1!$H$2:$H$206,MATCH(AX20,Pipes_result_save_V1!$I$2:$I$206,0))</f>
        <v>N111</v>
      </c>
      <c r="BA20">
        <v>3.2837000000000005E-2</v>
      </c>
      <c r="BB20">
        <v>250</v>
      </c>
      <c r="BC20">
        <v>150</v>
      </c>
      <c r="BD20">
        <v>111</v>
      </c>
      <c r="BE20">
        <v>94.70366170864429</v>
      </c>
      <c r="BF20">
        <v>-3.2837000000000005E-2</v>
      </c>
      <c r="BG20">
        <v>-0.16930583391075182</v>
      </c>
      <c r="BH20">
        <v>9.5488139721263323</v>
      </c>
      <c r="BI20" s="107">
        <f>INDEX(Pipes_result_save_V1!$K$2:$K$206,MATCH(AX20,Pipes_result_save_V1!$I$2:$I$206,0)) *POWER(10,-3)</f>
        <v>-6.3918390274047849E-3</v>
      </c>
      <c r="BJ20" s="78">
        <v>5.9927909760638907E-3</v>
      </c>
      <c r="BK20" s="78">
        <f t="shared" si="4"/>
        <v>3.8250255700015404E-2</v>
      </c>
      <c r="BL20" s="78">
        <f t="shared" si="5"/>
        <v>-3.8250255700015404E-2</v>
      </c>
      <c r="BM20" s="78" cm="1">
        <f t="array" ref="BM20">IF(AU20=0,
IF(AW20="positif",ABS(BK20),ABS(BK20)*(-1)),
INDEX($AQ$8:$AQ$77,AU20))</f>
        <v>-3.8250255700015404E-2</v>
      </c>
      <c r="BN20" s="78"/>
      <c r="BO20" s="78"/>
      <c r="BR20">
        <v>0</v>
      </c>
      <c r="BS20">
        <v>13</v>
      </c>
      <c r="BT20" t="s">
        <v>539</v>
      </c>
      <c r="BU20" t="s">
        <v>122</v>
      </c>
      <c r="BV20" s="106" t="str">
        <f>INDEX(Pipes_result_save_V1!$G$2:$G$206,MATCH(BU20,Pipes_result_save_V1!$I$2:$I$206,0))</f>
        <v>N63</v>
      </c>
      <c r="BW20" s="106" t="str">
        <f>INDEX(Pipes_result_save_V1!$H$2:$H$206,MATCH(BU20,Pipes_result_save_V1!$I$2:$I$206,0))</f>
        <v>N62</v>
      </c>
      <c r="BX20">
        <v>3.2837000000000005E-2</v>
      </c>
      <c r="BY20">
        <v>250</v>
      </c>
      <c r="BZ20">
        <v>150</v>
      </c>
      <c r="CA20">
        <v>58</v>
      </c>
      <c r="CB20">
        <v>49.484796208120436</v>
      </c>
      <c r="CC20">
        <v>3.2837000000000005E-2</v>
      </c>
      <c r="CD20">
        <v>8.8466111412825274E-2</v>
      </c>
      <c r="CE20">
        <v>4.9894703638137585</v>
      </c>
      <c r="CF20" s="107">
        <f>INDEX(Pipes_result_save_V1!$K$2:$K$206,MATCH(BU20,Pipes_result_save_V1!$I$2:$I$206,0)) *POWER(10,-3)</f>
        <v>-2.2941516876220699E-2</v>
      </c>
      <c r="CG20" s="78">
        <v>5.561579490242767E-3</v>
      </c>
      <c r="CH20" s="78">
        <f t="shared" si="6"/>
        <v>2.3580796114934299E-2</v>
      </c>
      <c r="CI20" s="78">
        <f t="shared" si="7"/>
        <v>2.3580796114934299E-2</v>
      </c>
      <c r="CJ20" s="78" cm="1">
        <f t="array" ref="CJ20">IF(BR20=0,
IF(BT20="positif",ABS(CH20),ABS(CH20)*(-1)),
INDEX($BM$8:$BM$44,BR20))</f>
        <v>2.3580796114934299E-2</v>
      </c>
      <c r="CN20">
        <v>0</v>
      </c>
      <c r="CO20">
        <v>13</v>
      </c>
      <c r="CP20" t="s">
        <v>540</v>
      </c>
      <c r="CQ20" t="s">
        <v>171</v>
      </c>
      <c r="CR20" s="106" t="str">
        <f>INDEX(Pipes_result_save_V1!$G$2:$G$206,MATCH(CQ20,Pipes_result_save_V1!$I$2:$I$206,0))</f>
        <v>N41</v>
      </c>
      <c r="CS20" s="106" t="str">
        <f>INDEX(Pipes_result_save_V1!$H$2:$H$206,MATCH(CQ20,Pipes_result_save_V1!$I$2:$I$206,0))</f>
        <v>N42</v>
      </c>
      <c r="CT20">
        <v>9.851E-2</v>
      </c>
      <c r="CU20">
        <v>400</v>
      </c>
      <c r="CV20">
        <v>150</v>
      </c>
      <c r="CW20">
        <v>70</v>
      </c>
      <c r="CX20">
        <v>6.0516443501782993</v>
      </c>
      <c r="CY20">
        <v>-9.851E-2</v>
      </c>
      <c r="CZ20">
        <v>-8.2755896525604014E-2</v>
      </c>
      <c r="DA20">
        <v>1.5558209355945454</v>
      </c>
      <c r="DB20" s="107">
        <f>INDEX(Pipes_result_save_V1!$K$2:$K$206,MATCH(CQ20,Pipes_result_save_V1!$I$2:$I$206,0)) *POWER(10,-3)</f>
        <v>0.1084104309082031</v>
      </c>
      <c r="DC20" s="78">
        <v>5.2961710303004832E-3</v>
      </c>
      <c r="DD20" s="78">
        <f t="shared" si="8"/>
        <v>8.6925643734511754E-2</v>
      </c>
      <c r="DE20" s="78">
        <f t="shared" si="9"/>
        <v>-8.6925643734511754E-2</v>
      </c>
      <c r="DF20" s="78" cm="1">
        <f t="array" ref="DF20">IF(CN20=0,
IF(CP20="positif",ABS(DD20),ABS(DD20)*(-1)),
INDEX($BM$8:$BM$44,CN20))</f>
        <v>-8.6925643734511754E-2</v>
      </c>
      <c r="DL20">
        <v>0</v>
      </c>
      <c r="DM20">
        <v>13</v>
      </c>
      <c r="DN20" t="s">
        <v>539</v>
      </c>
      <c r="DO20" t="s">
        <v>145</v>
      </c>
      <c r="DP20" s="106" t="str">
        <f>INDEX(Pipes_result_save_V1!$G$2:$G$206,MATCH(DO20,Pipes_result_save_V1!$I$2:$I$206,0))</f>
        <v>N25</v>
      </c>
      <c r="DQ20" s="106" t="str">
        <f>INDEX(Pipes_result_save_V1!$H$2:$H$206,MATCH(DO20,Pipes_result_save_V1!$I$2:$I$206,0))</f>
        <v>N24</v>
      </c>
      <c r="DR20">
        <v>0.16656000000000001</v>
      </c>
      <c r="DS20">
        <v>466</v>
      </c>
      <c r="DT20">
        <v>150</v>
      </c>
      <c r="DU20">
        <v>75</v>
      </c>
      <c r="DV20">
        <v>3.0815061437013331</v>
      </c>
      <c r="DW20">
        <v>0.16656000000000001</v>
      </c>
      <c r="DX20">
        <v>0.11145819275030529</v>
      </c>
      <c r="DY20">
        <v>1.2393166004656904</v>
      </c>
      <c r="DZ20" s="107">
        <f>INDEX(Pipes_result_save_V1!$K$2:$K$206,MATCH(DO20,Pipes_result_save_V1!$I$2:$I$206,0)) *POWER(10,-3)</f>
        <v>-0.20200834655761718</v>
      </c>
      <c r="EA20" s="78">
        <v>5.5044408918834406E-3</v>
      </c>
      <c r="EB20" s="78">
        <f t="shared" si="10"/>
        <v>0.16714548384202288</v>
      </c>
      <c r="EC20" s="78">
        <f t="shared" si="11"/>
        <v>0.16714548384202288</v>
      </c>
      <c r="ED20" s="78" cm="1">
        <f t="array" ref="ED20">IF(DL20=0,
IF(DN20="positif",ABS(EB20),ABS(EB20)*(-1)),
INDEX($BM$8:$BM$44,DL20))</f>
        <v>0.16714548384202288</v>
      </c>
      <c r="EE20" s="78"/>
      <c r="EF20" s="78"/>
      <c r="EI20">
        <v>0</v>
      </c>
      <c r="EJ20">
        <v>13</v>
      </c>
      <c r="EK20" t="s">
        <v>539</v>
      </c>
      <c r="EL20" t="s">
        <v>177</v>
      </c>
      <c r="EM20" s="106" t="str">
        <f>INDEX(Pipes_result_save_V1!$G$2:$G$206,MATCH(EL20,Pipes_result_save_V1!$I$2:$I$206,0))</f>
        <v>N12</v>
      </c>
      <c r="EN20" s="106" t="str">
        <f>INDEX(Pipes_result_save_V1!$H$2:$H$206,MATCH(EL20,Pipes_result_save_V1!$I$2:$I$206,0))</f>
        <v>N11</v>
      </c>
      <c r="EO20">
        <v>8.3280000000000007E-2</v>
      </c>
      <c r="EP20">
        <v>350</v>
      </c>
      <c r="EQ20">
        <v>150</v>
      </c>
      <c r="ER20">
        <v>227</v>
      </c>
      <c r="ES20">
        <v>37.607978327109187</v>
      </c>
      <c r="ET20">
        <v>8.3280000000000007E-2</v>
      </c>
      <c r="EU20">
        <v>0.37680911070408235</v>
      </c>
      <c r="EV20">
        <v>8.3795686001916483</v>
      </c>
      <c r="EW20" s="107">
        <f>INDEX(Pipes_result_save_V1!$K$2:$K$206,MATCH(EL20,Pipes_result_save_V1!$I$2:$I$206,0)) *POWER(10,-3)</f>
        <v>-2.2928802490234379E-2</v>
      </c>
      <c r="EX20" s="78">
        <v>6.1898935542342029E-3</v>
      </c>
      <c r="EY20" s="78">
        <f t="shared" si="12"/>
        <v>4.5871775982907335E-2</v>
      </c>
      <c r="EZ20" s="78">
        <f t="shared" si="13"/>
        <v>4.5871775982907335E-2</v>
      </c>
      <c r="FA20" s="78" cm="1">
        <f t="array" ref="FA20">IF(EI20=0,
IF(EK20="positif",ABS(EY20),ABS(EY20)*(-1)),
INDEX($BM$8:$BM$44,EI20))</f>
        <v>4.5871775982907335E-2</v>
      </c>
    </row>
    <row r="21" spans="2:157" ht="30" x14ac:dyDescent="0.25">
      <c r="B21" s="106">
        <v>14</v>
      </c>
      <c r="C21" s="106" t="s">
        <v>539</v>
      </c>
      <c r="D21" s="106" t="s">
        <v>214</v>
      </c>
      <c r="E21" s="106" t="str">
        <f>INDEX(Pipes_result_save_V1!$G$2:$G$206,MATCH(D21,Pipes_result_save_V1!$I$2:$I$206,0))</f>
        <v>N96</v>
      </c>
      <c r="F21" s="106" t="str">
        <f>INDEX(Pipes_result_save_V1!$H$2:$H$206,MATCH(D21,Pipes_result_save_V1!$I$2:$I$206,0))</f>
        <v>N97</v>
      </c>
      <c r="G21" s="106">
        <v>0.11600000000000001</v>
      </c>
      <c r="H21" s="107">
        <v>400</v>
      </c>
      <c r="I21" s="107">
        <v>150</v>
      </c>
      <c r="J21" s="107">
        <v>116</v>
      </c>
      <c r="K21" s="107">
        <v>10.028439208866896</v>
      </c>
      <c r="L21" s="107">
        <v>0.11600000000000001</v>
      </c>
      <c r="M21" s="107">
        <v>0.18561349239891756</v>
      </c>
      <c r="N21" s="107">
        <v>2.963415413127545</v>
      </c>
      <c r="O21" s="107">
        <f>INDEX(Pipes_result_save_V1!$K$2:$K$206,MATCH(D21,Pipes_result_save_V1!$I$2:$I$206,0)) *POWER(10,-3)</f>
        <v>3.417867422103882E-3</v>
      </c>
      <c r="P21" s="78">
        <v>5.35508992780528E-3</v>
      </c>
      <c r="Q21" s="78">
        <f t="shared" si="0"/>
        <v>3.7403064923816509E-2</v>
      </c>
      <c r="R21" s="78">
        <f t="shared" si="1"/>
        <v>3.7403064923816509E-2</v>
      </c>
      <c r="S21" s="78"/>
      <c r="T21" s="78"/>
      <c r="U21" s="78"/>
      <c r="V21" s="78"/>
      <c r="W21" s="78">
        <v>0</v>
      </c>
      <c r="X21" s="78">
        <v>14</v>
      </c>
      <c r="Y21" s="78" t="s">
        <v>539</v>
      </c>
      <c r="Z21" s="78" t="s">
        <v>298</v>
      </c>
      <c r="AA21" s="106" t="str">
        <f>INDEX(Pipes_result_save_V1!$G$2:$G$206,MATCH(Z21,Pipes_result_save_V1!$I$2:$I$206,0))</f>
        <v>N135</v>
      </c>
      <c r="AB21" s="106" t="str">
        <f>INDEX(Pipes_result_save_V1!$H$2:$H$206,MATCH(Z21,Pipes_result_save_V1!$I$2:$I$206,0))</f>
        <v>N134</v>
      </c>
      <c r="AC21" s="78">
        <v>5.8057999999999998E-2</v>
      </c>
      <c r="AD21" s="78">
        <v>300</v>
      </c>
      <c r="AE21" s="78">
        <v>150</v>
      </c>
      <c r="AF21" s="78">
        <v>93</v>
      </c>
      <c r="AG21" s="78">
        <v>32.646369483518235</v>
      </c>
      <c r="AH21" s="78">
        <v>5.8057999999999998E-2</v>
      </c>
      <c r="AI21" s="78">
        <v>0</v>
      </c>
      <c r="AJ21" s="78">
        <v>0</v>
      </c>
      <c r="AK21" s="78">
        <v>0.16769010903963191</v>
      </c>
      <c r="AL21">
        <v>5.3491694846773656</v>
      </c>
      <c r="AM21" s="107">
        <f>INDEX(Pipes_result_save_V1!$K$2:$K$206,MATCH(Z21,Pipes_result_save_V1!$I$2:$I$206,0)) *POWER(10,-3)</f>
        <v>1.194517374038696E-3</v>
      </c>
      <c r="AN21" s="78">
        <v>3.6538468174584261E-3</v>
      </c>
      <c r="AO21" s="78">
        <f t="shared" si="2"/>
        <v>3.5211178482065772E-2</v>
      </c>
      <c r="AP21" s="78">
        <f t="shared" si="3"/>
        <v>3.5211178482065772E-2</v>
      </c>
      <c r="AQ21" s="78" cm="1">
        <f t="array" ref="AQ21">IF(W21=0,
IF(Y21="positif",ABS(AO21),ABS(AO21)*(-1)),
INDEX($R$8:$R$77,W21))</f>
        <v>3.5211178482065772E-2</v>
      </c>
      <c r="AU21">
        <v>0</v>
      </c>
      <c r="AV21">
        <v>14</v>
      </c>
      <c r="AW21" t="s">
        <v>540</v>
      </c>
      <c r="AX21" t="s">
        <v>264</v>
      </c>
      <c r="AY21" s="106" t="str">
        <f>INDEX(Pipes_result_save_V1!$G$2:$G$206,MATCH(AX21,Pipes_result_save_V1!$I$2:$I$206,0))</f>
        <v>N113</v>
      </c>
      <c r="AZ21" s="106" t="str">
        <f>INDEX(Pipes_result_save_V1!$H$2:$H$206,MATCH(AX21,Pipes_result_save_V1!$I$2:$I$206,0))</f>
        <v>N112</v>
      </c>
      <c r="BA21">
        <v>3.2837000000000005E-2</v>
      </c>
      <c r="BB21">
        <v>250</v>
      </c>
      <c r="BC21">
        <v>150</v>
      </c>
      <c r="BD21">
        <v>112</v>
      </c>
      <c r="BE21">
        <v>95.556847850163592</v>
      </c>
      <c r="BF21">
        <v>-3.2837000000000005E-2</v>
      </c>
      <c r="BG21">
        <v>-0.17083111169373155</v>
      </c>
      <c r="BH21">
        <v>9.6348393232265668</v>
      </c>
      <c r="BI21" s="107">
        <f>INDEX(Pipes_result_save_V1!$K$2:$K$206,MATCH(AX21,Pipes_result_save_V1!$I$2:$I$206,0)) *POWER(10,-3)</f>
        <v>-4.6345300674438478E-3</v>
      </c>
      <c r="BJ21" s="78">
        <v>5.2542776304977338E-3</v>
      </c>
      <c r="BK21" s="78">
        <f t="shared" si="4"/>
        <v>3.8250255700015404E-2</v>
      </c>
      <c r="BL21" s="78">
        <f t="shared" si="5"/>
        <v>-3.8250255700015404E-2</v>
      </c>
      <c r="BM21" s="78" cm="1">
        <f t="array" ref="BM21">IF(AU21=0,
IF(AW21="positif",ABS(BK21),ABS(BK21)*(-1)),
INDEX($AQ$8:$AQ$77,AU21))</f>
        <v>-3.8250255700015404E-2</v>
      </c>
      <c r="BN21" s="78"/>
      <c r="BO21" s="78"/>
      <c r="BR21">
        <v>0</v>
      </c>
      <c r="BS21">
        <v>14</v>
      </c>
      <c r="BT21" t="s">
        <v>539</v>
      </c>
      <c r="BU21" t="s">
        <v>121</v>
      </c>
      <c r="BV21" s="106" t="str">
        <f>INDEX(Pipes_result_save_V1!$G$2:$G$206,MATCH(BU21,Pipes_result_save_V1!$I$2:$I$206,0))</f>
        <v>N64</v>
      </c>
      <c r="BW21" s="106" t="str">
        <f>INDEX(Pipes_result_save_V1!$H$2:$H$206,MATCH(BU21,Pipes_result_save_V1!$I$2:$I$206,0))</f>
        <v>N63</v>
      </c>
      <c r="BX21">
        <v>3.2837000000000005E-2</v>
      </c>
      <c r="BY21">
        <v>250</v>
      </c>
      <c r="BZ21">
        <v>150</v>
      </c>
      <c r="CA21">
        <v>216</v>
      </c>
      <c r="CB21">
        <v>184.28820656817265</v>
      </c>
      <c r="CC21">
        <v>3.2837000000000005E-2</v>
      </c>
      <c r="CD21">
        <v>0.32946000112362517</v>
      </c>
      <c r="CE21">
        <v>18.581475837651237</v>
      </c>
      <c r="CF21" s="107">
        <f>INDEX(Pipes_result_save_V1!$K$2:$K$206,MATCH(BU21,Pipes_result_save_V1!$I$2:$I$206,0)) *POWER(10,-3)</f>
        <v>-2.1378194808959961E-2</v>
      </c>
      <c r="CG21" s="78">
        <v>6.3848835260542861E-3</v>
      </c>
      <c r="CH21" s="78">
        <f t="shared" si="6"/>
        <v>2.3580796114934299E-2</v>
      </c>
      <c r="CI21" s="78">
        <f t="shared" si="7"/>
        <v>2.3580796114934299E-2</v>
      </c>
      <c r="CJ21" s="78" cm="1">
        <f t="array" ref="CJ21">IF(BR21=0,
IF(BT21="positif",ABS(CH21),ABS(CH21)*(-1)),
INDEX($BM$8:$BM$44,BR21))</f>
        <v>2.3580796114934299E-2</v>
      </c>
      <c r="CN21">
        <v>1</v>
      </c>
      <c r="CO21">
        <v>14</v>
      </c>
      <c r="CP21" t="s">
        <v>540</v>
      </c>
      <c r="CQ21" t="s">
        <v>414</v>
      </c>
      <c r="CR21" s="106" t="str">
        <f>INDEX(Pipes_result_save_V1!$G$2:$G$206,MATCH(CQ21,Pipes_result_save_V1!$I$2:$I$206,0))</f>
        <v>N52</v>
      </c>
      <c r="CS21" s="106" t="str">
        <f>INDEX(Pipes_result_save_V1!$H$2:$H$206,MATCH(CQ21,Pipes_result_save_V1!$I$2:$I$206,0))</f>
        <v>N42</v>
      </c>
      <c r="CT21">
        <v>3.2835999999999997E-2</v>
      </c>
      <c r="CU21">
        <v>250</v>
      </c>
      <c r="CV21">
        <v>150</v>
      </c>
      <c r="CW21">
        <v>223</v>
      </c>
      <c r="CX21">
        <v>190.26050955880785</v>
      </c>
      <c r="CY21">
        <v>2.3579796114934291E-2</v>
      </c>
      <c r="CZ21">
        <v>0.18420135475776558</v>
      </c>
      <c r="DA21">
        <v>14.467508851585029</v>
      </c>
      <c r="DB21" s="107">
        <f>INDEX(Pipes_result_save_V1!$K$2:$K$206,MATCH(CQ21,Pipes_result_save_V1!$I$2:$I$206,0)) *POWER(10,-3)</f>
        <v>-3.351390075683594E-2</v>
      </c>
      <c r="DC21" s="78">
        <v>5.4175001596607963E-3</v>
      </c>
      <c r="DD21" s="78">
        <f t="shared" si="8"/>
        <v>2.1251643734511758E-2</v>
      </c>
      <c r="DE21" s="78">
        <f t="shared" si="9"/>
        <v>-2.1251643734511758E-2</v>
      </c>
      <c r="DF21" s="78" cm="1">
        <f t="array" ref="DF21">IF(CN21=0,
IF(CP21="positif",ABS(DD21),ABS(DD21)*(-1)),
INDEX($BM$8:$BM$44,CN21))</f>
        <v>3.8249255700015396E-2</v>
      </c>
      <c r="DL21">
        <v>0</v>
      </c>
      <c r="DM21">
        <v>14</v>
      </c>
      <c r="DN21" t="s">
        <v>539</v>
      </c>
      <c r="DO21" t="s">
        <v>144</v>
      </c>
      <c r="DP21" s="106" t="str">
        <f>INDEX(Pipes_result_save_V1!$G$2:$G$206,MATCH(DO21,Pipes_result_save_V1!$I$2:$I$206,0))</f>
        <v>N26</v>
      </c>
      <c r="DQ21" s="106" t="str">
        <f>INDEX(Pipes_result_save_V1!$H$2:$H$206,MATCH(DO21,Pipes_result_save_V1!$I$2:$I$206,0))</f>
        <v>N25</v>
      </c>
      <c r="DR21">
        <v>0.16656000000000001</v>
      </c>
      <c r="DS21">
        <v>466</v>
      </c>
      <c r="DT21">
        <v>150</v>
      </c>
      <c r="DU21">
        <v>76</v>
      </c>
      <c r="DV21">
        <v>3.1225928922840178</v>
      </c>
      <c r="DW21">
        <v>0.16656000000000001</v>
      </c>
      <c r="DX21">
        <v>0.11294430198697604</v>
      </c>
      <c r="DY21">
        <v>1.255840821805233</v>
      </c>
      <c r="DZ21" s="107">
        <f>INDEX(Pipes_result_save_V1!$K$2:$K$206,MATCH(DO21,Pipes_result_save_V1!$I$2:$I$206,0)) *POWER(10,-3)</f>
        <v>-0.20114678955078119</v>
      </c>
      <c r="EA21" s="78">
        <v>5.2238149459227431E-3</v>
      </c>
      <c r="EB21" s="78">
        <f t="shared" si="10"/>
        <v>0.16714548384202288</v>
      </c>
      <c r="EC21" s="78">
        <f t="shared" si="11"/>
        <v>0.16714548384202288</v>
      </c>
      <c r="ED21" s="78" cm="1">
        <f t="array" ref="ED21">IF(DL21=0,
IF(DN21="positif",ABS(EB21),ABS(EB21)*(-1)),
INDEX($BM$8:$BM$44,DL21))</f>
        <v>0.16714548384202288</v>
      </c>
      <c r="EE21" s="78"/>
      <c r="EF21" s="78"/>
      <c r="EI21">
        <v>0</v>
      </c>
      <c r="EJ21">
        <v>14</v>
      </c>
      <c r="EK21" t="s">
        <v>539</v>
      </c>
      <c r="EL21" t="s">
        <v>157</v>
      </c>
      <c r="EM21" s="106" t="str">
        <f>INDEX(Pipes_result_save_V1!$G$2:$G$206,MATCH(EL21,Pipes_result_save_V1!$I$2:$I$206,0))</f>
        <v>N13</v>
      </c>
      <c r="EN21" s="106" t="str">
        <f>INDEX(Pipes_result_save_V1!$H$2:$H$206,MATCH(EL21,Pipes_result_save_V1!$I$2:$I$206,0))</f>
        <v>N12</v>
      </c>
      <c r="EO21">
        <v>8.3280000000000007E-2</v>
      </c>
      <c r="EP21">
        <v>350</v>
      </c>
      <c r="EQ21">
        <v>150</v>
      </c>
      <c r="ER21">
        <v>533</v>
      </c>
      <c r="ES21">
        <v>88.304195807705696</v>
      </c>
      <c r="ET21">
        <v>8.3280000000000007E-2</v>
      </c>
      <c r="EU21">
        <v>0.8847544317413033</v>
      </c>
      <c r="EV21">
        <v>19.675374730846467</v>
      </c>
      <c r="EW21" s="107">
        <f>INDEX(Pipes_result_save_V1!$K$2:$K$206,MATCH(EL21,Pipes_result_save_V1!$I$2:$I$206,0)) *POWER(10,-3)</f>
        <v>-1.8592584609985353E-2</v>
      </c>
      <c r="EX21" s="78">
        <v>6.4477182794105683E-3</v>
      </c>
      <c r="EY21" s="78">
        <f t="shared" si="12"/>
        <v>4.5871775982907335E-2</v>
      </c>
      <c r="EZ21" s="78">
        <f t="shared" si="13"/>
        <v>4.5871775982907335E-2</v>
      </c>
      <c r="FA21" s="78" cm="1">
        <f t="array" ref="FA21">IF(EI21=0,
IF(EK21="positif",ABS(EY21),ABS(EY21)*(-1)),
INDEX($BM$8:$BM$44,EI21))</f>
        <v>4.5871775982907335E-2</v>
      </c>
    </row>
    <row r="22" spans="2:157" ht="30" x14ac:dyDescent="0.25">
      <c r="B22" s="106">
        <v>15</v>
      </c>
      <c r="C22" s="106" t="s">
        <v>539</v>
      </c>
      <c r="D22" s="106" t="s">
        <v>213</v>
      </c>
      <c r="E22" s="106" t="str">
        <f>INDEX(Pipes_result_save_V1!$G$2:$G$206,MATCH(D22,Pipes_result_save_V1!$I$2:$I$206,0))</f>
        <v>N97</v>
      </c>
      <c r="F22" s="106" t="str">
        <f>INDEX(Pipes_result_save_V1!$H$2:$H$206,MATCH(D22,Pipes_result_save_V1!$I$2:$I$206,0))</f>
        <v>N98</v>
      </c>
      <c r="G22" s="106">
        <v>0.128</v>
      </c>
      <c r="H22" s="107">
        <v>421</v>
      </c>
      <c r="I22" s="107">
        <v>150</v>
      </c>
      <c r="J22" s="107">
        <v>128</v>
      </c>
      <c r="K22" s="107">
        <v>8.6246495180025686</v>
      </c>
      <c r="L22" s="107">
        <v>0.128</v>
      </c>
      <c r="M22" s="107">
        <v>0.19155536470823792</v>
      </c>
      <c r="N22" s="107">
        <v>2.7715666831223169</v>
      </c>
      <c r="O22" s="107">
        <f>INDEX(Pipes_result_save_V1!$K$2:$K$206,MATCH(D22,Pipes_result_save_V1!$I$2:$I$206,0)) *POWER(10,-3)</f>
        <v>2.0257134437561041E-3</v>
      </c>
      <c r="P22" s="78">
        <v>5.8974305337180823E-3</v>
      </c>
      <c r="Q22" s="78">
        <f t="shared" si="0"/>
        <v>4.9403064923816506E-2</v>
      </c>
      <c r="R22" s="78">
        <f t="shared" si="1"/>
        <v>4.9403064923816506E-2</v>
      </c>
      <c r="S22" s="78"/>
      <c r="T22" s="78"/>
      <c r="U22" s="78"/>
      <c r="V22" s="78"/>
      <c r="W22" s="78">
        <v>0</v>
      </c>
      <c r="X22" s="78">
        <v>15</v>
      </c>
      <c r="Y22" s="78" t="s">
        <v>540</v>
      </c>
      <c r="Z22" s="78" t="s">
        <v>300</v>
      </c>
      <c r="AA22" s="106" t="str">
        <f>INDEX(Pipes_result_save_V1!$G$2:$G$206,MATCH(Z22,Pipes_result_save_V1!$I$2:$I$206,0))</f>
        <v>N136</v>
      </c>
      <c r="AB22" s="106" t="str">
        <f>INDEX(Pipes_result_save_V1!$H$2:$H$206,MATCH(Z22,Pipes_result_save_V1!$I$2:$I$206,0))</f>
        <v>N137</v>
      </c>
      <c r="AC22" s="78">
        <v>5.8057999999999998E-2</v>
      </c>
      <c r="AD22" s="78">
        <v>300</v>
      </c>
      <c r="AE22" s="78">
        <v>150</v>
      </c>
      <c r="AF22" s="78">
        <v>360</v>
      </c>
      <c r="AG22" s="78">
        <v>126.37304316200606</v>
      </c>
      <c r="AH22" s="78">
        <v>-5.8057999999999998E-2</v>
      </c>
      <c r="AI22" s="78">
        <v>0</v>
      </c>
      <c r="AJ22" s="78">
        <v>0</v>
      </c>
      <c r="AK22" s="78">
        <v>-0.64912300273405898</v>
      </c>
      <c r="AL22">
        <v>20.706462521331733</v>
      </c>
      <c r="AM22" s="107">
        <f>INDEX(Pipes_result_save_V1!$K$2:$K$206,MATCH(Z22,Pipes_result_save_V1!$I$2:$I$206,0)) *POWER(10,-3)</f>
        <v>2.8655429840087891E-2</v>
      </c>
      <c r="AN22" s="78">
        <v>4.5179268908135724E-3</v>
      </c>
      <c r="AO22" s="78">
        <f t="shared" si="2"/>
        <v>3.5211178482065772E-2</v>
      </c>
      <c r="AP22" s="78">
        <f t="shared" si="3"/>
        <v>-3.5211178482065772E-2</v>
      </c>
      <c r="AQ22" s="78" cm="1">
        <f t="array" ref="AQ22">IF(W22=0,
IF(Y22="positif",ABS(AO22),ABS(AO22)*(-1)),
INDEX($R$8:$R$77,W22))</f>
        <v>-3.5211178482065772E-2</v>
      </c>
      <c r="AU22">
        <v>0</v>
      </c>
      <c r="AV22">
        <v>15</v>
      </c>
      <c r="AW22" t="s">
        <v>540</v>
      </c>
      <c r="AX22" t="s">
        <v>266</v>
      </c>
      <c r="AY22" s="106" t="str">
        <f>INDEX(Pipes_result_save_V1!$G$2:$G$206,MATCH(AX22,Pipes_result_save_V1!$I$2:$I$206,0))</f>
        <v>N114</v>
      </c>
      <c r="AZ22" s="106" t="str">
        <f>INDEX(Pipes_result_save_V1!$H$2:$H$206,MATCH(AX22,Pipes_result_save_V1!$I$2:$I$206,0))</f>
        <v>N113</v>
      </c>
      <c r="BA22">
        <v>3.2837000000000005E-2</v>
      </c>
      <c r="BB22">
        <v>250</v>
      </c>
      <c r="BC22">
        <v>150</v>
      </c>
      <c r="BD22">
        <v>113</v>
      </c>
      <c r="BE22">
        <v>96.410033991682923</v>
      </c>
      <c r="BF22">
        <v>-3.2837000000000005E-2</v>
      </c>
      <c r="BG22">
        <v>-0.17235638947671134</v>
      </c>
      <c r="BH22">
        <v>9.7208646743268066</v>
      </c>
      <c r="BI22" s="107">
        <f>INDEX(Pipes_result_save_V1!$K$2:$K$206,MATCH(AX22,Pipes_result_save_V1!$I$2:$I$206,0)) *POWER(10,-3)</f>
        <v>-3.761581182479858E-3</v>
      </c>
      <c r="BJ22" s="78">
        <v>5.6612208252616201E-3</v>
      </c>
      <c r="BK22" s="78">
        <f t="shared" si="4"/>
        <v>3.8250255700015404E-2</v>
      </c>
      <c r="BL22" s="78">
        <f t="shared" si="5"/>
        <v>-3.8250255700015404E-2</v>
      </c>
      <c r="BM22" s="78" cm="1">
        <f t="array" ref="BM22">IF(AU22=0,
IF(AW22="positif",ABS(BK22),ABS(BK22)*(-1)),
INDEX($AQ$8:$AQ$77,AU22))</f>
        <v>-3.8250255700015404E-2</v>
      </c>
      <c r="BN22" s="78"/>
      <c r="BO22" s="78"/>
      <c r="BR22">
        <v>0</v>
      </c>
      <c r="BS22">
        <v>15</v>
      </c>
      <c r="BT22" t="s">
        <v>539</v>
      </c>
      <c r="BU22" t="s">
        <v>119</v>
      </c>
      <c r="BV22" s="106" t="str">
        <f>INDEX(Pipes_result_save_V1!$G$2:$G$206,MATCH(BU22,Pipes_result_save_V1!$I$2:$I$206,0))</f>
        <v>N65</v>
      </c>
      <c r="BW22" s="106" t="str">
        <f>INDEX(Pipes_result_save_V1!$H$2:$H$206,MATCH(BU22,Pipes_result_save_V1!$I$2:$I$206,0))</f>
        <v>N64</v>
      </c>
      <c r="BX22">
        <v>3.2837000000000005E-2</v>
      </c>
      <c r="BY22">
        <v>250</v>
      </c>
      <c r="BZ22">
        <v>150</v>
      </c>
      <c r="CA22">
        <v>73</v>
      </c>
      <c r="CB22">
        <v>62.282588330910201</v>
      </c>
      <c r="CC22">
        <v>3.2837000000000005E-2</v>
      </c>
      <c r="CD22">
        <v>0.11134527815752146</v>
      </c>
      <c r="CE22">
        <v>6.2798506303173163</v>
      </c>
      <c r="CF22" s="107">
        <f>INDEX(Pipes_result_save_V1!$K$2:$K$206,MATCH(BU22,Pipes_result_save_V1!$I$2:$I$206,0)) *POWER(10,-3)</f>
        <v>-1.9729291915893551E-2</v>
      </c>
      <c r="CG22" s="78">
        <v>5.4690950211208214E-3</v>
      </c>
      <c r="CH22" s="78">
        <f t="shared" si="6"/>
        <v>2.3580796114934299E-2</v>
      </c>
      <c r="CI22" s="78">
        <f t="shared" si="7"/>
        <v>2.3580796114934299E-2</v>
      </c>
      <c r="CJ22" s="78" cm="1">
        <f t="array" ref="CJ22">IF(BR22=0,
IF(BT22="positif",ABS(CH22),ABS(CH22)*(-1)),
INDEX($BM$8:$BM$44,BR22))</f>
        <v>2.3580796114934299E-2</v>
      </c>
      <c r="CN22">
        <v>0</v>
      </c>
      <c r="CO22">
        <v>15</v>
      </c>
      <c r="CP22" t="s">
        <v>540</v>
      </c>
      <c r="CQ22" t="s">
        <v>168</v>
      </c>
      <c r="CR22" s="106" t="str">
        <f>INDEX(Pipes_result_save_V1!$G$2:$G$206,MATCH(CQ22,Pipes_result_save_V1!$I$2:$I$206,0))</f>
        <v>N44</v>
      </c>
      <c r="CS22" s="106" t="str">
        <f>INDEX(Pipes_result_save_V1!$H$2:$H$206,MATCH(CQ22,Pipes_result_save_V1!$I$2:$I$206,0))</f>
        <v>N43</v>
      </c>
      <c r="CT22">
        <v>0.16656000000000001</v>
      </c>
      <c r="CU22">
        <v>466</v>
      </c>
      <c r="CV22">
        <v>150</v>
      </c>
      <c r="CW22">
        <v>340</v>
      </c>
      <c r="CX22">
        <v>13.969494518112711</v>
      </c>
      <c r="CY22">
        <v>-0.16656000000000001</v>
      </c>
      <c r="CZ22">
        <v>-0.50527714046805072</v>
      </c>
      <c r="DA22">
        <v>5.6182352554444632</v>
      </c>
      <c r="DB22" s="107">
        <f>INDEX(Pipes_result_save_V1!$K$2:$K$206,MATCH(CQ22,Pipes_result_save_V1!$I$2:$I$206,0)) *POWER(10,-3)</f>
        <v>-5.8021972656250004E-2</v>
      </c>
      <c r="DC22" s="78">
        <v>6.12795826848829E-3</v>
      </c>
      <c r="DD22" s="78">
        <f t="shared" si="8"/>
        <v>0.15497564373451178</v>
      </c>
      <c r="DE22" s="78">
        <f t="shared" si="9"/>
        <v>-0.15497564373451178</v>
      </c>
      <c r="DF22" s="78" cm="1">
        <f t="array" ref="DF22">IF(CN22=0,
IF(CP22="positif",ABS(DD22),ABS(DD22)*(-1)),
INDEX($BM$8:$BM$44,CN22))</f>
        <v>-0.15497564373451178</v>
      </c>
      <c r="DL22">
        <v>0</v>
      </c>
      <c r="DM22">
        <v>15</v>
      </c>
      <c r="DN22" t="s">
        <v>539</v>
      </c>
      <c r="DO22" t="s">
        <v>142</v>
      </c>
      <c r="DP22" s="106" t="str">
        <f>INDEX(Pipes_result_save_V1!$G$2:$G$206,MATCH(DO22,Pipes_result_save_V1!$I$2:$I$206,0))</f>
        <v>N27</v>
      </c>
      <c r="DQ22" s="106" t="str">
        <f>INDEX(Pipes_result_save_V1!$H$2:$H$206,MATCH(DO22,Pipes_result_save_V1!$I$2:$I$206,0))</f>
        <v>N26</v>
      </c>
      <c r="DR22">
        <v>0.16656000000000001</v>
      </c>
      <c r="DS22">
        <v>466</v>
      </c>
      <c r="DT22">
        <v>150</v>
      </c>
      <c r="DU22">
        <v>76</v>
      </c>
      <c r="DV22">
        <v>3.1225928922840178</v>
      </c>
      <c r="DW22">
        <v>0.16656000000000001</v>
      </c>
      <c r="DX22">
        <v>0.11294430198697604</v>
      </c>
      <c r="DY22">
        <v>1.255840821805233</v>
      </c>
      <c r="DZ22" s="107">
        <f>INDEX(Pipes_result_save_V1!$K$2:$K$206,MATCH(DO22,Pipes_result_save_V1!$I$2:$I$206,0)) *POWER(10,-3)</f>
        <v>-0.2002795562744141</v>
      </c>
      <c r="EA22" s="78">
        <v>5.575510199414305E-3</v>
      </c>
      <c r="EB22" s="78">
        <f t="shared" si="10"/>
        <v>0.16714548384202288</v>
      </c>
      <c r="EC22" s="78">
        <f t="shared" si="11"/>
        <v>0.16714548384202288</v>
      </c>
      <c r="ED22" s="78" cm="1">
        <f t="array" ref="ED22">IF(DL22=0,
IF(DN22="positif",ABS(EB22),ABS(EB22)*(-1)),
INDEX($BM$8:$BM$44,DL22))</f>
        <v>0.16714548384202288</v>
      </c>
      <c r="EE22" s="78"/>
      <c r="EF22" s="78"/>
      <c r="EI22">
        <v>0</v>
      </c>
      <c r="EJ22">
        <v>15</v>
      </c>
      <c r="EK22" t="s">
        <v>539</v>
      </c>
      <c r="EL22" t="s">
        <v>156</v>
      </c>
      <c r="EM22" s="106" t="str">
        <f>INDEX(Pipes_result_save_V1!$G$2:$G$206,MATCH(EL22,Pipes_result_save_V1!$I$2:$I$206,0))</f>
        <v>N14</v>
      </c>
      <c r="EN22" s="106" t="str">
        <f>INDEX(Pipes_result_save_V1!$H$2:$H$206,MATCH(EL22,Pipes_result_save_V1!$I$2:$I$206,0))</f>
        <v>N13</v>
      </c>
      <c r="EO22">
        <v>8.3280000000000007E-2</v>
      </c>
      <c r="EP22">
        <v>350</v>
      </c>
      <c r="EQ22">
        <v>150</v>
      </c>
      <c r="ER22">
        <v>345</v>
      </c>
      <c r="ES22">
        <v>57.157500100672543</v>
      </c>
      <c r="ET22">
        <v>8.3280000000000007E-2</v>
      </c>
      <c r="EU22">
        <v>0.57268345018902367</v>
      </c>
      <c r="EV22">
        <v>12.735467696326513</v>
      </c>
      <c r="EW22" s="107">
        <f>INDEX(Pipes_result_save_V1!$K$2:$K$206,MATCH(EL22,Pipes_result_save_V1!$I$2:$I$206,0)) *POWER(10,-3)</f>
        <v>-1.3583112716674799E-2</v>
      </c>
      <c r="EX22" s="78">
        <v>5.933558518219288E-3</v>
      </c>
      <c r="EY22" s="78">
        <f t="shared" si="12"/>
        <v>4.5871775982907335E-2</v>
      </c>
      <c r="EZ22" s="78">
        <f t="shared" si="13"/>
        <v>4.5871775982907335E-2</v>
      </c>
      <c r="FA22" s="78" cm="1">
        <f t="array" ref="FA22">IF(EI22=0,
IF(EK22="positif",ABS(EY22),ABS(EY22)*(-1)),
INDEX($BM$8:$BM$44,EI22))</f>
        <v>4.5871775982907335E-2</v>
      </c>
    </row>
    <row r="23" spans="2:157" ht="30" x14ac:dyDescent="0.25">
      <c r="B23" s="106">
        <v>16</v>
      </c>
      <c r="C23" s="106" t="s">
        <v>539</v>
      </c>
      <c r="D23" s="106" t="s">
        <v>212</v>
      </c>
      <c r="E23" s="106" t="str">
        <f>INDEX(Pipes_result_save_V1!$G$2:$G$206,MATCH(D23,Pipes_result_save_V1!$I$2:$I$206,0))</f>
        <v>N98</v>
      </c>
      <c r="F23" s="106" t="str">
        <f>INDEX(Pipes_result_save_V1!$H$2:$H$206,MATCH(D23,Pipes_result_save_V1!$I$2:$I$206,0))</f>
        <v>N99</v>
      </c>
      <c r="G23" s="106">
        <v>0.13800000000000001</v>
      </c>
      <c r="H23" s="107">
        <v>421</v>
      </c>
      <c r="I23" s="107">
        <v>150</v>
      </c>
      <c r="J23" s="107">
        <v>138</v>
      </c>
      <c r="K23" s="107">
        <v>9.2984502615965194</v>
      </c>
      <c r="L23" s="107">
        <v>0.13800000000000001</v>
      </c>
      <c r="M23" s="107">
        <v>0.2373923066502179</v>
      </c>
      <c r="N23" s="107">
        <v>3.1858735646101701</v>
      </c>
      <c r="O23" s="107">
        <f>INDEX(Pipes_result_save_V1!$K$2:$K$206,MATCH(D23,Pipes_result_save_V1!$I$2:$I$206,0)) *POWER(10,-3)</f>
        <v>5.0803762674331667E-4</v>
      </c>
      <c r="P23" s="78">
        <v>6.5780253695368633E-3</v>
      </c>
      <c r="Q23" s="78">
        <f t="shared" si="0"/>
        <v>5.9403064923816515E-2</v>
      </c>
      <c r="R23" s="78">
        <f t="shared" si="1"/>
        <v>5.9403064923816515E-2</v>
      </c>
      <c r="S23" s="78"/>
      <c r="T23" s="78"/>
      <c r="U23" s="78"/>
      <c r="V23" s="78"/>
      <c r="W23" s="78">
        <v>0</v>
      </c>
      <c r="X23" s="78">
        <v>16</v>
      </c>
      <c r="Y23" s="78" t="s">
        <v>540</v>
      </c>
      <c r="Z23" s="78" t="s">
        <v>301</v>
      </c>
      <c r="AA23" s="106" t="str">
        <f>INDEX(Pipes_result_save_V1!$G$2:$G$206,MATCH(Z23,Pipes_result_save_V1!$I$2:$I$206,0))</f>
        <v>N137</v>
      </c>
      <c r="AB23" s="106" t="str">
        <f>INDEX(Pipes_result_save_V1!$H$2:$H$206,MATCH(Z23,Pipes_result_save_V1!$I$2:$I$206,0))</f>
        <v>N138</v>
      </c>
      <c r="AC23" s="78">
        <v>5.8057999999999998E-2</v>
      </c>
      <c r="AD23" s="78">
        <v>300</v>
      </c>
      <c r="AE23" s="78">
        <v>150</v>
      </c>
      <c r="AF23" s="78">
        <v>315</v>
      </c>
      <c r="AG23" s="78">
        <v>110.57641276675531</v>
      </c>
      <c r="AH23" s="78">
        <v>-5.8057999999999998E-2</v>
      </c>
      <c r="AI23" s="78">
        <v>0</v>
      </c>
      <c r="AJ23" s="78">
        <v>0</v>
      </c>
      <c r="AK23" s="78">
        <v>-0.56798262739230165</v>
      </c>
      <c r="AL23">
        <v>18.118154706165267</v>
      </c>
      <c r="AM23" s="107">
        <f>INDEX(Pipes_result_save_V1!$K$2:$K$206,MATCH(Z23,Pipes_result_save_V1!$I$2:$I$206,0)) *POWER(10,-3)</f>
        <v>2.4804183959960941E-2</v>
      </c>
      <c r="AN23" s="78">
        <v>4.2147937106030526E-3</v>
      </c>
      <c r="AO23" s="78">
        <f t="shared" si="2"/>
        <v>3.5211178482065772E-2</v>
      </c>
      <c r="AP23" s="78">
        <f t="shared" si="3"/>
        <v>-3.5211178482065772E-2</v>
      </c>
      <c r="AQ23" s="78" cm="1">
        <f t="array" ref="AQ23">IF(W23=0,
IF(Y23="positif",ABS(AO23),ABS(AO23)*(-1)),
INDEX($R$8:$R$77,W23))</f>
        <v>-3.5211178482065772E-2</v>
      </c>
      <c r="AU23">
        <v>0</v>
      </c>
      <c r="AV23">
        <v>16</v>
      </c>
      <c r="AW23" t="s">
        <v>540</v>
      </c>
      <c r="AX23" t="s">
        <v>276</v>
      </c>
      <c r="AY23" s="106" t="str">
        <f>INDEX(Pipes_result_save_V1!$G$2:$G$206,MATCH(AX23,Pipes_result_save_V1!$I$2:$I$206,0))</f>
        <v>N115</v>
      </c>
      <c r="AZ23" s="106" t="str">
        <f>INDEX(Pipes_result_save_V1!$H$2:$H$206,MATCH(AX23,Pipes_result_save_V1!$I$2:$I$206,0))</f>
        <v>N114</v>
      </c>
      <c r="BA23">
        <v>3.2837000000000005E-2</v>
      </c>
      <c r="BB23">
        <v>250</v>
      </c>
      <c r="BC23">
        <v>150</v>
      </c>
      <c r="BD23">
        <v>114</v>
      </c>
      <c r="BE23">
        <v>97.263220133202225</v>
      </c>
      <c r="BF23">
        <v>-3.2837000000000005E-2</v>
      </c>
      <c r="BG23">
        <v>-0.17388166725969104</v>
      </c>
      <c r="BH23">
        <v>9.8068900254270428</v>
      </c>
      <c r="BI23" s="107">
        <f>INDEX(Pipes_result_save_V1!$K$2:$K$206,MATCH(AX23,Pipes_result_save_V1!$I$2:$I$206,0)) *POWER(10,-3)</f>
        <v>-1.935805678367615E-3</v>
      </c>
      <c r="BJ23" s="78">
        <v>6.1925185279414026E-3</v>
      </c>
      <c r="BK23" s="78">
        <f t="shared" si="4"/>
        <v>3.8250255700015404E-2</v>
      </c>
      <c r="BL23" s="78">
        <f t="shared" si="5"/>
        <v>-3.8250255700015404E-2</v>
      </c>
      <c r="BM23" s="78" cm="1">
        <f t="array" ref="BM23">IF(AU23=0,
IF(AW23="positif",ABS(BK23),ABS(BK23)*(-1)),
INDEX($AQ$8:$AQ$77,AU23))</f>
        <v>-3.8250255700015404E-2</v>
      </c>
      <c r="BN23" s="78"/>
      <c r="BO23" s="78"/>
      <c r="BR23">
        <v>0</v>
      </c>
      <c r="BS23">
        <v>16</v>
      </c>
      <c r="BT23" t="s">
        <v>539</v>
      </c>
      <c r="BU23" t="s">
        <v>120</v>
      </c>
      <c r="BV23" s="106" t="str">
        <f>INDEX(Pipes_result_save_V1!$G$2:$G$206,MATCH(BU23,Pipes_result_save_V1!$I$2:$I$206,0))</f>
        <v>N66</v>
      </c>
      <c r="BW23" s="106" t="str">
        <f>INDEX(Pipes_result_save_V1!$H$2:$H$206,MATCH(BU23,Pipes_result_save_V1!$I$2:$I$206,0))</f>
        <v>N65</v>
      </c>
      <c r="BX23">
        <v>3.2837000000000005E-2</v>
      </c>
      <c r="BY23">
        <v>250</v>
      </c>
      <c r="BZ23">
        <v>150</v>
      </c>
      <c r="CA23">
        <v>65</v>
      </c>
      <c r="CB23">
        <v>55.457099198755657</v>
      </c>
      <c r="CC23">
        <v>3.2837000000000005E-2</v>
      </c>
      <c r="CD23">
        <v>9.9143055893683496E-2</v>
      </c>
      <c r="CE23">
        <v>5.5916478215154193</v>
      </c>
      <c r="CF23" s="107">
        <f>INDEX(Pipes_result_save_V1!$K$2:$K$206,MATCH(BU23,Pipes_result_save_V1!$I$2:$I$206,0)) *POWER(10,-3)</f>
        <v>-1.8941926956176761E-2</v>
      </c>
      <c r="CG23" s="78">
        <v>5.4533404730918549E-3</v>
      </c>
      <c r="CH23" s="78">
        <f t="shared" si="6"/>
        <v>2.3580796114934299E-2</v>
      </c>
      <c r="CI23" s="78">
        <f t="shared" si="7"/>
        <v>2.3580796114934299E-2</v>
      </c>
      <c r="CJ23" s="78" cm="1">
        <f t="array" ref="CJ23">IF(BR23=0,
IF(BT23="positif",ABS(CH23),ABS(CH23)*(-1)),
INDEX($BM$8:$BM$44,BR23))</f>
        <v>2.3580796114934299E-2</v>
      </c>
      <c r="CN23">
        <v>0</v>
      </c>
      <c r="CO23">
        <v>16</v>
      </c>
      <c r="CP23" t="s">
        <v>539</v>
      </c>
      <c r="CQ23" t="s">
        <v>167</v>
      </c>
      <c r="CR23" s="106" t="str">
        <f>INDEX(Pipes_result_save_V1!$G$2:$G$206,MATCH(CQ23,Pipes_result_save_V1!$I$2:$I$206,0))</f>
        <v>N45</v>
      </c>
      <c r="CS23" s="106" t="str">
        <f>INDEX(Pipes_result_save_V1!$H$2:$H$206,MATCH(CQ23,Pipes_result_save_V1!$I$2:$I$206,0))</f>
        <v>N44</v>
      </c>
      <c r="CT23">
        <v>0.16656000000000001</v>
      </c>
      <c r="CU23">
        <v>466</v>
      </c>
      <c r="CV23">
        <v>150</v>
      </c>
      <c r="CW23">
        <v>205</v>
      </c>
      <c r="CX23">
        <v>8.4227834594503115</v>
      </c>
      <c r="CY23">
        <v>0.16656000000000001</v>
      </c>
      <c r="CZ23">
        <v>0.30465239351750117</v>
      </c>
      <c r="DA23">
        <v>3.3874653746062209</v>
      </c>
      <c r="DB23" s="107">
        <f>INDEX(Pipes_result_save_V1!$K$2:$K$206,MATCH(CQ23,Pipes_result_save_V1!$I$2:$I$206,0)) *POWER(10,-3)</f>
        <v>-5.4912445068359385E-2</v>
      </c>
      <c r="DC23" s="78">
        <v>5.6931941318149638E-3</v>
      </c>
      <c r="DD23" s="78">
        <f t="shared" si="8"/>
        <v>0.15497564373451178</v>
      </c>
      <c r="DE23" s="78">
        <f t="shared" si="9"/>
        <v>0.15497564373451178</v>
      </c>
      <c r="DF23" s="78" cm="1">
        <f t="array" ref="DF23">IF(CN23=0,
IF(CP23="positif",ABS(DD23),ABS(DD23)*(-1)),
INDEX($BM$8:$BM$44,CN23))</f>
        <v>0.15497564373451178</v>
      </c>
      <c r="DL23">
        <v>0</v>
      </c>
      <c r="DM23">
        <v>16</v>
      </c>
      <c r="DN23" t="s">
        <v>539</v>
      </c>
      <c r="DO23" t="s">
        <v>143</v>
      </c>
      <c r="DP23" s="106" t="str">
        <f>INDEX(Pipes_result_save_V1!$G$2:$G$206,MATCH(DO23,Pipes_result_save_V1!$I$2:$I$206,0))</f>
        <v>N28</v>
      </c>
      <c r="DQ23" s="106" t="str">
        <f>INDEX(Pipes_result_save_V1!$H$2:$H$206,MATCH(DO23,Pipes_result_save_V1!$I$2:$I$206,0))</f>
        <v>N27</v>
      </c>
      <c r="DR23">
        <v>0.16656000000000001</v>
      </c>
      <c r="DS23">
        <v>466</v>
      </c>
      <c r="DT23">
        <v>150</v>
      </c>
      <c r="DU23">
        <v>80</v>
      </c>
      <c r="DV23">
        <v>3.2869398866147552</v>
      </c>
      <c r="DW23">
        <v>0.16656000000000001</v>
      </c>
      <c r="DX23">
        <v>0.11888873893365898</v>
      </c>
      <c r="DY23">
        <v>1.3219377071634029</v>
      </c>
      <c r="DZ23" s="107">
        <f>INDEX(Pipes_result_save_V1!$K$2:$K$206,MATCH(DO23,Pipes_result_save_V1!$I$2:$I$206,0)) *POWER(10,-3)</f>
        <v>-0.19938948059082032</v>
      </c>
      <c r="EA23" s="78">
        <v>6.5576107033999739E-3</v>
      </c>
      <c r="EB23" s="78">
        <f t="shared" si="10"/>
        <v>0.16714548384202288</v>
      </c>
      <c r="EC23" s="78">
        <f t="shared" si="11"/>
        <v>0.16714548384202288</v>
      </c>
      <c r="ED23" s="78" cm="1">
        <f t="array" ref="ED23">IF(DL23=0,
IF(DN23="positif",ABS(EB23),ABS(EB23)*(-1)),
INDEX($BM$8:$BM$44,DL23))</f>
        <v>0.16714548384202288</v>
      </c>
      <c r="EE23" s="78"/>
      <c r="EF23" s="78"/>
      <c r="EI23">
        <v>0</v>
      </c>
      <c r="EJ23">
        <v>16</v>
      </c>
      <c r="EK23" t="s">
        <v>539</v>
      </c>
      <c r="EL23" t="s">
        <v>155</v>
      </c>
      <c r="EM23" s="106" t="str">
        <f>INDEX(Pipes_result_save_V1!$G$2:$G$206,MATCH(EL23,Pipes_result_save_V1!$I$2:$I$206,0))</f>
        <v>N15</v>
      </c>
      <c r="EN23" s="106" t="str">
        <f>INDEX(Pipes_result_save_V1!$H$2:$H$206,MATCH(EL23,Pipes_result_save_V1!$I$2:$I$206,0))</f>
        <v>N14</v>
      </c>
      <c r="EO23">
        <v>8.3280000000000007E-2</v>
      </c>
      <c r="EP23">
        <v>350</v>
      </c>
      <c r="EQ23">
        <v>150</v>
      </c>
      <c r="ER23">
        <v>795</v>
      </c>
      <c r="ES23">
        <v>131.71076110154976</v>
      </c>
      <c r="ET23">
        <v>8.3280000000000007E-2</v>
      </c>
      <c r="EU23">
        <v>1.3196618634790545</v>
      </c>
      <c r="EV23">
        <v>29.346947300230656</v>
      </c>
      <c r="EW23" s="107">
        <f>INDEX(Pipes_result_save_V1!$K$2:$K$206,MATCH(EL23,Pipes_result_save_V1!$I$2:$I$206,0)) *POWER(10,-3)</f>
        <v>-7.0787868499755857E-3</v>
      </c>
      <c r="EX23" s="78">
        <v>6.191936284247081E-3</v>
      </c>
      <c r="EY23" s="78">
        <f t="shared" si="12"/>
        <v>4.5871775982907335E-2</v>
      </c>
      <c r="EZ23" s="78">
        <f t="shared" si="13"/>
        <v>4.5871775982907335E-2</v>
      </c>
      <c r="FA23" s="78" cm="1">
        <f t="array" ref="FA23">IF(EI23=0,
IF(EK23="positif",ABS(EY23),ABS(EY23)*(-1)),
INDEX($BM$8:$BM$44,EI23))</f>
        <v>4.5871775982907335E-2</v>
      </c>
    </row>
    <row r="24" spans="2:157" ht="30" x14ac:dyDescent="0.25">
      <c r="B24" s="106">
        <v>17</v>
      </c>
      <c r="C24" s="106" t="s">
        <v>540</v>
      </c>
      <c r="D24" s="106" t="s">
        <v>426</v>
      </c>
      <c r="E24" s="106" t="str">
        <f>INDEX(Pipes_result_save_V1!$G$2:$G$206,MATCH(D24,Pipes_result_save_V1!$I$2:$I$206,0))</f>
        <v>N99</v>
      </c>
      <c r="F24" s="106" t="str">
        <f>INDEX(Pipes_result_save_V1!$H$2:$H$206,MATCH(D24,Pipes_result_save_V1!$I$2:$I$206,0))</f>
        <v>N194</v>
      </c>
      <c r="G24" s="106">
        <v>0.184</v>
      </c>
      <c r="H24" s="107">
        <v>565</v>
      </c>
      <c r="I24" s="107">
        <v>150</v>
      </c>
      <c r="J24" s="107">
        <v>184</v>
      </c>
      <c r="K24" s="107">
        <v>2.9580084372668733</v>
      </c>
      <c r="L24" s="107">
        <v>-0.184</v>
      </c>
      <c r="M24" s="107">
        <v>-0.12865954661016527</v>
      </c>
      <c r="N24" s="107">
        <v>1.2949863060979676</v>
      </c>
      <c r="O24" s="107">
        <f>INDEX(Pipes_result_save_V1!$K$2:$K$206,MATCH(D24,Pipes_result_save_V1!$I$2:$I$206,0)) *POWER(10,-3)</f>
        <v>-9.0544853210449226E-3</v>
      </c>
      <c r="P24" s="78">
        <v>6.5247330238857384E-3</v>
      </c>
      <c r="Q24" s="78">
        <f t="shared" si="0"/>
        <v>0.1054030649238165</v>
      </c>
      <c r="R24" s="78">
        <f t="shared" si="1"/>
        <v>-0.1054030649238165</v>
      </c>
      <c r="S24" s="78"/>
      <c r="T24" s="78"/>
      <c r="U24" s="78"/>
      <c r="V24" s="78"/>
      <c r="W24" s="78">
        <v>0</v>
      </c>
      <c r="X24" s="78">
        <v>17</v>
      </c>
      <c r="Y24" s="78" t="s">
        <v>540</v>
      </c>
      <c r="Z24" s="78" t="s">
        <v>302</v>
      </c>
      <c r="AA24" s="106" t="str">
        <f>INDEX(Pipes_result_save_V1!$G$2:$G$206,MATCH(Z24,Pipes_result_save_V1!$I$2:$I$206,0))</f>
        <v>N138</v>
      </c>
      <c r="AB24" s="106" t="str">
        <f>INDEX(Pipes_result_save_V1!$H$2:$H$206,MATCH(Z24,Pipes_result_save_V1!$I$2:$I$206,0))</f>
        <v>N139</v>
      </c>
      <c r="AC24" s="78">
        <v>5.8057999999999998E-2</v>
      </c>
      <c r="AD24" s="78">
        <v>300</v>
      </c>
      <c r="AE24" s="78">
        <v>150</v>
      </c>
      <c r="AF24" s="78">
        <v>270</v>
      </c>
      <c r="AG24" s="78">
        <v>94.779782371504538</v>
      </c>
      <c r="AH24" s="78">
        <v>-5.8057999999999998E-2</v>
      </c>
      <c r="AI24" s="78">
        <v>0</v>
      </c>
      <c r="AJ24" s="78">
        <v>0</v>
      </c>
      <c r="AK24" s="78">
        <v>-0.48684225205054421</v>
      </c>
      <c r="AL24">
        <v>15.529846890998799</v>
      </c>
      <c r="AM24" s="107">
        <f>INDEX(Pipes_result_save_V1!$K$2:$K$206,MATCH(Z24,Pipes_result_save_V1!$I$2:$I$206,0)) *POWER(10,-3)</f>
        <v>2.146643829345703E-2</v>
      </c>
      <c r="AN24" s="78">
        <v>2.5596503864963854E-4</v>
      </c>
      <c r="AO24" s="78">
        <f t="shared" si="2"/>
        <v>3.5211178482065772E-2</v>
      </c>
      <c r="AP24" s="78">
        <f t="shared" si="3"/>
        <v>-3.5211178482065772E-2</v>
      </c>
      <c r="AQ24" s="78" cm="1">
        <f t="array" ref="AQ24">IF(W24=0,
IF(Y24="positif",ABS(AO24),ABS(AO24)*(-1)),
INDEX($R$8:$R$77,W24))</f>
        <v>-3.5211178482065772E-2</v>
      </c>
      <c r="AU24">
        <v>0</v>
      </c>
      <c r="AV24">
        <v>17</v>
      </c>
      <c r="AW24" t="s">
        <v>540</v>
      </c>
      <c r="AX24" t="s">
        <v>316</v>
      </c>
      <c r="AY24" s="106" t="str">
        <f>INDEX(Pipes_result_save_V1!$G$2:$G$206,MATCH(AX24,Pipes_result_save_V1!$I$2:$I$206,0))</f>
        <v>N116</v>
      </c>
      <c r="AZ24" s="106" t="str">
        <f>INDEX(Pipes_result_save_V1!$H$2:$H$206,MATCH(AX24,Pipes_result_save_V1!$I$2:$I$206,0))</f>
        <v>N115</v>
      </c>
      <c r="BA24">
        <v>3.2837000000000005E-2</v>
      </c>
      <c r="BB24">
        <v>250</v>
      </c>
      <c r="BC24">
        <v>150</v>
      </c>
      <c r="BD24">
        <v>115</v>
      </c>
      <c r="BE24">
        <v>98.116406274721555</v>
      </c>
      <c r="BF24">
        <v>-3.2837000000000005E-2</v>
      </c>
      <c r="BG24">
        <v>-0.17540694504267082</v>
      </c>
      <c r="BH24">
        <v>9.8929153765272808</v>
      </c>
      <c r="BI24" s="107">
        <f>INDEX(Pipes_result_save_V1!$K$2:$K$206,MATCH(AX24,Pipes_result_save_V1!$I$2:$I$206,0)) *POWER(10,-3)</f>
        <v>-2.1272979676723481E-4</v>
      </c>
      <c r="BJ24" s="78">
        <v>5.124979025131907E-3</v>
      </c>
      <c r="BK24" s="78">
        <f t="shared" si="4"/>
        <v>3.8250255700015404E-2</v>
      </c>
      <c r="BL24" s="78">
        <f t="shared" si="5"/>
        <v>-3.8250255700015404E-2</v>
      </c>
      <c r="BM24" s="78" cm="1">
        <f t="array" ref="BM24">IF(AU24=0,
IF(AW24="positif",ABS(BK24),ABS(BK24)*(-1)),
INDEX($AQ$8:$AQ$77,AU24))</f>
        <v>-3.8250255700015404E-2</v>
      </c>
      <c r="BN24" s="78"/>
      <c r="BO24" s="78"/>
      <c r="BR24">
        <v>0</v>
      </c>
      <c r="BS24">
        <v>17</v>
      </c>
      <c r="BT24" t="s">
        <v>539</v>
      </c>
      <c r="BU24" t="s">
        <v>118</v>
      </c>
      <c r="BV24" s="106" t="str">
        <f>INDEX(Pipes_result_save_V1!$G$2:$G$206,MATCH(BU24,Pipes_result_save_V1!$I$2:$I$206,0))</f>
        <v>N67</v>
      </c>
      <c r="BW24" s="106" t="str">
        <f>INDEX(Pipes_result_save_V1!$H$2:$H$206,MATCH(BU24,Pipes_result_save_V1!$I$2:$I$206,0))</f>
        <v>N66</v>
      </c>
      <c r="BX24">
        <v>3.2837000000000005E-2</v>
      </c>
      <c r="BY24">
        <v>250</v>
      </c>
      <c r="BZ24">
        <v>150</v>
      </c>
      <c r="CA24">
        <v>45</v>
      </c>
      <c r="CB24">
        <v>38.393376368369303</v>
      </c>
      <c r="CC24">
        <v>3.2837000000000005E-2</v>
      </c>
      <c r="CD24">
        <v>6.8637500234088572E-2</v>
      </c>
      <c r="CE24">
        <v>3.871140799510675</v>
      </c>
      <c r="CF24" s="107">
        <f>INDEX(Pipes_result_save_V1!$K$2:$K$206,MATCH(BU24,Pipes_result_save_V1!$I$2:$I$206,0)) *POWER(10,-3)</f>
        <v>-1.8314315795898442E-2</v>
      </c>
      <c r="CG24" s="78">
        <v>5.1194798104476809E-3</v>
      </c>
      <c r="CH24" s="78">
        <f t="shared" si="6"/>
        <v>2.3580796114934299E-2</v>
      </c>
      <c r="CI24" s="78">
        <f t="shared" si="7"/>
        <v>2.3580796114934299E-2</v>
      </c>
      <c r="CJ24" s="78" cm="1">
        <f t="array" ref="CJ24">IF(BR24=0,
IF(BT24="positif",ABS(CH24),ABS(CH24)*(-1)),
INDEX($BM$8:$BM$44,BR24))</f>
        <v>2.3580796114934299E-2</v>
      </c>
      <c r="CN24">
        <v>0</v>
      </c>
      <c r="CO24">
        <v>17</v>
      </c>
      <c r="CP24" t="s">
        <v>539</v>
      </c>
      <c r="CQ24" t="s">
        <v>166</v>
      </c>
      <c r="CR24" s="106" t="str">
        <f>INDEX(Pipes_result_save_V1!$G$2:$G$206,MATCH(CQ24,Pipes_result_save_V1!$I$2:$I$206,0))</f>
        <v>N46</v>
      </c>
      <c r="CS24" s="106" t="str">
        <f>INDEX(Pipes_result_save_V1!$H$2:$H$206,MATCH(CQ24,Pipes_result_save_V1!$I$2:$I$206,0))</f>
        <v>N45</v>
      </c>
      <c r="CT24">
        <v>0.16656000000000001</v>
      </c>
      <c r="CU24">
        <v>466</v>
      </c>
      <c r="CV24">
        <v>150</v>
      </c>
      <c r="CW24">
        <v>196</v>
      </c>
      <c r="CX24">
        <v>8.0530027222061502</v>
      </c>
      <c r="CY24">
        <v>0.16656000000000001</v>
      </c>
      <c r="CZ24">
        <v>0.29127741038746446</v>
      </c>
      <c r="DA24">
        <v>3.2387473825503372</v>
      </c>
      <c r="DB24" s="107">
        <f>INDEX(Pipes_result_save_V1!$K$2:$K$206,MATCH(CQ24,Pipes_result_save_V1!$I$2:$I$206,0)) *POWER(10,-3)</f>
        <v>-5.2624523162841795E-2</v>
      </c>
      <c r="DC24" s="78">
        <v>6.3249656174210094E-3</v>
      </c>
      <c r="DD24" s="78">
        <f t="shared" si="8"/>
        <v>0.15497564373451178</v>
      </c>
      <c r="DE24" s="78">
        <f t="shared" si="9"/>
        <v>0.15497564373451178</v>
      </c>
      <c r="DF24" s="78" cm="1">
        <f t="array" ref="DF24">IF(CN24=0,
IF(CP24="positif",ABS(DD24),ABS(DD24)*(-1)),
INDEX($BM$8:$BM$44,CN24))</f>
        <v>0.15497564373451178</v>
      </c>
      <c r="DL24">
        <v>0</v>
      </c>
      <c r="DM24">
        <v>17</v>
      </c>
      <c r="DN24" t="s">
        <v>539</v>
      </c>
      <c r="DO24" t="s">
        <v>398</v>
      </c>
      <c r="DP24" s="106" t="str">
        <f>INDEX(Pipes_result_save_V1!$G$2:$G$206,MATCH(DO24,Pipes_result_save_V1!$I$2:$I$206,0))</f>
        <v>N196</v>
      </c>
      <c r="DQ24" s="106" t="str">
        <f>INDEX(Pipes_result_save_V1!$H$2:$H$206,MATCH(DO24,Pipes_result_save_V1!$I$2:$I$206,0))</f>
        <v>N28</v>
      </c>
      <c r="DR24">
        <v>0.16656000000000001</v>
      </c>
      <c r="DS24">
        <v>466</v>
      </c>
      <c r="DT24">
        <v>150</v>
      </c>
      <c r="DU24">
        <v>75</v>
      </c>
      <c r="DV24">
        <v>3.0815061437013331</v>
      </c>
      <c r="DW24">
        <v>0.16656000000000001</v>
      </c>
      <c r="DX24">
        <v>0.11145819275030529</v>
      </c>
      <c r="DY24">
        <v>1.2393166004656904</v>
      </c>
      <c r="DZ24" s="107">
        <f>INDEX(Pipes_result_save_V1!$K$2:$K$206,MATCH(DO24,Pipes_result_save_V1!$I$2:$I$206,0)) *POWER(10,-3)</f>
        <v>-0.198505126953125</v>
      </c>
      <c r="EA24" s="78">
        <v>5.1676600694270085E-3</v>
      </c>
      <c r="EB24" s="78">
        <f t="shared" si="10"/>
        <v>0.16714548384202288</v>
      </c>
      <c r="EC24" s="78">
        <f t="shared" si="11"/>
        <v>0.16714548384202288</v>
      </c>
      <c r="ED24" s="78" cm="1">
        <f t="array" ref="ED24">IF(DL24=0,
IF(DN24="positif",ABS(EB24),ABS(EB24)*(-1)),
INDEX($BM$8:$BM$44,DL24))</f>
        <v>0.16714548384202288</v>
      </c>
      <c r="EE24" s="78"/>
      <c r="EF24" s="78"/>
      <c r="EI24">
        <v>0</v>
      </c>
      <c r="EJ24">
        <v>17</v>
      </c>
      <c r="EK24" t="s">
        <v>539</v>
      </c>
      <c r="EL24" t="s">
        <v>154</v>
      </c>
      <c r="EM24" s="106" t="str">
        <f>INDEX(Pipes_result_save_V1!$G$2:$G$206,MATCH(EL24,Pipes_result_save_V1!$I$2:$I$206,0))</f>
        <v>N16</v>
      </c>
      <c r="EN24" s="106" t="str">
        <f>INDEX(Pipes_result_save_V1!$H$2:$H$206,MATCH(EL24,Pipes_result_save_V1!$I$2:$I$206,0))</f>
        <v>N15</v>
      </c>
      <c r="EO24">
        <v>8.3280000000000007E-2</v>
      </c>
      <c r="EP24">
        <v>350</v>
      </c>
      <c r="EQ24">
        <v>150</v>
      </c>
      <c r="ER24">
        <v>496</v>
      </c>
      <c r="ES24">
        <v>82.174261014300242</v>
      </c>
      <c r="ET24">
        <v>8.3280000000000007E-2</v>
      </c>
      <c r="EU24">
        <v>0.82333620664856744</v>
      </c>
      <c r="EV24">
        <v>18.30954196341435</v>
      </c>
      <c r="EW24" s="107">
        <f>INDEX(Pipes_result_save_V1!$K$2:$K$206,MATCH(EL24,Pipes_result_save_V1!$I$2:$I$206,0)) *POWER(10,-3)</f>
        <v>2.8707671165466308E-4</v>
      </c>
      <c r="EX24" s="78">
        <v>5.607299923040111E-3</v>
      </c>
      <c r="EY24" s="78">
        <f t="shared" si="12"/>
        <v>4.5871775982907335E-2</v>
      </c>
      <c r="EZ24" s="78">
        <f t="shared" si="13"/>
        <v>4.5871775982907335E-2</v>
      </c>
      <c r="FA24" s="78" cm="1">
        <f t="array" ref="FA24">IF(EI24=0,
IF(EK24="positif",ABS(EY24),ABS(EY24)*(-1)),
INDEX($BM$8:$BM$44,EI24))</f>
        <v>4.5871775982907335E-2</v>
      </c>
    </row>
    <row r="25" spans="2:157" ht="30" x14ac:dyDescent="0.25">
      <c r="B25" s="106">
        <v>18</v>
      </c>
      <c r="C25" s="106" t="s">
        <v>539</v>
      </c>
      <c r="D25" s="106" t="s">
        <v>211</v>
      </c>
      <c r="E25" s="106" t="str">
        <f>INDEX(Pipes_result_save_V1!$G$2:$G$206,MATCH(D25,Pipes_result_save_V1!$I$2:$I$206,0))</f>
        <v>N100</v>
      </c>
      <c r="F25" s="106" t="str">
        <f>INDEX(Pipes_result_save_V1!$H$2:$H$206,MATCH(D25,Pipes_result_save_V1!$I$2:$I$206,0))</f>
        <v>N99</v>
      </c>
      <c r="G25" s="106">
        <v>0.28899999999999998</v>
      </c>
      <c r="H25" s="107">
        <v>700</v>
      </c>
      <c r="I25" s="107">
        <v>150</v>
      </c>
      <c r="J25" s="107">
        <v>289</v>
      </c>
      <c r="K25" s="107">
        <v>1.6361942593429444</v>
      </c>
      <c r="L25" s="107">
        <v>0.28899999999999998</v>
      </c>
      <c r="M25" s="107">
        <v>0.16421683189371203</v>
      </c>
      <c r="N25" s="107">
        <v>1.0523514625161059</v>
      </c>
      <c r="O25" s="107">
        <f>INDEX(Pipes_result_save_V1!$K$2:$K$206,MATCH(D25,Pipes_result_save_V1!$I$2:$I$206,0)) *POWER(10,-3)</f>
        <v>-6.0764317512512211E-3</v>
      </c>
      <c r="P25" s="78">
        <v>5.7259074957591869E-3</v>
      </c>
      <c r="Q25" s="78">
        <f t="shared" si="0"/>
        <v>0.2104030649238165</v>
      </c>
      <c r="R25" s="78">
        <f t="shared" si="1"/>
        <v>0.2104030649238165</v>
      </c>
      <c r="S25" s="78"/>
      <c r="T25" s="78"/>
      <c r="U25" s="78"/>
      <c r="V25" s="78"/>
      <c r="W25" s="78">
        <v>0</v>
      </c>
      <c r="X25" s="78">
        <v>18</v>
      </c>
      <c r="Y25" s="78" t="s">
        <v>540</v>
      </c>
      <c r="Z25" s="78" t="s">
        <v>303</v>
      </c>
      <c r="AA25" s="106" t="str">
        <f>INDEX(Pipes_result_save_V1!$G$2:$G$206,MATCH(Z25,Pipes_result_save_V1!$I$2:$I$206,0))</f>
        <v>N139</v>
      </c>
      <c r="AB25" s="106" t="str">
        <f>INDEX(Pipes_result_save_V1!$H$2:$H$206,MATCH(Z25,Pipes_result_save_V1!$I$2:$I$206,0))</f>
        <v>N140</v>
      </c>
      <c r="AC25" s="78">
        <v>5.8057999999999998E-2</v>
      </c>
      <c r="AD25" s="78">
        <v>300</v>
      </c>
      <c r="AE25" s="78">
        <v>150</v>
      </c>
      <c r="AF25" s="78">
        <v>180</v>
      </c>
      <c r="AG25" s="78">
        <v>63.186521581003028</v>
      </c>
      <c r="AH25" s="78">
        <v>-5.8057999999999998E-2</v>
      </c>
      <c r="AI25" s="78">
        <v>0</v>
      </c>
      <c r="AJ25" s="78">
        <v>0</v>
      </c>
      <c r="AK25" s="78">
        <v>-0.32456150136702949</v>
      </c>
      <c r="AL25">
        <v>10.353231260665867</v>
      </c>
      <c r="AM25" s="107">
        <f>INDEX(Pipes_result_save_V1!$K$2:$K$206,MATCH(Z25,Pipes_result_save_V1!$I$2:$I$206,0)) *POWER(10,-3)</f>
        <v>1.8898941040039058E-2</v>
      </c>
      <c r="AN25" s="78">
        <v>3.3091231072184331E-3</v>
      </c>
      <c r="AO25" s="78">
        <f t="shared" si="2"/>
        <v>3.5211178482065772E-2</v>
      </c>
      <c r="AP25" s="78">
        <f t="shared" si="3"/>
        <v>-3.5211178482065772E-2</v>
      </c>
      <c r="AQ25" s="78" cm="1">
        <f t="array" ref="AQ25">IF(W25=0,
IF(Y25="positif",ABS(AO25),ABS(AO25)*(-1)),
INDEX($R$8:$R$77,W25))</f>
        <v>-3.5211178482065772E-2</v>
      </c>
      <c r="AU25">
        <v>0</v>
      </c>
      <c r="AV25">
        <v>18</v>
      </c>
      <c r="AW25" t="s">
        <v>540</v>
      </c>
      <c r="AX25" t="s">
        <v>412</v>
      </c>
      <c r="AY25" s="106" t="str">
        <f>INDEX(Pipes_result_save_V1!$G$2:$G$206,MATCH(AX25,Pipes_result_save_V1!$I$2:$I$206,0))</f>
        <v>N195</v>
      </c>
      <c r="AZ25" s="106" t="str">
        <f>INDEX(Pipes_result_save_V1!$H$2:$H$206,MATCH(AX25,Pipes_result_save_V1!$I$2:$I$206,0))</f>
        <v>N116</v>
      </c>
      <c r="BA25">
        <v>3.2837000000000005E-2</v>
      </c>
      <c r="BB25">
        <v>250</v>
      </c>
      <c r="BC25">
        <v>150</v>
      </c>
      <c r="BD25">
        <v>116</v>
      </c>
      <c r="BE25">
        <v>98.969592416240872</v>
      </c>
      <c r="BF25">
        <v>-3.2837000000000005E-2</v>
      </c>
      <c r="BG25">
        <v>-0.17693222282565055</v>
      </c>
      <c r="BH25">
        <v>9.978940727627517</v>
      </c>
      <c r="BI25" s="107">
        <f>INDEX(Pipes_result_save_V1!$K$2:$K$206,MATCH(AX25,Pipes_result_save_V1!$I$2:$I$206,0)) *POWER(10,-3)</f>
        <v>5.689303874969482E-4</v>
      </c>
      <c r="BJ25" s="78">
        <v>5.5553925534145045E-3</v>
      </c>
      <c r="BK25" s="78">
        <f t="shared" si="4"/>
        <v>3.8250255700015404E-2</v>
      </c>
      <c r="BL25" s="78">
        <f t="shared" si="5"/>
        <v>-3.8250255700015404E-2</v>
      </c>
      <c r="BM25" s="78" cm="1">
        <f t="array" ref="BM25">IF(AU25=0,
IF(AW25="positif",ABS(BK25),ABS(BK25)*(-1)),
INDEX($AQ$8:$AQ$77,AU25))</f>
        <v>-3.8250255700015404E-2</v>
      </c>
      <c r="BN25" s="78"/>
      <c r="BO25" s="78"/>
      <c r="BR25">
        <v>0</v>
      </c>
      <c r="BS25">
        <v>18</v>
      </c>
      <c r="BT25" t="s">
        <v>539</v>
      </c>
      <c r="BU25" t="s">
        <v>117</v>
      </c>
      <c r="BV25" s="106" t="str">
        <f>INDEX(Pipes_result_save_V1!$G$2:$G$206,MATCH(BU25,Pipes_result_save_V1!$I$2:$I$206,0))</f>
        <v>N68</v>
      </c>
      <c r="BW25" s="106" t="str">
        <f>INDEX(Pipes_result_save_V1!$H$2:$H$206,MATCH(BU25,Pipes_result_save_V1!$I$2:$I$206,0))</f>
        <v>N67</v>
      </c>
      <c r="BX25">
        <v>3.2837000000000005E-2</v>
      </c>
      <c r="BY25">
        <v>250</v>
      </c>
      <c r="BZ25">
        <v>150</v>
      </c>
      <c r="CA25">
        <v>100</v>
      </c>
      <c r="CB25">
        <v>85.318614151931783</v>
      </c>
      <c r="CC25">
        <v>3.2837000000000005E-2</v>
      </c>
      <c r="CD25">
        <v>0.15252777829797462</v>
      </c>
      <c r="CE25">
        <v>8.6025351100237213</v>
      </c>
      <c r="CF25" s="107">
        <f>INDEX(Pipes_result_save_V1!$K$2:$K$206,MATCH(BU25,Pipes_result_save_V1!$I$2:$I$206,0)) *POWER(10,-3)</f>
        <v>-1.748701095581055E-2</v>
      </c>
      <c r="CG25" s="78">
        <v>5.8473319003270099E-3</v>
      </c>
      <c r="CH25" s="78">
        <f t="shared" si="6"/>
        <v>2.3580796114934299E-2</v>
      </c>
      <c r="CI25" s="78">
        <f t="shared" si="7"/>
        <v>2.3580796114934299E-2</v>
      </c>
      <c r="CJ25" s="78" cm="1">
        <f t="array" ref="CJ25">IF(BR25=0,
IF(BT25="positif",ABS(CH25),ABS(CH25)*(-1)),
INDEX($BM$8:$BM$44,BR25))</f>
        <v>2.3580796114934299E-2</v>
      </c>
      <c r="CN25">
        <v>0</v>
      </c>
      <c r="CO25">
        <v>18</v>
      </c>
      <c r="CP25" t="s">
        <v>539</v>
      </c>
      <c r="CQ25" t="s">
        <v>165</v>
      </c>
      <c r="CR25" s="106" t="str">
        <f>INDEX(Pipes_result_save_V1!$G$2:$G$206,MATCH(CQ25,Pipes_result_save_V1!$I$2:$I$206,0))</f>
        <v>N47</v>
      </c>
      <c r="CS25" s="106" t="str">
        <f>INDEX(Pipes_result_save_V1!$H$2:$H$206,MATCH(CQ25,Pipes_result_save_V1!$I$2:$I$206,0))</f>
        <v>N46</v>
      </c>
      <c r="CT25">
        <v>0.16656000000000001</v>
      </c>
      <c r="CU25">
        <v>466</v>
      </c>
      <c r="CV25">
        <v>150</v>
      </c>
      <c r="CW25">
        <v>275</v>
      </c>
      <c r="CX25">
        <v>11.298855860238222</v>
      </c>
      <c r="CY25">
        <v>0.16656000000000001</v>
      </c>
      <c r="CZ25">
        <v>0.40868004008445274</v>
      </c>
      <c r="DA25">
        <v>4.5441608683741981</v>
      </c>
      <c r="DB25" s="107">
        <f>INDEX(Pipes_result_save_V1!$K$2:$K$206,MATCH(CQ25,Pipes_result_save_V1!$I$2:$I$206,0)) *POWER(10,-3)</f>
        <v>-4.9937206268310545E-2</v>
      </c>
      <c r="DC25" s="78">
        <v>5.0671622608914205E-3</v>
      </c>
      <c r="DD25" s="78">
        <f t="shared" si="8"/>
        <v>0.15497564373451178</v>
      </c>
      <c r="DE25" s="78">
        <f t="shared" si="9"/>
        <v>0.15497564373451178</v>
      </c>
      <c r="DF25" s="78" cm="1">
        <f t="array" ref="DF25">IF(CN25=0,
IF(CP25="positif",ABS(DD25),ABS(DD25)*(-1)),
INDEX($BM$8:$BM$44,CN25))</f>
        <v>0.15497564373451178</v>
      </c>
      <c r="DL25">
        <v>0</v>
      </c>
      <c r="DM25">
        <v>18</v>
      </c>
      <c r="DN25" t="s">
        <v>539</v>
      </c>
      <c r="DO25" t="s">
        <v>140</v>
      </c>
      <c r="DP25" s="106" t="str">
        <f>INDEX(Pipes_result_save_V1!$G$2:$G$206,MATCH(DO25,Pipes_result_save_V1!$I$2:$I$206,0))</f>
        <v>N30</v>
      </c>
      <c r="DQ25" s="106" t="str">
        <f>INDEX(Pipes_result_save_V1!$H$2:$H$206,MATCH(DO25,Pipes_result_save_V1!$I$2:$I$206,0))</f>
        <v>N29</v>
      </c>
      <c r="DR25">
        <v>0.16656000000000001</v>
      </c>
      <c r="DS25">
        <v>466</v>
      </c>
      <c r="DT25">
        <v>150</v>
      </c>
      <c r="DU25">
        <v>76</v>
      </c>
      <c r="DV25">
        <v>3.1225928922840178</v>
      </c>
      <c r="DW25">
        <v>0.16656000000000001</v>
      </c>
      <c r="DX25">
        <v>0.11294430198697604</v>
      </c>
      <c r="DY25">
        <v>1.255840821805233</v>
      </c>
      <c r="DZ25" s="107">
        <f>INDEX(Pipes_result_save_V1!$K$2:$K$206,MATCH(DO25,Pipes_result_save_V1!$I$2:$I$206,0)) *POWER(10,-3)</f>
        <v>-0.19685621643066409</v>
      </c>
      <c r="EA25" s="78">
        <v>5.8515718255350326E-3</v>
      </c>
      <c r="EB25" s="78">
        <f t="shared" si="10"/>
        <v>0.16714548384202288</v>
      </c>
      <c r="EC25" s="78">
        <f t="shared" si="11"/>
        <v>0.16714548384202288</v>
      </c>
      <c r="ED25" s="78" cm="1">
        <f t="array" ref="ED25">IF(DL25=0,
IF(DN25="positif",ABS(EB25),ABS(EB25)*(-1)),
INDEX($BM$8:$BM$44,DL25))</f>
        <v>0.16714548384202288</v>
      </c>
      <c r="EE25" s="78"/>
      <c r="EF25" s="78"/>
      <c r="EI25">
        <v>0</v>
      </c>
      <c r="EJ25">
        <v>18</v>
      </c>
      <c r="EK25" t="s">
        <v>539</v>
      </c>
      <c r="EL25" t="s">
        <v>153</v>
      </c>
      <c r="EM25" s="106" t="str">
        <f>INDEX(Pipes_result_save_V1!$G$2:$G$206,MATCH(EL25,Pipes_result_save_V1!$I$2:$I$206,0))</f>
        <v>N17</v>
      </c>
      <c r="EN25" s="106" t="str">
        <f>INDEX(Pipes_result_save_V1!$H$2:$H$206,MATCH(EL25,Pipes_result_save_V1!$I$2:$I$206,0))</f>
        <v>N16</v>
      </c>
      <c r="EO25">
        <v>8.3280000000000007E-2</v>
      </c>
      <c r="EP25">
        <v>350</v>
      </c>
      <c r="EQ25">
        <v>150</v>
      </c>
      <c r="ER25">
        <v>414</v>
      </c>
      <c r="ES25">
        <v>68.589000120807043</v>
      </c>
      <c r="ET25">
        <v>8.3280000000000007E-2</v>
      </c>
      <c r="EU25">
        <v>0.68722014022682831</v>
      </c>
      <c r="EV25">
        <v>15.282561235591812</v>
      </c>
      <c r="EW25" s="107">
        <f>INDEX(Pipes_result_save_V1!$K$2:$K$206,MATCH(EL25,Pipes_result_save_V1!$I$2:$I$206,0)) *POWER(10,-3)</f>
        <v>5.4791264533996581E-3</v>
      </c>
      <c r="EX25" s="78">
        <v>5.6390464012246611E-3</v>
      </c>
      <c r="EY25" s="78">
        <f t="shared" si="12"/>
        <v>4.5871775982907335E-2</v>
      </c>
      <c r="EZ25" s="78">
        <f t="shared" si="13"/>
        <v>4.5871775982907335E-2</v>
      </c>
      <c r="FA25" s="78" cm="1">
        <f t="array" ref="FA25">IF(EI25=0,
IF(EK25="positif",ABS(EY25),ABS(EY25)*(-1)),
INDEX($BM$8:$BM$44,EI25))</f>
        <v>4.5871775982907335E-2</v>
      </c>
    </row>
    <row r="26" spans="2:157" ht="30" x14ac:dyDescent="0.25">
      <c r="B26" s="106">
        <v>19</v>
      </c>
      <c r="C26" s="106" t="s">
        <v>539</v>
      </c>
      <c r="D26" s="106" t="s">
        <v>209</v>
      </c>
      <c r="E26" s="106" t="str">
        <f>INDEX(Pipes_result_save_V1!$G$2:$G$206,MATCH(D26,Pipes_result_save_V1!$I$2:$I$206,0))</f>
        <v>N101</v>
      </c>
      <c r="F26" s="106" t="str">
        <f>INDEX(Pipes_result_save_V1!$H$2:$H$206,MATCH(D26,Pipes_result_save_V1!$I$2:$I$206,0))</f>
        <v>N100</v>
      </c>
      <c r="G26" s="106">
        <v>0.153</v>
      </c>
      <c r="H26" s="107">
        <v>466</v>
      </c>
      <c r="I26" s="107">
        <v>150</v>
      </c>
      <c r="J26" s="107">
        <v>153</v>
      </c>
      <c r="K26" s="107">
        <v>6.2862725331507194</v>
      </c>
      <c r="L26" s="107">
        <v>0.153</v>
      </c>
      <c r="M26" s="107">
        <v>0.19428610209258285</v>
      </c>
      <c r="N26" s="107">
        <v>2.3517507259834214</v>
      </c>
      <c r="O26" s="107">
        <f>INDEX(Pipes_result_save_V1!$K$2:$K$206,MATCH(D26,Pipes_result_save_V1!$I$2:$I$206,0)) *POWER(10,-3)</f>
        <v>-3.5545794963836672E-3</v>
      </c>
      <c r="P26" s="78">
        <v>5.2890668299774395E-3</v>
      </c>
      <c r="Q26" s="78">
        <f t="shared" si="0"/>
        <v>7.44030649238165E-2</v>
      </c>
      <c r="R26" s="78">
        <f t="shared" si="1"/>
        <v>7.44030649238165E-2</v>
      </c>
      <c r="S26" s="78"/>
      <c r="T26" s="78"/>
      <c r="U26" s="78"/>
      <c r="V26" s="78"/>
      <c r="W26" s="78">
        <v>0</v>
      </c>
      <c r="X26" s="78">
        <v>19</v>
      </c>
      <c r="Y26" s="78" t="s">
        <v>540</v>
      </c>
      <c r="Z26" s="78" t="s">
        <v>304</v>
      </c>
      <c r="AA26" s="106" t="str">
        <f>INDEX(Pipes_result_save_V1!$G$2:$G$206,MATCH(Z26,Pipes_result_save_V1!$I$2:$I$206,0))</f>
        <v>N140</v>
      </c>
      <c r="AB26" s="106" t="str">
        <f>INDEX(Pipes_result_save_V1!$H$2:$H$206,MATCH(Z26,Pipes_result_save_V1!$I$2:$I$206,0))</f>
        <v>N141</v>
      </c>
      <c r="AC26" s="78">
        <v>5.8057999999999998E-2</v>
      </c>
      <c r="AD26" s="78">
        <v>300</v>
      </c>
      <c r="AE26" s="78">
        <v>150</v>
      </c>
      <c r="AF26" s="78">
        <v>210</v>
      </c>
      <c r="AG26" s="78">
        <v>73.717608511170198</v>
      </c>
      <c r="AH26" s="78">
        <v>-5.8057999999999998E-2</v>
      </c>
      <c r="AI26" s="78">
        <v>0</v>
      </c>
      <c r="AJ26" s="78">
        <v>0</v>
      </c>
      <c r="AK26" s="78">
        <v>-0.37865508492820105</v>
      </c>
      <c r="AL26">
        <v>12.078769804110179</v>
      </c>
      <c r="AM26" s="107">
        <f>INDEX(Pipes_result_save_V1!$K$2:$K$206,MATCH(Z26,Pipes_result_save_V1!$I$2:$I$206,0)) *POWER(10,-3)</f>
        <v>1.6673776626586912E-2</v>
      </c>
      <c r="AN26" s="78">
        <v>4.5240166897609355E-3</v>
      </c>
      <c r="AO26" s="78">
        <f t="shared" si="2"/>
        <v>3.5211178482065772E-2</v>
      </c>
      <c r="AP26" s="78">
        <f t="shared" si="3"/>
        <v>-3.5211178482065772E-2</v>
      </c>
      <c r="AQ26" s="78" cm="1">
        <f t="array" ref="AQ26">IF(W26=0,
IF(Y26="positif",ABS(AO26),ABS(AO26)*(-1)),
INDEX($R$8:$R$77,W26))</f>
        <v>-3.5211178482065772E-2</v>
      </c>
      <c r="AU26">
        <v>0</v>
      </c>
      <c r="AV26">
        <v>19</v>
      </c>
      <c r="AW26" t="s">
        <v>540</v>
      </c>
      <c r="AX26" t="s">
        <v>308</v>
      </c>
      <c r="AY26" s="106" t="str">
        <f>INDEX(Pipes_result_save_V1!$G$2:$G$206,MATCH(AX26,Pipes_result_save_V1!$I$2:$I$206,0))</f>
        <v>N118</v>
      </c>
      <c r="AZ26" s="106" t="str">
        <f>INDEX(Pipes_result_save_V1!$H$2:$H$206,MATCH(AX26,Pipes_result_save_V1!$I$2:$I$206,0))</f>
        <v>N117</v>
      </c>
      <c r="BA26">
        <v>3.2837000000000005E-2</v>
      </c>
      <c r="BB26">
        <v>250</v>
      </c>
      <c r="BC26">
        <v>150</v>
      </c>
      <c r="BD26">
        <v>117</v>
      </c>
      <c r="BE26">
        <v>99.822778557760188</v>
      </c>
      <c r="BF26">
        <v>-3.2837000000000005E-2</v>
      </c>
      <c r="BG26">
        <v>-0.1784575006086303</v>
      </c>
      <c r="BH26">
        <v>10.064966078727755</v>
      </c>
      <c r="BI26" s="107">
        <f>INDEX(Pipes_result_save_V1!$K$2:$K$206,MATCH(AX26,Pipes_result_save_V1!$I$2:$I$206,0)) *POWER(10,-3)</f>
        <v>3.5129935741424561E-3</v>
      </c>
      <c r="BJ26" s="78">
        <v>6.3566054759352413E-3</v>
      </c>
      <c r="BK26" s="78">
        <f t="shared" si="4"/>
        <v>3.8250255700015404E-2</v>
      </c>
      <c r="BL26" s="78">
        <f t="shared" si="5"/>
        <v>-3.8250255700015404E-2</v>
      </c>
      <c r="BM26" s="78" cm="1">
        <f t="array" ref="BM26">IF(AU26=0,
IF(AW26="positif",ABS(BK26),ABS(BK26)*(-1)),
INDEX($AQ$8:$AQ$77,AU26))</f>
        <v>-3.8250255700015404E-2</v>
      </c>
      <c r="BN26" s="78"/>
      <c r="BO26" s="78"/>
      <c r="BR26">
        <v>0</v>
      </c>
      <c r="BS26">
        <v>19</v>
      </c>
      <c r="BT26" t="s">
        <v>539</v>
      </c>
      <c r="BU26" t="s">
        <v>116</v>
      </c>
      <c r="BV26" s="106" t="str">
        <f>INDEX(Pipes_result_save_V1!$G$2:$G$206,MATCH(BU26,Pipes_result_save_V1!$I$2:$I$206,0))</f>
        <v>N69</v>
      </c>
      <c r="BW26" s="106" t="str">
        <f>INDEX(Pipes_result_save_V1!$H$2:$H$206,MATCH(BU26,Pipes_result_save_V1!$I$2:$I$206,0))</f>
        <v>N68</v>
      </c>
      <c r="BX26">
        <v>3.2835999999999997E-2</v>
      </c>
      <c r="BY26">
        <v>250</v>
      </c>
      <c r="BZ26">
        <v>150</v>
      </c>
      <c r="CA26">
        <v>202</v>
      </c>
      <c r="CB26">
        <v>172.3436005869022</v>
      </c>
      <c r="CC26">
        <v>3.2835999999999997E-2</v>
      </c>
      <c r="CD26">
        <v>0.308088735266423</v>
      </c>
      <c r="CE26">
        <v>17.376670048526481</v>
      </c>
      <c r="CF26" s="107">
        <f>INDEX(Pipes_result_save_V1!$K$2:$K$206,MATCH(BU26,Pipes_result_save_V1!$I$2:$I$206,0)) *POWER(10,-3)</f>
        <v>-1.5763935089111329E-2</v>
      </c>
      <c r="CG26" s="78">
        <v>6.4985723864827184E-3</v>
      </c>
      <c r="CH26" s="78">
        <f t="shared" si="6"/>
        <v>2.3579796114934291E-2</v>
      </c>
      <c r="CI26" s="78">
        <f t="shared" si="7"/>
        <v>2.3579796114934291E-2</v>
      </c>
      <c r="CJ26" s="78" cm="1">
        <f t="array" ref="CJ26">IF(BR26=0,
IF(BT26="positif",ABS(CH26),ABS(CH26)*(-1)),
INDEX($BM$8:$BM$44,BR26))</f>
        <v>2.3579796114934291E-2</v>
      </c>
      <c r="CN26">
        <v>0</v>
      </c>
      <c r="CO26">
        <v>19</v>
      </c>
      <c r="CP26" t="s">
        <v>539</v>
      </c>
      <c r="CQ26" t="s">
        <v>164</v>
      </c>
      <c r="CR26" s="106" t="str">
        <f>INDEX(Pipes_result_save_V1!$G$2:$G$206,MATCH(CQ26,Pipes_result_save_V1!$I$2:$I$206,0))</f>
        <v>N48</v>
      </c>
      <c r="CS26" s="106" t="str">
        <f>INDEX(Pipes_result_save_V1!$H$2:$H$206,MATCH(CQ26,Pipes_result_save_V1!$I$2:$I$206,0))</f>
        <v>N47</v>
      </c>
      <c r="CT26">
        <v>0.16656000000000001</v>
      </c>
      <c r="CU26">
        <v>466</v>
      </c>
      <c r="CV26">
        <v>150</v>
      </c>
      <c r="CW26">
        <v>407</v>
      </c>
      <c r="CX26">
        <v>16.722306673152566</v>
      </c>
      <c r="CY26">
        <v>0.16656000000000001</v>
      </c>
      <c r="CZ26">
        <v>0.60484645932499004</v>
      </c>
      <c r="DA26">
        <v>6.7253580851938128</v>
      </c>
      <c r="DB26" s="107">
        <f>INDEX(Pipes_result_save_V1!$K$2:$K$206,MATCH(CQ26,Pipes_result_save_V1!$I$2:$I$206,0)) *POWER(10,-3)</f>
        <v>-4.60460205078125E-2</v>
      </c>
      <c r="DC26" s="78">
        <v>6.1708428189658528E-3</v>
      </c>
      <c r="DD26" s="78">
        <f t="shared" si="8"/>
        <v>0.15497564373451178</v>
      </c>
      <c r="DE26" s="78">
        <f t="shared" si="9"/>
        <v>0.15497564373451178</v>
      </c>
      <c r="DF26" s="78" cm="1">
        <f t="array" ref="DF26">IF(CN26=0,
IF(CP26="positif",ABS(DD26),ABS(DD26)*(-1)),
INDEX($BM$8:$BM$44,CN26))</f>
        <v>0.15497564373451178</v>
      </c>
      <c r="DL26">
        <v>0</v>
      </c>
      <c r="DM26">
        <v>19</v>
      </c>
      <c r="DN26" t="s">
        <v>539</v>
      </c>
      <c r="DO26" t="s">
        <v>909</v>
      </c>
      <c r="DP26" s="106" t="str">
        <f>INDEX(Pipes_result_save_V1!$G$2:$G$206,MATCH(DO26,Pipes_result_save_V1!$I$2:$I$206,0))</f>
        <v>N29</v>
      </c>
      <c r="DQ26" s="106" t="str">
        <f>INDEX(Pipes_result_save_V1!$H$2:$H$206,MATCH(DO26,Pipes_result_save_V1!$I$2:$I$206,0))</f>
        <v>N196</v>
      </c>
      <c r="DR26">
        <v>0.16656000000000001</v>
      </c>
      <c r="DS26">
        <v>466</v>
      </c>
      <c r="DT26">
        <v>150</v>
      </c>
      <c r="DU26">
        <v>69</v>
      </c>
      <c r="DV26">
        <v>2.8349856522052264</v>
      </c>
      <c r="DW26">
        <v>0.16656000000000001</v>
      </c>
      <c r="DX26">
        <v>0.10254153733028086</v>
      </c>
      <c r="DY26">
        <v>1.140171272428435</v>
      </c>
      <c r="DZ26" s="107">
        <f>INDEX(Pipes_result_save_V1!$K$2:$K$206,MATCH(DO26,Pipes_result_save_V1!$I$2:$I$206,0)) *POWER(10,-3)</f>
        <v>-0.19768353271484382</v>
      </c>
      <c r="EA26" s="78">
        <v>5.8017784347783241E-3</v>
      </c>
      <c r="EB26" s="78">
        <f t="shared" si="10"/>
        <v>0.16714548384202288</v>
      </c>
      <c r="EC26" s="78">
        <f t="shared" si="11"/>
        <v>0.16714548384202288</v>
      </c>
      <c r="ED26" s="78" cm="1">
        <f t="array" ref="ED26">IF(DL26=0,
IF(DN26="positif",ABS(EB26),ABS(EB26)*(-1)),
INDEX($BM$8:$BM$44,DL26))</f>
        <v>0.16714548384202288</v>
      </c>
      <c r="EE26" s="78"/>
      <c r="EF26" s="78"/>
      <c r="EI26">
        <v>0</v>
      </c>
      <c r="EJ26">
        <v>19</v>
      </c>
      <c r="EK26" t="s">
        <v>540</v>
      </c>
      <c r="EL26" t="s">
        <v>404</v>
      </c>
      <c r="EM26" s="106" t="str">
        <f>INDEX(Pipes_result_save_V1!$G$2:$G$206,MATCH(EL26,Pipes_result_save_V1!$I$2:$I$206,0))</f>
        <v>N31</v>
      </c>
      <c r="EN26" s="106" t="str">
        <f>INDEX(Pipes_result_save_V1!$H$2:$H$206,MATCH(EL26,Pipes_result_save_V1!$I$2:$I$206,0))</f>
        <v>N17</v>
      </c>
      <c r="EO26">
        <v>0.16656000000000001</v>
      </c>
      <c r="EP26">
        <v>466</v>
      </c>
      <c r="EQ26">
        <v>150</v>
      </c>
      <c r="ER26">
        <v>211</v>
      </c>
      <c r="ES26">
        <v>8.6693039509464178</v>
      </c>
      <c r="ET26">
        <v>-0.16656000000000001</v>
      </c>
      <c r="EU26">
        <v>-0.31356904893752557</v>
      </c>
      <c r="EV26">
        <v>3.4866107026434761</v>
      </c>
      <c r="EW26" s="107">
        <f>INDEX(Pipes_result_save_V1!$K$2:$K$206,MATCH(EL26,Pipes_result_save_V1!$I$2:$I$206,0)) *POWER(10,-3)</f>
        <v>7.1654319763183594E-2</v>
      </c>
      <c r="EX26" s="78">
        <v>6.4707009260980023E-3</v>
      </c>
      <c r="EY26" s="78">
        <f t="shared" si="12"/>
        <v>0.12915177598290734</v>
      </c>
      <c r="EZ26" s="78">
        <f t="shared" si="13"/>
        <v>-0.12915177598290734</v>
      </c>
      <c r="FA26" s="78" cm="1">
        <f t="array" ref="FA26">IF(EI26=0,
IF(EK26="positif",ABS(EY26),ABS(EY26)*(-1)),
INDEX($BM$8:$BM$44,EI26))</f>
        <v>-0.12915177598290734</v>
      </c>
    </row>
    <row r="27" spans="2:157" ht="30" x14ac:dyDescent="0.25">
      <c r="B27" s="106">
        <v>20</v>
      </c>
      <c r="C27" s="106" t="s">
        <v>539</v>
      </c>
      <c r="D27" s="106" t="s">
        <v>210</v>
      </c>
      <c r="E27" s="106" t="str">
        <f>INDEX(Pipes_result_save_V1!$G$2:$G$206,MATCH(D27,Pipes_result_save_V1!$I$2:$I$206,0))</f>
        <v>N102</v>
      </c>
      <c r="F27" s="106" t="str">
        <f>INDEX(Pipes_result_save_V1!$H$2:$H$206,MATCH(D27,Pipes_result_save_V1!$I$2:$I$206,0))</f>
        <v>N101</v>
      </c>
      <c r="G27" s="106">
        <v>7.2999999999999995E-2</v>
      </c>
      <c r="H27" s="107">
        <v>350</v>
      </c>
      <c r="I27" s="107">
        <v>150</v>
      </c>
      <c r="J27" s="107">
        <v>73</v>
      </c>
      <c r="K27" s="107">
        <v>12.094195673475639</v>
      </c>
      <c r="L27" s="107">
        <v>7.2999999999999995E-2</v>
      </c>
      <c r="M27" s="107">
        <v>9.4940371718878883E-2</v>
      </c>
      <c r="N27" s="107">
        <v>2.4086242249775851</v>
      </c>
      <c r="O27" s="107">
        <f>INDEX(Pipes_result_save_V1!$K$2:$K$206,MATCH(D27,Pipes_result_save_V1!$I$2:$I$206,0)) *POWER(10,-3)</f>
        <v>-2.2651252746582031E-3</v>
      </c>
      <c r="P27" s="78">
        <v>5.0199050443581169E-3</v>
      </c>
      <c r="Q27" s="78">
        <f t="shared" si="0"/>
        <v>-5.5969350761835013E-3</v>
      </c>
      <c r="R27" s="78">
        <f t="shared" si="1"/>
        <v>5.5969350761835013E-3</v>
      </c>
      <c r="S27" s="78"/>
      <c r="T27" s="78"/>
      <c r="U27" s="78"/>
      <c r="V27" s="78"/>
      <c r="W27" s="78">
        <v>0</v>
      </c>
      <c r="X27" s="78">
        <v>20</v>
      </c>
      <c r="Y27" s="78" t="s">
        <v>540</v>
      </c>
      <c r="Z27" s="78" t="s">
        <v>435</v>
      </c>
      <c r="AA27" s="106" t="str">
        <f>INDEX(Pipes_result_save_V1!$G$2:$G$206,MATCH(Z27,Pipes_result_save_V1!$I$2:$I$206,0))</f>
        <v>N141</v>
      </c>
      <c r="AB27" s="106" t="str">
        <f>INDEX(Pipes_result_save_V1!$H$2:$H$206,MATCH(Z27,Pipes_result_save_V1!$I$2:$I$206,0))</f>
        <v>N142</v>
      </c>
      <c r="AC27" s="78">
        <v>5.8057999999999998E-2</v>
      </c>
      <c r="AD27" s="78">
        <v>300</v>
      </c>
      <c r="AE27" s="78">
        <v>150</v>
      </c>
      <c r="AF27" s="78">
        <v>100</v>
      </c>
      <c r="AG27" s="78">
        <v>35.103623100557243</v>
      </c>
      <c r="AH27" s="78">
        <v>-5.8057999999999998E-2</v>
      </c>
      <c r="AI27" s="78">
        <v>0</v>
      </c>
      <c r="AJ27" s="78">
        <v>0</v>
      </c>
      <c r="AK27" s="78">
        <v>-0.18031194520390531</v>
      </c>
      <c r="AL27">
        <v>5.7517951448143707</v>
      </c>
      <c r="AM27" s="107">
        <f>INDEX(Pipes_result_save_V1!$K$2:$K$206,MATCH(Z27,Pipes_result_save_V1!$I$2:$I$206,0)) *POWER(10,-3)</f>
        <v>1.490505695343018E-2</v>
      </c>
      <c r="AN27" s="78">
        <v>3.1666859101101511E-3</v>
      </c>
      <c r="AO27" s="78">
        <f t="shared" si="2"/>
        <v>3.5211178482065772E-2</v>
      </c>
      <c r="AP27" s="78">
        <f t="shared" si="3"/>
        <v>-3.5211178482065772E-2</v>
      </c>
      <c r="AQ27" s="78" cm="1">
        <f t="array" ref="AQ27">IF(W27=0,
IF(Y27="positif",ABS(AO27),ABS(AO27)*(-1)),
INDEX($R$8:$R$77,W27))</f>
        <v>-3.5211178482065772E-2</v>
      </c>
      <c r="AU27">
        <v>0</v>
      </c>
      <c r="AV27">
        <v>20</v>
      </c>
      <c r="AW27" t="s">
        <v>540</v>
      </c>
      <c r="AX27" t="s">
        <v>411</v>
      </c>
      <c r="AY27" s="106" t="str">
        <f>INDEX(Pipes_result_save_V1!$G$2:$G$206,MATCH(AX27,Pipes_result_save_V1!$I$2:$I$206,0))</f>
        <v>N117</v>
      </c>
      <c r="AZ27" s="106" t="str">
        <f>INDEX(Pipes_result_save_V1!$H$2:$H$206,MATCH(AX27,Pipes_result_save_V1!$I$2:$I$206,0))</f>
        <v>N195</v>
      </c>
      <c r="BA27">
        <v>3.2837000000000005E-2</v>
      </c>
      <c r="BB27">
        <v>250</v>
      </c>
      <c r="BC27">
        <v>150</v>
      </c>
      <c r="BD27">
        <v>117</v>
      </c>
      <c r="BE27">
        <v>99.822778557760188</v>
      </c>
      <c r="BF27">
        <v>-3.2837000000000005E-2</v>
      </c>
      <c r="BG27">
        <v>-0.1784575006086303</v>
      </c>
      <c r="BH27">
        <v>10.064966078727755</v>
      </c>
      <c r="BI27" s="107">
        <f>INDEX(Pipes_result_save_V1!$K$2:$K$206,MATCH(AX27,Pipes_result_save_V1!$I$2:$I$206,0)) *POWER(10,-3)</f>
        <v>1.881206631660461E-3</v>
      </c>
      <c r="BJ27" s="78">
        <v>6.4525918843725888E-3</v>
      </c>
      <c r="BK27" s="78">
        <f t="shared" si="4"/>
        <v>3.8250255700015404E-2</v>
      </c>
      <c r="BL27" s="78">
        <f t="shared" si="5"/>
        <v>-3.8250255700015404E-2</v>
      </c>
      <c r="BM27" s="78" cm="1">
        <f t="array" ref="BM27">IF(AU27=0,
IF(AW27="positif",ABS(BK27),ABS(BK27)*(-1)),
INDEX($AQ$8:$AQ$77,AU27))</f>
        <v>-3.8250255700015404E-2</v>
      </c>
      <c r="BN27" s="78"/>
      <c r="BO27" s="78"/>
      <c r="BR27">
        <v>0</v>
      </c>
      <c r="BS27">
        <v>20</v>
      </c>
      <c r="BT27" t="s">
        <v>539</v>
      </c>
      <c r="BU27" t="s">
        <v>115</v>
      </c>
      <c r="BV27" s="106" t="str">
        <f>INDEX(Pipes_result_save_V1!$G$2:$G$206,MATCH(BU27,Pipes_result_save_V1!$I$2:$I$206,0))</f>
        <v>N70</v>
      </c>
      <c r="BW27" s="106" t="str">
        <f>INDEX(Pipes_result_save_V1!$H$2:$H$206,MATCH(BU27,Pipes_result_save_V1!$I$2:$I$206,0))</f>
        <v>N69</v>
      </c>
      <c r="BX27">
        <v>0.19939599999999999</v>
      </c>
      <c r="BY27">
        <v>565</v>
      </c>
      <c r="BZ27">
        <v>150</v>
      </c>
      <c r="CA27">
        <v>166</v>
      </c>
      <c r="CB27">
        <v>2.6686380466646789</v>
      </c>
      <c r="CC27">
        <v>0.19939599999999999</v>
      </c>
      <c r="CD27">
        <v>0.13469904721539741</v>
      </c>
      <c r="CE27">
        <v>1.2510914734644432</v>
      </c>
      <c r="CF27" s="107">
        <f>INDEX(Pipes_result_save_V1!$K$2:$K$206,MATCH(BU27,Pipes_result_save_V1!$I$2:$I$206,0)) *POWER(10,-3)</f>
        <v>-4.6855716705322271E-2</v>
      </c>
      <c r="CG27" s="78">
        <v>6.5772864277440666E-3</v>
      </c>
      <c r="CH27" s="78">
        <f t="shared" si="6"/>
        <v>0.19013979611493428</v>
      </c>
      <c r="CI27" s="78">
        <f t="shared" si="7"/>
        <v>0.19013979611493428</v>
      </c>
      <c r="CJ27" s="78" cm="1">
        <f t="array" ref="CJ27">IF(BR27=0,
IF(BT27="positif",ABS(CH27),ABS(CH27)*(-1)),
INDEX($BM$8:$BM$44,BR27))</f>
        <v>0.19013979611493428</v>
      </c>
      <c r="CN27">
        <v>0</v>
      </c>
      <c r="CO27">
        <v>20</v>
      </c>
      <c r="CP27" t="s">
        <v>539</v>
      </c>
      <c r="CQ27" t="s">
        <v>163</v>
      </c>
      <c r="CR27" s="106" t="str">
        <f>INDEX(Pipes_result_save_V1!$G$2:$G$206,MATCH(CQ27,Pipes_result_save_V1!$I$2:$I$206,0))</f>
        <v>N49</v>
      </c>
      <c r="CS27" s="106" t="str">
        <f>INDEX(Pipes_result_save_V1!$H$2:$H$206,MATCH(CQ27,Pipes_result_save_V1!$I$2:$I$206,0))</f>
        <v>N48</v>
      </c>
      <c r="CT27">
        <v>0.16656000000000001</v>
      </c>
      <c r="CU27">
        <v>466</v>
      </c>
      <c r="CV27">
        <v>150</v>
      </c>
      <c r="CW27">
        <v>395</v>
      </c>
      <c r="CX27">
        <v>16.229265690160354</v>
      </c>
      <c r="CY27">
        <v>0.16656000000000001</v>
      </c>
      <c r="CZ27">
        <v>0.58701314848494113</v>
      </c>
      <c r="DA27">
        <v>6.5270674291193025</v>
      </c>
      <c r="DB27" s="107">
        <f>INDEX(Pipes_result_save_V1!$K$2:$K$206,MATCH(CQ27,Pipes_result_save_V1!$I$2:$I$206,0)) *POWER(10,-3)</f>
        <v>-4.1470172882080082E-2</v>
      </c>
      <c r="DC27" s="78">
        <v>5.4823274001327433E-3</v>
      </c>
      <c r="DD27" s="78">
        <f t="shared" si="8"/>
        <v>0.15497564373451178</v>
      </c>
      <c r="DE27" s="78">
        <f t="shared" si="9"/>
        <v>0.15497564373451178</v>
      </c>
      <c r="DF27" s="78" cm="1">
        <f t="array" ref="DF27">IF(CN27=0,
IF(CP27="positif",ABS(DD27),ABS(DD27)*(-1)),
INDEX($BM$8:$BM$44,CN27))</f>
        <v>0.15497564373451178</v>
      </c>
      <c r="DL27">
        <v>0</v>
      </c>
      <c r="DM27">
        <v>20</v>
      </c>
      <c r="DN27" t="s">
        <v>539</v>
      </c>
      <c r="DO27" t="s">
        <v>139</v>
      </c>
      <c r="DP27" s="106" t="str">
        <f>INDEX(Pipes_result_save_V1!$G$2:$G$206,MATCH(DO27,Pipes_result_save_V1!$I$2:$I$206,0))</f>
        <v>N31</v>
      </c>
      <c r="DQ27" s="106" t="str">
        <f>INDEX(Pipes_result_save_V1!$H$2:$H$206,MATCH(DO27,Pipes_result_save_V1!$I$2:$I$206,0))</f>
        <v>N30</v>
      </c>
      <c r="DR27">
        <v>0.16656000000000001</v>
      </c>
      <c r="DS27">
        <v>466</v>
      </c>
      <c r="DT27">
        <v>150</v>
      </c>
      <c r="DU27">
        <v>251</v>
      </c>
      <c r="DV27">
        <v>10.312773894253795</v>
      </c>
      <c r="DW27">
        <v>0.16656000000000001</v>
      </c>
      <c r="DX27">
        <v>0.37301341840435503</v>
      </c>
      <c r="DY27">
        <v>4.1475795562251774</v>
      </c>
      <c r="DZ27" s="107">
        <f>INDEX(Pipes_result_save_V1!$K$2:$K$206,MATCH(DO27,Pipes_result_save_V1!$I$2:$I$206,0)) *POWER(10,-3)</f>
        <v>-0.19499050903320311</v>
      </c>
      <c r="EA27" s="78">
        <v>5.7945520514642189E-3</v>
      </c>
      <c r="EB27" s="78">
        <f t="shared" si="10"/>
        <v>0.16714548384202288</v>
      </c>
      <c r="EC27" s="78">
        <f t="shared" si="11"/>
        <v>0.16714548384202288</v>
      </c>
      <c r="ED27" s="78" cm="1">
        <f t="array" ref="ED27">IF(DL27=0,
IF(DN27="positif",ABS(EB27),ABS(EB27)*(-1)),
INDEX($BM$8:$BM$44,DL27))</f>
        <v>0.16714548384202288</v>
      </c>
      <c r="EE27" s="78"/>
      <c r="EF27" s="78"/>
      <c r="EI27">
        <v>7</v>
      </c>
      <c r="EJ27">
        <v>20</v>
      </c>
      <c r="EK27" t="s">
        <v>540</v>
      </c>
      <c r="EL27" t="s">
        <v>151</v>
      </c>
      <c r="EM27" s="106" t="str">
        <f>INDEX(Pipes_result_save_V1!$G$2:$G$206,MATCH(EL27,Pipes_result_save_V1!$I$2:$I$206,0))</f>
        <v>N19</v>
      </c>
      <c r="EN27" s="106" t="str">
        <f>INDEX(Pipes_result_save_V1!$H$2:$H$206,MATCH(EL27,Pipes_result_save_V1!$I$2:$I$206,0))</f>
        <v>N18</v>
      </c>
      <c r="EO27">
        <v>0.16656000000000001</v>
      </c>
      <c r="EP27">
        <v>466</v>
      </c>
      <c r="EQ27">
        <v>150</v>
      </c>
      <c r="ER27">
        <v>56</v>
      </c>
      <c r="ES27">
        <v>2.3008579206303286</v>
      </c>
      <c r="ET27">
        <v>-9.4864356265488253E-2</v>
      </c>
      <c r="EU27">
        <v>-2.9341659712503444E-2</v>
      </c>
      <c r="EV27">
        <v>0.57282583181693481</v>
      </c>
      <c r="EW27" s="107">
        <f>INDEX(Pipes_result_save_V1!$K$2:$K$206,MATCH(EL27,Pipes_result_save_V1!$I$2:$I$206,0)) *POWER(10,-3)</f>
        <v>-0.20831297302246091</v>
      </c>
      <c r="EX27" s="78">
        <v>6.5037300181306525E-3</v>
      </c>
      <c r="EY27" s="78">
        <f t="shared" si="12"/>
        <v>0.12915177598290734</v>
      </c>
      <c r="EZ27" s="78">
        <f t="shared" si="13"/>
        <v>-0.12915177598290734</v>
      </c>
      <c r="FA27" s="78" cm="1">
        <f t="array" ref="FA27">IF(EI27=0,
IF(EK27="positif",ABS(EY27),ABS(EY27)*(-1)),
INDEX($BM$8:$BM$44,EI27))</f>
        <v>3.8250255700015404E-2</v>
      </c>
    </row>
    <row r="28" spans="2:157" ht="30" x14ac:dyDescent="0.25">
      <c r="B28" s="106">
        <v>21</v>
      </c>
      <c r="C28" s="106" t="s">
        <v>539</v>
      </c>
      <c r="D28" s="106" t="s">
        <v>208</v>
      </c>
      <c r="E28" s="106" t="str">
        <f>INDEX(Pipes_result_save_V1!$G$2:$G$206,MATCH(D28,Pipes_result_save_V1!$I$2:$I$206,0))</f>
        <v>N103</v>
      </c>
      <c r="F28" s="106" t="str">
        <f>INDEX(Pipes_result_save_V1!$H$2:$H$206,MATCH(D28,Pipes_result_save_V1!$I$2:$I$206,0))</f>
        <v>N102</v>
      </c>
      <c r="G28" s="106">
        <v>5.6000000000000001E-2</v>
      </c>
      <c r="H28" s="107">
        <v>300</v>
      </c>
      <c r="I28" s="107">
        <v>150</v>
      </c>
      <c r="J28" s="107">
        <v>56</v>
      </c>
      <c r="K28" s="107">
        <v>19.658028936312054</v>
      </c>
      <c r="L28" s="107">
        <v>5.6000000000000001E-2</v>
      </c>
      <c r="M28" s="107">
        <v>9.4446136293034055E-2</v>
      </c>
      <c r="N28" s="107">
        <v>3.1234686502624811</v>
      </c>
      <c r="O28" s="107">
        <f>INDEX(Pipes_result_save_V1!$K$2:$K$206,MATCH(D28,Pipes_result_save_V1!$I$2:$I$206,0)) *POWER(10,-3)</f>
        <v>-1.529109477996826E-3</v>
      </c>
      <c r="P28" s="78">
        <v>5.6469291829771987E-3</v>
      </c>
      <c r="Q28" s="78">
        <f t="shared" si="0"/>
        <v>-2.2596935076183496E-2</v>
      </c>
      <c r="R28" s="78">
        <f t="shared" si="1"/>
        <v>2.2596935076183496E-2</v>
      </c>
      <c r="S28" s="78"/>
      <c r="T28" s="78"/>
      <c r="U28" s="78"/>
      <c r="V28" s="78"/>
      <c r="W28" s="78">
        <v>0</v>
      </c>
      <c r="X28" s="78">
        <v>21</v>
      </c>
      <c r="Y28" s="78" t="s">
        <v>540</v>
      </c>
      <c r="Z28" s="78" t="s">
        <v>207</v>
      </c>
      <c r="AA28" s="106" t="str">
        <f>INDEX(Pipes_result_save_V1!$G$2:$G$206,MATCH(Z28,Pipes_result_save_V1!$I$2:$I$206,0))</f>
        <v>N142</v>
      </c>
      <c r="AB28" s="106" t="str">
        <f>INDEX(Pipes_result_save_V1!$H$2:$H$206,MATCH(Z28,Pipes_result_save_V1!$I$2:$I$206,0))</f>
        <v>N143</v>
      </c>
      <c r="AC28" s="78">
        <v>5.8057999999999998E-2</v>
      </c>
      <c r="AD28" s="78">
        <v>300</v>
      </c>
      <c r="AE28" s="78">
        <v>150</v>
      </c>
      <c r="AF28" s="78">
        <v>427</v>
      </c>
      <c r="AG28" s="78">
        <v>149.89247063937941</v>
      </c>
      <c r="AH28" s="78">
        <v>-5.8057999999999998E-2</v>
      </c>
      <c r="AI28" s="78">
        <v>0</v>
      </c>
      <c r="AJ28" s="78">
        <v>0</v>
      </c>
      <c r="AK28" s="78">
        <v>-0.76993200602067557</v>
      </c>
      <c r="AL28">
        <v>24.560165268357366</v>
      </c>
      <c r="AM28" s="107">
        <f>INDEX(Pipes_result_save_V1!$K$2:$K$206,MATCH(Z28,Pipes_result_save_V1!$I$2:$I$206,0)) *POWER(10,-3)</f>
        <v>1.1898232460021972E-2</v>
      </c>
      <c r="AN28" s="78">
        <v>2.2711077312536948E-3</v>
      </c>
      <c r="AO28" s="78">
        <f t="shared" si="2"/>
        <v>3.5211178482065772E-2</v>
      </c>
      <c r="AP28" s="78">
        <f t="shared" si="3"/>
        <v>-3.5211178482065772E-2</v>
      </c>
      <c r="AQ28" s="78" cm="1">
        <f t="array" ref="AQ28">IF(W28=0,
IF(Y28="positif",ABS(AO28),ABS(AO28)*(-1)),
INDEX($R$8:$R$77,W28))</f>
        <v>-3.5211178482065772E-2</v>
      </c>
      <c r="AU28">
        <v>0</v>
      </c>
      <c r="AV28">
        <v>21</v>
      </c>
      <c r="AW28" t="s">
        <v>540</v>
      </c>
      <c r="AX28" t="s">
        <v>309</v>
      </c>
      <c r="AY28" s="106" t="str">
        <f>INDEX(Pipes_result_save_V1!$G$2:$G$206,MATCH(AX28,Pipes_result_save_V1!$I$2:$I$206,0))</f>
        <v>N119</v>
      </c>
      <c r="AZ28" s="106" t="str">
        <f>INDEX(Pipes_result_save_V1!$H$2:$H$206,MATCH(AX28,Pipes_result_save_V1!$I$2:$I$206,0))</f>
        <v>N118</v>
      </c>
      <c r="BA28">
        <v>3.2837000000000005E-2</v>
      </c>
      <c r="BB28">
        <v>250</v>
      </c>
      <c r="BC28">
        <v>150</v>
      </c>
      <c r="BD28">
        <v>118</v>
      </c>
      <c r="BE28">
        <v>100.6759646992795</v>
      </c>
      <c r="BF28">
        <v>-3.2837000000000005E-2</v>
      </c>
      <c r="BG28">
        <v>-0.17998277839161003</v>
      </c>
      <c r="BH28">
        <v>10.150991429827991</v>
      </c>
      <c r="BI28" s="107">
        <f>INDEX(Pipes_result_save_V1!$K$2:$K$206,MATCH(AX28,Pipes_result_save_V1!$I$2:$I$206,0)) *POWER(10,-3)</f>
        <v>5.4757027626037595E-3</v>
      </c>
      <c r="BJ28" s="78">
        <v>5.4062193935375024E-3</v>
      </c>
      <c r="BK28" s="78">
        <f t="shared" si="4"/>
        <v>3.8250255700015404E-2</v>
      </c>
      <c r="BL28" s="78">
        <f t="shared" si="5"/>
        <v>-3.8250255700015404E-2</v>
      </c>
      <c r="BM28" s="78" cm="1">
        <f t="array" ref="BM28">IF(AU28=0,
IF(AW28="positif",ABS(BK28),ABS(BK28)*(-1)),
INDEX($AQ$8:$AQ$77,AU28))</f>
        <v>-3.8250255700015404E-2</v>
      </c>
      <c r="BN28" s="78"/>
      <c r="BO28" s="78"/>
      <c r="BR28">
        <v>0</v>
      </c>
      <c r="BS28">
        <v>21</v>
      </c>
      <c r="BT28" t="s">
        <v>539</v>
      </c>
      <c r="BU28" t="s">
        <v>424</v>
      </c>
      <c r="BV28" s="106" t="str">
        <f>INDEX(Pipes_result_save_V1!$G$2:$G$206,MATCH(BU28,Pipes_result_save_V1!$I$2:$I$206,0))</f>
        <v>N71</v>
      </c>
      <c r="BW28" s="106" t="str">
        <f>INDEX(Pipes_result_save_V1!$H$2:$H$206,MATCH(BU28,Pipes_result_save_V1!$I$2:$I$206,0))</f>
        <v>N70</v>
      </c>
      <c r="BX28">
        <v>0.19939599999999999</v>
      </c>
      <c r="BY28">
        <v>565</v>
      </c>
      <c r="BZ28">
        <v>150</v>
      </c>
      <c r="CA28">
        <v>584</v>
      </c>
      <c r="CB28">
        <v>9.3884615617600762</v>
      </c>
      <c r="CC28">
        <v>0.19939599999999999</v>
      </c>
      <c r="CD28">
        <v>0.4738809853842898</v>
      </c>
      <c r="CE28">
        <v>4.4014302439953905</v>
      </c>
      <c r="CF28" s="107">
        <f>INDEX(Pipes_result_save_V1!$K$2:$K$206,MATCH(BU28,Pipes_result_save_V1!$I$2:$I$206,0)) *POWER(10,-3)</f>
        <v>-4.2576553344726563E-2</v>
      </c>
      <c r="CG28" s="78">
        <v>6.2289717613895172E-3</v>
      </c>
      <c r="CH28" s="78">
        <f t="shared" si="6"/>
        <v>0.19013979611493428</v>
      </c>
      <c r="CI28" s="78">
        <f t="shared" si="7"/>
        <v>0.19013979611493428</v>
      </c>
      <c r="CJ28" s="78" cm="1">
        <f t="array" ref="CJ28">IF(BR28=0,
IF(BT28="positif",ABS(CH28),ABS(CH28)*(-1)),
INDEX($BM$8:$BM$44,BR28))</f>
        <v>0.19013979611493428</v>
      </c>
      <c r="CN28">
        <v>0</v>
      </c>
      <c r="CO28">
        <v>21</v>
      </c>
      <c r="CP28" t="s">
        <v>539</v>
      </c>
      <c r="CQ28" t="s">
        <v>162</v>
      </c>
      <c r="CR28" s="106" t="str">
        <f>INDEX(Pipes_result_save_V1!$G$2:$G$206,MATCH(CQ28,Pipes_result_save_V1!$I$2:$I$206,0))</f>
        <v>N50</v>
      </c>
      <c r="CS28" s="106" t="str">
        <f>INDEX(Pipes_result_save_V1!$H$2:$H$206,MATCH(CQ28,Pipes_result_save_V1!$I$2:$I$206,0))</f>
        <v>N49</v>
      </c>
      <c r="CT28">
        <v>0.16656000000000001</v>
      </c>
      <c r="CU28">
        <v>466</v>
      </c>
      <c r="CV28">
        <v>150</v>
      </c>
      <c r="CW28">
        <v>151</v>
      </c>
      <c r="CX28">
        <v>6.204099035985351</v>
      </c>
      <c r="CY28">
        <v>0.16656000000000001</v>
      </c>
      <c r="CZ28">
        <v>0.22440249473728133</v>
      </c>
      <c r="DA28">
        <v>2.4951574222709234</v>
      </c>
      <c r="DB28" s="107">
        <f>INDEX(Pipes_result_save_V1!$K$2:$K$206,MATCH(CQ28,Pipes_result_save_V1!$I$2:$I$206,0)) *POWER(10,-3)</f>
        <v>-3.8354942321777337E-2</v>
      </c>
      <c r="DC28" s="78">
        <v>6.1182236357745726E-3</v>
      </c>
      <c r="DD28" s="78">
        <f t="shared" si="8"/>
        <v>0.15497564373451178</v>
      </c>
      <c r="DE28" s="78">
        <f t="shared" si="9"/>
        <v>0.15497564373451178</v>
      </c>
      <c r="DF28" s="78" cm="1">
        <f t="array" ref="DF28">IF(CN28=0,
IF(CP28="positif",ABS(DD28),ABS(DD28)*(-1)),
INDEX($BM$8:$BM$44,CN28))</f>
        <v>0.15497564373451178</v>
      </c>
      <c r="DL28">
        <v>3</v>
      </c>
      <c r="DM28">
        <v>21</v>
      </c>
      <c r="DN28" t="s">
        <v>539</v>
      </c>
      <c r="DO28" t="s">
        <v>138</v>
      </c>
      <c r="DP28" s="106" t="str">
        <f>INDEX(Pipes_result_save_V1!$G$2:$G$206,MATCH(DO28,Pipes_result_save_V1!$I$2:$I$206,0))</f>
        <v>N32</v>
      </c>
      <c r="DQ28" s="106" t="str">
        <f>INDEX(Pipes_result_save_V1!$H$2:$H$206,MATCH(DO28,Pipes_result_save_V1!$I$2:$I$206,0))</f>
        <v>N31</v>
      </c>
      <c r="DR28">
        <v>8.3280000000000007E-2</v>
      </c>
      <c r="DS28">
        <v>350</v>
      </c>
      <c r="DT28">
        <v>150</v>
      </c>
      <c r="DU28">
        <v>129</v>
      </c>
      <c r="DV28">
        <v>21.371934820251475</v>
      </c>
      <c r="DW28">
        <v>-9.4864356265488253E-2</v>
      </c>
      <c r="DX28">
        <v>-0.27254531158613615</v>
      </c>
      <c r="DY28">
        <v>5.3207963130526608</v>
      </c>
      <c r="DZ28" s="107">
        <f>INDEX(Pipes_result_save_V1!$K$2:$K$206,MATCH(DO28,Pipes_result_save_V1!$I$2:$I$206,0)) *POWER(10,-3)</f>
        <v>-0.11996421051025391</v>
      </c>
      <c r="EA28" s="78">
        <v>5.036829583133345E-3</v>
      </c>
      <c r="EB28" s="78">
        <f t="shared" si="10"/>
        <v>8.3865483842022887E-2</v>
      </c>
      <c r="EC28" s="78">
        <f t="shared" si="11"/>
        <v>8.3865483842022887E-2</v>
      </c>
      <c r="ED28" s="78" cm="1">
        <f t="array" ref="ED28">IF(DL28=0,
IF(DN28="positif",ABS(EB28),ABS(EB28)*(-1)),
INDEX($BM$8:$BM$44,DL28))</f>
        <v>3.8250255700015404E-2</v>
      </c>
      <c r="EE28" s="78"/>
      <c r="EF28" s="78"/>
      <c r="EI28">
        <v>8</v>
      </c>
      <c r="EJ28">
        <v>21</v>
      </c>
      <c r="EK28" t="s">
        <v>540</v>
      </c>
      <c r="EL28" t="s">
        <v>150</v>
      </c>
      <c r="EM28" s="106" t="str">
        <f>INDEX(Pipes_result_save_V1!$G$2:$G$206,MATCH(EL28,Pipes_result_save_V1!$I$2:$I$206,0))</f>
        <v>N20</v>
      </c>
      <c r="EN28" s="106" t="str">
        <f>INDEX(Pipes_result_save_V1!$H$2:$H$206,MATCH(EL28,Pipes_result_save_V1!$I$2:$I$206,0))</f>
        <v>N19</v>
      </c>
      <c r="EO28">
        <v>0.16656000000000001</v>
      </c>
      <c r="EP28">
        <v>466</v>
      </c>
      <c r="EQ28">
        <v>150</v>
      </c>
      <c r="ER28">
        <v>60</v>
      </c>
      <c r="ES28">
        <v>2.4652049149610664</v>
      </c>
      <c r="ET28">
        <v>-9.4864356265488253E-2</v>
      </c>
      <c r="EU28">
        <v>-3.1437492549110831E-2</v>
      </c>
      <c r="EV28">
        <v>0.61374196266100156</v>
      </c>
      <c r="EW28" s="107">
        <f>INDEX(Pipes_result_save_V1!$K$2:$K$206,MATCH(EL28,Pipes_result_save_V1!$I$2:$I$206,0)) *POWER(10,-3)</f>
        <v>-0.207651123046875</v>
      </c>
      <c r="EX28" s="78">
        <v>5.2568459135372853E-3</v>
      </c>
      <c r="EY28" s="78">
        <f t="shared" si="12"/>
        <v>0.12915177598290734</v>
      </c>
      <c r="EZ28" s="78">
        <f t="shared" si="13"/>
        <v>-0.12915177598290734</v>
      </c>
      <c r="FA28" s="78" cm="1">
        <f t="array" ref="FA28">IF(EI28=0,
IF(EK28="positif",ABS(EY28),ABS(EY28)*(-1)),
INDEX($BM$8:$BM$44,EI28))</f>
        <v>3.8250255700015404E-2</v>
      </c>
    </row>
    <row r="29" spans="2:157" ht="30" x14ac:dyDescent="0.25">
      <c r="B29" s="106">
        <v>22</v>
      </c>
      <c r="C29" s="106" t="s">
        <v>539</v>
      </c>
      <c r="D29" s="106" t="s">
        <v>229</v>
      </c>
      <c r="E29" s="106" t="str">
        <f>INDEX(Pipes_result_save_V1!$G$2:$G$206,MATCH(D29,Pipes_result_save_V1!$I$2:$I$206,0))</f>
        <v>N104</v>
      </c>
      <c r="F29" s="106" t="str">
        <f>INDEX(Pipes_result_save_V1!$H$2:$H$206,MATCH(D29,Pipes_result_save_V1!$I$2:$I$206,0))</f>
        <v>N103</v>
      </c>
      <c r="G29" s="106">
        <v>2.1999999999999999E-2</v>
      </c>
      <c r="H29" s="107">
        <v>200</v>
      </c>
      <c r="I29" s="107">
        <v>150</v>
      </c>
      <c r="J29" s="107">
        <v>22</v>
      </c>
      <c r="K29" s="107">
        <v>55.656404494062755</v>
      </c>
      <c r="L29" s="107">
        <v>2.1999999999999999E-2</v>
      </c>
      <c r="M29" s="107">
        <v>4.7389480906776568E-2</v>
      </c>
      <c r="N29" s="107">
        <v>3.989332665425009</v>
      </c>
      <c r="O29" s="107">
        <f>INDEX(Pipes_result_save_V1!$K$2:$K$206,MATCH(D29,Pipes_result_save_V1!$I$2:$I$206,0)) *POWER(10,-3)</f>
        <v>-1.0840767621994021E-3</v>
      </c>
      <c r="P29" s="78">
        <v>5.9833790741995064E-3</v>
      </c>
      <c r="Q29" s="78">
        <f t="shared" si="0"/>
        <v>-5.6596935076183498E-2</v>
      </c>
      <c r="R29" s="78">
        <f t="shared" si="1"/>
        <v>5.6596935076183498E-2</v>
      </c>
      <c r="S29" s="78"/>
      <c r="T29" s="78"/>
      <c r="U29" s="78"/>
      <c r="V29" s="78"/>
      <c r="W29" s="78">
        <v>0</v>
      </c>
      <c r="X29" s="78">
        <v>22</v>
      </c>
      <c r="Y29" s="78" t="s">
        <v>540</v>
      </c>
      <c r="Z29" s="78" t="s">
        <v>206</v>
      </c>
      <c r="AA29" s="106" t="str">
        <f>INDEX(Pipes_result_save_V1!$G$2:$G$206,MATCH(Z29,Pipes_result_save_V1!$I$2:$I$206,0))</f>
        <v>N143</v>
      </c>
      <c r="AB29" s="106" t="str">
        <f>INDEX(Pipes_result_save_V1!$H$2:$H$206,MATCH(Z29,Pipes_result_save_V1!$I$2:$I$206,0))</f>
        <v>N144</v>
      </c>
      <c r="AC29" s="78">
        <v>5.8057999999999998E-2</v>
      </c>
      <c r="AD29" s="78">
        <v>300</v>
      </c>
      <c r="AE29" s="78">
        <v>150</v>
      </c>
      <c r="AF29" s="78">
        <v>87</v>
      </c>
      <c r="AG29" s="78">
        <v>30.540152097484796</v>
      </c>
      <c r="AH29" s="78">
        <v>-5.8057999999999998E-2</v>
      </c>
      <c r="AI29" s="78">
        <v>0</v>
      </c>
      <c r="AJ29" s="78">
        <v>0</v>
      </c>
      <c r="AK29" s="78">
        <v>-0.15687139232739758</v>
      </c>
      <c r="AL29">
        <v>5.004061775988502</v>
      </c>
      <c r="AM29" s="107">
        <f>INDEX(Pipes_result_save_V1!$K$2:$K$206,MATCH(Z29,Pipes_result_save_V1!$I$2:$I$206,0)) *POWER(10,-3)</f>
        <v>8.9655799865722662E-3</v>
      </c>
      <c r="AN29" s="78">
        <v>5.0495861250672309E-4</v>
      </c>
      <c r="AO29" s="78">
        <f t="shared" si="2"/>
        <v>3.5211178482065772E-2</v>
      </c>
      <c r="AP29" s="78">
        <f t="shared" si="3"/>
        <v>-3.5211178482065772E-2</v>
      </c>
      <c r="AQ29" s="78" cm="1">
        <f t="array" ref="AQ29">IF(W29=0,
IF(Y29="positif",ABS(AO29),ABS(AO29)*(-1)),
INDEX($R$8:$R$77,W29))</f>
        <v>-3.5211178482065772E-2</v>
      </c>
      <c r="AU29">
        <v>0</v>
      </c>
      <c r="AV29">
        <v>22</v>
      </c>
      <c r="AW29" t="s">
        <v>540</v>
      </c>
      <c r="AX29" t="s">
        <v>310</v>
      </c>
      <c r="AY29" s="106" t="str">
        <f>INDEX(Pipes_result_save_V1!$G$2:$G$206,MATCH(AX29,Pipes_result_save_V1!$I$2:$I$206,0))</f>
        <v>N120</v>
      </c>
      <c r="AZ29" s="106" t="str">
        <f>INDEX(Pipes_result_save_V1!$H$2:$H$206,MATCH(AX29,Pipes_result_save_V1!$I$2:$I$206,0))</f>
        <v>N119</v>
      </c>
      <c r="BA29">
        <v>3.2837000000000005E-2</v>
      </c>
      <c r="BB29">
        <v>250</v>
      </c>
      <c r="BC29">
        <v>150</v>
      </c>
      <c r="BD29">
        <v>119</v>
      </c>
      <c r="BE29">
        <v>101.52915084079882</v>
      </c>
      <c r="BF29">
        <v>-3.2837000000000005E-2</v>
      </c>
      <c r="BG29">
        <v>-0.18150805617458979</v>
      </c>
      <c r="BH29">
        <v>10.237016780928229</v>
      </c>
      <c r="BI29" s="107">
        <f>INDEX(Pipes_result_save_V1!$K$2:$K$206,MATCH(AX29,Pipes_result_save_V1!$I$2:$I$206,0)) *POWER(10,-3)</f>
        <v>7.6723389625549315E-3</v>
      </c>
      <c r="BJ29" s="78">
        <v>6.2339393377526019E-3</v>
      </c>
      <c r="BK29" s="78">
        <f t="shared" si="4"/>
        <v>3.8250255700015404E-2</v>
      </c>
      <c r="BL29" s="78">
        <f t="shared" si="5"/>
        <v>-3.8250255700015404E-2</v>
      </c>
      <c r="BM29" s="78" cm="1">
        <f t="array" ref="BM29">IF(AU29=0,
IF(AW29="positif",ABS(BK29),ABS(BK29)*(-1)),
INDEX($AQ$8:$AQ$77,AU29))</f>
        <v>-3.8250255700015404E-2</v>
      </c>
      <c r="BN29" s="78"/>
      <c r="BO29" s="78"/>
      <c r="BR29">
        <v>0</v>
      </c>
      <c r="BS29">
        <v>22</v>
      </c>
      <c r="BT29" t="s">
        <v>539</v>
      </c>
      <c r="BU29" t="s">
        <v>428</v>
      </c>
      <c r="BV29" s="106" t="str">
        <f>INDEX(Pipes_result_save_V1!$G$2:$G$206,MATCH(BU29,Pipes_result_save_V1!$I$2:$I$206,0))</f>
        <v>N192</v>
      </c>
      <c r="BW29" s="106" t="str">
        <f>INDEX(Pipes_result_save_V1!$H$2:$H$206,MATCH(BU29,Pipes_result_save_V1!$I$2:$I$206,0))</f>
        <v>N71</v>
      </c>
      <c r="BX29">
        <v>0.19939599999999999</v>
      </c>
      <c r="BY29">
        <v>565</v>
      </c>
      <c r="BZ29">
        <v>150</v>
      </c>
      <c r="CA29">
        <v>211</v>
      </c>
      <c r="CB29">
        <v>3.3920640231701644</v>
      </c>
      <c r="CC29">
        <v>0.19939599999999999</v>
      </c>
      <c r="CD29">
        <v>0.17121384917137866</v>
      </c>
      <c r="CE29">
        <v>1.5902427765120331</v>
      </c>
      <c r="CF29" s="107">
        <f>INDEX(Pipes_result_save_V1!$K$2:$K$206,MATCH(BU29,Pipes_result_save_V1!$I$2:$I$206,0)) *POWER(10,-3)</f>
        <v>-3.804064178466797E-2</v>
      </c>
      <c r="CG29" s="78">
        <v>6.5144624464881533E-3</v>
      </c>
      <c r="CH29" s="78">
        <f t="shared" si="6"/>
        <v>0.19013979611493428</v>
      </c>
      <c r="CI29" s="78">
        <f t="shared" si="7"/>
        <v>0.19013979611493428</v>
      </c>
      <c r="CJ29" s="78" cm="1">
        <f t="array" ref="CJ29">IF(BR29=0,
IF(BT29="positif",ABS(CH29),ABS(CH29)*(-1)),
INDEX($BM$8:$BM$44,BR29))</f>
        <v>0.19013979611493428</v>
      </c>
      <c r="CN29">
        <v>0</v>
      </c>
      <c r="CO29">
        <v>22</v>
      </c>
      <c r="CP29" t="s">
        <v>539</v>
      </c>
      <c r="CQ29" t="s">
        <v>161</v>
      </c>
      <c r="CR29" s="106" t="str">
        <f>INDEX(Pipes_result_save_V1!$G$2:$G$206,MATCH(CQ29,Pipes_result_save_V1!$I$2:$I$206,0))</f>
        <v>N51</v>
      </c>
      <c r="CS29" s="106" t="str">
        <f>INDEX(Pipes_result_save_V1!$H$2:$H$206,MATCH(CQ29,Pipes_result_save_V1!$I$2:$I$206,0))</f>
        <v>N50</v>
      </c>
      <c r="CT29">
        <v>0.16656000000000001</v>
      </c>
      <c r="CU29">
        <v>466</v>
      </c>
      <c r="CV29">
        <v>150</v>
      </c>
      <c r="CW29">
        <v>186</v>
      </c>
      <c r="CX29">
        <v>7.642135236379306</v>
      </c>
      <c r="CY29">
        <v>0.16656000000000001</v>
      </c>
      <c r="CZ29">
        <v>0.27641631802075711</v>
      </c>
      <c r="DA29">
        <v>3.0735051691549122</v>
      </c>
      <c r="DB29" s="107">
        <f>INDEX(Pipes_result_save_V1!$K$2:$K$206,MATCH(CQ29,Pipes_result_save_V1!$I$2:$I$206,0)) *POWER(10,-3)</f>
        <v>-3.6432170867919923E-2</v>
      </c>
      <c r="DC29" s="78">
        <v>6.3711449404504558E-3</v>
      </c>
      <c r="DD29" s="78">
        <f t="shared" si="8"/>
        <v>0.15497564373451178</v>
      </c>
      <c r="DE29" s="78">
        <f t="shared" si="9"/>
        <v>0.15497564373451178</v>
      </c>
      <c r="DF29" s="78" cm="1">
        <f t="array" ref="DF29">IF(CN29=0,
IF(CP29="positif",ABS(DD29),ABS(DD29)*(-1)),
INDEX($BM$8:$BM$44,CN29))</f>
        <v>0.15497564373451178</v>
      </c>
      <c r="DL29">
        <v>4</v>
      </c>
      <c r="DM29">
        <v>22</v>
      </c>
      <c r="DN29" t="s">
        <v>539</v>
      </c>
      <c r="DO29" t="s">
        <v>137</v>
      </c>
      <c r="DP29" s="106" t="str">
        <f>INDEX(Pipes_result_save_V1!$G$2:$G$206,MATCH(DO29,Pipes_result_save_V1!$I$2:$I$206,0))</f>
        <v>N33</v>
      </c>
      <c r="DQ29" s="106" t="str">
        <f>INDEX(Pipes_result_save_V1!$H$2:$H$206,MATCH(DO29,Pipes_result_save_V1!$I$2:$I$206,0))</f>
        <v>N32</v>
      </c>
      <c r="DR29">
        <v>8.3280000000000007E-2</v>
      </c>
      <c r="DS29">
        <v>350</v>
      </c>
      <c r="DT29">
        <v>150</v>
      </c>
      <c r="DU29">
        <v>157</v>
      </c>
      <c r="DV29">
        <v>26.01080439363939</v>
      </c>
      <c r="DW29">
        <v>-9.4864356265488253E-2</v>
      </c>
      <c r="DX29">
        <v>-0.33170243348080136</v>
      </c>
      <c r="DY29">
        <v>6.4756978383664165</v>
      </c>
      <c r="DZ29" s="107">
        <f>INDEX(Pipes_result_save_V1!$K$2:$K$206,MATCH(DO29,Pipes_result_save_V1!$I$2:$I$206,0)) *POWER(10,-3)</f>
        <v>-0.1183324203491211</v>
      </c>
      <c r="EA29" s="78">
        <v>5.6735385612267479E-3</v>
      </c>
      <c r="EB29" s="78">
        <f t="shared" si="10"/>
        <v>8.3865483842022887E-2</v>
      </c>
      <c r="EC29" s="78">
        <f t="shared" si="11"/>
        <v>8.3865483842022887E-2</v>
      </c>
      <c r="ED29" s="78" cm="1">
        <f t="array" ref="ED29">IF(DL29=0,
IF(DN29="positif",ABS(EB29),ABS(EB29)*(-1)),
INDEX($BM$8:$BM$44,DL29))</f>
        <v>3.8250255700015404E-2</v>
      </c>
      <c r="EE29" s="78"/>
      <c r="EF29" s="78"/>
      <c r="EI29">
        <v>9</v>
      </c>
      <c r="EJ29">
        <v>22</v>
      </c>
      <c r="EK29" t="s">
        <v>540</v>
      </c>
      <c r="EL29" t="s">
        <v>149</v>
      </c>
      <c r="EM29" s="106" t="str">
        <f>INDEX(Pipes_result_save_V1!$G$2:$G$206,MATCH(EL29,Pipes_result_save_V1!$I$2:$I$206,0))</f>
        <v>N21</v>
      </c>
      <c r="EN29" s="106" t="str">
        <f>INDEX(Pipes_result_save_V1!$H$2:$H$206,MATCH(EL29,Pipes_result_save_V1!$I$2:$I$206,0))</f>
        <v>N20</v>
      </c>
      <c r="EO29">
        <v>0.16656000000000001</v>
      </c>
      <c r="EP29">
        <v>466</v>
      </c>
      <c r="EQ29">
        <v>150</v>
      </c>
      <c r="ER29">
        <v>67</v>
      </c>
      <c r="ES29">
        <v>2.7528121550398579</v>
      </c>
      <c r="ET29">
        <v>-9.4864356265488253E-2</v>
      </c>
      <c r="EU29">
        <v>-3.5105200013173771E-2</v>
      </c>
      <c r="EV29">
        <v>0.68534519163811858</v>
      </c>
      <c r="EW29" s="107">
        <f>INDEX(Pipes_result_save_V1!$K$2:$K$206,MATCH(EL29,Pipes_result_save_V1!$I$2:$I$206,0)) *POWER(10,-3)</f>
        <v>-0.20692651367187501</v>
      </c>
      <c r="EX29" s="78">
        <v>5.3009735387532127E-3</v>
      </c>
      <c r="EY29" s="78">
        <f t="shared" si="12"/>
        <v>0.12915177598290734</v>
      </c>
      <c r="EZ29" s="78">
        <f t="shared" si="13"/>
        <v>-0.12915177598290734</v>
      </c>
      <c r="FA29" s="78" cm="1">
        <f t="array" ref="FA29">IF(EI29=0,
IF(EK29="positif",ABS(EY29),ABS(EY29)*(-1)),
INDEX($BM$8:$BM$44,EI29))</f>
        <v>3.8250255700015404E-2</v>
      </c>
    </row>
    <row r="30" spans="2:157" ht="30" x14ac:dyDescent="0.25">
      <c r="B30" s="106">
        <v>23</v>
      </c>
      <c r="C30" s="106" t="s">
        <v>539</v>
      </c>
      <c r="D30" s="106" t="s">
        <v>265</v>
      </c>
      <c r="E30" s="106" t="str">
        <f>INDEX(Pipes_result_save_V1!$G$2:$G$206,MATCH(D30,Pipes_result_save_V1!$I$2:$I$206,0))</f>
        <v>N105</v>
      </c>
      <c r="F30" s="106" t="str">
        <f>INDEX(Pipes_result_save_V1!$H$2:$H$206,MATCH(D30,Pipes_result_save_V1!$I$2:$I$206,0))</f>
        <v>N104</v>
      </c>
      <c r="G30" s="106">
        <v>5.3999999999999999E-2</v>
      </c>
      <c r="H30" s="107">
        <v>300</v>
      </c>
      <c r="I30" s="107">
        <v>150</v>
      </c>
      <c r="J30" s="107">
        <v>54</v>
      </c>
      <c r="K30" s="107">
        <v>18.955956474300912</v>
      </c>
      <c r="L30" s="107">
        <v>5.3999999999999999E-2</v>
      </c>
      <c r="M30" s="107">
        <v>8.5141039063695509E-2</v>
      </c>
      <c r="N30" s="107">
        <v>2.9200223027030376</v>
      </c>
      <c r="O30" s="107">
        <f>INDEX(Pipes_result_save_V1!$K$2:$K$206,MATCH(D30,Pipes_result_save_V1!$I$2:$I$206,0)) *POWER(10,-3)</f>
        <v>-6.5045499801635745E-4</v>
      </c>
      <c r="P30" s="78">
        <v>5.8343797197853882E-3</v>
      </c>
      <c r="Q30" s="78">
        <f t="shared" si="0"/>
        <v>-2.4596935076183497E-2</v>
      </c>
      <c r="R30" s="78">
        <f t="shared" si="1"/>
        <v>2.4596935076183497E-2</v>
      </c>
      <c r="S30" s="78"/>
      <c r="T30" s="78"/>
      <c r="U30" s="78"/>
      <c r="V30" s="78"/>
      <c r="W30" s="78">
        <v>0</v>
      </c>
      <c r="X30" s="78">
        <v>23</v>
      </c>
      <c r="Y30" s="78" t="s">
        <v>540</v>
      </c>
      <c r="Z30" s="78" t="s">
        <v>205</v>
      </c>
      <c r="AA30" s="106" t="str">
        <f>INDEX(Pipes_result_save_V1!$G$2:$G$206,MATCH(Z30,Pipes_result_save_V1!$I$2:$I$206,0))</f>
        <v>N144</v>
      </c>
      <c r="AB30" s="106" t="str">
        <f>INDEX(Pipes_result_save_V1!$H$2:$H$206,MATCH(Z30,Pipes_result_save_V1!$I$2:$I$206,0))</f>
        <v>N145</v>
      </c>
      <c r="AC30" s="78">
        <v>5.8057999999999998E-2</v>
      </c>
      <c r="AD30" s="78">
        <v>300</v>
      </c>
      <c r="AE30" s="78">
        <v>150</v>
      </c>
      <c r="AF30" s="78">
        <v>115</v>
      </c>
      <c r="AG30" s="78">
        <v>40.369166565640825</v>
      </c>
      <c r="AH30" s="78">
        <v>-5.8057999999999998E-2</v>
      </c>
      <c r="AI30" s="78">
        <v>0</v>
      </c>
      <c r="AJ30" s="78">
        <v>0</v>
      </c>
      <c r="AK30" s="78">
        <v>-0.20735873698449106</v>
      </c>
      <c r="AL30">
        <v>6.6145644165365267</v>
      </c>
      <c r="AM30" s="107">
        <f>INDEX(Pipes_result_save_V1!$K$2:$K$206,MATCH(Z30,Pipes_result_save_V1!$I$2:$I$206,0)) *POWER(10,-3)</f>
        <v>7.81305980682373E-3</v>
      </c>
      <c r="AN30" s="78">
        <v>1.096624649170189E-4</v>
      </c>
      <c r="AO30" s="78">
        <f t="shared" si="2"/>
        <v>3.5211178482065772E-2</v>
      </c>
      <c r="AP30" s="78">
        <f t="shared" si="3"/>
        <v>-3.5211178482065772E-2</v>
      </c>
      <c r="AQ30" s="78" cm="1">
        <f t="array" ref="AQ30">IF(W30=0,
IF(Y30="positif",ABS(AO30),ABS(AO30)*(-1)),
INDEX($R$8:$R$77,W30))</f>
        <v>-3.5211178482065772E-2</v>
      </c>
      <c r="AU30">
        <v>0</v>
      </c>
      <c r="AV30">
        <v>23</v>
      </c>
      <c r="AW30" t="s">
        <v>540</v>
      </c>
      <c r="AX30" t="s">
        <v>312</v>
      </c>
      <c r="AY30" s="106" t="str">
        <f>INDEX(Pipes_result_save_V1!$G$2:$G$206,MATCH(AX30,Pipes_result_save_V1!$I$2:$I$206,0))</f>
        <v>N121</v>
      </c>
      <c r="AZ30" s="106" t="str">
        <f>INDEX(Pipes_result_save_V1!$H$2:$H$206,MATCH(AX30,Pipes_result_save_V1!$I$2:$I$206,0))</f>
        <v>N120</v>
      </c>
      <c r="BA30">
        <v>3.2835999999999997E-2</v>
      </c>
      <c r="BB30">
        <v>250</v>
      </c>
      <c r="BC30">
        <v>150</v>
      </c>
      <c r="BD30">
        <v>120</v>
      </c>
      <c r="BE30">
        <v>102.38233698231814</v>
      </c>
      <c r="BF30">
        <v>-3.2835999999999997E-2</v>
      </c>
      <c r="BG30">
        <v>-0.1830230110493602</v>
      </c>
      <c r="BH30">
        <v>10.322774286253356</v>
      </c>
      <c r="BI30" s="107">
        <f>INDEX(Pipes_result_save_V1!$K$2:$K$206,MATCH(AX30,Pipes_result_save_V1!$I$2:$I$206,0)) *POWER(10,-3)</f>
        <v>9.4182367324829111E-3</v>
      </c>
      <c r="BJ30" s="78">
        <v>6.0309927401435781E-3</v>
      </c>
      <c r="BK30" s="78">
        <f t="shared" si="4"/>
        <v>3.8249255700015396E-2</v>
      </c>
      <c r="BL30" s="78">
        <f t="shared" si="5"/>
        <v>-3.8249255700015396E-2</v>
      </c>
      <c r="BM30" s="78" cm="1">
        <f t="array" ref="BM30">IF(AU30=0,
IF(AW30="positif",ABS(BK30),ABS(BK30)*(-1)),
INDEX($AQ$8:$AQ$77,AU30))</f>
        <v>-3.8249255700015396E-2</v>
      </c>
      <c r="BN30" s="78"/>
      <c r="BO30" s="78"/>
      <c r="BR30">
        <v>3</v>
      </c>
      <c r="BS30">
        <v>23</v>
      </c>
      <c r="BT30" t="s">
        <v>540</v>
      </c>
      <c r="BU30" t="s">
        <v>181</v>
      </c>
      <c r="BV30" s="106" t="str">
        <f>INDEX(Pipes_result_save_V1!$G$2:$G$206,MATCH(BU30,Pipes_result_save_V1!$I$2:$I$206,0))</f>
        <v>N72</v>
      </c>
      <c r="BW30" s="106" t="str">
        <f>INDEX(Pipes_result_save_V1!$H$2:$H$206,MATCH(BU30,Pipes_result_save_V1!$I$2:$I$206,0))</f>
        <v>N73</v>
      </c>
      <c r="BX30">
        <v>3.2837000000000005E-2</v>
      </c>
      <c r="BY30">
        <v>250</v>
      </c>
      <c r="BZ30">
        <v>150</v>
      </c>
      <c r="CA30">
        <v>80</v>
      </c>
      <c r="CB30">
        <v>68.254891321545429</v>
      </c>
      <c r="CC30">
        <v>3.8250255700015404E-2</v>
      </c>
      <c r="CD30">
        <v>0.16187231665420129</v>
      </c>
      <c r="CE30">
        <v>7.8375301016212582</v>
      </c>
      <c r="CF30" s="107">
        <f>INDEX(Pipes_result_save_V1!$K$2:$K$206,MATCH(BU30,Pipes_result_save_V1!$I$2:$I$206,0)) *POWER(10,-3)</f>
        <v>6.3329761505126952E-2</v>
      </c>
      <c r="CG30" s="78">
        <v>6.4036250195098083E-3</v>
      </c>
      <c r="CH30" s="78">
        <f t="shared" si="6"/>
        <v>2.3580796114934299E-2</v>
      </c>
      <c r="CI30" s="78">
        <f t="shared" si="7"/>
        <v>-2.3580796114934299E-2</v>
      </c>
      <c r="CJ30" s="78" cm="1">
        <f t="array" ref="CJ30">IF(BR30=0,
IF(BT30="positif",ABS(CH30),ABS(CH30)*(-1)),
INDEX($BM$8:$BM$44,BR30))</f>
        <v>3.8250255700015404E-2</v>
      </c>
      <c r="CN30">
        <v>0</v>
      </c>
      <c r="CO30">
        <v>23</v>
      </c>
      <c r="CP30" t="s">
        <v>539</v>
      </c>
      <c r="CQ30" t="s">
        <v>415</v>
      </c>
      <c r="CR30" s="106" t="str">
        <f>INDEX(Pipes_result_save_V1!$G$2:$G$206,MATCH(CQ30,Pipes_result_save_V1!$I$2:$I$206,0))</f>
        <v>N69</v>
      </c>
      <c r="CS30" s="106" t="str">
        <f>INDEX(Pipes_result_save_V1!$H$2:$H$206,MATCH(CQ30,Pipes_result_save_V1!$I$2:$I$206,0))</f>
        <v>N51</v>
      </c>
      <c r="CT30">
        <v>0.16656000000000001</v>
      </c>
      <c r="CU30">
        <v>466</v>
      </c>
      <c r="CV30">
        <v>150</v>
      </c>
      <c r="CW30">
        <v>191</v>
      </c>
      <c r="CX30">
        <v>7.8475689792927286</v>
      </c>
      <c r="CY30">
        <v>0.16656000000000001</v>
      </c>
      <c r="CZ30">
        <v>0.28384686420411082</v>
      </c>
      <c r="DA30">
        <v>3.1561262758526247</v>
      </c>
      <c r="DB30" s="107">
        <f>INDEX(Pipes_result_save_V1!$K$2:$K$206,MATCH(CQ30,Pipes_result_save_V1!$I$2:$I$206,0)) *POWER(10,-3)</f>
        <v>-3.4281181335449218E-2</v>
      </c>
      <c r="DC30" s="78">
        <v>5.3125067333407985E-3</v>
      </c>
      <c r="DD30" s="78">
        <f t="shared" si="8"/>
        <v>0.15497564373451178</v>
      </c>
      <c r="DE30" s="78">
        <f t="shared" si="9"/>
        <v>0.15497564373451178</v>
      </c>
      <c r="DF30" s="78" cm="1">
        <f t="array" ref="DF30">IF(CN30=0,
IF(CP30="positif",ABS(DD30),ABS(DD30)*(-1)),
INDEX($BM$8:$BM$44,CN30))</f>
        <v>0.15497564373451178</v>
      </c>
      <c r="DL30">
        <v>5</v>
      </c>
      <c r="DM30">
        <v>23</v>
      </c>
      <c r="DN30" t="s">
        <v>539</v>
      </c>
      <c r="DO30" t="s">
        <v>136</v>
      </c>
      <c r="DP30" s="106" t="str">
        <f>INDEX(Pipes_result_save_V1!$G$2:$G$206,MATCH(DO30,Pipes_result_save_V1!$I$2:$I$206,0))</f>
        <v>N34</v>
      </c>
      <c r="DQ30" s="106" t="str">
        <f>INDEX(Pipes_result_save_V1!$H$2:$H$206,MATCH(DO30,Pipes_result_save_V1!$I$2:$I$206,0))</f>
        <v>N33</v>
      </c>
      <c r="DR30">
        <v>8.3280000000000007E-2</v>
      </c>
      <c r="DS30">
        <v>350</v>
      </c>
      <c r="DT30">
        <v>150</v>
      </c>
      <c r="DU30">
        <v>82</v>
      </c>
      <c r="DV30">
        <v>13.585260893493183</v>
      </c>
      <c r="DW30">
        <v>-9.4864356265488253E-2</v>
      </c>
      <c r="DX30">
        <v>-0.1732458569772338</v>
      </c>
      <c r="DY30">
        <v>3.3822116098474271</v>
      </c>
      <c r="DZ30" s="107">
        <f>INDEX(Pipes_result_save_V1!$K$2:$K$206,MATCH(DO30,Pipes_result_save_V1!$I$2:$I$206,0)) *POWER(10,-3)</f>
        <v>-0.11696879577636721</v>
      </c>
      <c r="EA30" s="78">
        <v>6.2447120673577794E-3</v>
      </c>
      <c r="EB30" s="78">
        <f t="shared" si="10"/>
        <v>8.3865483842022887E-2</v>
      </c>
      <c r="EC30" s="78">
        <f t="shared" si="11"/>
        <v>8.3865483842022887E-2</v>
      </c>
      <c r="ED30" s="78" cm="1">
        <f t="array" ref="ED30">IF(DL30=0,
IF(DN30="positif",ABS(EB30),ABS(EB30)*(-1)),
INDEX($BM$8:$BM$44,DL30))</f>
        <v>3.8250255700015404E-2</v>
      </c>
      <c r="EE30" s="78"/>
      <c r="EF30" s="78"/>
      <c r="EI30">
        <v>10</v>
      </c>
      <c r="EJ30">
        <v>23</v>
      </c>
      <c r="EK30" t="s">
        <v>540</v>
      </c>
      <c r="EL30" t="s">
        <v>148</v>
      </c>
      <c r="EM30" s="106" t="str">
        <f>INDEX(Pipes_result_save_V1!$G$2:$G$206,MATCH(EL30,Pipes_result_save_V1!$I$2:$I$206,0))</f>
        <v>N22</v>
      </c>
      <c r="EN30" s="106" t="str">
        <f>INDEX(Pipes_result_save_V1!$H$2:$H$206,MATCH(EL30,Pipes_result_save_V1!$I$2:$I$206,0))</f>
        <v>N21</v>
      </c>
      <c r="EO30">
        <v>0.16656000000000001</v>
      </c>
      <c r="EP30">
        <v>466</v>
      </c>
      <c r="EQ30">
        <v>150</v>
      </c>
      <c r="ER30">
        <v>194</v>
      </c>
      <c r="ES30">
        <v>7.9708292250407817</v>
      </c>
      <c r="ET30">
        <v>-9.4864356265488253E-2</v>
      </c>
      <c r="EU30">
        <v>-0.10164789257545837</v>
      </c>
      <c r="EV30">
        <v>1.9844323459372384</v>
      </c>
      <c r="EW30" s="107">
        <f>INDEX(Pipes_result_save_V1!$K$2:$K$206,MATCH(EL30,Pipes_result_save_V1!$I$2:$I$206,0)) *POWER(10,-3)</f>
        <v>-0.2054373626708984</v>
      </c>
      <c r="EX30" s="78">
        <v>5.0405793361785693E-3</v>
      </c>
      <c r="EY30" s="78">
        <f t="shared" si="12"/>
        <v>0.12915177598290734</v>
      </c>
      <c r="EZ30" s="78">
        <f t="shared" si="13"/>
        <v>-0.12915177598290734</v>
      </c>
      <c r="FA30" s="78" cm="1">
        <f t="array" ref="FA30">IF(EI30=0,
IF(EK30="positif",ABS(EY30),ABS(EY30)*(-1)),
INDEX($BM$8:$BM$44,EI30))</f>
        <v>3.8250255700015404E-2</v>
      </c>
    </row>
    <row r="31" spans="2:157" ht="30" x14ac:dyDescent="0.25">
      <c r="B31" s="106">
        <v>24</v>
      </c>
      <c r="C31" s="106" t="s">
        <v>539</v>
      </c>
      <c r="D31" s="106" t="s">
        <v>434</v>
      </c>
      <c r="E31" s="106" t="str">
        <f>INDEX(Pipes_result_save_V1!$G$2:$G$206,MATCH(D31,Pipes_result_save_V1!$I$2:$I$206,0))</f>
        <v>R1</v>
      </c>
      <c r="F31" s="106" t="str">
        <f>INDEX(Pipes_result_save_V1!$H$2:$H$206,MATCH(D31,Pipes_result_save_V1!$I$2:$I$206,0))</f>
        <v>N105</v>
      </c>
      <c r="G31" s="106">
        <v>0.03</v>
      </c>
      <c r="H31" s="107">
        <v>200</v>
      </c>
      <c r="I31" s="107">
        <v>150</v>
      </c>
      <c r="J31" s="107">
        <v>30</v>
      </c>
      <c r="K31" s="107">
        <v>75.895097037358298</v>
      </c>
      <c r="L31" s="107">
        <v>0.03</v>
      </c>
      <c r="M31" s="107">
        <v>0.11477367408807007</v>
      </c>
      <c r="N31" s="107">
        <v>7.0853614803701932</v>
      </c>
      <c r="O31" s="107">
        <f>INDEX(Pipes_result_save_V1!$K$2:$K$206,MATCH(D31,Pipes_result_save_V1!$I$2:$I$206,0)) *POWER(10,-3)</f>
        <v>0</v>
      </c>
      <c r="P31" s="78">
        <v>5.4514441579846269E-3</v>
      </c>
      <c r="Q31" s="78">
        <f t="shared" si="0"/>
        <v>-4.8596935076183498E-2</v>
      </c>
      <c r="R31" s="78">
        <f t="shared" si="1"/>
        <v>4.8596935076183498E-2</v>
      </c>
      <c r="S31" s="78"/>
      <c r="T31" s="78"/>
      <c r="U31" s="78"/>
      <c r="V31" s="78"/>
      <c r="W31" s="78">
        <v>0</v>
      </c>
      <c r="X31" s="78">
        <v>24</v>
      </c>
      <c r="Y31" s="78" t="s">
        <v>540</v>
      </c>
      <c r="Z31" s="78" t="s">
        <v>204</v>
      </c>
      <c r="AA31" s="106" t="str">
        <f>INDEX(Pipes_result_save_V1!$G$2:$G$206,MATCH(Z31,Pipes_result_save_V1!$I$2:$I$206,0))</f>
        <v>N145</v>
      </c>
      <c r="AB31" s="106" t="str">
        <f>INDEX(Pipes_result_save_V1!$H$2:$H$206,MATCH(Z31,Pipes_result_save_V1!$I$2:$I$206,0))</f>
        <v>N146</v>
      </c>
      <c r="AC31" s="78">
        <v>5.8057999999999998E-2</v>
      </c>
      <c r="AD31" s="78">
        <v>300</v>
      </c>
      <c r="AE31" s="78">
        <v>150</v>
      </c>
      <c r="AF31" s="78">
        <v>168</v>
      </c>
      <c r="AG31" s="78">
        <v>58.974086808936164</v>
      </c>
      <c r="AH31" s="78">
        <v>-5.8057999999999998E-2</v>
      </c>
      <c r="AI31" s="78">
        <v>0</v>
      </c>
      <c r="AJ31" s="78">
        <v>0</v>
      </c>
      <c r="AK31" s="78">
        <v>-0.30292406794256088</v>
      </c>
      <c r="AL31">
        <v>9.663015843288143</v>
      </c>
      <c r="AM31" s="107">
        <f>INDEX(Pipes_result_save_V1!$K$2:$K$206,MATCH(Z31,Pipes_result_save_V1!$I$2:$I$206,0)) *POWER(10,-3)</f>
        <v>6.1983890533447265E-3</v>
      </c>
      <c r="AN31" s="78">
        <v>3.7382600759116426E-3</v>
      </c>
      <c r="AO31" s="78">
        <f t="shared" si="2"/>
        <v>3.5211178482065772E-2</v>
      </c>
      <c r="AP31" s="78">
        <f t="shared" si="3"/>
        <v>-3.5211178482065772E-2</v>
      </c>
      <c r="AQ31" s="78" cm="1">
        <f t="array" ref="AQ31">IF(W31=0,
IF(Y31="positif",ABS(AO31),ABS(AO31)*(-1)),
INDEX($R$8:$R$77,W31))</f>
        <v>-3.5211178482065772E-2</v>
      </c>
      <c r="AU31">
        <v>0</v>
      </c>
      <c r="AV31">
        <v>24</v>
      </c>
      <c r="AW31" t="s">
        <v>540</v>
      </c>
      <c r="AX31" t="s">
        <v>311</v>
      </c>
      <c r="AY31" s="106" t="str">
        <f>INDEX(Pipes_result_save_V1!$G$2:$G$206,MATCH(AX31,Pipes_result_save_V1!$I$2:$I$206,0))</f>
        <v>N121</v>
      </c>
      <c r="AZ31" s="106" t="str">
        <f>INDEX(Pipes_result_save_V1!$H$2:$H$206,MATCH(AX31,Pipes_result_save_V1!$I$2:$I$206,0))</f>
        <v>N122</v>
      </c>
      <c r="BA31">
        <v>0.116116</v>
      </c>
      <c r="BB31">
        <v>400</v>
      </c>
      <c r="BC31">
        <v>150</v>
      </c>
      <c r="BD31">
        <v>121</v>
      </c>
      <c r="BE31">
        <v>10.460699519593918</v>
      </c>
      <c r="BF31">
        <v>-0.116116</v>
      </c>
      <c r="BG31">
        <v>-0.19397279997750211</v>
      </c>
      <c r="BH31">
        <v>3.0937823000993316</v>
      </c>
      <c r="BI31" s="107">
        <f>INDEX(Pipes_result_save_V1!$K$2:$K$206,MATCH(AX31,Pipes_result_save_V1!$I$2:$I$206,0)) *POWER(10,-3)</f>
        <v>5.762615203857422E-2</v>
      </c>
      <c r="BJ31" s="78">
        <v>5.4222826737883928E-3</v>
      </c>
      <c r="BK31" s="78">
        <f t="shared" si="4"/>
        <v>0.1215292557000154</v>
      </c>
      <c r="BL31" s="78">
        <f t="shared" si="5"/>
        <v>-0.1215292557000154</v>
      </c>
      <c r="BM31" s="78" cm="1">
        <f t="array" ref="BM31">IF(AU31=0,
IF(AW31="positif",ABS(BK31),ABS(BK31)*(-1)),
INDEX($AQ$8:$AQ$77,AU31))</f>
        <v>-0.1215292557000154</v>
      </c>
      <c r="BN31" s="78"/>
      <c r="BO31" s="78"/>
      <c r="BR31">
        <v>4</v>
      </c>
      <c r="BS31">
        <v>24</v>
      </c>
      <c r="BT31" t="s">
        <v>540</v>
      </c>
      <c r="BU31" t="s">
        <v>179</v>
      </c>
      <c r="BV31" s="106" t="str">
        <f>INDEX(Pipes_result_save_V1!$G$2:$G$206,MATCH(BU31,Pipes_result_save_V1!$I$2:$I$206,0))</f>
        <v>N73</v>
      </c>
      <c r="BW31" s="106" t="str">
        <f>INDEX(Pipes_result_save_V1!$H$2:$H$206,MATCH(BU31,Pipes_result_save_V1!$I$2:$I$206,0))</f>
        <v>N74</v>
      </c>
      <c r="BX31">
        <v>3.2837000000000005E-2</v>
      </c>
      <c r="BY31">
        <v>250</v>
      </c>
      <c r="BZ31">
        <v>150</v>
      </c>
      <c r="CA31">
        <v>87</v>
      </c>
      <c r="CB31">
        <v>74.227194312180643</v>
      </c>
      <c r="CC31">
        <v>3.8250255700015404E-2</v>
      </c>
      <c r="CD31">
        <v>0.17603614436144388</v>
      </c>
      <c r="CE31">
        <v>8.5233139855131181</v>
      </c>
      <c r="CF31" s="107">
        <f>INDEX(Pipes_result_save_V1!$K$2:$K$206,MATCH(BU31,Pipes_result_save_V1!$I$2:$I$206,0)) *POWER(10,-3)</f>
        <v>6.2376930236816418E-2</v>
      </c>
      <c r="CG31" s="78">
        <v>5.3001981870944882E-3</v>
      </c>
      <c r="CH31" s="78">
        <f t="shared" si="6"/>
        <v>2.3580796114934299E-2</v>
      </c>
      <c r="CI31" s="78">
        <f t="shared" si="7"/>
        <v>-2.3580796114934299E-2</v>
      </c>
      <c r="CJ31" s="78" cm="1">
        <f t="array" ref="CJ31">IF(BR31=0,
IF(BT31="positif",ABS(CH31),ABS(CH31)*(-1)),
INDEX($BM$8:$BM$44,BR31))</f>
        <v>3.8250255700015404E-2</v>
      </c>
      <c r="CN31">
        <v>3</v>
      </c>
      <c r="CO31">
        <v>24</v>
      </c>
      <c r="CP31" t="s">
        <v>539</v>
      </c>
      <c r="CQ31" t="s">
        <v>159</v>
      </c>
      <c r="CR31" s="106" t="str">
        <f>INDEX(Pipes_result_save_V1!$G$2:$G$206,MATCH(CQ31,Pipes_result_save_V1!$I$2:$I$206,0))</f>
        <v>N53</v>
      </c>
      <c r="CS31" s="106" t="str">
        <f>INDEX(Pipes_result_save_V1!$H$2:$H$206,MATCH(CQ31,Pipes_result_save_V1!$I$2:$I$206,0))</f>
        <v>N52</v>
      </c>
      <c r="CT31">
        <v>3.2837000000000005E-2</v>
      </c>
      <c r="CU31">
        <v>250</v>
      </c>
      <c r="CV31">
        <v>150</v>
      </c>
      <c r="CW31">
        <v>94</v>
      </c>
      <c r="CX31">
        <v>80.199497302815871</v>
      </c>
      <c r="CY31">
        <v>2.3580796114934299E-2</v>
      </c>
      <c r="CZ31">
        <v>7.7651512635117478E-2</v>
      </c>
      <c r="DA31">
        <v>6.0986321538634876</v>
      </c>
      <c r="DB31" s="107">
        <f>INDEX(Pipes_result_save_V1!$K$2:$K$206,MATCH(CQ31,Pipes_result_save_V1!$I$2:$I$206,0)) *POWER(10,-3)</f>
        <v>-3.1705240249633788E-2</v>
      </c>
      <c r="DC31" s="78">
        <v>6.0291395850206372E-3</v>
      </c>
      <c r="DD31" s="78">
        <f t="shared" si="8"/>
        <v>2.1252643734511766E-2</v>
      </c>
      <c r="DE31" s="78">
        <f t="shared" si="9"/>
        <v>2.1252643734511766E-2</v>
      </c>
      <c r="DF31" s="78" cm="1">
        <f t="array" ref="DF31">IF(CN31=0,
IF(CP31="positif",ABS(DD31),ABS(DD31)*(-1)),
INDEX($BM$8:$BM$44,CN31))</f>
        <v>3.8250255700015404E-2</v>
      </c>
      <c r="DL31">
        <v>6</v>
      </c>
      <c r="DM31">
        <v>24</v>
      </c>
      <c r="DN31" t="s">
        <v>539</v>
      </c>
      <c r="DO31" t="s">
        <v>134</v>
      </c>
      <c r="DP31" s="106" t="str">
        <f>INDEX(Pipes_result_save_V1!$G$2:$G$206,MATCH(DO31,Pipes_result_save_V1!$I$2:$I$206,0))</f>
        <v>N35</v>
      </c>
      <c r="DQ31" s="106" t="str">
        <f>INDEX(Pipes_result_save_V1!$H$2:$H$206,MATCH(DO31,Pipes_result_save_V1!$I$2:$I$206,0))</f>
        <v>N34</v>
      </c>
      <c r="DR31">
        <v>8.3280000000000007E-2</v>
      </c>
      <c r="DS31">
        <v>350</v>
      </c>
      <c r="DT31">
        <v>150</v>
      </c>
      <c r="DU31">
        <v>69</v>
      </c>
      <c r="DV31">
        <v>11.431500020134509</v>
      </c>
      <c r="DW31">
        <v>-9.4864356265488253E-2</v>
      </c>
      <c r="DX31">
        <v>-0.14578005038328212</v>
      </c>
      <c r="DY31">
        <v>2.8460073302374695</v>
      </c>
      <c r="DZ31" s="107">
        <f>INDEX(Pipes_result_save_V1!$K$2:$K$206,MATCH(DO31,Pipes_result_save_V1!$I$2:$I$206,0)) *POWER(10,-3)</f>
        <v>-0.1161072616577148</v>
      </c>
      <c r="EA31" s="78">
        <v>6.359427932995646E-3</v>
      </c>
      <c r="EB31" s="78">
        <f t="shared" si="10"/>
        <v>8.3865483842022887E-2</v>
      </c>
      <c r="EC31" s="78">
        <f t="shared" si="11"/>
        <v>8.3865483842022887E-2</v>
      </c>
      <c r="ED31" s="78" cm="1">
        <f t="array" ref="ED31">IF(DL31=0,
IF(DN31="positif",ABS(EB31),ABS(EB31)*(-1)),
INDEX($BM$8:$BM$44,DL31))</f>
        <v>3.8250255700015404E-2</v>
      </c>
      <c r="EE31" s="78"/>
      <c r="EF31" s="78"/>
      <c r="EI31">
        <v>11</v>
      </c>
      <c r="EJ31">
        <v>24</v>
      </c>
      <c r="EK31" t="s">
        <v>540</v>
      </c>
      <c r="EL31" t="s">
        <v>147</v>
      </c>
      <c r="EM31" s="106" t="str">
        <f>INDEX(Pipes_result_save_V1!$G$2:$G$206,MATCH(EL31,Pipes_result_save_V1!$I$2:$I$206,0))</f>
        <v>N23</v>
      </c>
      <c r="EN31" s="106" t="str">
        <f>INDEX(Pipes_result_save_V1!$H$2:$H$206,MATCH(EL31,Pipes_result_save_V1!$I$2:$I$206,0))</f>
        <v>N22</v>
      </c>
      <c r="EO31">
        <v>0.16656000000000001</v>
      </c>
      <c r="EP31">
        <v>466</v>
      </c>
      <c r="EQ31">
        <v>150</v>
      </c>
      <c r="ER31">
        <v>74</v>
      </c>
      <c r="ES31">
        <v>3.0404193951186484</v>
      </c>
      <c r="ET31">
        <v>-9.4864356265488253E-2</v>
      </c>
      <c r="EU31">
        <v>-3.877290747723669E-2</v>
      </c>
      <c r="EV31">
        <v>0.75694842061523515</v>
      </c>
      <c r="EW31" s="107">
        <f>INDEX(Pipes_result_save_V1!$K$2:$K$206,MATCH(EL31,Pipes_result_save_V1!$I$2:$I$206,0)) *POWER(10,-3)</f>
        <v>-0.20390827941894532</v>
      </c>
      <c r="EX31" s="78">
        <v>6.2628404215481952E-3</v>
      </c>
      <c r="EY31" s="78">
        <f t="shared" si="12"/>
        <v>0.12915177598290734</v>
      </c>
      <c r="EZ31" s="78">
        <f t="shared" si="13"/>
        <v>-0.12915177598290734</v>
      </c>
      <c r="FA31" s="78" cm="1">
        <f t="array" ref="FA31">IF(EI31=0,
IF(EK31="positif",ABS(EY31),ABS(EY31)*(-1)),
INDEX($BM$8:$BM$44,EI31))</f>
        <v>3.8249255700015396E-2</v>
      </c>
    </row>
    <row r="32" spans="2:157" ht="30" x14ac:dyDescent="0.25">
      <c r="B32" s="106">
        <v>25</v>
      </c>
      <c r="C32" s="106" t="s">
        <v>539</v>
      </c>
      <c r="D32" s="106" t="s">
        <v>220</v>
      </c>
      <c r="E32" s="106" t="str">
        <f>INDEX(Pipes_result_save_V1!$G$2:$G$206,MATCH(D32,Pipes_result_save_V1!$I$2:$I$206,0))</f>
        <v>N148</v>
      </c>
      <c r="F32" s="106" t="str">
        <f>INDEX(Pipes_result_save_V1!$H$2:$H$206,MATCH(D32,Pipes_result_save_V1!$I$2:$I$206,0))</f>
        <v>N149</v>
      </c>
      <c r="G32" s="106">
        <v>9.0999999999999998E-2</v>
      </c>
      <c r="H32" s="107">
        <v>350</v>
      </c>
      <c r="I32" s="107">
        <v>150</v>
      </c>
      <c r="J32" s="107">
        <v>91</v>
      </c>
      <c r="K32" s="107">
        <v>15.076326113510728</v>
      </c>
      <c r="L32" s="107">
        <v>9.0999999999999998E-2</v>
      </c>
      <c r="M32" s="107">
        <v>0.17800827088336596</v>
      </c>
      <c r="N32" s="107">
        <v>3.6227617327032307</v>
      </c>
      <c r="O32" s="107">
        <f>INDEX(Pipes_result_save_V1!$K$2:$K$206,MATCH(D32,Pipes_result_save_V1!$I$2:$I$206,0)) *POWER(10,-3)</f>
        <v>-1.2776296615600589E-2</v>
      </c>
      <c r="P32" s="78">
        <v>6.2005539232598845E-3</v>
      </c>
      <c r="Q32" s="78">
        <f t="shared" si="0"/>
        <v>1.2403064923816501E-2</v>
      </c>
      <c r="R32" s="78">
        <f t="shared" si="1"/>
        <v>1.2403064923816501E-2</v>
      </c>
      <c r="S32" s="78"/>
      <c r="T32" s="78"/>
      <c r="U32" s="78"/>
      <c r="V32" s="78"/>
      <c r="W32" s="78">
        <v>0</v>
      </c>
      <c r="X32" s="78">
        <v>25</v>
      </c>
      <c r="Y32" s="78" t="s">
        <v>540</v>
      </c>
      <c r="Z32" s="78" t="s">
        <v>218</v>
      </c>
      <c r="AA32" s="106" t="str">
        <f>INDEX(Pipes_result_save_V1!$G$2:$G$206,MATCH(Z32,Pipes_result_save_V1!$I$2:$I$206,0))</f>
        <v>N146</v>
      </c>
      <c r="AB32" s="106" t="str">
        <f>INDEX(Pipes_result_save_V1!$H$2:$H$206,MATCH(Z32,Pipes_result_save_V1!$I$2:$I$206,0))</f>
        <v>N147</v>
      </c>
      <c r="AC32" s="78">
        <v>5.8057999999999998E-2</v>
      </c>
      <c r="AD32" s="78">
        <v>300</v>
      </c>
      <c r="AE32" s="78">
        <v>150</v>
      </c>
      <c r="AF32" s="78">
        <v>214</v>
      </c>
      <c r="AG32" s="78">
        <v>75.121753435192488</v>
      </c>
      <c r="AH32" s="78">
        <v>-5.8057999999999998E-2</v>
      </c>
      <c r="AI32" s="78">
        <v>0</v>
      </c>
      <c r="AJ32" s="78">
        <v>0</v>
      </c>
      <c r="AK32" s="78">
        <v>-0.38586756273635725</v>
      </c>
      <c r="AL32">
        <v>12.308841609902753</v>
      </c>
      <c r="AM32" s="107">
        <f>INDEX(Pipes_result_save_V1!$K$2:$K$206,MATCH(Z32,Pipes_result_save_V1!$I$2:$I$206,0)) *POWER(10,-3)</f>
        <v>4.0188694000244142E-3</v>
      </c>
      <c r="AN32" s="78">
        <v>2.0891597055770774E-3</v>
      </c>
      <c r="AO32" s="78">
        <f t="shared" si="2"/>
        <v>3.5211178482065772E-2</v>
      </c>
      <c r="AP32" s="78">
        <f t="shared" si="3"/>
        <v>-3.5211178482065772E-2</v>
      </c>
      <c r="AQ32" s="78" cm="1">
        <f t="array" ref="AQ32">IF(W32=0,
IF(Y32="positif",ABS(AO32),ABS(AO32)*(-1)),
INDEX($R$8:$R$77,W32))</f>
        <v>-3.5211178482065772E-2</v>
      </c>
      <c r="AU32">
        <v>0</v>
      </c>
      <c r="AV32">
        <v>25</v>
      </c>
      <c r="AW32" t="s">
        <v>540</v>
      </c>
      <c r="AX32" t="s">
        <v>313</v>
      </c>
      <c r="AY32" s="106" t="str">
        <f>INDEX(Pipes_result_save_V1!$G$2:$G$206,MATCH(AX32,Pipes_result_save_V1!$I$2:$I$206,0))</f>
        <v>N122</v>
      </c>
      <c r="AZ32" s="106" t="str">
        <f>INDEX(Pipes_result_save_V1!$H$2:$H$206,MATCH(AX32,Pipes_result_save_V1!$I$2:$I$206,0))</f>
        <v>N123</v>
      </c>
      <c r="BA32">
        <v>0.116116</v>
      </c>
      <c r="BB32">
        <v>400</v>
      </c>
      <c r="BC32">
        <v>150</v>
      </c>
      <c r="BD32">
        <v>122</v>
      </c>
      <c r="BE32">
        <v>10.547151581739321</v>
      </c>
      <c r="BF32">
        <v>-0.116116</v>
      </c>
      <c r="BG32">
        <v>-0.19557588096905171</v>
      </c>
      <c r="BH32">
        <v>3.1193507488604828</v>
      </c>
      <c r="BI32" s="107">
        <f>INDEX(Pipes_result_save_V1!$K$2:$K$206,MATCH(AX32,Pipes_result_save_V1!$I$2:$I$206,0)) *POWER(10,-3)</f>
        <v>5.6114177703857425E-2</v>
      </c>
      <c r="BJ32" s="78">
        <v>5.8321580512820433E-3</v>
      </c>
      <c r="BK32" s="78">
        <f t="shared" si="4"/>
        <v>0.1215292557000154</v>
      </c>
      <c r="BL32" s="78">
        <f t="shared" si="5"/>
        <v>-0.1215292557000154</v>
      </c>
      <c r="BM32" s="78" cm="1">
        <f t="array" ref="BM32">IF(AU32=0,
IF(AW32="positif",ABS(BK32),ABS(BK32)*(-1)),
INDEX($AQ$8:$AQ$77,AU32))</f>
        <v>-0.1215292557000154</v>
      </c>
      <c r="BN32" s="78"/>
      <c r="BO32" s="78"/>
      <c r="BR32">
        <v>5</v>
      </c>
      <c r="BS32">
        <v>25</v>
      </c>
      <c r="BT32" t="s">
        <v>540</v>
      </c>
      <c r="BU32" t="s">
        <v>180</v>
      </c>
      <c r="BV32" s="106" t="str">
        <f>INDEX(Pipes_result_save_V1!$G$2:$G$206,MATCH(BU32,Pipes_result_save_V1!$I$2:$I$206,0))</f>
        <v>N74</v>
      </c>
      <c r="BW32" s="106" t="str">
        <f>INDEX(Pipes_result_save_V1!$H$2:$H$206,MATCH(BU32,Pipes_result_save_V1!$I$2:$I$206,0))</f>
        <v>N75</v>
      </c>
      <c r="BX32">
        <v>3.2837000000000005E-2</v>
      </c>
      <c r="BY32">
        <v>250</v>
      </c>
      <c r="BZ32">
        <v>150</v>
      </c>
      <c r="CA32">
        <v>89</v>
      </c>
      <c r="CB32">
        <v>75.93356659521929</v>
      </c>
      <c r="CC32">
        <v>3.8250255700015404E-2</v>
      </c>
      <c r="CD32">
        <v>0.18008295227779894</v>
      </c>
      <c r="CE32">
        <v>8.7192522380536506</v>
      </c>
      <c r="CF32" s="107">
        <f>INDEX(Pipes_result_save_V1!$K$2:$K$206,MATCH(BU32,Pipes_result_save_V1!$I$2:$I$206,0)) *POWER(10,-3)</f>
        <v>6.1372756958007813E-2</v>
      </c>
      <c r="CG32" s="78">
        <v>5.3829466780226098E-3</v>
      </c>
      <c r="CH32" s="78">
        <f t="shared" si="6"/>
        <v>2.3580796114934299E-2</v>
      </c>
      <c r="CI32" s="78">
        <f t="shared" si="7"/>
        <v>-2.3580796114934299E-2</v>
      </c>
      <c r="CJ32" s="78" cm="1">
        <f t="array" ref="CJ32">IF(BR32=0,
IF(BT32="positif",ABS(CH32),ABS(CH32)*(-1)),
INDEX($BM$8:$BM$44,BR32))</f>
        <v>3.8250255700015404E-2</v>
      </c>
      <c r="CN32">
        <v>4</v>
      </c>
      <c r="CO32">
        <v>25</v>
      </c>
      <c r="CP32" t="s">
        <v>540</v>
      </c>
      <c r="CQ32" t="s">
        <v>158</v>
      </c>
      <c r="CR32" s="106" t="str">
        <f>INDEX(Pipes_result_save_V1!$G$2:$G$206,MATCH(CQ32,Pipes_result_save_V1!$I$2:$I$206,0))</f>
        <v>N54</v>
      </c>
      <c r="CS32" s="106" t="str">
        <f>INDEX(Pipes_result_save_V1!$H$2:$H$206,MATCH(CQ32,Pipes_result_save_V1!$I$2:$I$206,0))</f>
        <v>N53</v>
      </c>
      <c r="CT32">
        <v>3.2837000000000005E-2</v>
      </c>
      <c r="CU32">
        <v>250</v>
      </c>
      <c r="CV32">
        <v>150</v>
      </c>
      <c r="CW32">
        <v>191</v>
      </c>
      <c r="CX32">
        <v>162.95855303018971</v>
      </c>
      <c r="CY32">
        <v>2.3580796114934299E-2</v>
      </c>
      <c r="CZ32">
        <v>0.15778126503518553</v>
      </c>
      <c r="DA32">
        <v>12.391901504126874</v>
      </c>
      <c r="DB32" s="107">
        <f>INDEX(Pipes_result_save_V1!$K$2:$K$206,MATCH(CQ32,Pipes_result_save_V1!$I$2:$I$206,0)) *POWER(10,-3)</f>
        <v>-3.0079156875610351E-2</v>
      </c>
      <c r="DC32" s="78">
        <v>5.8805783208500896E-3</v>
      </c>
      <c r="DD32" s="78">
        <f t="shared" si="8"/>
        <v>2.1252643734511766E-2</v>
      </c>
      <c r="DE32" s="78">
        <f t="shared" si="9"/>
        <v>-2.1252643734511766E-2</v>
      </c>
      <c r="DF32" s="78" cm="1">
        <f t="array" ref="DF32">IF(CN32=0,
IF(CP32="positif",ABS(DD32),ABS(DD32)*(-1)),
INDEX($BM$8:$BM$44,CN32))</f>
        <v>3.8250255700015404E-2</v>
      </c>
      <c r="DL32">
        <v>7</v>
      </c>
      <c r="DM32">
        <v>25</v>
      </c>
      <c r="DN32" t="s">
        <v>539</v>
      </c>
      <c r="DO32" t="s">
        <v>135</v>
      </c>
      <c r="DP32" s="106" t="str">
        <f>INDEX(Pipes_result_save_V1!$G$2:$G$206,MATCH(DO32,Pipes_result_save_V1!$I$2:$I$206,0))</f>
        <v>N36</v>
      </c>
      <c r="DQ32" s="106" t="str">
        <f>INDEX(Pipes_result_save_V1!$H$2:$H$206,MATCH(DO32,Pipes_result_save_V1!$I$2:$I$206,0))</f>
        <v>N35</v>
      </c>
      <c r="DR32">
        <v>8.3280000000000007E-2</v>
      </c>
      <c r="DS32">
        <v>350</v>
      </c>
      <c r="DT32">
        <v>150</v>
      </c>
      <c r="DU32">
        <v>73</v>
      </c>
      <c r="DV32">
        <v>12.094195673475639</v>
      </c>
      <c r="DW32">
        <v>-9.4864356265488253E-2</v>
      </c>
      <c r="DX32">
        <v>-0.1542310677968057</v>
      </c>
      <c r="DY32">
        <v>3.0109932624251488</v>
      </c>
      <c r="DZ32" s="107">
        <f>INDEX(Pipes_result_save_V1!$K$2:$K$206,MATCH(DO32,Pipes_result_save_V1!$I$2:$I$206,0)) *POWER(10,-3)</f>
        <v>-0.1152970657348633</v>
      </c>
      <c r="EA32" s="78">
        <v>5.9580460369928643E-3</v>
      </c>
      <c r="EB32" s="78">
        <f t="shared" si="10"/>
        <v>8.3865483842022887E-2</v>
      </c>
      <c r="EC32" s="78">
        <f>IF(DN32="positif",ABS(EB32),ABS(EB32)*(-1))</f>
        <v>8.3865483842022887E-2</v>
      </c>
      <c r="ED32" s="78" cm="1">
        <f t="array" ref="ED32">IF(DL32=0,
IF(DN32="positif",ABS(EB32),ABS(EB32)*(-1)),
INDEX($BM$8:$BM$44,DL32))</f>
        <v>3.8250255700015404E-2</v>
      </c>
      <c r="EE32" s="78"/>
      <c r="EF32" s="78"/>
      <c r="EI32">
        <v>12</v>
      </c>
      <c r="EJ32">
        <v>25</v>
      </c>
      <c r="EK32" t="s">
        <v>540</v>
      </c>
      <c r="EL32" t="s">
        <v>146</v>
      </c>
      <c r="EM32" s="106" t="str">
        <f>INDEX(Pipes_result_save_V1!$G$2:$G$206,MATCH(EL32,Pipes_result_save_V1!$I$2:$I$206,0))</f>
        <v>N24</v>
      </c>
      <c r="EN32" s="106" t="str">
        <f>INDEX(Pipes_result_save_V1!$H$2:$H$206,MATCH(EL32,Pipes_result_save_V1!$I$2:$I$206,0))</f>
        <v>N23</v>
      </c>
      <c r="EO32">
        <v>0.16656000000000001</v>
      </c>
      <c r="EP32">
        <v>466</v>
      </c>
      <c r="EQ32">
        <v>150</v>
      </c>
      <c r="ER32">
        <v>92</v>
      </c>
      <c r="ES32">
        <v>3.7799808696069688</v>
      </c>
      <c r="ET32">
        <v>-9.4864356265488253E-2</v>
      </c>
      <c r="EU32">
        <v>-4.820415524196995E-2</v>
      </c>
      <c r="EV32">
        <v>0.94107100941353583</v>
      </c>
      <c r="EW32" s="107">
        <f>INDEX(Pipes_result_save_V1!$K$2:$K$206,MATCH(EL32,Pipes_result_save_V1!$I$2:$I$206,0)) *POWER(10,-3)</f>
        <v>-0.20296116638183592</v>
      </c>
      <c r="EX32" s="78">
        <v>5.1063428122639486E-3</v>
      </c>
      <c r="EY32" s="78">
        <f t="shared" si="12"/>
        <v>0.12915177598290734</v>
      </c>
      <c r="EZ32" s="78">
        <f t="shared" si="13"/>
        <v>-0.12915177598290734</v>
      </c>
      <c r="FA32" s="78" cm="1">
        <f t="array" ref="FA32">IF(EI32=0,
IF(EK32="positif",ABS(EY32),ABS(EY32)*(-1)),
INDEX($BM$8:$BM$44,EI32))</f>
        <v>3.5211178482065772E-2</v>
      </c>
    </row>
    <row r="33" spans="2:157" ht="30" x14ac:dyDescent="0.25">
      <c r="B33" s="106">
        <v>26</v>
      </c>
      <c r="C33" s="106" t="s">
        <v>540</v>
      </c>
      <c r="D33" s="106" t="s">
        <v>431</v>
      </c>
      <c r="E33" s="106" t="str">
        <f>INDEX(Pipes_result_save_V1!$G$2:$G$206,MATCH(D33,Pipes_result_save_V1!$I$2:$I$206,0))</f>
        <v>N148</v>
      </c>
      <c r="F33" s="106" t="str">
        <f>INDEX(Pipes_result_save_V1!$H$2:$H$206,MATCH(D33,Pipes_result_save_V1!$I$2:$I$206,0))</f>
        <v>N166</v>
      </c>
      <c r="G33" s="106">
        <v>0.10100000000000001</v>
      </c>
      <c r="H33" s="107">
        <v>400</v>
      </c>
      <c r="I33" s="107">
        <v>150</v>
      </c>
      <c r="J33" s="107">
        <v>101</v>
      </c>
      <c r="K33" s="107">
        <v>8.7316582766858311</v>
      </c>
      <c r="L33" s="107">
        <v>-0.10100000000000001</v>
      </c>
      <c r="M33" s="107">
        <v>-0.12505467014160557</v>
      </c>
      <c r="N33" s="107">
        <v>2.2930816742797377</v>
      </c>
      <c r="O33" s="107">
        <f>INDEX(Pipes_result_save_V1!$K$2:$K$206,MATCH(D33,Pipes_result_save_V1!$I$2:$I$206,0)) *POWER(10,-3)</f>
        <v>1.367993545532227E-2</v>
      </c>
      <c r="P33" s="78">
        <v>5.7612622064551729E-3</v>
      </c>
      <c r="Q33" s="78">
        <f t="shared" si="0"/>
        <v>2.240306492381651E-2</v>
      </c>
      <c r="R33" s="78">
        <f t="shared" si="1"/>
        <v>-2.240306492381651E-2</v>
      </c>
      <c r="S33" s="78"/>
      <c r="T33" s="78"/>
      <c r="U33" s="78"/>
      <c r="V33" s="78"/>
      <c r="W33" s="78">
        <v>0</v>
      </c>
      <c r="X33" s="78">
        <v>26</v>
      </c>
      <c r="Y33" s="78" t="s">
        <v>540</v>
      </c>
      <c r="Z33" s="78" t="s">
        <v>216</v>
      </c>
      <c r="AA33" s="106" t="str">
        <f>INDEX(Pipes_result_save_V1!$G$2:$G$206,MATCH(Z33,Pipes_result_save_V1!$I$2:$I$206,0))</f>
        <v>N147</v>
      </c>
      <c r="AB33" s="106" t="str">
        <f>INDEX(Pipes_result_save_V1!$H$2:$H$206,MATCH(Z33,Pipes_result_save_V1!$I$2:$I$206,0))</f>
        <v>N148</v>
      </c>
      <c r="AC33" s="78">
        <v>5.8057999999999998E-2</v>
      </c>
      <c r="AD33" s="78">
        <v>300</v>
      </c>
      <c r="AE33" s="78">
        <v>150</v>
      </c>
      <c r="AF33" s="78">
        <v>70</v>
      </c>
      <c r="AG33" s="78">
        <v>24.572536170390066</v>
      </c>
      <c r="AH33" s="78">
        <v>-5.8057999999999998E-2</v>
      </c>
      <c r="AI33" s="78">
        <v>0</v>
      </c>
      <c r="AJ33" s="78">
        <v>0</v>
      </c>
      <c r="AK33" s="78">
        <v>-0.12621836164273367</v>
      </c>
      <c r="AL33">
        <v>4.0262566013700587</v>
      </c>
      <c r="AM33" s="107">
        <f>INDEX(Pipes_result_save_V1!$K$2:$K$206,MATCH(Z33,Pipes_result_save_V1!$I$2:$I$206,0)) *POWER(10,-3)</f>
        <v>2.398493528366089E-3</v>
      </c>
      <c r="AN33" s="78">
        <v>3.5218557640316313E-3</v>
      </c>
      <c r="AO33" s="78">
        <f t="shared" si="2"/>
        <v>3.5211178482065772E-2</v>
      </c>
      <c r="AP33" s="78">
        <f t="shared" si="3"/>
        <v>-3.5211178482065772E-2</v>
      </c>
      <c r="AQ33" s="78" cm="1">
        <f t="array" ref="AQ33">IF(W33=0,
IF(Y33="positif",ABS(AO33),ABS(AO33)*(-1)),
INDEX($R$8:$R$77,W33))</f>
        <v>-3.5211178482065772E-2</v>
      </c>
      <c r="AU33">
        <v>0</v>
      </c>
      <c r="AV33">
        <v>26</v>
      </c>
      <c r="AW33" t="s">
        <v>540</v>
      </c>
      <c r="AX33" t="s">
        <v>314</v>
      </c>
      <c r="AY33" s="106" t="str">
        <f>INDEX(Pipes_result_save_V1!$G$2:$G$206,MATCH(AX33,Pipes_result_save_V1!$I$2:$I$206,0))</f>
        <v>N123</v>
      </c>
      <c r="AZ33" s="106" t="str">
        <f>INDEX(Pipes_result_save_V1!$H$2:$H$206,MATCH(AX33,Pipes_result_save_V1!$I$2:$I$206,0))</f>
        <v>N124</v>
      </c>
      <c r="BA33">
        <v>0.116116</v>
      </c>
      <c r="BB33">
        <v>400</v>
      </c>
      <c r="BC33">
        <v>150</v>
      </c>
      <c r="BD33">
        <v>123</v>
      </c>
      <c r="BE33">
        <v>10.633603643884726</v>
      </c>
      <c r="BF33">
        <v>-0.116116</v>
      </c>
      <c r="BG33">
        <v>-0.19717896196060131</v>
      </c>
      <c r="BH33">
        <v>3.1449191976216344</v>
      </c>
      <c r="BI33" s="107">
        <f>INDEX(Pipes_result_save_V1!$K$2:$K$206,MATCH(AX33,Pipes_result_save_V1!$I$2:$I$206,0)) *POWER(10,-3)</f>
        <v>5.3786315917968751E-2</v>
      </c>
      <c r="BJ33" s="78">
        <v>6.0988140748011324E-3</v>
      </c>
      <c r="BK33" s="78">
        <f t="shared" si="4"/>
        <v>0.1215292557000154</v>
      </c>
      <c r="BL33" s="78">
        <f t="shared" si="5"/>
        <v>-0.1215292557000154</v>
      </c>
      <c r="BM33" s="78" cm="1">
        <f t="array" ref="BM33">IF(AU33=0,
IF(AW33="positif",ABS(BK33),ABS(BK33)*(-1)),
INDEX($AQ$8:$AQ$77,AU33))</f>
        <v>-0.1215292557000154</v>
      </c>
      <c r="BN33" s="78"/>
      <c r="BO33" s="78"/>
      <c r="BR33">
        <v>6</v>
      </c>
      <c r="BS33">
        <v>26</v>
      </c>
      <c r="BT33" t="s">
        <v>540</v>
      </c>
      <c r="BU33" t="s">
        <v>178</v>
      </c>
      <c r="BV33" s="106" t="str">
        <f>INDEX(Pipes_result_save_V1!$G$2:$G$206,MATCH(BU33,Pipes_result_save_V1!$I$2:$I$206,0))</f>
        <v>N75</v>
      </c>
      <c r="BW33" s="106" t="str">
        <f>INDEX(Pipes_result_save_V1!$H$2:$H$206,MATCH(BU33,Pipes_result_save_V1!$I$2:$I$206,0))</f>
        <v>N76</v>
      </c>
      <c r="BX33">
        <v>3.2837000000000005E-2</v>
      </c>
      <c r="BY33">
        <v>250</v>
      </c>
      <c r="BZ33">
        <v>150</v>
      </c>
      <c r="CA33">
        <v>88</v>
      </c>
      <c r="CB33">
        <v>75.080380453699973</v>
      </c>
      <c r="CC33">
        <v>3.8250255700015404E-2</v>
      </c>
      <c r="CD33">
        <v>0.17805954831962142</v>
      </c>
      <c r="CE33">
        <v>8.6212831117833844</v>
      </c>
      <c r="CF33" s="107">
        <f>INDEX(Pipes_result_save_V1!$K$2:$K$206,MATCH(BU33,Pipes_result_save_V1!$I$2:$I$206,0)) *POWER(10,-3)</f>
        <v>6.0362876892089835E-2</v>
      </c>
      <c r="CG33" s="78">
        <v>5.0370317120216196E-3</v>
      </c>
      <c r="CH33" s="78">
        <f t="shared" si="6"/>
        <v>2.3580796114934299E-2</v>
      </c>
      <c r="CI33" s="78">
        <f t="shared" si="7"/>
        <v>-2.3580796114934299E-2</v>
      </c>
      <c r="CJ33" s="78" cm="1">
        <f t="array" ref="CJ33">IF(BR33=0,
IF(BT33="positif",ABS(CH33),ABS(CH33)*(-1)),
INDEX($BM$8:$BM$44,BR33))</f>
        <v>3.8250255700015404E-2</v>
      </c>
      <c r="CN33">
        <v>5</v>
      </c>
      <c r="CO33">
        <v>26</v>
      </c>
      <c r="CP33" t="s">
        <v>540</v>
      </c>
      <c r="CQ33" t="s">
        <v>130</v>
      </c>
      <c r="CR33" s="106" t="str">
        <f>INDEX(Pipes_result_save_V1!$G$2:$G$206,MATCH(CQ33,Pipes_result_save_V1!$I$2:$I$206,0))</f>
        <v>N55</v>
      </c>
      <c r="CS33" s="106" t="str">
        <f>INDEX(Pipes_result_save_V1!$H$2:$H$206,MATCH(CQ33,Pipes_result_save_V1!$I$2:$I$206,0))</f>
        <v>N54</v>
      </c>
      <c r="CT33">
        <v>3.2837000000000005E-2</v>
      </c>
      <c r="CU33">
        <v>250</v>
      </c>
      <c r="CV33">
        <v>150</v>
      </c>
      <c r="CW33">
        <v>77</v>
      </c>
      <c r="CX33">
        <v>65.695332896987466</v>
      </c>
      <c r="CY33">
        <v>2.3580796114934299E-2</v>
      </c>
      <c r="CZ33">
        <v>6.3608153967064318E-2</v>
      </c>
      <c r="DA33">
        <v>4.9956880409307294</v>
      </c>
      <c r="DB33" s="107">
        <f>INDEX(Pipes_result_save_V1!$K$2:$K$206,MATCH(CQ33,Pipes_result_save_V1!$I$2:$I$206,0)) *POWER(10,-3)</f>
        <v>-2.8550071716308592E-2</v>
      </c>
      <c r="DC33" s="78">
        <v>5.931736364790087E-3</v>
      </c>
      <c r="DD33" s="78">
        <f t="shared" si="8"/>
        <v>2.1252643734511766E-2</v>
      </c>
      <c r="DE33" s="78">
        <f t="shared" si="9"/>
        <v>-2.1252643734511766E-2</v>
      </c>
      <c r="DF33" s="78" cm="1">
        <f t="array" ref="DF33">IF(CN33=0,
IF(CP33="positif",ABS(DD33),ABS(DD33)*(-1)),
INDEX($BM$8:$BM$44,CN33))</f>
        <v>3.8250255700015404E-2</v>
      </c>
      <c r="DL33">
        <v>8</v>
      </c>
      <c r="DM33">
        <v>26</v>
      </c>
      <c r="DN33" t="s">
        <v>539</v>
      </c>
      <c r="DO33" t="s">
        <v>133</v>
      </c>
      <c r="DP33" s="106" t="str">
        <f>INDEX(Pipes_result_save_V1!$G$2:$G$206,MATCH(DO33,Pipes_result_save_V1!$I$2:$I$206,0))</f>
        <v>N37</v>
      </c>
      <c r="DQ33" s="106" t="str">
        <f>INDEX(Pipes_result_save_V1!$H$2:$H$206,MATCH(DO33,Pipes_result_save_V1!$I$2:$I$206,0))</f>
        <v>N36</v>
      </c>
      <c r="DR33">
        <v>8.3280000000000007E-2</v>
      </c>
      <c r="DS33">
        <v>350</v>
      </c>
      <c r="DT33">
        <v>150</v>
      </c>
      <c r="DU33">
        <v>81</v>
      </c>
      <c r="DV33">
        <v>13.419586980157902</v>
      </c>
      <c r="DW33">
        <v>-9.4864356265488253E-2</v>
      </c>
      <c r="DX33">
        <v>-0.17113310262385292</v>
      </c>
      <c r="DY33">
        <v>3.3409651268005076</v>
      </c>
      <c r="DZ33" s="107">
        <f>INDEX(Pipes_result_save_V1!$K$2:$K$206,MATCH(DO33,Pipes_result_save_V1!$I$2:$I$206,0)) *POWER(10,-3)</f>
        <v>-0.11441841125488281</v>
      </c>
      <c r="EA33" s="78">
        <v>5.6421909364428383E-3</v>
      </c>
      <c r="EB33" s="78">
        <f t="shared" si="10"/>
        <v>8.3865483842022887E-2</v>
      </c>
      <c r="EC33" s="78">
        <f t="shared" si="11"/>
        <v>8.3865483842022887E-2</v>
      </c>
      <c r="ED33" s="78" cm="1">
        <f t="array" ref="ED33">IF(DL33=0,
IF(DN33="positif",ABS(EB33),ABS(EB33)*(-1)),
INDEX($BM$8:$BM$44,DL33))</f>
        <v>3.8250255700015404E-2</v>
      </c>
      <c r="EE33" s="78"/>
      <c r="EF33" s="78"/>
      <c r="EI33">
        <v>13</v>
      </c>
      <c r="EJ33">
        <v>26</v>
      </c>
      <c r="EK33" t="s">
        <v>540</v>
      </c>
      <c r="EL33" t="s">
        <v>145</v>
      </c>
      <c r="EM33" s="106" t="str">
        <f>INDEX(Pipes_result_save_V1!$G$2:$G$206,MATCH(EL33,Pipes_result_save_V1!$I$2:$I$206,0))</f>
        <v>N25</v>
      </c>
      <c r="EN33" s="106" t="str">
        <f>INDEX(Pipes_result_save_V1!$H$2:$H$206,MATCH(EL33,Pipes_result_save_V1!$I$2:$I$206,0))</f>
        <v>N24</v>
      </c>
      <c r="EO33">
        <v>0.16656000000000001</v>
      </c>
      <c r="EP33">
        <v>466</v>
      </c>
      <c r="EQ33">
        <v>150</v>
      </c>
      <c r="ER33">
        <v>75</v>
      </c>
      <c r="ES33">
        <v>3.0815061437013331</v>
      </c>
      <c r="ET33">
        <v>-0.11009435626548825</v>
      </c>
      <c r="EU33">
        <v>-5.1774024209395142E-2</v>
      </c>
      <c r="EV33">
        <v>0.87093922057708129</v>
      </c>
      <c r="EW33" s="107">
        <f>INDEX(Pipes_result_save_V1!$K$2:$K$206,MATCH(EL33,Pipes_result_save_V1!$I$2:$I$206,0)) *POWER(10,-3)</f>
        <v>-0.20200834655761718</v>
      </c>
      <c r="EX33" s="78">
        <v>5.3541484551490031E-3</v>
      </c>
      <c r="EY33" s="78">
        <f t="shared" si="12"/>
        <v>0.12915177598290734</v>
      </c>
      <c r="EZ33" s="78">
        <f t="shared" si="13"/>
        <v>-0.12915177598290734</v>
      </c>
      <c r="FA33" s="78" cm="1">
        <f t="array" ref="FA33">IF(EI33=0,
IF(EK33="positif",ABS(EY33),ABS(EY33)*(-1)),
INDEX($BM$8:$BM$44,EI33))</f>
        <v>-3.8250255700015404E-2</v>
      </c>
    </row>
    <row r="34" spans="2:157" ht="30" x14ac:dyDescent="0.25">
      <c r="B34" s="106">
        <v>27</v>
      </c>
      <c r="C34" s="106" t="s">
        <v>539</v>
      </c>
      <c r="D34" s="106" t="s">
        <v>219</v>
      </c>
      <c r="E34" s="106" t="str">
        <f>INDEX(Pipes_result_save_V1!$G$2:$G$206,MATCH(D34,Pipes_result_save_V1!$I$2:$I$206,0))</f>
        <v>N149</v>
      </c>
      <c r="F34" s="106" t="str">
        <f>INDEX(Pipes_result_save_V1!$H$2:$H$206,MATCH(D34,Pipes_result_save_V1!$I$2:$I$206,0))</f>
        <v>N150</v>
      </c>
      <c r="G34" s="106">
        <v>0.03</v>
      </c>
      <c r="H34" s="107">
        <v>200</v>
      </c>
      <c r="I34" s="107">
        <v>150</v>
      </c>
      <c r="J34" s="107">
        <v>30</v>
      </c>
      <c r="K34" s="107">
        <v>75.895097037358298</v>
      </c>
      <c r="L34" s="107">
        <v>0.03</v>
      </c>
      <c r="M34" s="107">
        <v>0.11477367408807007</v>
      </c>
      <c r="N34" s="107">
        <v>7.0853614803701932</v>
      </c>
      <c r="O34" s="107">
        <f>INDEX(Pipes_result_save_V1!$K$2:$K$206,MATCH(D34,Pipes_result_save_V1!$I$2:$I$206,0)) *POWER(10,-3)</f>
        <v>-1.3466668128967291E-2</v>
      </c>
      <c r="P34" s="78">
        <v>5.2595888376986517E-3</v>
      </c>
      <c r="Q34" s="78">
        <f t="shared" si="0"/>
        <v>-4.8596935076183498E-2</v>
      </c>
      <c r="R34" s="78">
        <f t="shared" si="1"/>
        <v>4.8596935076183498E-2</v>
      </c>
      <c r="S34" s="78"/>
      <c r="T34" s="78"/>
      <c r="U34" s="78"/>
      <c r="V34" s="78"/>
      <c r="W34" s="78">
        <v>25</v>
      </c>
      <c r="X34" s="78">
        <v>27</v>
      </c>
      <c r="Y34" s="78" t="s">
        <v>540</v>
      </c>
      <c r="Z34" s="78" t="s">
        <v>220</v>
      </c>
      <c r="AA34" s="106" t="str">
        <f>INDEX(Pipes_result_save_V1!$G$2:$G$206,MATCH(Z34,Pipes_result_save_V1!$I$2:$I$206,0))</f>
        <v>N148</v>
      </c>
      <c r="AB34" s="106" t="str">
        <f>INDEX(Pipes_result_save_V1!$H$2:$H$206,MATCH(Z34,Pipes_result_save_V1!$I$2:$I$206,0))</f>
        <v>N149</v>
      </c>
      <c r="AC34" s="78">
        <v>2.9028999999999999E-2</v>
      </c>
      <c r="AD34" s="78">
        <v>200</v>
      </c>
      <c r="AE34" s="78">
        <v>150</v>
      </c>
      <c r="AF34" s="78">
        <v>91</v>
      </c>
      <c r="AG34" s="78">
        <v>230.21512767998681</v>
      </c>
      <c r="AH34" s="78">
        <v>9.7596935076183555E-2</v>
      </c>
      <c r="AI34" s="78">
        <v>1</v>
      </c>
      <c r="AJ34" s="78">
        <v>-1</v>
      </c>
      <c r="AK34" s="78">
        <v>3.0943516202637942</v>
      </c>
      <c r="AL34">
        <v>58.718434100980403</v>
      </c>
      <c r="AM34" s="107">
        <f>INDEX(Pipes_result_save_V1!$K$2:$K$206,MATCH(Z34,Pipes_result_save_V1!$I$2:$I$206,0)) *POWER(10,-3)</f>
        <v>-1.2776296615600589E-2</v>
      </c>
      <c r="AN34" s="78">
        <v>4.6413242317751551E-3</v>
      </c>
      <c r="AO34" s="78">
        <f t="shared" si="2"/>
        <v>6.1821784820657692E-3</v>
      </c>
      <c r="AP34" s="78">
        <f t="shared" si="3"/>
        <v>-6.1821784820657692E-3</v>
      </c>
      <c r="AQ34" s="78" cm="1">
        <f t="array" ref="AQ34">IF(W34=0,
IF(Y34="positif",ABS(AO34),ABS(AO34)*(-1)),
INDEX($R$8:$R$77,W34))</f>
        <v>1.2403064923816501E-2</v>
      </c>
      <c r="AU34">
        <v>0</v>
      </c>
      <c r="AV34">
        <v>27</v>
      </c>
      <c r="AW34" t="s">
        <v>540</v>
      </c>
      <c r="AX34" t="s">
        <v>420</v>
      </c>
      <c r="AY34" s="106" t="str">
        <f>INDEX(Pipes_result_save_V1!$G$2:$G$206,MATCH(AX34,Pipes_result_save_V1!$I$2:$I$206,0))</f>
        <v>N124</v>
      </c>
      <c r="AZ34" s="106" t="str">
        <f>INDEX(Pipes_result_save_V1!$H$2:$H$206,MATCH(AX34,Pipes_result_save_V1!$I$2:$I$206,0))</f>
        <v>N125</v>
      </c>
      <c r="BA34">
        <v>0.116116</v>
      </c>
      <c r="BB34">
        <v>400</v>
      </c>
      <c r="BC34">
        <v>150</v>
      </c>
      <c r="BD34">
        <v>124</v>
      </c>
      <c r="BE34">
        <v>10.720055706030131</v>
      </c>
      <c r="BF34">
        <v>-0.116116</v>
      </c>
      <c r="BG34">
        <v>-0.19878204295215093</v>
      </c>
      <c r="BH34">
        <v>3.170487646382786</v>
      </c>
      <c r="BI34" s="107">
        <f>INDEX(Pipes_result_save_V1!$K$2:$K$206,MATCH(AX34,Pipes_result_save_V1!$I$2:$I$206,0)) *POWER(10,-3)</f>
        <v>5.1424217224121091E-2</v>
      </c>
      <c r="BJ34" s="78">
        <v>6.0980594748508751E-3</v>
      </c>
      <c r="BK34" s="78">
        <f t="shared" si="4"/>
        <v>0.1215292557000154</v>
      </c>
      <c r="BL34" s="78">
        <f t="shared" si="5"/>
        <v>-0.1215292557000154</v>
      </c>
      <c r="BM34" s="78" cm="1">
        <f t="array" ref="BM34">IF(AU34=0,
IF(AW34="positif",ABS(BK34),ABS(BK34)*(-1)),
INDEX($AQ$8:$AQ$77,AU34))</f>
        <v>-0.1215292557000154</v>
      </c>
      <c r="BN34" s="78"/>
      <c r="BO34" s="78"/>
      <c r="BR34">
        <v>7</v>
      </c>
      <c r="BS34">
        <v>27</v>
      </c>
      <c r="BT34" t="s">
        <v>540</v>
      </c>
      <c r="BU34" t="s">
        <v>189</v>
      </c>
      <c r="BV34" s="106" t="str">
        <f>INDEX(Pipes_result_save_V1!$G$2:$G$206,MATCH(BU34,Pipes_result_save_V1!$I$2:$I$206,0))</f>
        <v>N76</v>
      </c>
      <c r="BW34" s="106" t="str">
        <f>INDEX(Pipes_result_save_V1!$H$2:$H$206,MATCH(BU34,Pipes_result_save_V1!$I$2:$I$206,0))</f>
        <v>N77</v>
      </c>
      <c r="BX34">
        <v>3.2837000000000005E-2</v>
      </c>
      <c r="BY34">
        <v>250</v>
      </c>
      <c r="BZ34">
        <v>150</v>
      </c>
      <c r="CA34">
        <v>76</v>
      </c>
      <c r="CB34">
        <v>64.84214675546815</v>
      </c>
      <c r="CC34">
        <v>3.8250255700015404E-2</v>
      </c>
      <c r="CD34">
        <v>0.1537787008214912</v>
      </c>
      <c r="CE34">
        <v>7.4456535965401951</v>
      </c>
      <c r="CF34" s="107">
        <f>INDEX(Pipes_result_save_V1!$K$2:$K$206,MATCH(BU34,Pipes_result_save_V1!$I$2:$I$206,0)) *POWER(10,-3)</f>
        <v>5.9427165985107423E-2</v>
      </c>
      <c r="CG34" s="78">
        <v>5.2836406684327718E-3</v>
      </c>
      <c r="CH34" s="78">
        <f t="shared" si="6"/>
        <v>2.3580796114934299E-2</v>
      </c>
      <c r="CI34" s="78">
        <f t="shared" si="7"/>
        <v>-2.3580796114934299E-2</v>
      </c>
      <c r="CJ34" s="78" cm="1">
        <f t="array" ref="CJ34">IF(BR34=0,
IF(BT34="positif",ABS(CH34),ABS(CH34)*(-1)),
INDEX($BM$8:$BM$44,BR34))</f>
        <v>3.8250255700015404E-2</v>
      </c>
      <c r="CN34">
        <v>6</v>
      </c>
      <c r="CO34">
        <v>27</v>
      </c>
      <c r="CP34" t="s">
        <v>540</v>
      </c>
      <c r="CQ34" t="s">
        <v>129</v>
      </c>
      <c r="CR34" s="106" t="str">
        <f>INDEX(Pipes_result_save_V1!$G$2:$G$206,MATCH(CQ34,Pipes_result_save_V1!$I$2:$I$206,0))</f>
        <v>N56</v>
      </c>
      <c r="CS34" s="106" t="str">
        <f>INDEX(Pipes_result_save_V1!$H$2:$H$206,MATCH(CQ34,Pipes_result_save_V1!$I$2:$I$206,0))</f>
        <v>N55</v>
      </c>
      <c r="CT34">
        <v>3.2837000000000005E-2</v>
      </c>
      <c r="CU34">
        <v>250</v>
      </c>
      <c r="CV34">
        <v>150</v>
      </c>
      <c r="CW34">
        <v>77</v>
      </c>
      <c r="CX34">
        <v>65.695332896987466</v>
      </c>
      <c r="CY34">
        <v>2.3580796114934299E-2</v>
      </c>
      <c r="CZ34">
        <v>6.3608153967064318E-2</v>
      </c>
      <c r="DA34">
        <v>4.9956880409307294</v>
      </c>
      <c r="DB34" s="107">
        <f>INDEX(Pipes_result_save_V1!$K$2:$K$206,MATCH(CQ34,Pipes_result_save_V1!$I$2:$I$206,0)) *POWER(10,-3)</f>
        <v>-2.7671417236328121E-2</v>
      </c>
      <c r="DC34" s="78">
        <v>5.062299104412759E-3</v>
      </c>
      <c r="DD34" s="78">
        <f t="shared" si="8"/>
        <v>2.1252643734511766E-2</v>
      </c>
      <c r="DE34" s="78">
        <f t="shared" si="9"/>
        <v>-2.1252643734511766E-2</v>
      </c>
      <c r="DF34" s="78" cm="1">
        <f t="array" ref="DF34">IF(CN34=0,
IF(CP34="positif",ABS(DD34),ABS(DD34)*(-1)),
INDEX($BM$8:$BM$44,CN34))</f>
        <v>3.8250255700015404E-2</v>
      </c>
      <c r="DL34">
        <v>9</v>
      </c>
      <c r="DM34">
        <v>27</v>
      </c>
      <c r="DN34" t="s">
        <v>539</v>
      </c>
      <c r="DO34" t="s">
        <v>132</v>
      </c>
      <c r="DP34" s="106" t="str">
        <f>INDEX(Pipes_result_save_V1!$G$2:$G$206,MATCH(DO34,Pipes_result_save_V1!$I$2:$I$206,0))</f>
        <v>N38</v>
      </c>
      <c r="DQ34" s="106" t="str">
        <f>INDEX(Pipes_result_save_V1!$H$2:$H$206,MATCH(DO34,Pipes_result_save_V1!$I$2:$I$206,0))</f>
        <v>N37</v>
      </c>
      <c r="DR34">
        <v>8.3280000000000007E-2</v>
      </c>
      <c r="DS34">
        <v>350</v>
      </c>
      <c r="DT34">
        <v>150</v>
      </c>
      <c r="DU34">
        <v>101</v>
      </c>
      <c r="DV34">
        <v>16.733065246863553</v>
      </c>
      <c r="DW34">
        <v>-9.4864356265488253E-2</v>
      </c>
      <c r="DX34">
        <v>-0.21338818969147089</v>
      </c>
      <c r="DY34">
        <v>4.1658947877389041</v>
      </c>
      <c r="DZ34" s="107">
        <f>INDEX(Pipes_result_save_V1!$K$2:$K$206,MATCH(DO34,Pipes_result_save_V1!$I$2:$I$206,0)) *POWER(10,-3)</f>
        <v>-0.1133800048828125</v>
      </c>
      <c r="EA34" s="78">
        <v>6.4922119596177389E-3</v>
      </c>
      <c r="EB34" s="78">
        <f t="shared" si="10"/>
        <v>8.3865483842022887E-2</v>
      </c>
      <c r="EC34" s="78">
        <f t="shared" si="11"/>
        <v>8.3865483842022887E-2</v>
      </c>
      <c r="ED34" s="78" cm="1">
        <f t="array" ref="ED34">IF(DL34=0,
IF(DN34="positif",ABS(EB34),ABS(EB34)*(-1)),
INDEX($BM$8:$BM$44,DL34))</f>
        <v>3.8250255700015404E-2</v>
      </c>
      <c r="EE34" s="78"/>
      <c r="EF34" s="78"/>
      <c r="EI34">
        <v>14</v>
      </c>
      <c r="EJ34">
        <v>27</v>
      </c>
      <c r="EK34" t="s">
        <v>540</v>
      </c>
      <c r="EL34" t="s">
        <v>144</v>
      </c>
      <c r="EM34" s="106" t="str">
        <f>INDEX(Pipes_result_save_V1!$G$2:$G$206,MATCH(EL34,Pipes_result_save_V1!$I$2:$I$206,0))</f>
        <v>N26</v>
      </c>
      <c r="EN34" s="106" t="str">
        <f>INDEX(Pipes_result_save_V1!$H$2:$H$206,MATCH(EL34,Pipes_result_save_V1!$I$2:$I$206,0))</f>
        <v>N25</v>
      </c>
      <c r="EO34">
        <v>0.16656000000000001</v>
      </c>
      <c r="EP34">
        <v>466</v>
      </c>
      <c r="EQ34">
        <v>150</v>
      </c>
      <c r="ER34">
        <v>76</v>
      </c>
      <c r="ES34">
        <v>3.1225928922840178</v>
      </c>
      <c r="ET34">
        <v>1.1995439849446052E-2</v>
      </c>
      <c r="EU34">
        <v>8.6467584549903057E-4</v>
      </c>
      <c r="EV34">
        <v>0.13349903679756739</v>
      </c>
      <c r="EW34" s="107">
        <f>INDEX(Pipes_result_save_V1!$K$2:$K$206,MATCH(EL34,Pipes_result_save_V1!$I$2:$I$206,0)) *POWER(10,-3)</f>
        <v>-0.20114678955078119</v>
      </c>
      <c r="EX34" s="78">
        <v>5.4945029180460039E-3</v>
      </c>
      <c r="EY34" s="78">
        <f t="shared" si="12"/>
        <v>0.12915177598290734</v>
      </c>
      <c r="EZ34" s="78">
        <f t="shared" si="13"/>
        <v>-0.12915177598290734</v>
      </c>
      <c r="FA34" s="78" cm="1">
        <f t="array" ref="FA34">IF(EI34=0,
IF(EK34="positif",ABS(EY34),ABS(EY34)*(-1)),
INDEX($BM$8:$BM$44,EI34))</f>
        <v>-3.8250255700015404E-2</v>
      </c>
    </row>
    <row r="35" spans="2:157" ht="30" x14ac:dyDescent="0.25">
      <c r="B35" s="106">
        <v>28</v>
      </c>
      <c r="C35" s="106" t="s">
        <v>539</v>
      </c>
      <c r="D35" s="106" t="s">
        <v>221</v>
      </c>
      <c r="E35" s="106" t="str">
        <f>INDEX(Pipes_result_save_V1!$G$2:$G$206,MATCH(D35,Pipes_result_save_V1!$I$2:$I$206,0))</f>
        <v>N150</v>
      </c>
      <c r="F35" s="106" t="str">
        <f>INDEX(Pipes_result_save_V1!$H$2:$H$206,MATCH(D35,Pipes_result_save_V1!$I$2:$I$206,0))</f>
        <v>N151</v>
      </c>
      <c r="G35" s="106">
        <v>3.5000000000000003E-2</v>
      </c>
      <c r="H35" s="107">
        <v>250</v>
      </c>
      <c r="I35" s="107">
        <v>150</v>
      </c>
      <c r="J35" s="107">
        <v>35</v>
      </c>
      <c r="K35" s="107">
        <v>29.861514953176123</v>
      </c>
      <c r="L35" s="107">
        <v>3.5000000000000003E-2</v>
      </c>
      <c r="M35" s="107">
        <v>6.0079437098534257E-2</v>
      </c>
      <c r="N35" s="107">
        <v>3.1790605001852987</v>
      </c>
      <c r="O35" s="107">
        <f>INDEX(Pipes_result_save_V1!$K$2:$K$206,MATCH(D35,Pipes_result_save_V1!$I$2:$I$206,0)) *POWER(10,-3)</f>
        <v>-1.3837529182434081E-2</v>
      </c>
      <c r="P35" s="78">
        <v>6.2636550694442038E-3</v>
      </c>
      <c r="Q35" s="78">
        <f t="shared" si="0"/>
        <v>-4.3596935076183493E-2</v>
      </c>
      <c r="R35" s="78">
        <f t="shared" si="1"/>
        <v>4.3596935076183493E-2</v>
      </c>
      <c r="S35" s="78"/>
      <c r="T35" s="78"/>
      <c r="U35" s="78"/>
      <c r="V35" s="78"/>
      <c r="W35" s="78">
        <v>27</v>
      </c>
      <c r="X35" s="78">
        <v>28</v>
      </c>
      <c r="Y35" s="78" t="s">
        <v>540</v>
      </c>
      <c r="Z35" s="78" t="s">
        <v>219</v>
      </c>
      <c r="AA35" s="106" t="str">
        <f>INDEX(Pipes_result_save_V1!$G$2:$G$206,MATCH(Z35,Pipes_result_save_V1!$I$2:$I$206,0))</f>
        <v>N149</v>
      </c>
      <c r="AB35" s="106" t="str">
        <f>INDEX(Pipes_result_save_V1!$H$2:$H$206,MATCH(Z35,Pipes_result_save_V1!$I$2:$I$206,0))</f>
        <v>N150</v>
      </c>
      <c r="AC35" s="78">
        <v>2.9028999999999999E-2</v>
      </c>
      <c r="AD35" s="78">
        <v>200</v>
      </c>
      <c r="AE35" s="78">
        <v>150</v>
      </c>
      <c r="AF35" s="78">
        <v>30</v>
      </c>
      <c r="AG35" s="78">
        <v>75.895097037358298</v>
      </c>
      <c r="AH35" s="78">
        <v>3.6596935076183557E-2</v>
      </c>
      <c r="AI35" s="78">
        <v>1</v>
      </c>
      <c r="AJ35" s="78">
        <v>-1</v>
      </c>
      <c r="AK35" s="78">
        <v>0.16584918199856438</v>
      </c>
      <c r="AL35">
        <v>8.392852691678792</v>
      </c>
      <c r="AM35" s="107">
        <f>INDEX(Pipes_result_save_V1!$K$2:$K$206,MATCH(Z35,Pipes_result_save_V1!$I$2:$I$206,0)) *POWER(10,-3)</f>
        <v>-1.3466668128967291E-2</v>
      </c>
      <c r="AN35" s="78">
        <v>1.8270960762708306E-3</v>
      </c>
      <c r="AO35" s="78">
        <f t="shared" si="2"/>
        <v>6.1821784820657692E-3</v>
      </c>
      <c r="AP35" s="78">
        <f t="shared" si="3"/>
        <v>-6.1821784820657692E-3</v>
      </c>
      <c r="AQ35" s="78" cm="1">
        <f t="array" ref="AQ35">IF(W35=0,
IF(Y35="positif",ABS(AO35),ABS(AO35)*(-1)),
INDEX($R$8:$R$77,W35))</f>
        <v>4.8596935076183498E-2</v>
      </c>
      <c r="AU35">
        <v>0</v>
      </c>
      <c r="AV35">
        <v>28</v>
      </c>
      <c r="AW35" t="s">
        <v>540</v>
      </c>
      <c r="AX35" t="s">
        <v>288</v>
      </c>
      <c r="AY35" s="106" t="str">
        <f>INDEX(Pipes_result_save_V1!$G$2:$G$206,MATCH(AX35,Pipes_result_save_V1!$I$2:$I$206,0))</f>
        <v>N125</v>
      </c>
      <c r="AZ35" s="106" t="str">
        <f>INDEX(Pipes_result_save_V1!$H$2:$H$206,MATCH(AX35,Pipes_result_save_V1!$I$2:$I$206,0))</f>
        <v>N126</v>
      </c>
      <c r="BA35">
        <v>0.116116</v>
      </c>
      <c r="BB35">
        <v>400</v>
      </c>
      <c r="BC35">
        <v>150</v>
      </c>
      <c r="BD35">
        <v>125</v>
      </c>
      <c r="BE35">
        <v>10.806507768175534</v>
      </c>
      <c r="BF35">
        <v>-0.116116</v>
      </c>
      <c r="BG35">
        <v>-0.2003851239437005</v>
      </c>
      <c r="BH35">
        <v>3.1960560951439372</v>
      </c>
      <c r="BI35" s="107">
        <f>INDEX(Pipes_result_save_V1!$K$2:$K$206,MATCH(AX35,Pipes_result_save_V1!$I$2:$I$206,0)) *POWER(10,-3)</f>
        <v>4.8223403930664065E-2</v>
      </c>
      <c r="BJ35" s="78">
        <v>6.2050964582661267E-3</v>
      </c>
      <c r="BK35" s="78">
        <f t="shared" si="4"/>
        <v>0.1215292557000154</v>
      </c>
      <c r="BL35" s="78">
        <f t="shared" si="5"/>
        <v>-0.1215292557000154</v>
      </c>
      <c r="BM35" s="78" cm="1">
        <f t="array" ref="BM35">IF(AU35=0,
IF(AW35="positif",ABS(BK35),ABS(BK35)*(-1)),
INDEX($AQ$8:$AQ$77,AU35))</f>
        <v>-0.1215292557000154</v>
      </c>
      <c r="BN35" s="78"/>
      <c r="BO35" s="78"/>
      <c r="BR35">
        <v>8</v>
      </c>
      <c r="BS35">
        <v>28</v>
      </c>
      <c r="BT35" t="s">
        <v>540</v>
      </c>
      <c r="BU35" t="s">
        <v>188</v>
      </c>
      <c r="BV35" s="106" t="str">
        <f>INDEX(Pipes_result_save_V1!$G$2:$G$206,MATCH(BU35,Pipes_result_save_V1!$I$2:$I$206,0))</f>
        <v>N77</v>
      </c>
      <c r="BW35" s="106" t="str">
        <f>INDEX(Pipes_result_save_V1!$H$2:$H$206,MATCH(BU35,Pipes_result_save_V1!$I$2:$I$206,0))</f>
        <v>N78</v>
      </c>
      <c r="BX35">
        <v>3.2837000000000005E-2</v>
      </c>
      <c r="BY35">
        <v>250</v>
      </c>
      <c r="BZ35">
        <v>150</v>
      </c>
      <c r="CA35">
        <v>80</v>
      </c>
      <c r="CB35">
        <v>68.254891321545429</v>
      </c>
      <c r="CC35">
        <v>3.8250255700015404E-2</v>
      </c>
      <c r="CD35">
        <v>0.16187231665420129</v>
      </c>
      <c r="CE35">
        <v>7.8375301016212582</v>
      </c>
      <c r="CF35" s="107">
        <f>INDEX(Pipes_result_save_V1!$K$2:$K$206,MATCH(BU35,Pipes_result_save_V1!$I$2:$I$206,0)) *POWER(10,-3)</f>
        <v>5.8537097930908201E-2</v>
      </c>
      <c r="CG35" s="78">
        <v>5.2488735653697808E-3</v>
      </c>
      <c r="CH35" s="78">
        <f t="shared" si="6"/>
        <v>2.3580796114934299E-2</v>
      </c>
      <c r="CI35" s="78">
        <f t="shared" si="7"/>
        <v>-2.3580796114934299E-2</v>
      </c>
      <c r="CJ35" s="78" cm="1">
        <f t="array" ref="CJ35">IF(BR35=0,
IF(BT35="positif",ABS(CH35),ABS(CH35)*(-1)),
INDEX($BM$8:$BM$44,BR35))</f>
        <v>3.8250255700015404E-2</v>
      </c>
      <c r="CN35">
        <v>7</v>
      </c>
      <c r="CO35">
        <v>28</v>
      </c>
      <c r="CP35" t="s">
        <v>540</v>
      </c>
      <c r="CQ35" t="s">
        <v>128</v>
      </c>
      <c r="CR35" s="106" t="str">
        <f>INDEX(Pipes_result_save_V1!$G$2:$G$206,MATCH(CQ35,Pipes_result_save_V1!$I$2:$I$206,0))</f>
        <v>N57</v>
      </c>
      <c r="CS35" s="106" t="str">
        <f>INDEX(Pipes_result_save_V1!$H$2:$H$206,MATCH(CQ35,Pipes_result_save_V1!$I$2:$I$206,0))</f>
        <v>N56</v>
      </c>
      <c r="CT35">
        <v>3.2837000000000005E-2</v>
      </c>
      <c r="CU35">
        <v>250</v>
      </c>
      <c r="CV35">
        <v>150</v>
      </c>
      <c r="CW35">
        <v>76</v>
      </c>
      <c r="CX35">
        <v>64.84214675546815</v>
      </c>
      <c r="CY35">
        <v>2.3580796114934299E-2</v>
      </c>
      <c r="CZ35">
        <v>6.2782074045414138E-2</v>
      </c>
      <c r="DA35">
        <v>4.930808975464096</v>
      </c>
      <c r="DB35" s="107">
        <f>INDEX(Pipes_result_save_V1!$K$2:$K$206,MATCH(CQ35,Pipes_result_save_V1!$I$2:$I$206,0)) *POWER(10,-3)</f>
        <v>-2.6798467636108398E-2</v>
      </c>
      <c r="DC35" s="78">
        <v>5.3714062733476991E-3</v>
      </c>
      <c r="DD35" s="78">
        <f t="shared" si="8"/>
        <v>2.1252643734511766E-2</v>
      </c>
      <c r="DE35" s="78">
        <f t="shared" si="9"/>
        <v>-2.1252643734511766E-2</v>
      </c>
      <c r="DF35" s="78" cm="1">
        <f t="array" ref="DF35">IF(CN35=0,
IF(CP35="positif",ABS(DD35),ABS(DD35)*(-1)),
INDEX($BM$8:$BM$44,CN35))</f>
        <v>3.8250255700015404E-2</v>
      </c>
      <c r="DL35">
        <v>10</v>
      </c>
      <c r="DM35">
        <v>28</v>
      </c>
      <c r="DN35" t="s">
        <v>539</v>
      </c>
      <c r="DO35" t="s">
        <v>408</v>
      </c>
      <c r="DP35" s="106" t="str">
        <f>INDEX(Pipes_result_save_V1!$G$2:$G$206,MATCH(DO35,Pipes_result_save_V1!$I$2:$I$206,0))</f>
        <v>N39</v>
      </c>
      <c r="DQ35" s="106" t="str">
        <f>INDEX(Pipes_result_save_V1!$H$2:$H$206,MATCH(DO35,Pipes_result_save_V1!$I$2:$I$206,0))</f>
        <v>N38</v>
      </c>
      <c r="DR35">
        <v>8.3280000000000007E-2</v>
      </c>
      <c r="DS35">
        <v>350</v>
      </c>
      <c r="DT35">
        <v>150</v>
      </c>
      <c r="DU35">
        <v>91</v>
      </c>
      <c r="DV35">
        <v>15.076326113510728</v>
      </c>
      <c r="DW35">
        <v>-9.4864356265488253E-2</v>
      </c>
      <c r="DX35">
        <v>-0.19226064615766192</v>
      </c>
      <c r="DY35">
        <v>3.7534299572697059</v>
      </c>
      <c r="DZ35" s="107">
        <f>INDEX(Pipes_result_save_V1!$K$2:$K$206,MATCH(DO35,Pipes_result_save_V1!$I$2:$I$206,0)) *POWER(10,-3)</f>
        <v>-0.112284538269043</v>
      </c>
      <c r="EA35" s="78">
        <v>5.4277349348454363E-3</v>
      </c>
      <c r="EB35" s="78">
        <f t="shared" si="10"/>
        <v>8.3865483842022887E-2</v>
      </c>
      <c r="EC35" s="78">
        <f t="shared" si="11"/>
        <v>8.3865483842022887E-2</v>
      </c>
      <c r="ED35" s="78" cm="1">
        <f t="array" ref="ED35">IF(DL35=0,
IF(DN35="positif",ABS(EB35),ABS(EB35)*(-1)),
INDEX($BM$8:$BM$44,DL35))</f>
        <v>3.8250255700015404E-2</v>
      </c>
      <c r="EE35" s="78"/>
      <c r="EF35" s="78"/>
      <c r="EI35">
        <v>15</v>
      </c>
      <c r="EJ35">
        <v>28</v>
      </c>
      <c r="EK35" t="s">
        <v>540</v>
      </c>
      <c r="EL35" t="s">
        <v>142</v>
      </c>
      <c r="EM35" s="106" t="str">
        <f>INDEX(Pipes_result_save_V1!$G$2:$G$206,MATCH(EL35,Pipes_result_save_V1!$I$2:$I$206,0))</f>
        <v>N27</v>
      </c>
      <c r="EN35" s="106" t="str">
        <f>INDEX(Pipes_result_save_V1!$H$2:$H$206,MATCH(EL35,Pipes_result_save_V1!$I$2:$I$206,0))</f>
        <v>N26</v>
      </c>
      <c r="EO35">
        <v>0.16656000000000001</v>
      </c>
      <c r="EP35">
        <v>466</v>
      </c>
      <c r="EQ35">
        <v>150</v>
      </c>
      <c r="ER35">
        <v>76</v>
      </c>
      <c r="ES35">
        <v>3.1225928922840178</v>
      </c>
      <c r="ET35">
        <v>-0.17814435626548825</v>
      </c>
      <c r="EU35">
        <v>-0.1279219989031645</v>
      </c>
      <c r="EV35">
        <v>1.3298851949909192</v>
      </c>
      <c r="EW35" s="107">
        <f>INDEX(Pipes_result_save_V1!$K$2:$K$206,MATCH(EL35,Pipes_result_save_V1!$I$2:$I$206,0)) *POWER(10,-3)</f>
        <v>-0.2002795562744141</v>
      </c>
      <c r="EX35" s="78">
        <v>6.0250912181511705E-3</v>
      </c>
      <c r="EY35" s="78">
        <f t="shared" si="12"/>
        <v>0.12915177598290734</v>
      </c>
      <c r="EZ35" s="78">
        <f t="shared" si="13"/>
        <v>-0.12915177598290734</v>
      </c>
      <c r="FA35" s="78" cm="1">
        <f t="array" ref="FA35">IF(EI35=0,
IF(EK35="positif",ABS(EY35),ABS(EY35)*(-1)),
INDEX($BM$8:$BM$44,EI35))</f>
        <v>-3.8250255700015404E-2</v>
      </c>
    </row>
    <row r="36" spans="2:157" ht="30" x14ac:dyDescent="0.25">
      <c r="B36" s="106">
        <v>29</v>
      </c>
      <c r="C36" s="106" t="s">
        <v>539</v>
      </c>
      <c r="D36" s="106" t="s">
        <v>222</v>
      </c>
      <c r="E36" s="106" t="str">
        <f>INDEX(Pipes_result_save_V1!$G$2:$G$206,MATCH(D36,Pipes_result_save_V1!$I$2:$I$206,0))</f>
        <v>N151</v>
      </c>
      <c r="F36" s="106" t="str">
        <f>INDEX(Pipes_result_save_V1!$H$2:$H$206,MATCH(D36,Pipes_result_save_V1!$I$2:$I$206,0))</f>
        <v>N152</v>
      </c>
      <c r="G36" s="106">
        <v>4.9000000000000002E-2</v>
      </c>
      <c r="H36" s="107">
        <v>250</v>
      </c>
      <c r="I36" s="107">
        <v>150</v>
      </c>
      <c r="J36" s="107">
        <v>49</v>
      </c>
      <c r="K36" s="107">
        <v>41.806120934446568</v>
      </c>
      <c r="L36" s="107">
        <v>4.9000000000000002E-2</v>
      </c>
      <c r="M36" s="107">
        <v>0.15684945454255206</v>
      </c>
      <c r="N36" s="107">
        <v>5.9282691798531921</v>
      </c>
      <c r="O36" s="107">
        <f>INDEX(Pipes_result_save_V1!$K$2:$K$206,MATCH(D36,Pipes_result_save_V1!$I$2:$I$206,0)) *POWER(10,-3)</f>
        <v>-1.431679439544678E-2</v>
      </c>
      <c r="P36" s="78">
        <v>6.3015075509666851E-3</v>
      </c>
      <c r="Q36" s="78">
        <f t="shared" si="0"/>
        <v>-2.9596935076183495E-2</v>
      </c>
      <c r="R36" s="78">
        <f t="shared" si="1"/>
        <v>2.9596935076183495E-2</v>
      </c>
      <c r="S36" s="78"/>
      <c r="T36" s="78"/>
      <c r="U36" s="78"/>
      <c r="V36" s="78"/>
      <c r="W36" s="78">
        <v>28</v>
      </c>
      <c r="X36" s="78">
        <v>29</v>
      </c>
      <c r="Y36" s="78" t="s">
        <v>540</v>
      </c>
      <c r="Z36" s="78" t="s">
        <v>221</v>
      </c>
      <c r="AA36" s="106" t="str">
        <f>INDEX(Pipes_result_save_V1!$G$2:$G$206,MATCH(Z36,Pipes_result_save_V1!$I$2:$I$206,0))</f>
        <v>N150</v>
      </c>
      <c r="AB36" s="106" t="str">
        <f>INDEX(Pipes_result_save_V1!$H$2:$H$206,MATCH(Z36,Pipes_result_save_V1!$I$2:$I$206,0))</f>
        <v>N151</v>
      </c>
      <c r="AC36" s="78">
        <v>2.9028999999999999E-2</v>
      </c>
      <c r="AD36" s="78">
        <v>200</v>
      </c>
      <c r="AE36" s="78">
        <v>150</v>
      </c>
      <c r="AF36" s="78">
        <v>35</v>
      </c>
      <c r="AG36" s="78">
        <v>88.544279876918011</v>
      </c>
      <c r="AH36" s="78">
        <v>4.1596935076183561E-2</v>
      </c>
      <c r="AI36" s="78">
        <v>1</v>
      </c>
      <c r="AJ36" s="78">
        <v>-1</v>
      </c>
      <c r="AK36" s="78">
        <v>0.24527997752358771</v>
      </c>
      <c r="AL36">
        <v>10.920480500347525</v>
      </c>
      <c r="AM36" s="107">
        <f>INDEX(Pipes_result_save_V1!$K$2:$K$206,MATCH(Z36,Pipes_result_save_V1!$I$2:$I$206,0)) *POWER(10,-3)</f>
        <v>-1.3837529182434081E-2</v>
      </c>
      <c r="AN36" s="78">
        <v>2.3840699958634017E-3</v>
      </c>
      <c r="AO36" s="78">
        <f t="shared" si="2"/>
        <v>6.1821784820657692E-3</v>
      </c>
      <c r="AP36" s="78">
        <f t="shared" si="3"/>
        <v>-6.1821784820657692E-3</v>
      </c>
      <c r="AQ36" s="78" cm="1">
        <f t="array" ref="AQ36">IF(W36=0,
IF(Y36="positif",ABS(AO36),ABS(AO36)*(-1)),
INDEX($R$8:$R$77,W36))</f>
        <v>4.3596935076183493E-2</v>
      </c>
      <c r="AU36">
        <v>0</v>
      </c>
      <c r="AV36">
        <v>29</v>
      </c>
      <c r="AW36" t="s">
        <v>540</v>
      </c>
      <c r="AX36" t="s">
        <v>423</v>
      </c>
      <c r="AY36" s="106" t="str">
        <f>INDEX(Pipes_result_save_V1!$G$2:$G$206,MATCH(AX36,Pipes_result_save_V1!$I$2:$I$206,0))</f>
        <v>N126</v>
      </c>
      <c r="AZ36" s="106" t="str">
        <f>INDEX(Pipes_result_save_V1!$H$2:$H$206,MATCH(AX36,Pipes_result_save_V1!$I$2:$I$206,0))</f>
        <v>N127</v>
      </c>
      <c r="BA36">
        <v>0.116116</v>
      </c>
      <c r="BB36">
        <v>400</v>
      </c>
      <c r="BC36">
        <v>150</v>
      </c>
      <c r="BD36">
        <v>126</v>
      </c>
      <c r="BE36">
        <v>10.892959830320939</v>
      </c>
      <c r="BF36">
        <v>-0.116116</v>
      </c>
      <c r="BG36">
        <v>-0.20198820493525013</v>
      </c>
      <c r="BH36">
        <v>3.2216245439050888</v>
      </c>
      <c r="BI36" s="107">
        <f>INDEX(Pipes_result_save_V1!$K$2:$K$206,MATCH(AX36,Pipes_result_save_V1!$I$2:$I$206,0)) *POWER(10,-3)</f>
        <v>4.4782958984375003E-2</v>
      </c>
      <c r="BJ36" s="78">
        <v>6.0282994137934916E-3</v>
      </c>
      <c r="BK36" s="78">
        <f t="shared" si="4"/>
        <v>0.1215292557000154</v>
      </c>
      <c r="BL36" s="78">
        <f t="shared" si="5"/>
        <v>-0.1215292557000154</v>
      </c>
      <c r="BM36" s="78" cm="1">
        <f t="array" ref="BM36">IF(AU36=0,
IF(AW36="positif",ABS(BK36),ABS(BK36)*(-1)),
INDEX($AQ$8:$AQ$77,AU36))</f>
        <v>-0.1215292557000154</v>
      </c>
      <c r="BN36" s="78"/>
      <c r="BO36" s="78"/>
      <c r="BR36">
        <v>9</v>
      </c>
      <c r="BS36">
        <v>29</v>
      </c>
      <c r="BT36" t="s">
        <v>540</v>
      </c>
      <c r="BU36" t="s">
        <v>186</v>
      </c>
      <c r="BV36" s="106" t="str">
        <f>INDEX(Pipes_result_save_V1!$G$2:$G$206,MATCH(BU36,Pipes_result_save_V1!$I$2:$I$206,0))</f>
        <v>N78</v>
      </c>
      <c r="BW36" s="106" t="str">
        <f>INDEX(Pipes_result_save_V1!$H$2:$H$206,MATCH(BU36,Pipes_result_save_V1!$I$2:$I$206,0))</f>
        <v>N79</v>
      </c>
      <c r="BX36">
        <v>3.2837000000000005E-2</v>
      </c>
      <c r="BY36">
        <v>250</v>
      </c>
      <c r="BZ36">
        <v>150</v>
      </c>
      <c r="CA36">
        <v>158</v>
      </c>
      <c r="CB36">
        <v>134.80341036005223</v>
      </c>
      <c r="CC36">
        <v>3.8250255700015404E-2</v>
      </c>
      <c r="CD36">
        <v>0.31969782539204755</v>
      </c>
      <c r="CE36">
        <v>15.479121950701986</v>
      </c>
      <c r="CF36" s="107">
        <f>INDEX(Pipes_result_save_V1!$K$2:$K$206,MATCH(BU36,Pipes_result_save_V1!$I$2:$I$206,0)) *POWER(10,-3)</f>
        <v>5.7179180145263672E-2</v>
      </c>
      <c r="CG36" s="78">
        <v>5.6124939788949543E-3</v>
      </c>
      <c r="CH36" s="78">
        <f t="shared" si="6"/>
        <v>2.3580796114934299E-2</v>
      </c>
      <c r="CI36" s="78">
        <f t="shared" si="7"/>
        <v>-2.3580796114934299E-2</v>
      </c>
      <c r="CJ36" s="78" cm="1">
        <f t="array" ref="CJ36">IF(BR36=0,
IF(BT36="positif",ABS(CH36),ABS(CH36)*(-1)),
INDEX($BM$8:$BM$44,BR36))</f>
        <v>3.8250255700015404E-2</v>
      </c>
      <c r="CN36">
        <v>8</v>
      </c>
      <c r="CO36">
        <v>29</v>
      </c>
      <c r="CP36" t="s">
        <v>540</v>
      </c>
      <c r="CQ36" t="s">
        <v>127</v>
      </c>
      <c r="CR36" s="106" t="str">
        <f>INDEX(Pipes_result_save_V1!$G$2:$G$206,MATCH(CQ36,Pipes_result_save_V1!$I$2:$I$206,0))</f>
        <v>N58</v>
      </c>
      <c r="CS36" s="106" t="str">
        <f>INDEX(Pipes_result_save_V1!$H$2:$H$206,MATCH(CQ36,Pipes_result_save_V1!$I$2:$I$206,0))</f>
        <v>N57</v>
      </c>
      <c r="CT36">
        <v>3.2837000000000005E-2</v>
      </c>
      <c r="CU36">
        <v>250</v>
      </c>
      <c r="CV36">
        <v>150</v>
      </c>
      <c r="CW36">
        <v>36</v>
      </c>
      <c r="CX36">
        <v>30.714701094695442</v>
      </c>
      <c r="CY36">
        <v>2.3580796114934299E-2</v>
      </c>
      <c r="CZ36">
        <v>2.9738877179406698E-2</v>
      </c>
      <c r="DA36">
        <v>2.3356463567987826</v>
      </c>
      <c r="DB36" s="107">
        <f>INDEX(Pipes_result_save_V1!$K$2:$K$206,MATCH(CQ36,Pipes_result_save_V1!$I$2:$I$206,0)) *POWER(10,-3)</f>
        <v>-2.6159444808959962E-2</v>
      </c>
      <c r="DC36" s="78">
        <v>5.7711082707646308E-3</v>
      </c>
      <c r="DD36" s="78">
        <f t="shared" si="8"/>
        <v>2.1252643734511766E-2</v>
      </c>
      <c r="DE36" s="78">
        <f t="shared" si="9"/>
        <v>-2.1252643734511766E-2</v>
      </c>
      <c r="DF36" s="78" cm="1">
        <f t="array" ref="DF36">IF(CN36=0,
IF(CP36="positif",ABS(DD36),ABS(DD36)*(-1)),
INDEX($BM$8:$BM$44,CN36))</f>
        <v>3.8250255700015404E-2</v>
      </c>
      <c r="DL36">
        <v>11</v>
      </c>
      <c r="DM36">
        <v>29</v>
      </c>
      <c r="DN36" t="s">
        <v>539</v>
      </c>
      <c r="DO36" t="s">
        <v>172</v>
      </c>
      <c r="DP36" s="106" t="str">
        <f>INDEX(Pipes_result_save_V1!$G$2:$G$206,MATCH(DO36,Pipes_result_save_V1!$I$2:$I$206,0))</f>
        <v>N40</v>
      </c>
      <c r="DQ36" s="106" t="str">
        <f>INDEX(Pipes_result_save_V1!$H$2:$H$206,MATCH(DO36,Pipes_result_save_V1!$I$2:$I$206,0))</f>
        <v>N39</v>
      </c>
      <c r="DR36">
        <v>8.3280000000000007E-2</v>
      </c>
      <c r="DS36">
        <v>350</v>
      </c>
      <c r="DT36">
        <v>150</v>
      </c>
      <c r="DU36">
        <v>87</v>
      </c>
      <c r="DV36">
        <v>14.413630460169598</v>
      </c>
      <c r="DW36">
        <v>-9.4864356265488253E-2</v>
      </c>
      <c r="DX36">
        <v>-0.18380962874413831</v>
      </c>
      <c r="DY36">
        <v>3.5884440250820266</v>
      </c>
      <c r="DZ36" s="107">
        <f>INDEX(Pipes_result_save_V1!$K$2:$K$206,MATCH(DO36,Pipes_result_save_V1!$I$2:$I$206,0)) *POWER(10,-3)</f>
        <v>-0.1112689437866211</v>
      </c>
      <c r="EA36" s="78">
        <v>5.8751203523214196E-3</v>
      </c>
      <c r="EB36" s="78">
        <f t="shared" si="10"/>
        <v>8.3865483842022887E-2</v>
      </c>
      <c r="EC36" s="78">
        <f t="shared" si="11"/>
        <v>8.3865483842022887E-2</v>
      </c>
      <c r="ED36" s="78" cm="1">
        <f t="array" ref="ED36">IF(DL36=0,
IF(DN36="positif",ABS(EB36),ABS(EB36)*(-1)),
INDEX($BM$8:$BM$44,DL36))</f>
        <v>3.8249255700015396E-2</v>
      </c>
      <c r="EE36" s="78"/>
      <c r="EF36" s="78"/>
      <c r="EI36">
        <v>16</v>
      </c>
      <c r="EJ36">
        <v>29</v>
      </c>
      <c r="EK36" t="s">
        <v>540</v>
      </c>
      <c r="EL36" t="s">
        <v>143</v>
      </c>
      <c r="EM36" s="106" t="str">
        <f>INDEX(Pipes_result_save_V1!$G$2:$G$206,MATCH(EL36,Pipes_result_save_V1!$I$2:$I$206,0))</f>
        <v>N28</v>
      </c>
      <c r="EN36" s="106" t="str">
        <f>INDEX(Pipes_result_save_V1!$H$2:$H$206,MATCH(EL36,Pipes_result_save_V1!$I$2:$I$206,0))</f>
        <v>N27</v>
      </c>
      <c r="EO36">
        <v>0.16656000000000001</v>
      </c>
      <c r="EP36">
        <v>466</v>
      </c>
      <c r="EQ36">
        <v>150</v>
      </c>
      <c r="ER36">
        <v>80</v>
      </c>
      <c r="ES36">
        <v>3.2869398866147552</v>
      </c>
      <c r="ET36">
        <v>0.15497564373451178</v>
      </c>
      <c r="EU36">
        <v>0.1040302564442831</v>
      </c>
      <c r="EV36">
        <v>1.2431891250270548</v>
      </c>
      <c r="EW36" s="107">
        <f>INDEX(Pipes_result_save_V1!$K$2:$K$206,MATCH(EL36,Pipes_result_save_V1!$I$2:$I$206,0)) *POWER(10,-3)</f>
        <v>-0.19938948059082032</v>
      </c>
      <c r="EX36" s="78">
        <v>6.4190839034113153E-3</v>
      </c>
      <c r="EY36" s="78">
        <f t="shared" si="12"/>
        <v>0.12915177598290734</v>
      </c>
      <c r="EZ36" s="78">
        <f t="shared" si="13"/>
        <v>-0.12915177598290734</v>
      </c>
      <c r="FA36" s="78" cm="1">
        <f t="array" ref="FA36">IF(EI36=0,
IF(EK36="positif",ABS(EY36),ABS(EY36)*(-1)),
INDEX($BM$8:$BM$44,EI36))</f>
        <v>-3.8250255700015404E-2</v>
      </c>
    </row>
    <row r="37" spans="2:157" ht="30" x14ac:dyDescent="0.25">
      <c r="B37" s="106">
        <v>30</v>
      </c>
      <c r="C37" s="106" t="s">
        <v>539</v>
      </c>
      <c r="D37" s="106" t="s">
        <v>223</v>
      </c>
      <c r="E37" s="106" t="str">
        <f>INDEX(Pipes_result_save_V1!$G$2:$G$206,MATCH(D37,Pipes_result_save_V1!$I$2:$I$206,0))</f>
        <v>N152</v>
      </c>
      <c r="F37" s="106" t="str">
        <f>INDEX(Pipes_result_save_V1!$H$2:$H$206,MATCH(D37,Pipes_result_save_V1!$I$2:$I$206,0))</f>
        <v>N153</v>
      </c>
      <c r="G37" s="106">
        <v>8.8999999999999996E-2</v>
      </c>
      <c r="H37" s="107">
        <v>350</v>
      </c>
      <c r="I37" s="107">
        <v>150</v>
      </c>
      <c r="J37" s="107">
        <v>89</v>
      </c>
      <c r="K37" s="107">
        <v>14.744978286840164</v>
      </c>
      <c r="L37" s="107">
        <v>8.8999999999999996E-2</v>
      </c>
      <c r="M37" s="107">
        <v>0.16707613867720356</v>
      </c>
      <c r="N37" s="107">
        <v>3.4766854924739459</v>
      </c>
      <c r="O37" s="107">
        <f>INDEX(Pipes_result_save_V1!$K$2:$K$206,MATCH(D37,Pipes_result_save_V1!$I$2:$I$206,0)) *POWER(10,-3)</f>
        <v>-1.5104161262512211E-2</v>
      </c>
      <c r="P37" s="78">
        <v>5.2604005576389985E-3</v>
      </c>
      <c r="Q37" s="78">
        <f t="shared" si="0"/>
        <v>1.0403064923816499E-2</v>
      </c>
      <c r="R37" s="78">
        <f t="shared" si="1"/>
        <v>1.0403064923816499E-2</v>
      </c>
      <c r="S37" s="78"/>
      <c r="T37" s="78"/>
      <c r="U37" s="78"/>
      <c r="V37" s="78"/>
      <c r="W37" s="78">
        <v>29</v>
      </c>
      <c r="X37" s="78">
        <v>30</v>
      </c>
      <c r="Y37" s="78" t="s">
        <v>540</v>
      </c>
      <c r="Z37" s="78" t="s">
        <v>222</v>
      </c>
      <c r="AA37" s="106" t="str">
        <f>INDEX(Pipes_result_save_V1!$G$2:$G$206,MATCH(Z37,Pipes_result_save_V1!$I$2:$I$206,0))</f>
        <v>N151</v>
      </c>
      <c r="AB37" s="106" t="str">
        <f>INDEX(Pipes_result_save_V1!$H$2:$H$206,MATCH(Z37,Pipes_result_save_V1!$I$2:$I$206,0))</f>
        <v>N152</v>
      </c>
      <c r="AC37" s="78">
        <v>2.9028999999999999E-2</v>
      </c>
      <c r="AD37" s="78">
        <v>200</v>
      </c>
      <c r="AE37" s="78">
        <v>150</v>
      </c>
      <c r="AF37" s="78">
        <v>49</v>
      </c>
      <c r="AG37" s="78">
        <v>123.9619918276852</v>
      </c>
      <c r="AH37" s="78">
        <v>5.559693507618356E-2</v>
      </c>
      <c r="AI37" s="78">
        <v>1</v>
      </c>
      <c r="AJ37" s="78">
        <v>-1</v>
      </c>
      <c r="AK37" s="78">
        <v>0.5876553864915437</v>
      </c>
      <c r="AL37">
        <v>19.575499517932183</v>
      </c>
      <c r="AM37" s="107">
        <f>INDEX(Pipes_result_save_V1!$K$2:$K$206,MATCH(Z37,Pipes_result_save_V1!$I$2:$I$206,0)) *POWER(10,-3)</f>
        <v>-1.431679439544678E-2</v>
      </c>
      <c r="AN37" s="78">
        <v>3.2517551055962412E-3</v>
      </c>
      <c r="AO37" s="78">
        <f t="shared" si="2"/>
        <v>6.1821784820657692E-3</v>
      </c>
      <c r="AP37" s="78">
        <f t="shared" si="3"/>
        <v>-6.1821784820657692E-3</v>
      </c>
      <c r="AQ37" s="78" cm="1">
        <f t="array" ref="AQ37">IF(W37=0,
IF(Y37="positif",ABS(AO37),ABS(AO37)*(-1)),
INDEX($R$8:$R$77,W37))</f>
        <v>2.9596935076183495E-2</v>
      </c>
      <c r="AU37">
        <v>7</v>
      </c>
      <c r="AV37">
        <v>30</v>
      </c>
      <c r="AW37" t="s">
        <v>540</v>
      </c>
      <c r="AX37" t="s">
        <v>292</v>
      </c>
      <c r="AY37" s="106" t="str">
        <f>INDEX(Pipes_result_save_V1!$G$2:$G$206,MATCH(AX37,Pipes_result_save_V1!$I$2:$I$206,0))</f>
        <v>N128</v>
      </c>
      <c r="AZ37" s="106" t="str">
        <f>INDEX(Pipes_result_save_V1!$H$2:$H$206,MATCH(AX37,Pipes_result_save_V1!$I$2:$I$206,0))</f>
        <v>N127</v>
      </c>
      <c r="BA37">
        <v>5.8057999999999998E-2</v>
      </c>
      <c r="BB37">
        <v>300</v>
      </c>
      <c r="BC37">
        <v>150</v>
      </c>
      <c r="BD37">
        <v>127</v>
      </c>
      <c r="BE37">
        <v>44.581601337707689</v>
      </c>
      <c r="BF37">
        <v>3.5211178482065772E-2</v>
      </c>
      <c r="BG37">
        <v>9.0700161921813224E-2</v>
      </c>
      <c r="BH37">
        <v>4.7705503513537426</v>
      </c>
      <c r="BI37" s="107">
        <f>INDEX(Pipes_result_save_V1!$K$2:$K$206,MATCH(AX37,Pipes_result_save_V1!$I$2:$I$206,0)) *POWER(10,-3)</f>
        <v>-9.0811767578125001E-3</v>
      </c>
      <c r="BJ37" s="78">
        <v>5.9779408338353681E-3</v>
      </c>
      <c r="BK37" s="78">
        <f t="shared" si="4"/>
        <v>6.3471255700015397E-2</v>
      </c>
      <c r="BL37" s="78">
        <f t="shared" si="5"/>
        <v>-6.3471255700015397E-2</v>
      </c>
      <c r="BM37" s="78" cm="1">
        <f t="array" ref="BM37">IF(AU37=0,
IF(AW37="positif",ABS(BK37),ABS(BK37)*(-1)),
INDEX($AQ$8:$AQ$77,AU37))</f>
        <v>3.5211178482065772E-2</v>
      </c>
      <c r="BN37" s="78"/>
      <c r="BO37" s="78"/>
      <c r="BR37">
        <v>10</v>
      </c>
      <c r="BS37">
        <v>30</v>
      </c>
      <c r="BT37" t="s">
        <v>540</v>
      </c>
      <c r="BU37" t="s">
        <v>187</v>
      </c>
      <c r="BV37" s="106" t="str">
        <f>INDEX(Pipes_result_save_V1!$G$2:$G$206,MATCH(BU37,Pipes_result_save_V1!$I$2:$I$206,0))</f>
        <v>N80</v>
      </c>
      <c r="BW37" s="106" t="str">
        <f>INDEX(Pipes_result_save_V1!$H$2:$H$206,MATCH(BU37,Pipes_result_save_V1!$I$2:$I$206,0))</f>
        <v>N79</v>
      </c>
      <c r="BX37">
        <v>3.2837000000000005E-2</v>
      </c>
      <c r="BY37">
        <v>250</v>
      </c>
      <c r="BZ37">
        <v>150</v>
      </c>
      <c r="CA37">
        <v>70</v>
      </c>
      <c r="CB37">
        <v>59.723029906352245</v>
      </c>
      <c r="CC37">
        <v>3.8250255700015404E-2</v>
      </c>
      <c r="CD37">
        <v>0.1416382770724261</v>
      </c>
      <c r="CE37">
        <v>6.8578388389186014</v>
      </c>
      <c r="CF37" s="107">
        <f>INDEX(Pipes_result_save_V1!$K$2:$K$206,MATCH(BU37,Pipes_result_save_V1!$I$2:$I$206,0)) *POWER(10,-3)</f>
        <v>-5.5878314971923831E-2</v>
      </c>
      <c r="CG37" s="78">
        <v>5.1138449131267567E-3</v>
      </c>
      <c r="CH37" s="78">
        <f t="shared" si="6"/>
        <v>2.3580796114934299E-2</v>
      </c>
      <c r="CI37" s="78">
        <f t="shared" si="7"/>
        <v>-2.3580796114934299E-2</v>
      </c>
      <c r="CJ37" s="78" cm="1">
        <f t="array" ref="CJ37">IF(BR37=0,
IF(BT37="positif",ABS(CH37),ABS(CH37)*(-1)),
INDEX($BM$8:$BM$44,BR37))</f>
        <v>3.8250255700015404E-2</v>
      </c>
      <c r="CN37">
        <v>9</v>
      </c>
      <c r="CO37">
        <v>30</v>
      </c>
      <c r="CP37" t="s">
        <v>540</v>
      </c>
      <c r="CQ37" t="s">
        <v>126</v>
      </c>
      <c r="CR37" s="106" t="str">
        <f>INDEX(Pipes_result_save_V1!$G$2:$G$206,MATCH(CQ37,Pipes_result_save_V1!$I$2:$I$206,0))</f>
        <v>N59</v>
      </c>
      <c r="CS37" s="106" t="str">
        <f>INDEX(Pipes_result_save_V1!$H$2:$H$206,MATCH(CQ37,Pipes_result_save_V1!$I$2:$I$206,0))</f>
        <v>N58</v>
      </c>
      <c r="CT37">
        <v>3.2837000000000005E-2</v>
      </c>
      <c r="CU37">
        <v>250</v>
      </c>
      <c r="CV37">
        <v>150</v>
      </c>
      <c r="CW37">
        <v>32</v>
      </c>
      <c r="CX37">
        <v>27.30195652861817</v>
      </c>
      <c r="CY37">
        <v>2.3580796114934299E-2</v>
      </c>
      <c r="CZ37">
        <v>2.6434557492805953E-2</v>
      </c>
      <c r="DA37">
        <v>2.076130094932251</v>
      </c>
      <c r="DB37" s="107">
        <f>INDEX(Pipes_result_save_V1!$K$2:$K$206,MATCH(CQ37,Pipes_result_save_V1!$I$2:$I$206,0)) *POWER(10,-3)</f>
        <v>-2.5771469116210942E-2</v>
      </c>
      <c r="DC37" s="78">
        <v>6.1748074876278054E-3</v>
      </c>
      <c r="DD37" s="78">
        <f t="shared" si="8"/>
        <v>2.1252643734511766E-2</v>
      </c>
      <c r="DE37" s="78">
        <f t="shared" si="9"/>
        <v>-2.1252643734511766E-2</v>
      </c>
      <c r="DF37" s="78" cm="1">
        <f t="array" ref="DF37">IF(CN37=0,
IF(CP37="positif",ABS(DD37),ABS(DD37)*(-1)),
INDEX($BM$8:$BM$44,CN37))</f>
        <v>3.8250255700015404E-2</v>
      </c>
      <c r="DL37">
        <v>12</v>
      </c>
      <c r="DM37">
        <v>30</v>
      </c>
      <c r="DN37" t="s">
        <v>539</v>
      </c>
      <c r="DO37" t="s">
        <v>170</v>
      </c>
      <c r="DP37" s="106" t="str">
        <f>INDEX(Pipes_result_save_V1!$G$2:$G$206,MATCH(DO37,Pipes_result_save_V1!$I$2:$I$206,0))</f>
        <v>N41</v>
      </c>
      <c r="DQ37" s="106" t="str">
        <f>INDEX(Pipes_result_save_V1!$H$2:$H$206,MATCH(DO37,Pipes_result_save_V1!$I$2:$I$206,0))</f>
        <v>N40</v>
      </c>
      <c r="DR37">
        <v>8.3280000000000007E-2</v>
      </c>
      <c r="DS37">
        <v>350</v>
      </c>
      <c r="DT37">
        <v>150</v>
      </c>
      <c r="DU37">
        <v>94</v>
      </c>
      <c r="DV37">
        <v>15.573347853516577</v>
      </c>
      <c r="DW37">
        <v>-9.4864356265488253E-2</v>
      </c>
      <c r="DX37">
        <v>-0.19859890921780463</v>
      </c>
      <c r="DY37">
        <v>3.8771694064104656</v>
      </c>
      <c r="DZ37" s="107">
        <f>INDEX(Pipes_result_save_V1!$K$2:$K$206,MATCH(DO37,Pipes_result_save_V1!$I$2:$I$206,0)) *POWER(10,-3)</f>
        <v>-0.10984255981445309</v>
      </c>
      <c r="EA37" s="78">
        <v>5.9665416982164149E-3</v>
      </c>
      <c r="EB37" s="78">
        <f t="shared" si="10"/>
        <v>8.3865483842022887E-2</v>
      </c>
      <c r="EC37" s="78">
        <f t="shared" si="11"/>
        <v>8.3865483842022887E-2</v>
      </c>
      <c r="ED37" s="78" cm="1">
        <f t="array" ref="ED37">IF(DL37=0,
IF(DN37="positif",ABS(EB37),ABS(EB37)*(-1)),
INDEX($BM$8:$BM$44,DL37))</f>
        <v>3.5211178482065772E-2</v>
      </c>
      <c r="EE37" s="78"/>
      <c r="EF37" s="78"/>
      <c r="EI37">
        <v>17</v>
      </c>
      <c r="EJ37">
        <v>30</v>
      </c>
      <c r="EK37" t="s">
        <v>540</v>
      </c>
      <c r="EL37" t="s">
        <v>398</v>
      </c>
      <c r="EM37" s="106" t="str">
        <f>INDEX(Pipes_result_save_V1!$G$2:$G$206,MATCH(EL37,Pipes_result_save_V1!$I$2:$I$206,0))</f>
        <v>N196</v>
      </c>
      <c r="EN37" s="106" t="str">
        <f>INDEX(Pipes_result_save_V1!$H$2:$H$206,MATCH(EL37,Pipes_result_save_V1!$I$2:$I$206,0))</f>
        <v>N28</v>
      </c>
      <c r="EO37">
        <v>0.16656000000000001</v>
      </c>
      <c r="EP37">
        <v>466</v>
      </c>
      <c r="EQ37">
        <v>150</v>
      </c>
      <c r="ER37">
        <v>75</v>
      </c>
      <c r="ES37">
        <v>3.0815061437013331</v>
      </c>
      <c r="ET37">
        <v>0.15497564373451178</v>
      </c>
      <c r="EU37">
        <v>9.7528365416515397E-2</v>
      </c>
      <c r="EV37">
        <v>1.1654898047128639</v>
      </c>
      <c r="EW37" s="107">
        <f>INDEX(Pipes_result_save_V1!$K$2:$K$206,MATCH(EL37,Pipes_result_save_V1!$I$2:$I$206,0)) *POWER(10,-3)</f>
        <v>-0.198505126953125</v>
      </c>
      <c r="EX37" s="78">
        <v>5.1566542572117607E-3</v>
      </c>
      <c r="EY37" s="78">
        <f t="shared" si="12"/>
        <v>0.12915177598290734</v>
      </c>
      <c r="EZ37" s="78">
        <f t="shared" si="13"/>
        <v>-0.12915177598290734</v>
      </c>
      <c r="FA37" s="78" cm="1">
        <f t="array" ref="FA37">IF(EI37=0,
IF(EK37="positif",ABS(EY37),ABS(EY37)*(-1)),
INDEX($BM$8:$BM$44,EI37))</f>
        <v>-3.8250255700015404E-2</v>
      </c>
    </row>
    <row r="38" spans="2:157" ht="30" x14ac:dyDescent="0.25">
      <c r="B38" s="106">
        <v>31</v>
      </c>
      <c r="C38" s="106" t="s">
        <v>539</v>
      </c>
      <c r="D38" s="106" t="s">
        <v>224</v>
      </c>
      <c r="E38" s="106" t="str">
        <f>INDEX(Pipes_result_save_V1!$G$2:$G$206,MATCH(D38,Pipes_result_save_V1!$I$2:$I$206,0))</f>
        <v>N153</v>
      </c>
      <c r="F38" s="106" t="str">
        <f>INDEX(Pipes_result_save_V1!$H$2:$H$206,MATCH(D38,Pipes_result_save_V1!$I$2:$I$206,0))</f>
        <v>N154</v>
      </c>
      <c r="G38" s="106">
        <v>7.6999999999999999E-2</v>
      </c>
      <c r="H38" s="107">
        <v>350</v>
      </c>
      <c r="I38" s="107">
        <v>150</v>
      </c>
      <c r="J38" s="107">
        <v>77</v>
      </c>
      <c r="K38" s="107">
        <v>12.756891326816771</v>
      </c>
      <c r="L38" s="107">
        <v>7.6999999999999999E-2</v>
      </c>
      <c r="M38" s="107">
        <v>0.11054158283193545</v>
      </c>
      <c r="N38" s="107">
        <v>2.6587404078538244</v>
      </c>
      <c r="O38" s="107">
        <f>INDEX(Pipes_result_save_V1!$K$2:$K$206,MATCH(D38,Pipes_result_save_V1!$I$2:$I$206,0)) *POWER(10,-3)</f>
        <v>-1.6051282882690431E-2</v>
      </c>
      <c r="P38" s="78">
        <v>5.6065416861803604E-3</v>
      </c>
      <c r="Q38" s="78">
        <f t="shared" si="0"/>
        <v>-1.5969350761834977E-3</v>
      </c>
      <c r="R38" s="78">
        <f t="shared" si="1"/>
        <v>1.5969350761834977E-3</v>
      </c>
      <c r="S38" s="78"/>
      <c r="T38" s="78"/>
      <c r="U38" s="78"/>
      <c r="V38" s="78"/>
      <c r="W38" s="78">
        <v>30</v>
      </c>
      <c r="X38" s="78">
        <v>31</v>
      </c>
      <c r="Y38" s="78" t="s">
        <v>540</v>
      </c>
      <c r="Z38" s="78" t="s">
        <v>223</v>
      </c>
      <c r="AA38" s="106" t="str">
        <f>INDEX(Pipes_result_save_V1!$G$2:$G$206,MATCH(Z38,Pipes_result_save_V1!$I$2:$I$206,0))</f>
        <v>N152</v>
      </c>
      <c r="AB38" s="106" t="str">
        <f>INDEX(Pipes_result_save_V1!$H$2:$H$206,MATCH(Z38,Pipes_result_save_V1!$I$2:$I$206,0))</f>
        <v>N153</v>
      </c>
      <c r="AC38" s="78">
        <v>2.9028999999999999E-2</v>
      </c>
      <c r="AD38" s="78">
        <v>200</v>
      </c>
      <c r="AE38" s="78">
        <v>150</v>
      </c>
      <c r="AF38" s="78">
        <v>89</v>
      </c>
      <c r="AG38" s="78">
        <v>225.15545454416295</v>
      </c>
      <c r="AH38" s="78">
        <v>9.5596935076183553E-2</v>
      </c>
      <c r="AI38" s="78">
        <v>1</v>
      </c>
      <c r="AJ38" s="78">
        <v>-1</v>
      </c>
      <c r="AK38" s="78">
        <v>2.912491740352483</v>
      </c>
      <c r="AL38">
        <v>56.423720057910209</v>
      </c>
      <c r="AM38" s="107">
        <f>INDEX(Pipes_result_save_V1!$K$2:$K$206,MATCH(Z38,Pipes_result_save_V1!$I$2:$I$206,0)) *POWER(10,-3)</f>
        <v>-1.5104161262512211E-2</v>
      </c>
      <c r="AN38" s="78">
        <v>1.4341748582684982E-3</v>
      </c>
      <c r="AO38" s="78">
        <f t="shared" si="2"/>
        <v>6.1821784820657692E-3</v>
      </c>
      <c r="AP38" s="78">
        <f t="shared" si="3"/>
        <v>-6.1821784820657692E-3</v>
      </c>
      <c r="AQ38" s="78" cm="1">
        <f t="array" ref="AQ38">IF(W38=0,
IF(Y38="positif",ABS(AO38),ABS(AO38)*(-1)),
INDEX($R$8:$R$77,W38))</f>
        <v>1.0403064923816499E-2</v>
      </c>
      <c r="AU38">
        <v>8</v>
      </c>
      <c r="AV38">
        <v>31</v>
      </c>
      <c r="AW38" t="s">
        <v>540</v>
      </c>
      <c r="AX38" t="s">
        <v>291</v>
      </c>
      <c r="AY38" s="106" t="str">
        <f>INDEX(Pipes_result_save_V1!$G$2:$G$206,MATCH(AX38,Pipes_result_save_V1!$I$2:$I$206,0))</f>
        <v>N129</v>
      </c>
      <c r="AZ38" s="106" t="str">
        <f>INDEX(Pipes_result_save_V1!$H$2:$H$206,MATCH(AX38,Pipes_result_save_V1!$I$2:$I$206,0))</f>
        <v>N128</v>
      </c>
      <c r="BA38">
        <v>5.8057999999999998E-2</v>
      </c>
      <c r="BB38">
        <v>300</v>
      </c>
      <c r="BC38">
        <v>150</v>
      </c>
      <c r="BD38">
        <v>128</v>
      </c>
      <c r="BE38">
        <v>44.932637568713268</v>
      </c>
      <c r="BF38">
        <v>3.5211178482065772E-2</v>
      </c>
      <c r="BG38">
        <v>9.1414336425134607E-2</v>
      </c>
      <c r="BH38">
        <v>4.8081137399470801</v>
      </c>
      <c r="BI38" s="107">
        <f>INDEX(Pipes_result_save_V1!$K$2:$K$206,MATCH(AX38,Pipes_result_save_V1!$I$2:$I$206,0)) *POWER(10,-3)</f>
        <v>-6.3425126075744628E-3</v>
      </c>
      <c r="BJ38" s="78">
        <v>5.7627212719798737E-3</v>
      </c>
      <c r="BK38" s="78">
        <f t="shared" si="4"/>
        <v>6.3471255700015397E-2</v>
      </c>
      <c r="BL38" s="78">
        <f t="shared" si="5"/>
        <v>-6.3471255700015397E-2</v>
      </c>
      <c r="BM38" s="78" cm="1">
        <f t="array" ref="BM38">IF(AU38=0,
IF(AW38="positif",ABS(BK38),ABS(BK38)*(-1)),
INDEX($AQ$8:$AQ$77,AU38))</f>
        <v>3.5211178482065772E-2</v>
      </c>
      <c r="BN38" s="78"/>
      <c r="BO38" s="78"/>
      <c r="BR38">
        <v>11</v>
      </c>
      <c r="BS38">
        <v>31</v>
      </c>
      <c r="BT38" t="s">
        <v>540</v>
      </c>
      <c r="BU38" t="s">
        <v>185</v>
      </c>
      <c r="BV38" s="106" t="str">
        <f>INDEX(Pipes_result_save_V1!$G$2:$G$206,MATCH(BU38,Pipes_result_save_V1!$I$2:$I$206,0))</f>
        <v>N81</v>
      </c>
      <c r="BW38" s="106" t="str">
        <f>INDEX(Pipes_result_save_V1!$H$2:$H$206,MATCH(BU38,Pipes_result_save_V1!$I$2:$I$206,0))</f>
        <v>N80</v>
      </c>
      <c r="BX38">
        <v>3.2835999999999997E-2</v>
      </c>
      <c r="BY38">
        <v>250</v>
      </c>
      <c r="BZ38">
        <v>150</v>
      </c>
      <c r="CA38">
        <v>80</v>
      </c>
      <c r="CB38">
        <v>68.254891321545429</v>
      </c>
      <c r="CC38">
        <v>3.8249255700015396E-2</v>
      </c>
      <c r="CD38">
        <v>0.16186447921138786</v>
      </c>
      <c r="CE38">
        <v>7.8373555253094676</v>
      </c>
      <c r="CF38" s="107">
        <f>INDEX(Pipes_result_save_V1!$K$2:$K$206,MATCH(BU38,Pipes_result_save_V1!$I$2:$I$206,0)) *POWER(10,-3)</f>
        <v>-5.5022480010986329E-2</v>
      </c>
      <c r="CG38" s="78">
        <v>6.4456821577140409E-3</v>
      </c>
      <c r="CH38" s="78">
        <f t="shared" si="6"/>
        <v>2.3579796114934291E-2</v>
      </c>
      <c r="CI38" s="78">
        <f t="shared" si="7"/>
        <v>-2.3579796114934291E-2</v>
      </c>
      <c r="CJ38" s="78" cm="1">
        <f t="array" ref="CJ38">IF(BR38=0,
IF(BT38="positif",ABS(CH38),ABS(CH38)*(-1)),
INDEX($BM$8:$BM$44,BR38))</f>
        <v>3.8249255700015396E-2</v>
      </c>
      <c r="CN38">
        <v>10</v>
      </c>
      <c r="CO38">
        <v>31</v>
      </c>
      <c r="CP38" t="s">
        <v>540</v>
      </c>
      <c r="CQ38" t="s">
        <v>125</v>
      </c>
      <c r="CR38" s="106" t="str">
        <f>INDEX(Pipes_result_save_V1!$G$2:$G$206,MATCH(CQ38,Pipes_result_save_V1!$I$2:$I$206,0))</f>
        <v>N60</v>
      </c>
      <c r="CS38" s="106" t="str">
        <f>INDEX(Pipes_result_save_V1!$H$2:$H$206,MATCH(CQ38,Pipes_result_save_V1!$I$2:$I$206,0))</f>
        <v>N59</v>
      </c>
      <c r="CT38">
        <v>3.2837000000000005E-2</v>
      </c>
      <c r="CU38">
        <v>250</v>
      </c>
      <c r="CV38">
        <v>150</v>
      </c>
      <c r="CW38">
        <v>79</v>
      </c>
      <c r="CX38">
        <v>67.401705180026113</v>
      </c>
      <c r="CY38">
        <v>2.3580796114934299E-2</v>
      </c>
      <c r="CZ38">
        <v>6.5260313810364706E-2</v>
      </c>
      <c r="DA38">
        <v>5.1254461718639952</v>
      </c>
      <c r="DB38" s="107">
        <f>INDEX(Pipes_result_save_V1!$K$2:$K$206,MATCH(CQ38,Pipes_result_save_V1!$I$2:$I$206,0)) *POWER(10,-3)</f>
        <v>-2.5138153076171878E-2</v>
      </c>
      <c r="DC38" s="78">
        <v>5.5245864041679861E-3</v>
      </c>
      <c r="DD38" s="78">
        <f t="shared" si="8"/>
        <v>2.1252643734511766E-2</v>
      </c>
      <c r="DE38" s="78">
        <f t="shared" si="9"/>
        <v>-2.1252643734511766E-2</v>
      </c>
      <c r="DF38" s="78" cm="1">
        <f t="array" ref="DF38">IF(CN38=0,
IF(CP38="positif",ABS(DD38),ABS(DD38)*(-1)),
INDEX($BM$8:$BM$44,CN38))</f>
        <v>3.8250255700015404E-2</v>
      </c>
      <c r="DL38">
        <v>13</v>
      </c>
      <c r="DM38">
        <v>31</v>
      </c>
      <c r="DN38" t="s">
        <v>539</v>
      </c>
      <c r="DO38" t="s">
        <v>171</v>
      </c>
      <c r="DP38" s="106" t="str">
        <f>INDEX(Pipes_result_save_V1!$G$2:$G$206,MATCH(DO38,Pipes_result_save_V1!$I$2:$I$206,0))</f>
        <v>N41</v>
      </c>
      <c r="DQ38" s="106" t="str">
        <f>INDEX(Pipes_result_save_V1!$H$2:$H$206,MATCH(DO38,Pipes_result_save_V1!$I$2:$I$206,0))</f>
        <v>N42</v>
      </c>
      <c r="DR38">
        <v>9.851E-2</v>
      </c>
      <c r="DS38">
        <v>400</v>
      </c>
      <c r="DT38">
        <v>150</v>
      </c>
      <c r="DU38">
        <v>70</v>
      </c>
      <c r="DV38">
        <v>6.0516443501782993</v>
      </c>
      <c r="DW38">
        <v>-0.11009435626548825</v>
      </c>
      <c r="DX38">
        <v>-0.10167689645312228</v>
      </c>
      <c r="DY38">
        <v>1.7104020461965455</v>
      </c>
      <c r="DZ38" s="107">
        <f>INDEX(Pipes_result_save_V1!$K$2:$K$206,MATCH(DO38,Pipes_result_save_V1!$I$2:$I$206,0)) *POWER(10,-3)</f>
        <v>0.1084104309082031</v>
      </c>
      <c r="EA38" s="78">
        <v>6.4962339336872461E-3</v>
      </c>
      <c r="EB38" s="78">
        <f t="shared" si="10"/>
        <v>9.909548384202288E-2</v>
      </c>
      <c r="EC38" s="78">
        <f t="shared" si="11"/>
        <v>9.909548384202288E-2</v>
      </c>
      <c r="ED38" s="78" cm="1">
        <f t="array" ref="ED38">IF(DL38=0,
IF(DN38="positif",ABS(EB38),ABS(EB38)*(-1)),
INDEX($BM$8:$BM$44,DL38))</f>
        <v>-3.8250255700015404E-2</v>
      </c>
      <c r="EE38" s="78"/>
      <c r="EF38" s="78"/>
      <c r="EI38">
        <v>18</v>
      </c>
      <c r="EJ38">
        <v>31</v>
      </c>
      <c r="EK38" t="s">
        <v>540</v>
      </c>
      <c r="EL38" t="s">
        <v>140</v>
      </c>
      <c r="EM38" s="106" t="str">
        <f>INDEX(Pipes_result_save_V1!$G$2:$G$206,MATCH(EL38,Pipes_result_save_V1!$I$2:$I$206,0))</f>
        <v>N30</v>
      </c>
      <c r="EN38" s="106" t="str">
        <f>INDEX(Pipes_result_save_V1!$H$2:$H$206,MATCH(EL38,Pipes_result_save_V1!$I$2:$I$206,0))</f>
        <v>N29</v>
      </c>
      <c r="EO38">
        <v>0.16656000000000001</v>
      </c>
      <c r="EP38">
        <v>466</v>
      </c>
      <c r="EQ38">
        <v>150</v>
      </c>
      <c r="ER38">
        <v>76</v>
      </c>
      <c r="ES38">
        <v>3.1225928922840178</v>
      </c>
      <c r="ET38">
        <v>0.15497564373451178</v>
      </c>
      <c r="EU38">
        <v>9.8828743622068949E-2</v>
      </c>
      <c r="EV38">
        <v>1.1810296687757023</v>
      </c>
      <c r="EW38" s="107">
        <f>INDEX(Pipes_result_save_V1!$K$2:$K$206,MATCH(EL38,Pipes_result_save_V1!$I$2:$I$206,0)) *POWER(10,-3)</f>
        <v>-0.19685621643066409</v>
      </c>
      <c r="EX38" s="78">
        <v>5.2115748229951296E-3</v>
      </c>
      <c r="EY38" s="78">
        <f t="shared" si="12"/>
        <v>0.12915177598290734</v>
      </c>
      <c r="EZ38" s="78">
        <f t="shared" si="13"/>
        <v>-0.12915177598290734</v>
      </c>
      <c r="FA38" s="78" cm="1">
        <f t="array" ref="FA38">IF(EI38=0,
IF(EK38="positif",ABS(EY38),ABS(EY38)*(-1)),
INDEX($BM$8:$BM$44,EI38))</f>
        <v>-3.8250255700015404E-2</v>
      </c>
    </row>
    <row r="39" spans="2:157" ht="30" x14ac:dyDescent="0.25">
      <c r="B39" s="106">
        <v>32</v>
      </c>
      <c r="C39" s="106" t="s">
        <v>539</v>
      </c>
      <c r="D39" s="106" t="s">
        <v>225</v>
      </c>
      <c r="E39" s="106" t="str">
        <f>INDEX(Pipes_result_save_V1!$G$2:$G$206,MATCH(D39,Pipes_result_save_V1!$I$2:$I$206,0))</f>
        <v>N154</v>
      </c>
      <c r="F39" s="106" t="str">
        <f>INDEX(Pipes_result_save_V1!$H$2:$H$206,MATCH(D39,Pipes_result_save_V1!$I$2:$I$206,0))</f>
        <v>N155</v>
      </c>
      <c r="G39" s="106">
        <v>3.6999999999999998E-2</v>
      </c>
      <c r="H39" s="107">
        <v>250</v>
      </c>
      <c r="I39" s="107">
        <v>150</v>
      </c>
      <c r="J39" s="107">
        <v>37</v>
      </c>
      <c r="K39" s="107">
        <v>31.567887236214759</v>
      </c>
      <c r="L39" s="107">
        <v>3.6999999999999998E-2</v>
      </c>
      <c r="M39" s="107">
        <v>7.0397155231682926E-2</v>
      </c>
      <c r="N39" s="107">
        <v>3.5236630132182909</v>
      </c>
      <c r="O39" s="107">
        <f>INDEX(Pipes_result_save_V1!$K$2:$K$206,MATCH(D39,Pipes_result_save_V1!$I$2:$I$206,0)) *POWER(10,-3)</f>
        <v>-1.6701713562011718E-2</v>
      </c>
      <c r="P39" s="78">
        <v>5.1311064243581162E-3</v>
      </c>
      <c r="Q39" s="78">
        <f t="shared" si="0"/>
        <v>-4.1596935076183499E-2</v>
      </c>
      <c r="R39" s="78">
        <f t="shared" si="1"/>
        <v>4.1596935076183499E-2</v>
      </c>
      <c r="S39" s="78"/>
      <c r="T39" s="78"/>
      <c r="U39" s="78"/>
      <c r="V39" s="78"/>
      <c r="W39" s="78">
        <v>31</v>
      </c>
      <c r="X39" s="78">
        <v>32</v>
      </c>
      <c r="Y39" s="78" t="s">
        <v>540</v>
      </c>
      <c r="Z39" s="78" t="s">
        <v>224</v>
      </c>
      <c r="AA39" s="106" t="str">
        <f>INDEX(Pipes_result_save_V1!$G$2:$G$206,MATCH(Z39,Pipes_result_save_V1!$I$2:$I$206,0))</f>
        <v>N153</v>
      </c>
      <c r="AB39" s="106" t="str">
        <f>INDEX(Pipes_result_save_V1!$H$2:$H$206,MATCH(Z39,Pipes_result_save_V1!$I$2:$I$206,0))</f>
        <v>N154</v>
      </c>
      <c r="AC39" s="78">
        <v>2.9028999999999999E-2</v>
      </c>
      <c r="AD39" s="78">
        <v>200</v>
      </c>
      <c r="AE39" s="78">
        <v>150</v>
      </c>
      <c r="AF39" s="78">
        <v>77</v>
      </c>
      <c r="AG39" s="78">
        <v>194.79741572921961</v>
      </c>
      <c r="AH39" s="78">
        <v>8.3596935076183557E-2</v>
      </c>
      <c r="AI39" s="78">
        <v>1</v>
      </c>
      <c r="AJ39" s="78">
        <v>-1</v>
      </c>
      <c r="AK39" s="78">
        <v>1.9655302348454322</v>
      </c>
      <c r="AL39">
        <v>43.544204002412165</v>
      </c>
      <c r="AM39" s="107">
        <f>INDEX(Pipes_result_save_V1!$K$2:$K$206,MATCH(Z39,Pipes_result_save_V1!$I$2:$I$206,0)) *POWER(10,-3)</f>
        <v>-1.6051282882690431E-2</v>
      </c>
      <c r="AN39" s="78">
        <v>6.3091178139753311E-5</v>
      </c>
      <c r="AO39" s="78">
        <f t="shared" si="2"/>
        <v>6.1821784820657692E-3</v>
      </c>
      <c r="AP39" s="78">
        <f t="shared" si="3"/>
        <v>-6.1821784820657692E-3</v>
      </c>
      <c r="AQ39" s="78" cm="1">
        <f t="array" ref="AQ39">IF(W39=0,
IF(Y39="positif",ABS(AO39),ABS(AO39)*(-1)),
INDEX($R$8:$R$77,W39))</f>
        <v>1.5969350761834977E-3</v>
      </c>
      <c r="AU39">
        <v>9</v>
      </c>
      <c r="AV39">
        <v>32</v>
      </c>
      <c r="AW39" t="s">
        <v>540</v>
      </c>
      <c r="AX39" t="s">
        <v>293</v>
      </c>
      <c r="AY39" s="106" t="str">
        <f>INDEX(Pipes_result_save_V1!$G$2:$G$206,MATCH(AX39,Pipes_result_save_V1!$I$2:$I$206,0))</f>
        <v>N130</v>
      </c>
      <c r="AZ39" s="106" t="str">
        <f>INDEX(Pipes_result_save_V1!$H$2:$H$206,MATCH(AX39,Pipes_result_save_V1!$I$2:$I$206,0))</f>
        <v>N129</v>
      </c>
      <c r="BA39">
        <v>5.8057999999999998E-2</v>
      </c>
      <c r="BB39">
        <v>300</v>
      </c>
      <c r="BC39">
        <v>150</v>
      </c>
      <c r="BD39">
        <v>129</v>
      </c>
      <c r="BE39">
        <v>45.283673799718841</v>
      </c>
      <c r="BF39">
        <v>3.5211178482065772E-2</v>
      </c>
      <c r="BG39">
        <v>9.2128510928455962E-2</v>
      </c>
      <c r="BH39">
        <v>4.8456771285404168</v>
      </c>
      <c r="BI39" s="107">
        <f>INDEX(Pipes_result_save_V1!$K$2:$K$206,MATCH(AX39,Pipes_result_save_V1!$I$2:$I$206,0)) *POWER(10,-3)</f>
        <v>-4.2200489044189457E-3</v>
      </c>
      <c r="BJ39" s="78">
        <v>5.2374224709856761E-3</v>
      </c>
      <c r="BK39" s="78">
        <f t="shared" si="4"/>
        <v>6.3471255700015397E-2</v>
      </c>
      <c r="BL39" s="78">
        <f t="shared" si="5"/>
        <v>-6.3471255700015397E-2</v>
      </c>
      <c r="BM39" s="78" cm="1">
        <f t="array" ref="BM39">IF(AU39=0,
IF(AW39="positif",ABS(BK39),ABS(BK39)*(-1)),
INDEX($AQ$8:$AQ$77,AU39))</f>
        <v>3.5211178482065772E-2</v>
      </c>
      <c r="BN39" s="78"/>
      <c r="BO39" s="78"/>
      <c r="BR39">
        <v>0</v>
      </c>
      <c r="BS39">
        <v>32</v>
      </c>
      <c r="BT39" t="s">
        <v>540</v>
      </c>
      <c r="BU39" t="s">
        <v>184</v>
      </c>
      <c r="BV39" s="106" t="str">
        <f>INDEX(Pipes_result_save_V1!$G$2:$G$206,MATCH(BU39,Pipes_result_save_V1!$I$2:$I$206,0))</f>
        <v>N82</v>
      </c>
      <c r="BW39" s="106" t="str">
        <f>INDEX(Pipes_result_save_V1!$H$2:$H$206,MATCH(BU39,Pipes_result_save_V1!$I$2:$I$206,0))</f>
        <v>N81</v>
      </c>
      <c r="BX39">
        <v>9.0894000000000003E-2</v>
      </c>
      <c r="BY39">
        <v>350</v>
      </c>
      <c r="BZ39">
        <v>150</v>
      </c>
      <c r="CA39">
        <v>68</v>
      </c>
      <c r="CB39">
        <v>11.265826106799226</v>
      </c>
      <c r="CC39">
        <v>-9.0894000000000003E-2</v>
      </c>
      <c r="CD39">
        <v>-0.13273035727434446</v>
      </c>
      <c r="CE39">
        <v>2.7044317740674404</v>
      </c>
      <c r="CF39" s="107">
        <f>INDEX(Pipes_result_save_V1!$K$2:$K$206,MATCH(BU39,Pipes_result_save_V1!$I$2:$I$206,0)) *POWER(10,-3)</f>
        <v>-5.1448749542236327E-2</v>
      </c>
      <c r="CG39" s="78">
        <v>6.2245582518286255E-3</v>
      </c>
      <c r="CH39" s="78">
        <f t="shared" si="6"/>
        <v>8.1637796114934297E-2</v>
      </c>
      <c r="CI39" s="78">
        <f t="shared" si="7"/>
        <v>-8.1637796114934297E-2</v>
      </c>
      <c r="CJ39" s="78" cm="1">
        <f t="array" ref="CJ39">IF(BR39=0,
IF(BT39="positif",ABS(CH39),ABS(CH39)*(-1)),
INDEX($BM$8:$BM$44,BR39))</f>
        <v>-8.1637796114934297E-2</v>
      </c>
      <c r="CN39">
        <v>11</v>
      </c>
      <c r="CO39">
        <v>32</v>
      </c>
      <c r="CP39" t="s">
        <v>540</v>
      </c>
      <c r="CQ39" t="s">
        <v>124</v>
      </c>
      <c r="CR39" s="106" t="str">
        <f>INDEX(Pipes_result_save_V1!$G$2:$G$206,MATCH(CQ39,Pipes_result_save_V1!$I$2:$I$206,0))</f>
        <v>N61</v>
      </c>
      <c r="CS39" s="106" t="str">
        <f>INDEX(Pipes_result_save_V1!$H$2:$H$206,MATCH(CQ39,Pipes_result_save_V1!$I$2:$I$206,0))</f>
        <v>N60</v>
      </c>
      <c r="CT39">
        <v>3.2837000000000005E-2</v>
      </c>
      <c r="CU39">
        <v>250</v>
      </c>
      <c r="CV39">
        <v>150</v>
      </c>
      <c r="CW39">
        <v>51</v>
      </c>
      <c r="CX39">
        <v>43.512493217485208</v>
      </c>
      <c r="CY39">
        <v>2.3580796114934299E-2</v>
      </c>
      <c r="CZ39">
        <v>4.2130076004159488E-2</v>
      </c>
      <c r="DA39">
        <v>3.3088323387982754</v>
      </c>
      <c r="DB39" s="107">
        <f>INDEX(Pipes_result_save_V1!$K$2:$K$206,MATCH(CQ39,Pipes_result_save_V1!$I$2:$I$206,0)) *POWER(10,-3)</f>
        <v>-2.439643096923828E-2</v>
      </c>
      <c r="DC39" s="78">
        <v>5.0495888253203908E-3</v>
      </c>
      <c r="DD39" s="78">
        <f t="shared" si="8"/>
        <v>2.1252643734511766E-2</v>
      </c>
      <c r="DE39" s="78">
        <f t="shared" si="9"/>
        <v>-2.1252643734511766E-2</v>
      </c>
      <c r="DF39" s="78" cm="1">
        <f t="array" ref="DF39">IF(CN39=0,
IF(CP39="positif",ABS(DD39),ABS(DD39)*(-1)),
INDEX($BM$8:$BM$44,CN39))</f>
        <v>3.8249255700015396E-2</v>
      </c>
      <c r="DL39">
        <v>0</v>
      </c>
      <c r="DM39">
        <v>32</v>
      </c>
      <c r="DN39" t="s">
        <v>539</v>
      </c>
      <c r="DO39" t="s">
        <v>413</v>
      </c>
      <c r="DP39" s="106" t="str">
        <f>INDEX(Pipes_result_save_V1!$G$2:$G$206,MATCH(DO39,Pipes_result_save_V1!$I$2:$I$206,0))</f>
        <v>N111</v>
      </c>
      <c r="DQ39" s="106" t="str">
        <f>INDEX(Pipes_result_save_V1!$H$2:$H$206,MATCH(DO39,Pipes_result_save_V1!$I$2:$I$206,0))</f>
        <v>N42</v>
      </c>
      <c r="DR39">
        <v>3.2835999999999997E-2</v>
      </c>
      <c r="DS39">
        <v>250</v>
      </c>
      <c r="DT39">
        <v>150</v>
      </c>
      <c r="DU39">
        <v>59</v>
      </c>
      <c r="DV39">
        <v>50.337982349639752</v>
      </c>
      <c r="DW39">
        <v>3.2835999999999997E-2</v>
      </c>
      <c r="DX39">
        <v>8.9986313765935425E-2</v>
      </c>
      <c r="DY39">
        <v>5.0753640240745668</v>
      </c>
      <c r="DZ39" s="107">
        <f>INDEX(Pipes_result_save_V1!$K$2:$K$206,MATCH(DO39,Pipes_result_save_V1!$I$2:$I$206,0)) *POWER(10,-3)</f>
        <v>-8.0635652542114262E-3</v>
      </c>
      <c r="EA39" s="78">
        <v>6.0840025087572185E-3</v>
      </c>
      <c r="EB39" s="78">
        <f t="shared" si="10"/>
        <v>3.342148384202287E-2</v>
      </c>
      <c r="EC39" s="78">
        <f t="shared" si="11"/>
        <v>3.342148384202287E-2</v>
      </c>
      <c r="ED39" s="78" cm="1">
        <f t="array" ref="ED39">IF(DL39=0,
IF(DN39="positif",ABS(EB39),ABS(EB39)*(-1)),
INDEX($BM$8:$BM$44,DL39))</f>
        <v>3.342148384202287E-2</v>
      </c>
      <c r="EE39" s="78"/>
      <c r="EF39" s="78"/>
      <c r="EI39">
        <v>19</v>
      </c>
      <c r="EJ39">
        <v>32</v>
      </c>
      <c r="EK39" t="s">
        <v>540</v>
      </c>
      <c r="EL39" t="s">
        <v>909</v>
      </c>
      <c r="EM39" s="106" t="str">
        <f>INDEX(Pipes_result_save_V1!$G$2:$G$206,MATCH(EL39,Pipes_result_save_V1!$I$2:$I$206,0))</f>
        <v>N29</v>
      </c>
      <c r="EN39" s="106" t="str">
        <f>INDEX(Pipes_result_save_V1!$H$2:$H$206,MATCH(EL39,Pipes_result_save_V1!$I$2:$I$206,0))</f>
        <v>N196</v>
      </c>
      <c r="EO39">
        <v>0.16656000000000001</v>
      </c>
      <c r="EP39">
        <v>466</v>
      </c>
      <c r="EQ39">
        <v>150</v>
      </c>
      <c r="ER39">
        <v>69</v>
      </c>
      <c r="ES39">
        <v>2.8349856522052264</v>
      </c>
      <c r="ET39">
        <v>0.15497564373451178</v>
      </c>
      <c r="EU39">
        <v>8.9726096183194159E-2</v>
      </c>
      <c r="EV39">
        <v>1.0722506203358348</v>
      </c>
      <c r="EW39" s="107">
        <f>INDEX(Pipes_result_save_V1!$K$2:$K$206,MATCH(EL39,Pipes_result_save_V1!$I$2:$I$206,0)) *POWER(10,-3)</f>
        <v>-0.19768353271484382</v>
      </c>
      <c r="EX39" s="78">
        <v>5.7368121714550975E-3</v>
      </c>
      <c r="EY39" s="78">
        <f t="shared" si="12"/>
        <v>0.12915177598290734</v>
      </c>
      <c r="EZ39" s="78">
        <f t="shared" si="13"/>
        <v>-0.12915177598290734</v>
      </c>
      <c r="FA39" s="78" cm="1">
        <f t="array" ref="FA39">IF(EI39=0,
IF(EK39="positif",ABS(EY39),ABS(EY39)*(-1)),
INDEX($BM$8:$BM$44,EI39))</f>
        <v>-3.8250255700015404E-2</v>
      </c>
    </row>
    <row r="40" spans="2:157" ht="30" x14ac:dyDescent="0.25">
      <c r="B40" s="106">
        <v>33</v>
      </c>
      <c r="C40" s="106" t="s">
        <v>539</v>
      </c>
      <c r="D40" s="106" t="s">
        <v>226</v>
      </c>
      <c r="E40" s="106" t="str">
        <f>INDEX(Pipes_result_save_V1!$G$2:$G$206,MATCH(D40,Pipes_result_save_V1!$I$2:$I$206,0))</f>
        <v>N155</v>
      </c>
      <c r="F40" s="106" t="str">
        <f>INDEX(Pipes_result_save_V1!$H$2:$H$206,MATCH(D40,Pipes_result_save_V1!$I$2:$I$206,0))</f>
        <v>N156</v>
      </c>
      <c r="G40" s="106">
        <v>0.129</v>
      </c>
      <c r="H40" s="107">
        <v>421</v>
      </c>
      <c r="I40" s="107">
        <v>150</v>
      </c>
      <c r="J40" s="107">
        <v>129</v>
      </c>
      <c r="K40" s="107">
        <v>8.6920295923619637</v>
      </c>
      <c r="L40" s="107">
        <v>0.129</v>
      </c>
      <c r="M40" s="107">
        <v>0.19585440315176539</v>
      </c>
      <c r="N40" s="107">
        <v>2.8118011987369731</v>
      </c>
      <c r="O40" s="107">
        <f>INDEX(Pipes_result_save_V1!$K$2:$K$206,MATCH(D40,Pipes_result_save_V1!$I$2:$I$206,0)) *POWER(10,-3)</f>
        <v>-1.7648836135864262E-2</v>
      </c>
      <c r="P40" s="78">
        <v>5.5686394034904756E-3</v>
      </c>
      <c r="Q40" s="78">
        <f t="shared" si="0"/>
        <v>5.0403064923816507E-2</v>
      </c>
      <c r="R40" s="78">
        <f t="shared" si="1"/>
        <v>5.0403064923816507E-2</v>
      </c>
      <c r="S40" s="78"/>
      <c r="T40" s="78"/>
      <c r="U40" s="78"/>
      <c r="V40" s="78"/>
      <c r="W40" s="78">
        <v>32</v>
      </c>
      <c r="X40" s="78">
        <v>33</v>
      </c>
      <c r="Y40" s="78" t="s">
        <v>540</v>
      </c>
      <c r="Z40" s="78" t="s">
        <v>225</v>
      </c>
      <c r="AA40" s="106" t="str">
        <f>INDEX(Pipes_result_save_V1!$G$2:$G$206,MATCH(Z40,Pipes_result_save_V1!$I$2:$I$206,0))</f>
        <v>N154</v>
      </c>
      <c r="AB40" s="106" t="str">
        <f>INDEX(Pipes_result_save_V1!$H$2:$H$206,MATCH(Z40,Pipes_result_save_V1!$I$2:$I$206,0))</f>
        <v>N155</v>
      </c>
      <c r="AC40" s="78">
        <v>2.9028999999999999E-2</v>
      </c>
      <c r="AD40" s="78">
        <v>200</v>
      </c>
      <c r="AE40" s="78">
        <v>150</v>
      </c>
      <c r="AF40" s="78">
        <v>37</v>
      </c>
      <c r="AG40" s="78">
        <v>93.603953012741897</v>
      </c>
      <c r="AH40" s="78">
        <v>4.3596935076183549E-2</v>
      </c>
      <c r="AI40" s="78">
        <v>1</v>
      </c>
      <c r="AJ40" s="78">
        <v>-1</v>
      </c>
      <c r="AK40" s="78">
        <v>0.28285680122909845</v>
      </c>
      <c r="AL40">
        <v>12.015771176595017</v>
      </c>
      <c r="AM40" s="107">
        <f>INDEX(Pipes_result_save_V1!$K$2:$K$206,MATCH(Z40,Pipes_result_save_V1!$I$2:$I$206,0)) *POWER(10,-3)</f>
        <v>-1.6701713562011718E-2</v>
      </c>
      <c r="AN40" s="78">
        <v>3.1214282543314542E-3</v>
      </c>
      <c r="AO40" s="78">
        <f t="shared" si="2"/>
        <v>6.1821784820657692E-3</v>
      </c>
      <c r="AP40" s="78">
        <f t="shared" si="3"/>
        <v>-6.1821784820657692E-3</v>
      </c>
      <c r="AQ40" s="78" cm="1">
        <f t="array" ref="AQ40">IF(W40=0,
IF(Y40="positif",ABS(AO40),ABS(AO40)*(-1)),
INDEX($R$8:$R$77,W40))</f>
        <v>4.1596935076183499E-2</v>
      </c>
      <c r="AU40">
        <v>10</v>
      </c>
      <c r="AV40">
        <v>33</v>
      </c>
      <c r="AW40" t="s">
        <v>540</v>
      </c>
      <c r="AX40" t="s">
        <v>294</v>
      </c>
      <c r="AY40" s="106" t="str">
        <f>INDEX(Pipes_result_save_V1!$G$2:$G$206,MATCH(AX40,Pipes_result_save_V1!$I$2:$I$206,0))</f>
        <v>N131</v>
      </c>
      <c r="AZ40" s="106" t="str">
        <f>INDEX(Pipes_result_save_V1!$H$2:$H$206,MATCH(AX40,Pipes_result_save_V1!$I$2:$I$206,0))</f>
        <v>N130</v>
      </c>
      <c r="BA40">
        <v>5.8057999999999998E-2</v>
      </c>
      <c r="BB40">
        <v>300</v>
      </c>
      <c r="BC40">
        <v>150</v>
      </c>
      <c r="BD40">
        <v>130</v>
      </c>
      <c r="BE40">
        <v>45.634710030724406</v>
      </c>
      <c r="BF40">
        <v>3.5211178482065772E-2</v>
      </c>
      <c r="BG40">
        <v>9.2842685431777316E-2</v>
      </c>
      <c r="BH40">
        <v>4.8832405171337525</v>
      </c>
      <c r="BI40" s="107">
        <f>INDEX(Pipes_result_save_V1!$K$2:$K$206,MATCH(AX40,Pipes_result_save_V1!$I$2:$I$206,0)) *POWER(10,-3)</f>
        <v>-3.3242774009704591E-3</v>
      </c>
      <c r="BJ40" s="78">
        <v>5.0974508447499747E-3</v>
      </c>
      <c r="BK40" s="78">
        <f t="shared" si="4"/>
        <v>6.3471255700015397E-2</v>
      </c>
      <c r="BL40" s="78">
        <f t="shared" si="5"/>
        <v>-6.3471255700015397E-2</v>
      </c>
      <c r="BM40" s="78" cm="1">
        <f t="array" ref="BM40">IF(AU40=0,
IF(AW40="positif",ABS(BK40),ABS(BK40)*(-1)),
INDEX($AQ$8:$AQ$77,AU40))</f>
        <v>3.5211178482065772E-2</v>
      </c>
      <c r="BN40" s="78"/>
      <c r="BO40" s="78"/>
      <c r="BR40">
        <v>0</v>
      </c>
      <c r="BS40">
        <v>33</v>
      </c>
      <c r="BT40" t="s">
        <v>540</v>
      </c>
      <c r="BU40" t="s">
        <v>200</v>
      </c>
      <c r="BV40" s="106" t="str">
        <f>INDEX(Pipes_result_save_V1!$G$2:$G$206,MATCH(BU40,Pipes_result_save_V1!$I$2:$I$206,0))</f>
        <v>N83</v>
      </c>
      <c r="BW40" s="106" t="str">
        <f>INDEX(Pipes_result_save_V1!$H$2:$H$206,MATCH(BU40,Pipes_result_save_V1!$I$2:$I$206,0))</f>
        <v>N82</v>
      </c>
      <c r="BX40">
        <v>9.0894000000000003E-2</v>
      </c>
      <c r="BY40">
        <v>350</v>
      </c>
      <c r="BZ40">
        <v>150</v>
      </c>
      <c r="CA40">
        <v>152</v>
      </c>
      <c r="CB40">
        <v>25.182434826962975</v>
      </c>
      <c r="CC40">
        <v>-9.0894000000000003E-2</v>
      </c>
      <c r="CD40">
        <v>-0.29669138684853463</v>
      </c>
      <c r="CE40">
        <v>6.0452004361507479</v>
      </c>
      <c r="CF40" s="107">
        <f>INDEX(Pipes_result_save_V1!$K$2:$K$206,MATCH(BU40,Pipes_result_save_V1!$I$2:$I$206,0)) *POWER(10,-3)</f>
        <v>-5.0193531036376957E-2</v>
      </c>
      <c r="CG40" s="78">
        <v>5.7179486826130169E-3</v>
      </c>
      <c r="CH40" s="78">
        <f t="shared" si="6"/>
        <v>8.1637796114934297E-2</v>
      </c>
      <c r="CI40" s="78">
        <f t="shared" si="7"/>
        <v>-8.1637796114934297E-2</v>
      </c>
      <c r="CJ40" s="78" cm="1">
        <f t="array" ref="CJ40">IF(BR40=0,
IF(BT40="positif",ABS(CH40),ABS(CH40)*(-1)),
INDEX($BM$8:$BM$44,BR40))</f>
        <v>-8.1637796114934297E-2</v>
      </c>
      <c r="CN40">
        <v>12</v>
      </c>
      <c r="CO40">
        <v>33</v>
      </c>
      <c r="CP40" t="s">
        <v>540</v>
      </c>
      <c r="CQ40" t="s">
        <v>123</v>
      </c>
      <c r="CR40" s="106" t="str">
        <f>INDEX(Pipes_result_save_V1!$G$2:$G$206,MATCH(CQ40,Pipes_result_save_V1!$I$2:$I$206,0))</f>
        <v>N62</v>
      </c>
      <c r="CS40" s="106" t="str">
        <f>INDEX(Pipes_result_save_V1!$H$2:$H$206,MATCH(CQ40,Pipes_result_save_V1!$I$2:$I$206,0))</f>
        <v>N61</v>
      </c>
      <c r="CT40">
        <v>3.2837000000000005E-2</v>
      </c>
      <c r="CU40">
        <v>250</v>
      </c>
      <c r="CV40">
        <v>150</v>
      </c>
      <c r="CW40">
        <v>73</v>
      </c>
      <c r="CX40">
        <v>62.282588330910201</v>
      </c>
      <c r="CY40">
        <v>2.3580796114934299E-2</v>
      </c>
      <c r="CZ40">
        <v>6.0303834280463577E-2</v>
      </c>
      <c r="DA40">
        <v>4.7361717790641977</v>
      </c>
      <c r="DB40" s="107">
        <f>INDEX(Pipes_result_save_V1!$K$2:$K$206,MATCH(CQ40,Pipes_result_save_V1!$I$2:$I$206,0)) *POWER(10,-3)</f>
        <v>-2.3688943862915039E-2</v>
      </c>
      <c r="DC40" s="78">
        <v>5.7345845707195949E-3</v>
      </c>
      <c r="DD40" s="78">
        <f t="shared" si="8"/>
        <v>2.1252643734511766E-2</v>
      </c>
      <c r="DE40" s="78">
        <f t="shared" si="9"/>
        <v>-2.1252643734511766E-2</v>
      </c>
      <c r="DF40" s="78" cm="1">
        <f t="array" ref="DF40">IF(CN40=0,
IF(CP40="positif",ABS(DD40),ABS(DD40)*(-1)),
INDEX($BM$8:$BM$44,CN40))</f>
        <v>3.5211178482065772E-2</v>
      </c>
      <c r="DL40">
        <v>0</v>
      </c>
      <c r="DM40">
        <v>33</v>
      </c>
      <c r="DN40" t="s">
        <v>540</v>
      </c>
      <c r="DO40" t="s">
        <v>258</v>
      </c>
      <c r="DP40" s="106" t="str">
        <f>INDEX(Pipes_result_save_V1!$G$2:$G$206,MATCH(DO40,Pipes_result_save_V1!$I$2:$I$206,0))</f>
        <v>N106</v>
      </c>
      <c r="DQ40" s="106" t="str">
        <f>INDEX(Pipes_result_save_V1!$H$2:$H$206,MATCH(DO40,Pipes_result_save_V1!$I$2:$I$206,0))</f>
        <v>N107</v>
      </c>
      <c r="DR40">
        <v>8.3280000000000007E-2</v>
      </c>
      <c r="DS40">
        <v>350</v>
      </c>
      <c r="DT40">
        <v>150</v>
      </c>
      <c r="DU40">
        <v>218</v>
      </c>
      <c r="DV40">
        <v>36.116913107091634</v>
      </c>
      <c r="DW40">
        <v>-8.3280000000000007E-2</v>
      </c>
      <c r="DX40">
        <v>-0.36186954243828162</v>
      </c>
      <c r="DY40">
        <v>8.0473390081135623</v>
      </c>
      <c r="DZ40" s="107">
        <f>INDEX(Pipes_result_save_V1!$K$2:$K$206,MATCH(DO40,Pipes_result_save_V1!$I$2:$I$206,0)) *POWER(10,-3)</f>
        <v>7.6201789855957033E-2</v>
      </c>
      <c r="EA40" s="78">
        <v>6.0680267644292844E-3</v>
      </c>
      <c r="EB40" s="78">
        <f t="shared" si="10"/>
        <v>8.3865483842022887E-2</v>
      </c>
      <c r="EC40" s="78">
        <f t="shared" si="11"/>
        <v>-8.3865483842022887E-2</v>
      </c>
      <c r="ED40" s="78" cm="1">
        <f t="array" ref="ED40">IF(DL40=0,
IF(DN40="positif",ABS(EB40),ABS(EB40)*(-1)),
INDEX($BM$8:$BM$44,DL40))</f>
        <v>-8.3865483842022887E-2</v>
      </c>
      <c r="EE40" s="78"/>
      <c r="EF40" s="78"/>
      <c r="EI40">
        <v>20</v>
      </c>
      <c r="EJ40">
        <v>33</v>
      </c>
      <c r="EK40" t="s">
        <v>540</v>
      </c>
      <c r="EL40" t="s">
        <v>139</v>
      </c>
      <c r="EM40" s="106" t="str">
        <f>INDEX(Pipes_result_save_V1!$G$2:$G$206,MATCH(EL40,Pipes_result_save_V1!$I$2:$I$206,0))</f>
        <v>N31</v>
      </c>
      <c r="EN40" s="106" t="str">
        <f>INDEX(Pipes_result_save_V1!$H$2:$H$206,MATCH(EL40,Pipes_result_save_V1!$I$2:$I$206,0))</f>
        <v>N30</v>
      </c>
      <c r="EO40">
        <v>0.16656000000000001</v>
      </c>
      <c r="EP40">
        <v>466</v>
      </c>
      <c r="EQ40">
        <v>150</v>
      </c>
      <c r="ER40">
        <v>251</v>
      </c>
      <c r="ES40">
        <v>10.312773894253795</v>
      </c>
      <c r="ET40">
        <v>0.15497564373451178</v>
      </c>
      <c r="EU40">
        <v>0.32639492959393818</v>
      </c>
      <c r="EV40">
        <v>3.9005058797723851</v>
      </c>
      <c r="EW40" s="107">
        <f>INDEX(Pipes_result_save_V1!$K$2:$K$206,MATCH(EL40,Pipes_result_save_V1!$I$2:$I$206,0)) *POWER(10,-3)</f>
        <v>-0.19499050903320311</v>
      </c>
      <c r="EX40" s="78">
        <v>5.7979094211488783E-3</v>
      </c>
      <c r="EY40" s="78">
        <f t="shared" si="12"/>
        <v>0.12915177598290734</v>
      </c>
      <c r="EZ40" s="78">
        <f t="shared" si="13"/>
        <v>-0.12915177598290734</v>
      </c>
      <c r="FA40" s="78" cm="1">
        <f t="array" ref="FA40">IF(EI40=0,
IF(EK40="positif",ABS(EY40),ABS(EY40)*(-1)),
INDEX($BM$8:$BM$44,EI40))</f>
        <v>-3.8250255700015404E-2</v>
      </c>
    </row>
    <row r="41" spans="2:157" ht="30" x14ac:dyDescent="0.25">
      <c r="B41" s="106">
        <v>34</v>
      </c>
      <c r="C41" s="106" t="s">
        <v>539</v>
      </c>
      <c r="D41" s="106" t="s">
        <v>228</v>
      </c>
      <c r="E41" s="106" t="str">
        <f>INDEX(Pipes_result_save_V1!$G$2:$G$206,MATCH(D41,Pipes_result_save_V1!$I$2:$I$206,0))</f>
        <v>N156</v>
      </c>
      <c r="F41" s="106" t="str">
        <f>INDEX(Pipes_result_save_V1!$H$2:$H$206,MATCH(D41,Pipes_result_save_V1!$I$2:$I$206,0))</f>
        <v>N157</v>
      </c>
      <c r="G41" s="106">
        <v>8.5000000000000006E-2</v>
      </c>
      <c r="H41" s="107">
        <v>350</v>
      </c>
      <c r="I41" s="107">
        <v>150</v>
      </c>
      <c r="J41" s="107">
        <v>85</v>
      </c>
      <c r="K41" s="107">
        <v>14.082282633499032</v>
      </c>
      <c r="L41" s="107">
        <v>8.5000000000000006E-2</v>
      </c>
      <c r="M41" s="107">
        <v>0.14654024282313405</v>
      </c>
      <c r="N41" s="107">
        <v>3.1928532906875779</v>
      </c>
      <c r="O41" s="107">
        <f>INDEX(Pipes_result_save_V1!$K$2:$K$206,MATCH(D41,Pipes_result_save_V1!$I$2:$I$206,0)) *POWER(10,-3)</f>
        <v>-1.886982345581055E-2</v>
      </c>
      <c r="P41" s="78">
        <v>5.4293279142659211E-3</v>
      </c>
      <c r="Q41" s="78">
        <f t="shared" si="0"/>
        <v>6.4030649238165094E-3</v>
      </c>
      <c r="R41" s="78">
        <f t="shared" si="1"/>
        <v>6.4030649238165094E-3</v>
      </c>
      <c r="S41" s="78"/>
      <c r="T41" s="78"/>
      <c r="U41" s="78"/>
      <c r="V41" s="78"/>
      <c r="W41" s="78">
        <v>33</v>
      </c>
      <c r="X41" s="78">
        <v>34</v>
      </c>
      <c r="Y41" s="78" t="s">
        <v>540</v>
      </c>
      <c r="Z41" s="78" t="s">
        <v>226</v>
      </c>
      <c r="AA41" s="106" t="str">
        <f>INDEX(Pipes_result_save_V1!$G$2:$G$206,MATCH(Z41,Pipes_result_save_V1!$I$2:$I$206,0))</f>
        <v>N155</v>
      </c>
      <c r="AB41" s="106" t="str">
        <f>INDEX(Pipes_result_save_V1!$H$2:$H$206,MATCH(Z41,Pipes_result_save_V1!$I$2:$I$206,0))</f>
        <v>N156</v>
      </c>
      <c r="AC41" s="78">
        <v>2.9028999999999999E-2</v>
      </c>
      <c r="AD41" s="78">
        <v>200</v>
      </c>
      <c r="AE41" s="78">
        <v>150</v>
      </c>
      <c r="AF41" s="78">
        <v>129</v>
      </c>
      <c r="AG41" s="78">
        <v>326.34891726064069</v>
      </c>
      <c r="AH41" s="78">
        <v>0.13559693507618356</v>
      </c>
      <c r="AI41" s="78">
        <v>1</v>
      </c>
      <c r="AJ41" s="78">
        <v>-1</v>
      </c>
      <c r="AK41" s="78">
        <v>8.0650848595285289</v>
      </c>
      <c r="AL41">
        <v>110.15394375584465</v>
      </c>
      <c r="AM41" s="107">
        <f>INDEX(Pipes_result_save_V1!$K$2:$K$206,MATCH(Z41,Pipes_result_save_V1!$I$2:$I$206,0)) *POWER(10,-3)</f>
        <v>-1.7648836135864262E-2</v>
      </c>
      <c r="AN41" s="78">
        <v>3.0377401053966386E-3</v>
      </c>
      <c r="AO41" s="78">
        <f t="shared" si="2"/>
        <v>6.1821784820657692E-3</v>
      </c>
      <c r="AP41" s="78">
        <f t="shared" si="3"/>
        <v>-6.1821784820657692E-3</v>
      </c>
      <c r="AQ41" s="78" cm="1">
        <f t="array" ref="AQ41">IF(W41=0,
IF(Y41="positif",ABS(AO41),ABS(AO41)*(-1)),
INDEX($R$8:$R$77,W41))</f>
        <v>5.0403064923816507E-2</v>
      </c>
      <c r="AU41">
        <v>11</v>
      </c>
      <c r="AV41">
        <v>34</v>
      </c>
      <c r="AW41" t="s">
        <v>540</v>
      </c>
      <c r="AX41" t="s">
        <v>295</v>
      </c>
      <c r="AY41" s="106" t="str">
        <f>INDEX(Pipes_result_save_V1!$G$2:$G$206,MATCH(AX41,Pipes_result_save_V1!$I$2:$I$206,0))</f>
        <v>N132</v>
      </c>
      <c r="AZ41" s="106" t="str">
        <f>INDEX(Pipes_result_save_V1!$H$2:$H$206,MATCH(AX41,Pipes_result_save_V1!$I$2:$I$206,0))</f>
        <v>N131</v>
      </c>
      <c r="BA41">
        <v>5.8057999999999998E-2</v>
      </c>
      <c r="BB41">
        <v>300</v>
      </c>
      <c r="BC41">
        <v>150</v>
      </c>
      <c r="BD41">
        <v>131</v>
      </c>
      <c r="BE41">
        <v>45.985746261729986</v>
      </c>
      <c r="BF41">
        <v>3.5211178482065772E-2</v>
      </c>
      <c r="BG41">
        <v>9.3556859935098699E-2</v>
      </c>
      <c r="BH41">
        <v>4.92080390572709</v>
      </c>
      <c r="BI41" s="107">
        <f>INDEX(Pipes_result_save_V1!$K$2:$K$206,MATCH(AX41,Pipes_result_save_V1!$I$2:$I$206,0)) *POWER(10,-3)</f>
        <v>-2.2801618576049803E-3</v>
      </c>
      <c r="BJ41" s="78">
        <v>6.4665696020147385E-3</v>
      </c>
      <c r="BK41" s="78">
        <f t="shared" si="4"/>
        <v>6.3471255700015397E-2</v>
      </c>
      <c r="BL41" s="78">
        <f t="shared" si="5"/>
        <v>-6.3471255700015397E-2</v>
      </c>
      <c r="BM41" s="78" cm="1">
        <f t="array" ref="BM41">IF(AU41=0,
IF(AW41="positif",ABS(BK41),ABS(BK41)*(-1)),
INDEX($AQ$8:$AQ$77,AU41))</f>
        <v>3.5211178482065772E-2</v>
      </c>
      <c r="BN41" s="78"/>
      <c r="BO41" s="78"/>
      <c r="BR41">
        <v>0</v>
      </c>
      <c r="BS41">
        <v>34</v>
      </c>
      <c r="BT41" t="s">
        <v>540</v>
      </c>
      <c r="BU41" t="s">
        <v>202</v>
      </c>
      <c r="BV41" s="106" t="str">
        <f>INDEX(Pipes_result_save_V1!$G$2:$G$206,MATCH(BU41,Pipes_result_save_V1!$I$2:$I$206,0))</f>
        <v>N84</v>
      </c>
      <c r="BW41" s="106" t="str">
        <f>INDEX(Pipes_result_save_V1!$H$2:$H$206,MATCH(BU41,Pipes_result_save_V1!$I$2:$I$206,0))</f>
        <v>N83</v>
      </c>
      <c r="BX41">
        <v>9.0894000000000003E-2</v>
      </c>
      <c r="BY41">
        <v>350</v>
      </c>
      <c r="BZ41">
        <v>150</v>
      </c>
      <c r="CA41">
        <v>75</v>
      </c>
      <c r="CB41">
        <v>12.425543500146206</v>
      </c>
      <c r="CC41">
        <v>-9.0894000000000003E-2</v>
      </c>
      <c r="CD41">
        <v>-0.14639377640552698</v>
      </c>
      <c r="CE41">
        <v>2.982829162574383</v>
      </c>
      <c r="CF41" s="107">
        <f>INDEX(Pipes_result_save_V1!$K$2:$K$206,MATCH(BU41,Pipes_result_save_V1!$I$2:$I$206,0)) *POWER(10,-3)</f>
        <v>-4.8898372650146481E-2</v>
      </c>
      <c r="CG41" s="78">
        <v>5.1004257933387814E-3</v>
      </c>
      <c r="CH41" s="78">
        <f t="shared" si="6"/>
        <v>8.1637796114934297E-2</v>
      </c>
      <c r="CI41" s="78">
        <f t="shared" si="7"/>
        <v>-8.1637796114934297E-2</v>
      </c>
      <c r="CJ41" s="78" cm="1">
        <f t="array" ref="CJ41">IF(BR41=0,
IF(BT41="positif",ABS(CH41),ABS(CH41)*(-1)),
INDEX($BM$8:$BM$44,BR41))</f>
        <v>-8.1637796114934297E-2</v>
      </c>
      <c r="CN41">
        <v>13</v>
      </c>
      <c r="CO41">
        <v>34</v>
      </c>
      <c r="CP41" t="s">
        <v>540</v>
      </c>
      <c r="CQ41" t="s">
        <v>122</v>
      </c>
      <c r="CR41" s="106" t="str">
        <f>INDEX(Pipes_result_save_V1!$G$2:$G$206,MATCH(CQ41,Pipes_result_save_V1!$I$2:$I$206,0))</f>
        <v>N63</v>
      </c>
      <c r="CS41" s="106" t="str">
        <f>INDEX(Pipes_result_save_V1!$H$2:$H$206,MATCH(CQ41,Pipes_result_save_V1!$I$2:$I$206,0))</f>
        <v>N62</v>
      </c>
      <c r="CT41">
        <v>3.2837000000000005E-2</v>
      </c>
      <c r="CU41">
        <v>250</v>
      </c>
      <c r="CV41">
        <v>150</v>
      </c>
      <c r="CW41">
        <v>58</v>
      </c>
      <c r="CX41">
        <v>49.484796208120436</v>
      </c>
      <c r="CY41">
        <v>2.3580796114934299E-2</v>
      </c>
      <c r="CZ41">
        <v>4.7912635455710791E-2</v>
      </c>
      <c r="DA41">
        <v>3.7629857970647054</v>
      </c>
      <c r="DB41" s="107">
        <f>INDEX(Pipes_result_save_V1!$K$2:$K$206,MATCH(CQ41,Pipes_result_save_V1!$I$2:$I$206,0)) *POWER(10,-3)</f>
        <v>-2.2941516876220699E-2</v>
      </c>
      <c r="DC41" s="78">
        <v>5.1233106297051663E-3</v>
      </c>
      <c r="DD41" s="78">
        <f t="shared" si="8"/>
        <v>2.1252643734511766E-2</v>
      </c>
      <c r="DE41" s="78">
        <f t="shared" si="9"/>
        <v>-2.1252643734511766E-2</v>
      </c>
      <c r="DF41" s="78" cm="1">
        <f t="array" ref="DF41">IF(CN41=0,
IF(CP41="positif",ABS(DD41),ABS(DD41)*(-1)),
INDEX($BM$8:$BM$44,CN41))</f>
        <v>-3.8250255700015404E-2</v>
      </c>
      <c r="DL41">
        <v>0</v>
      </c>
      <c r="DM41">
        <v>34</v>
      </c>
      <c r="DN41" t="s">
        <v>540</v>
      </c>
      <c r="DO41" t="s">
        <v>259</v>
      </c>
      <c r="DP41" s="106" t="str">
        <f>INDEX(Pipes_result_save_V1!$G$2:$G$206,MATCH(DO41,Pipes_result_save_V1!$I$2:$I$206,0))</f>
        <v>N107</v>
      </c>
      <c r="DQ41" s="106" t="str">
        <f>INDEX(Pipes_result_save_V1!$H$2:$H$206,MATCH(DO41,Pipes_result_save_V1!$I$2:$I$206,0))</f>
        <v>N108</v>
      </c>
      <c r="DR41">
        <v>8.3280000000000007E-2</v>
      </c>
      <c r="DS41">
        <v>350</v>
      </c>
      <c r="DT41">
        <v>150</v>
      </c>
      <c r="DU41">
        <v>101</v>
      </c>
      <c r="DV41">
        <v>16.733065246863553</v>
      </c>
      <c r="DW41">
        <v>-8.3280000000000007E-2</v>
      </c>
      <c r="DX41">
        <v>-0.16765515498287359</v>
      </c>
      <c r="DY41">
        <v>3.7283543110984856</v>
      </c>
      <c r="DZ41" s="107">
        <f>INDEX(Pipes_result_save_V1!$K$2:$K$206,MATCH(DO41,Pipes_result_save_V1!$I$2:$I$206,0)) *POWER(10,-3)</f>
        <v>7.4381721496582037E-2</v>
      </c>
      <c r="EA41" s="78">
        <v>6.5728772994273228E-3</v>
      </c>
      <c r="EB41" s="78">
        <f t="shared" si="10"/>
        <v>8.3865483842022887E-2</v>
      </c>
      <c r="EC41" s="78">
        <f t="shared" si="11"/>
        <v>-8.3865483842022887E-2</v>
      </c>
      <c r="ED41" s="78" cm="1">
        <f t="array" ref="ED41">IF(DL41=0,
IF(DN41="positif",ABS(EB41),ABS(EB41)*(-1)),
INDEX($BM$8:$BM$44,DL41))</f>
        <v>-8.3865483842022887E-2</v>
      </c>
      <c r="EE41" s="78"/>
      <c r="EF41" s="78"/>
      <c r="EL41" t="s">
        <v>380</v>
      </c>
      <c r="EU41">
        <v>5.9017424167719028</v>
      </c>
      <c r="EV41">
        <v>157.76590768049459</v>
      </c>
    </row>
    <row r="42" spans="2:157" ht="30" x14ac:dyDescent="0.25">
      <c r="B42" s="106">
        <v>35</v>
      </c>
      <c r="C42" s="106" t="s">
        <v>539</v>
      </c>
      <c r="D42" s="106" t="s">
        <v>227</v>
      </c>
      <c r="E42" s="106" t="str">
        <f>INDEX(Pipes_result_save_V1!$G$2:$G$206,MATCH(D42,Pipes_result_save_V1!$I$2:$I$206,0))</f>
        <v>N157</v>
      </c>
      <c r="F42" s="106" t="str">
        <f>INDEX(Pipes_result_save_V1!$H$2:$H$206,MATCH(D42,Pipes_result_save_V1!$I$2:$I$206,0))</f>
        <v>N158</v>
      </c>
      <c r="G42" s="106">
        <v>7.4999999999999997E-2</v>
      </c>
      <c r="H42" s="107">
        <v>350</v>
      </c>
      <c r="I42" s="107">
        <v>150</v>
      </c>
      <c r="J42" s="107">
        <v>75</v>
      </c>
      <c r="K42" s="107">
        <v>12.425543500146206</v>
      </c>
      <c r="L42" s="107">
        <v>7.4999999999999997E-2</v>
      </c>
      <c r="M42" s="107">
        <v>0.10254839177742346</v>
      </c>
      <c r="N42" s="107">
        <v>2.5322616209571787</v>
      </c>
      <c r="O42" s="107">
        <f>INDEX(Pipes_result_save_V1!$K$2:$K$206,MATCH(D42,Pipes_result_save_V1!$I$2:$I$206,0)) *POWER(10,-3)</f>
        <v>-1.9782709121704101E-2</v>
      </c>
      <c r="P42" s="78">
        <v>6.2309036161130888E-3</v>
      </c>
      <c r="Q42" s="78">
        <f t="shared" si="0"/>
        <v>-3.5969350761834995E-3</v>
      </c>
      <c r="R42" s="78">
        <f t="shared" si="1"/>
        <v>3.5969350761834995E-3</v>
      </c>
      <c r="S42" s="78"/>
      <c r="T42" s="78"/>
      <c r="U42" s="78"/>
      <c r="V42" s="78"/>
      <c r="W42" s="78">
        <v>34</v>
      </c>
      <c r="X42" s="78">
        <v>35</v>
      </c>
      <c r="Y42" s="78" t="s">
        <v>540</v>
      </c>
      <c r="Z42" s="78" t="s">
        <v>228</v>
      </c>
      <c r="AA42" s="106" t="str">
        <f>INDEX(Pipes_result_save_V1!$G$2:$G$206,MATCH(Z42,Pipes_result_save_V1!$I$2:$I$206,0))</f>
        <v>N156</v>
      </c>
      <c r="AB42" s="106" t="str">
        <f>INDEX(Pipes_result_save_V1!$H$2:$H$206,MATCH(Z42,Pipes_result_save_V1!$I$2:$I$206,0))</f>
        <v>N157</v>
      </c>
      <c r="AC42" s="78">
        <v>2.9028999999999999E-2</v>
      </c>
      <c r="AD42" s="78">
        <v>200</v>
      </c>
      <c r="AE42" s="78">
        <v>150</v>
      </c>
      <c r="AF42" s="78">
        <v>85</v>
      </c>
      <c r="AG42" s="78">
        <v>215.03610827251518</v>
      </c>
      <c r="AH42" s="78">
        <v>9.1596935076183564E-2</v>
      </c>
      <c r="AI42" s="78">
        <v>1</v>
      </c>
      <c r="AJ42" s="78">
        <v>-1</v>
      </c>
      <c r="AK42" s="78">
        <v>2.5698921402347308</v>
      </c>
      <c r="AL42">
        <v>51.960693223590631</v>
      </c>
      <c r="AM42" s="107">
        <f>INDEX(Pipes_result_save_V1!$K$2:$K$206,MATCH(Z42,Pipes_result_save_V1!$I$2:$I$206,0)) *POWER(10,-3)</f>
        <v>-1.886982345581055E-2</v>
      </c>
      <c r="AN42" s="78">
        <v>1.7063509188828007E-3</v>
      </c>
      <c r="AO42" s="78">
        <f t="shared" si="2"/>
        <v>6.1821784820657692E-3</v>
      </c>
      <c r="AP42" s="78">
        <f t="shared" si="3"/>
        <v>-6.1821784820657692E-3</v>
      </c>
      <c r="AQ42" s="78" cm="1">
        <f t="array" ref="AQ42">IF(W42=0,
IF(Y42="positif",ABS(AO42),ABS(AO42)*(-1)),
INDEX($R$8:$R$77,W42))</f>
        <v>6.4030649238165094E-3</v>
      </c>
      <c r="AU42">
        <v>12</v>
      </c>
      <c r="AV42">
        <v>35</v>
      </c>
      <c r="AW42" t="s">
        <v>540</v>
      </c>
      <c r="AX42" t="s">
        <v>296</v>
      </c>
      <c r="AY42" s="106" t="str">
        <f>INDEX(Pipes_result_save_V1!$G$2:$G$206,MATCH(AX42,Pipes_result_save_V1!$I$2:$I$206,0))</f>
        <v>N133</v>
      </c>
      <c r="AZ42" s="106" t="str">
        <f>INDEX(Pipes_result_save_V1!$H$2:$H$206,MATCH(AX42,Pipes_result_save_V1!$I$2:$I$206,0))</f>
        <v>N132</v>
      </c>
      <c r="BA42">
        <v>5.8057999999999998E-2</v>
      </c>
      <c r="BB42">
        <v>300</v>
      </c>
      <c r="BC42">
        <v>150</v>
      </c>
      <c r="BD42">
        <v>132</v>
      </c>
      <c r="BE42">
        <v>46.336782492735551</v>
      </c>
      <c r="BF42">
        <v>3.5211178482065772E-2</v>
      </c>
      <c r="BG42">
        <v>9.4271034438420054E-2</v>
      </c>
      <c r="BH42">
        <v>4.9583672943204258</v>
      </c>
      <c r="BI42" s="107">
        <f>INDEX(Pipes_result_save_V1!$K$2:$K$206,MATCH(AX42,Pipes_result_save_V1!$I$2:$I$206,0)) *POWER(10,-3)</f>
        <v>-8.0813032388687132E-4</v>
      </c>
      <c r="BJ42" s="78">
        <v>5.7369006507098433E-3</v>
      </c>
      <c r="BK42" s="78">
        <f t="shared" si="4"/>
        <v>6.3471255700015397E-2</v>
      </c>
      <c r="BL42" s="78">
        <f t="shared" si="5"/>
        <v>-6.3471255700015397E-2</v>
      </c>
      <c r="BM42" s="78" cm="1">
        <f t="array" ref="BM42">IF(AU42=0,
IF(AW42="positif",ABS(BK42),ABS(BK42)*(-1)),
INDEX($AQ$8:$AQ$77,AU42))</f>
        <v>3.5211178482065772E-2</v>
      </c>
      <c r="BN42" s="78"/>
      <c r="BO42" s="78"/>
      <c r="BR42">
        <v>0</v>
      </c>
      <c r="BS42">
        <v>35</v>
      </c>
      <c r="BT42" t="s">
        <v>540</v>
      </c>
      <c r="BU42" t="s">
        <v>201</v>
      </c>
      <c r="BV42" s="106" t="str">
        <f>INDEX(Pipes_result_save_V1!$G$2:$G$206,MATCH(BU42,Pipes_result_save_V1!$I$2:$I$206,0))</f>
        <v>N84</v>
      </c>
      <c r="BW42" s="106" t="str">
        <f>INDEX(Pipes_result_save_V1!$H$2:$H$206,MATCH(BU42,Pipes_result_save_V1!$I$2:$I$206,0))</f>
        <v>N85</v>
      </c>
      <c r="BX42">
        <v>0.119923</v>
      </c>
      <c r="BY42">
        <v>400</v>
      </c>
      <c r="BZ42">
        <v>150</v>
      </c>
      <c r="CA42">
        <v>95</v>
      </c>
      <c r="CB42">
        <v>8.2129459038134058</v>
      </c>
      <c r="CC42">
        <v>-0.119923</v>
      </c>
      <c r="CD42">
        <v>-0.16166885526910485</v>
      </c>
      <c r="CE42">
        <v>2.4966913766198493</v>
      </c>
      <c r="CF42" s="107">
        <f>INDEX(Pipes_result_save_V1!$K$2:$K$206,MATCH(BU42,Pipes_result_save_V1!$I$2:$I$206,0)) *POWER(10,-3)</f>
        <v>2.0083776473999022E-2</v>
      </c>
      <c r="CG42" s="78">
        <v>5.0835109302906677E-3</v>
      </c>
      <c r="CH42" s="78">
        <f t="shared" si="6"/>
        <v>0.1106667961149343</v>
      </c>
      <c r="CI42" s="78">
        <f t="shared" si="7"/>
        <v>-0.1106667961149343</v>
      </c>
      <c r="CJ42" s="78" cm="1">
        <f t="array" ref="CJ42">IF(BR42=0,
IF(BT42="positif",ABS(CH42),ABS(CH42)*(-1)),
INDEX($BM$8:$BM$44,BR42))</f>
        <v>-0.1106667961149343</v>
      </c>
      <c r="CN42">
        <v>14</v>
      </c>
      <c r="CO42">
        <v>35</v>
      </c>
      <c r="CP42" t="s">
        <v>540</v>
      </c>
      <c r="CQ42" t="s">
        <v>121</v>
      </c>
      <c r="CR42" s="106" t="str">
        <f>INDEX(Pipes_result_save_V1!$G$2:$G$206,MATCH(CQ42,Pipes_result_save_V1!$I$2:$I$206,0))</f>
        <v>N64</v>
      </c>
      <c r="CS42" s="106" t="str">
        <f>INDEX(Pipes_result_save_V1!$H$2:$H$206,MATCH(CQ42,Pipes_result_save_V1!$I$2:$I$206,0))</f>
        <v>N63</v>
      </c>
      <c r="CT42">
        <v>3.2837000000000005E-2</v>
      </c>
      <c r="CU42">
        <v>250</v>
      </c>
      <c r="CV42">
        <v>150</v>
      </c>
      <c r="CW42">
        <v>216</v>
      </c>
      <c r="CX42">
        <v>184.28820656817265</v>
      </c>
      <c r="CY42">
        <v>2.3580796114934299E-2</v>
      </c>
      <c r="CZ42">
        <v>0.1784332630764402</v>
      </c>
      <c r="DA42">
        <v>14.013878140792695</v>
      </c>
      <c r="DB42" s="107">
        <f>INDEX(Pipes_result_save_V1!$K$2:$K$206,MATCH(CQ42,Pipes_result_save_V1!$I$2:$I$206,0)) *POWER(10,-3)</f>
        <v>-2.1378194808959961E-2</v>
      </c>
      <c r="DC42" s="78">
        <v>5.6284866141425791E-3</v>
      </c>
      <c r="DD42" s="78">
        <f t="shared" si="8"/>
        <v>2.1252643734511766E-2</v>
      </c>
      <c r="DE42" s="78">
        <f t="shared" si="9"/>
        <v>-2.1252643734511766E-2</v>
      </c>
      <c r="DF42" s="78" cm="1">
        <f t="array" ref="DF42">IF(CN42=0,
IF(CP42="positif",ABS(DD42),ABS(DD42)*(-1)),
INDEX($BM$8:$BM$44,CN42))</f>
        <v>-3.8250255700015404E-2</v>
      </c>
      <c r="DL42">
        <v>0</v>
      </c>
      <c r="DM42">
        <v>35</v>
      </c>
      <c r="DN42" t="s">
        <v>540</v>
      </c>
      <c r="DO42" t="s">
        <v>261</v>
      </c>
      <c r="DP42" s="106" t="str">
        <f>INDEX(Pipes_result_save_V1!$G$2:$G$206,MATCH(DO42,Pipes_result_save_V1!$I$2:$I$206,0))</f>
        <v>N108</v>
      </c>
      <c r="DQ42" s="106" t="str">
        <f>INDEX(Pipes_result_save_V1!$H$2:$H$206,MATCH(DO42,Pipes_result_save_V1!$I$2:$I$206,0))</f>
        <v>N109</v>
      </c>
      <c r="DR42">
        <v>8.3280000000000007E-2</v>
      </c>
      <c r="DS42">
        <v>350</v>
      </c>
      <c r="DT42">
        <v>150</v>
      </c>
      <c r="DU42">
        <v>149</v>
      </c>
      <c r="DV42">
        <v>24.685413086957126</v>
      </c>
      <c r="DW42">
        <v>-8.3280000000000007E-2</v>
      </c>
      <c r="DX42">
        <v>-0.24733285240047689</v>
      </c>
      <c r="DY42">
        <v>5.5002454688482612</v>
      </c>
      <c r="DZ42" s="107">
        <f>INDEX(Pipes_result_save_V1!$K$2:$K$206,MATCH(DO42,Pipes_result_save_V1!$I$2:$I$206,0)) *POWER(10,-3)</f>
        <v>7.295532989501953E-2</v>
      </c>
      <c r="EA42" s="78">
        <v>6.2694249887128095E-3</v>
      </c>
      <c r="EB42" s="78">
        <f t="shared" si="10"/>
        <v>8.3865483842022887E-2</v>
      </c>
      <c r="EC42" s="78">
        <f t="shared" si="11"/>
        <v>-8.3865483842022887E-2</v>
      </c>
      <c r="ED42" s="78" cm="1">
        <f t="array" ref="ED42">IF(DL42=0,
IF(DN42="positif",ABS(EB42),ABS(EB42)*(-1)),
INDEX($BM$8:$BM$44,DL42))</f>
        <v>-8.3865483842022887E-2</v>
      </c>
      <c r="EE42" s="78"/>
      <c r="EF42" s="78"/>
      <c r="EL42" t="s">
        <v>381</v>
      </c>
      <c r="EO42">
        <v>-3.7408224017092671E-2</v>
      </c>
    </row>
    <row r="43" spans="2:157" ht="30" x14ac:dyDescent="0.25">
      <c r="B43" s="106">
        <v>36</v>
      </c>
      <c r="C43" s="106" t="s">
        <v>539</v>
      </c>
      <c r="D43" s="106" t="s">
        <v>429</v>
      </c>
      <c r="E43" s="106" t="str">
        <f>INDEX(Pipes_result_save_V1!$G$2:$G$206,MATCH(D43,Pipes_result_save_V1!$I$2:$I$206,0))</f>
        <v>N158</v>
      </c>
      <c r="F43" s="106" t="str">
        <f>INDEX(Pipes_result_save_V1!$H$2:$H$206,MATCH(D43,Pipes_result_save_V1!$I$2:$I$206,0))</f>
        <v>N159</v>
      </c>
      <c r="G43" s="106">
        <v>8.3000000000000004E-2</v>
      </c>
      <c r="H43" s="107">
        <v>350</v>
      </c>
      <c r="I43" s="107">
        <v>150</v>
      </c>
      <c r="J43" s="107">
        <v>83</v>
      </c>
      <c r="K43" s="107">
        <v>13.750934806828466</v>
      </c>
      <c r="L43" s="107">
        <v>8.3000000000000004E-2</v>
      </c>
      <c r="M43" s="107">
        <v>0.13691935675646288</v>
      </c>
      <c r="N43" s="107">
        <v>3.0551162495538478</v>
      </c>
      <c r="O43" s="107">
        <f>INDEX(Pipes_result_save_V1!$K$2:$K$206,MATCH(D43,Pipes_result_save_V1!$I$2:$I$206,0)) *POWER(10,-3)</f>
        <v>-2.06841869354248E-2</v>
      </c>
      <c r="P43" s="78">
        <v>5.5030844016331062E-3</v>
      </c>
      <c r="Q43" s="78">
        <f t="shared" si="0"/>
        <v>4.4030649238165076E-3</v>
      </c>
      <c r="R43" s="78">
        <f t="shared" si="1"/>
        <v>4.4030649238165076E-3</v>
      </c>
      <c r="S43" s="78"/>
      <c r="T43" s="78"/>
      <c r="U43" s="78"/>
      <c r="V43" s="78"/>
      <c r="W43" s="78">
        <v>35</v>
      </c>
      <c r="X43" s="78">
        <v>36</v>
      </c>
      <c r="Y43" s="78" t="s">
        <v>540</v>
      </c>
      <c r="Z43" s="78" t="s">
        <v>227</v>
      </c>
      <c r="AA43" s="106" t="str">
        <f>INDEX(Pipes_result_save_V1!$G$2:$G$206,MATCH(Z43,Pipes_result_save_V1!$I$2:$I$206,0))</f>
        <v>N157</v>
      </c>
      <c r="AB43" s="106" t="str">
        <f>INDEX(Pipes_result_save_V1!$H$2:$H$206,MATCH(Z43,Pipes_result_save_V1!$I$2:$I$206,0))</f>
        <v>N158</v>
      </c>
      <c r="AC43" s="78">
        <v>2.9028999999999999E-2</v>
      </c>
      <c r="AD43" s="78">
        <v>200</v>
      </c>
      <c r="AE43" s="78">
        <v>150</v>
      </c>
      <c r="AF43" s="78">
        <v>75</v>
      </c>
      <c r="AG43" s="78">
        <v>189.73774259339575</v>
      </c>
      <c r="AH43" s="78">
        <v>8.1596935076183555E-2</v>
      </c>
      <c r="AI43" s="78">
        <v>1</v>
      </c>
      <c r="AJ43" s="78">
        <v>-1</v>
      </c>
      <c r="AK43" s="78">
        <v>1.8305166876164278</v>
      </c>
      <c r="AL43">
        <v>41.547110835724631</v>
      </c>
      <c r="AM43" s="107">
        <f>INDEX(Pipes_result_save_V1!$K$2:$K$206,MATCH(Z43,Pipes_result_save_V1!$I$2:$I$206,0)) *POWER(10,-3)</f>
        <v>-1.9782709121704101E-2</v>
      </c>
      <c r="AN43" s="78">
        <v>4.0315823443348416E-3</v>
      </c>
      <c r="AO43" s="78">
        <f t="shared" si="2"/>
        <v>6.1821784820657692E-3</v>
      </c>
      <c r="AP43" s="78">
        <f t="shared" si="3"/>
        <v>-6.1821784820657692E-3</v>
      </c>
      <c r="AQ43" s="78" cm="1">
        <f t="array" ref="AQ43">IF(W43=0,
IF(Y43="positif",ABS(AO43),ABS(AO43)*(-1)),
INDEX($R$8:$R$77,W43))</f>
        <v>3.5969350761834995E-3</v>
      </c>
      <c r="AU43">
        <v>13</v>
      </c>
      <c r="AV43">
        <v>36</v>
      </c>
      <c r="AW43" t="s">
        <v>540</v>
      </c>
      <c r="AX43" t="s">
        <v>297</v>
      </c>
      <c r="AY43" s="106" t="str">
        <f>INDEX(Pipes_result_save_V1!$G$2:$G$206,MATCH(AX43,Pipes_result_save_V1!$I$2:$I$206,0))</f>
        <v>N134</v>
      </c>
      <c r="AZ43" s="106" t="str">
        <f>INDEX(Pipes_result_save_V1!$H$2:$H$206,MATCH(AX43,Pipes_result_save_V1!$I$2:$I$206,0))</f>
        <v>N133</v>
      </c>
      <c r="BA43">
        <v>5.8057999999999998E-2</v>
      </c>
      <c r="BB43">
        <v>300</v>
      </c>
      <c r="BC43">
        <v>150</v>
      </c>
      <c r="BD43">
        <v>133</v>
      </c>
      <c r="BE43">
        <v>46.687818723741124</v>
      </c>
      <c r="BF43">
        <v>3.5211178482065772E-2</v>
      </c>
      <c r="BG43">
        <v>9.4985208941741409E-2</v>
      </c>
      <c r="BH43">
        <v>4.9959306829137624</v>
      </c>
      <c r="BI43" s="107">
        <f>INDEX(Pipes_result_save_V1!$K$2:$K$206,MATCH(AX43,Pipes_result_save_V1!$I$2:$I$206,0)) *POWER(10,-3)</f>
        <v>3.558016419410706E-4</v>
      </c>
      <c r="BJ43" s="78">
        <v>5.8762851799060364E-3</v>
      </c>
      <c r="BK43" s="78">
        <f t="shared" si="4"/>
        <v>6.3471255700015397E-2</v>
      </c>
      <c r="BL43" s="78">
        <f t="shared" si="5"/>
        <v>-6.3471255700015397E-2</v>
      </c>
      <c r="BM43" s="78" cm="1">
        <f t="array" ref="BM43">IF(AU43=0,
IF(AW43="positif",ABS(BK43),ABS(BK43)*(-1)),
INDEX($AQ$8:$AQ$77,AU43))</f>
        <v>3.5211178482065772E-2</v>
      </c>
      <c r="BN43" s="78"/>
      <c r="BO43" s="78"/>
      <c r="BR43">
        <v>0</v>
      </c>
      <c r="BS43">
        <v>36</v>
      </c>
      <c r="BT43" t="s">
        <v>540</v>
      </c>
      <c r="BU43" t="s">
        <v>199</v>
      </c>
      <c r="BV43" s="106" t="str">
        <f>INDEX(Pipes_result_save_V1!$G$2:$G$206,MATCH(BU43,Pipes_result_save_V1!$I$2:$I$206,0))</f>
        <v>N85</v>
      </c>
      <c r="BW43" s="106" t="str">
        <f>INDEX(Pipes_result_save_V1!$H$2:$H$206,MATCH(BU43,Pipes_result_save_V1!$I$2:$I$206,0))</f>
        <v>N86</v>
      </c>
      <c r="BX43">
        <v>0.119923</v>
      </c>
      <c r="BY43">
        <v>400</v>
      </c>
      <c r="BZ43">
        <v>150</v>
      </c>
      <c r="CA43">
        <v>73</v>
      </c>
      <c r="CB43">
        <v>6.3110005366145119</v>
      </c>
      <c r="CC43">
        <v>-0.119923</v>
      </c>
      <c r="CD43">
        <v>-0.12422975194362795</v>
      </c>
      <c r="CE43">
        <v>1.9185102157184104</v>
      </c>
      <c r="CF43" s="107">
        <f>INDEX(Pipes_result_save_V1!$K$2:$K$206,MATCH(BU43,Pipes_result_save_V1!$I$2:$I$206,0)) *POWER(10,-3)</f>
        <v>1.9125244140625001E-2</v>
      </c>
      <c r="CG43" s="78">
        <v>6.12665318303862E-3</v>
      </c>
      <c r="CH43" s="78">
        <f t="shared" si="6"/>
        <v>0.1106667961149343</v>
      </c>
      <c r="CI43" s="78">
        <f t="shared" si="7"/>
        <v>-0.1106667961149343</v>
      </c>
      <c r="CJ43" s="78" cm="1">
        <f t="array" ref="CJ43">IF(BR43=0,
IF(BT43="positif",ABS(CH43),ABS(CH43)*(-1)),
INDEX($BM$8:$BM$44,BR43))</f>
        <v>-0.1106667961149343</v>
      </c>
      <c r="CN43">
        <v>15</v>
      </c>
      <c r="CO43">
        <v>36</v>
      </c>
      <c r="CP43" t="s">
        <v>540</v>
      </c>
      <c r="CQ43" t="s">
        <v>119</v>
      </c>
      <c r="CR43" s="106" t="str">
        <f>INDEX(Pipes_result_save_V1!$G$2:$G$206,MATCH(CQ43,Pipes_result_save_V1!$I$2:$I$206,0))</f>
        <v>N65</v>
      </c>
      <c r="CS43" s="106" t="str">
        <f>INDEX(Pipes_result_save_V1!$H$2:$H$206,MATCH(CQ43,Pipes_result_save_V1!$I$2:$I$206,0))</f>
        <v>N64</v>
      </c>
      <c r="CT43">
        <v>3.2837000000000005E-2</v>
      </c>
      <c r="CU43">
        <v>250</v>
      </c>
      <c r="CV43">
        <v>150</v>
      </c>
      <c r="CW43">
        <v>73</v>
      </c>
      <c r="CX43">
        <v>62.282588330910201</v>
      </c>
      <c r="CY43">
        <v>2.3580796114934299E-2</v>
      </c>
      <c r="CZ43">
        <v>6.0303834280463577E-2</v>
      </c>
      <c r="DA43">
        <v>4.7361717790641977</v>
      </c>
      <c r="DB43" s="107">
        <f>INDEX(Pipes_result_save_V1!$K$2:$K$206,MATCH(CQ43,Pipes_result_save_V1!$I$2:$I$206,0)) *POWER(10,-3)</f>
        <v>-1.9729291915893551E-2</v>
      </c>
      <c r="DC43" s="78">
        <v>5.4144210163477183E-3</v>
      </c>
      <c r="DD43" s="78">
        <f t="shared" si="8"/>
        <v>2.1252643734511766E-2</v>
      </c>
      <c r="DE43" s="78">
        <f t="shared" si="9"/>
        <v>-2.1252643734511766E-2</v>
      </c>
      <c r="DF43" s="78" cm="1">
        <f t="array" ref="DF43">IF(CN43=0,
IF(CP43="positif",ABS(DD43),ABS(DD43)*(-1)),
INDEX($BM$8:$BM$44,CN43))</f>
        <v>-3.8250255700015404E-2</v>
      </c>
      <c r="DL43">
        <v>0</v>
      </c>
      <c r="DM43">
        <v>36</v>
      </c>
      <c r="DN43" t="s">
        <v>540</v>
      </c>
      <c r="DO43" t="s">
        <v>260</v>
      </c>
      <c r="DP43" s="106" t="str">
        <f>INDEX(Pipes_result_save_V1!$G$2:$G$206,MATCH(DO43,Pipes_result_save_V1!$I$2:$I$206,0))</f>
        <v>N109</v>
      </c>
      <c r="DQ43" s="106" t="str">
        <f>INDEX(Pipes_result_save_V1!$H$2:$H$206,MATCH(DO43,Pipes_result_save_V1!$I$2:$I$206,0))</f>
        <v>N110</v>
      </c>
      <c r="DR43">
        <v>8.3280000000000007E-2</v>
      </c>
      <c r="DS43">
        <v>350</v>
      </c>
      <c r="DT43">
        <v>150</v>
      </c>
      <c r="DU43">
        <v>260</v>
      </c>
      <c r="DV43">
        <v>43.075217467173509</v>
      </c>
      <c r="DW43">
        <v>-8.3280000000000007E-2</v>
      </c>
      <c r="DX43">
        <v>-0.43158752767868452</v>
      </c>
      <c r="DY43">
        <v>9.5977437711446161</v>
      </c>
      <c r="DZ43" s="107">
        <f>INDEX(Pipes_result_save_V1!$K$2:$K$206,MATCH(DO43,Pipes_result_save_V1!$I$2:$I$206,0)) *POWER(10,-3)</f>
        <v>7.062176513671875E-2</v>
      </c>
      <c r="EA43" s="78">
        <v>6.4094585841618628E-3</v>
      </c>
      <c r="EB43" s="78">
        <f t="shared" si="10"/>
        <v>8.3865483842022887E-2</v>
      </c>
      <c r="EC43" s="78">
        <f t="shared" si="11"/>
        <v>-8.3865483842022887E-2</v>
      </c>
      <c r="ED43" s="78" cm="1">
        <f t="array" ref="ED43">IF(DL43=0,
IF(DN43="positif",ABS(EB43),ABS(EB43)*(-1)),
INDEX($BM$8:$BM$44,DL43))</f>
        <v>-8.3865483842022887E-2</v>
      </c>
      <c r="EE43" s="78"/>
      <c r="EF43" s="78"/>
    </row>
    <row r="44" spans="2:157" ht="30" x14ac:dyDescent="0.25">
      <c r="B44" s="106">
        <v>37</v>
      </c>
      <c r="C44" s="106" t="s">
        <v>539</v>
      </c>
      <c r="D44" s="106" t="s">
        <v>285</v>
      </c>
      <c r="E44" s="106" t="str">
        <f>INDEX(Pipes_result_save_V1!$G$2:$G$206,MATCH(D44,Pipes_result_save_V1!$I$2:$I$206,0))</f>
        <v>N159</v>
      </c>
      <c r="F44" s="106" t="str">
        <f>INDEX(Pipes_result_save_V1!$H$2:$H$206,MATCH(D44,Pipes_result_save_V1!$I$2:$I$206,0))</f>
        <v>N160</v>
      </c>
      <c r="G44" s="106">
        <v>8.4000000000000005E-2</v>
      </c>
      <c r="H44" s="107">
        <v>350</v>
      </c>
      <c r="I44" s="107">
        <v>150</v>
      </c>
      <c r="J44" s="107">
        <v>84</v>
      </c>
      <c r="K44" s="107">
        <v>13.916608720163751</v>
      </c>
      <c r="L44" s="107">
        <v>8.4000000000000005E-2</v>
      </c>
      <c r="M44" s="107">
        <v>0.14167677243743118</v>
      </c>
      <c r="N44" s="107">
        <v>3.1236355065966972</v>
      </c>
      <c r="O44" s="107">
        <f>INDEX(Pipes_result_save_V1!$K$2:$K$206,MATCH(D44,Pipes_result_save_V1!$I$2:$I$206,0)) *POWER(10,-3)</f>
        <v>-2.1637012481689449E-2</v>
      </c>
      <c r="P44" s="78">
        <v>5.9838715727968542E-3</v>
      </c>
      <c r="Q44" s="78">
        <f t="shared" si="0"/>
        <v>5.4030649238165085E-3</v>
      </c>
      <c r="R44" s="78">
        <f t="shared" si="1"/>
        <v>5.4030649238165085E-3</v>
      </c>
      <c r="S44" s="78"/>
      <c r="T44" s="78"/>
      <c r="U44" s="78"/>
      <c r="V44" s="78"/>
      <c r="W44" s="78">
        <v>36</v>
      </c>
      <c r="X44" s="78">
        <v>37</v>
      </c>
      <c r="Y44" s="78" t="s">
        <v>540</v>
      </c>
      <c r="Z44" s="78" t="s">
        <v>429</v>
      </c>
      <c r="AA44" s="106" t="str">
        <f>INDEX(Pipes_result_save_V1!$G$2:$G$206,MATCH(Z44,Pipes_result_save_V1!$I$2:$I$206,0))</f>
        <v>N158</v>
      </c>
      <c r="AB44" s="106" t="str">
        <f>INDEX(Pipes_result_save_V1!$H$2:$H$206,MATCH(Z44,Pipes_result_save_V1!$I$2:$I$206,0))</f>
        <v>N159</v>
      </c>
      <c r="AC44" s="78">
        <v>2.9028999999999999E-2</v>
      </c>
      <c r="AD44" s="78">
        <v>200</v>
      </c>
      <c r="AE44" s="78">
        <v>150</v>
      </c>
      <c r="AF44" s="78">
        <v>83</v>
      </c>
      <c r="AG44" s="78">
        <v>209.97643513669126</v>
      </c>
      <c r="AH44" s="78">
        <v>8.9596935076183562E-2</v>
      </c>
      <c r="AI44" s="78">
        <v>1</v>
      </c>
      <c r="AJ44" s="78">
        <v>-1</v>
      </c>
      <c r="AK44" s="78">
        <v>2.4088928286696114</v>
      </c>
      <c r="AL44">
        <v>49.792657694180491</v>
      </c>
      <c r="AM44" s="107">
        <f>INDEX(Pipes_result_save_V1!$K$2:$K$206,MATCH(Z44,Pipes_result_save_V1!$I$2:$I$206,0)) *POWER(10,-3)</f>
        <v>-2.06841869354248E-2</v>
      </c>
      <c r="AN44" s="78">
        <v>2.814923854076108E-3</v>
      </c>
      <c r="AO44" s="78">
        <f t="shared" si="2"/>
        <v>6.1821784820657692E-3</v>
      </c>
      <c r="AP44" s="78">
        <f t="shared" si="3"/>
        <v>-6.1821784820657692E-3</v>
      </c>
      <c r="AQ44" s="78" cm="1">
        <f t="array" ref="AQ44">IF(W44=0,
IF(Y44="positif",ABS(AO44),ABS(AO44)*(-1)),
INDEX($R$8:$R$77,W44))</f>
        <v>4.4030649238165076E-3</v>
      </c>
      <c r="AU44">
        <v>14</v>
      </c>
      <c r="AV44">
        <v>37</v>
      </c>
      <c r="AW44" t="s">
        <v>540</v>
      </c>
      <c r="AX44" t="s">
        <v>298</v>
      </c>
      <c r="AY44" s="106" t="str">
        <f>INDEX(Pipes_result_save_V1!$G$2:$G$206,MATCH(AX44,Pipes_result_save_V1!$I$2:$I$206,0))</f>
        <v>N135</v>
      </c>
      <c r="AZ44" s="106" t="str">
        <f>INDEX(Pipes_result_save_V1!$H$2:$H$206,MATCH(AX44,Pipes_result_save_V1!$I$2:$I$206,0))</f>
        <v>N134</v>
      </c>
      <c r="BA44">
        <v>5.8057999999999998E-2</v>
      </c>
      <c r="BB44">
        <v>300</v>
      </c>
      <c r="BC44">
        <v>150</v>
      </c>
      <c r="BD44">
        <v>134</v>
      </c>
      <c r="BE44">
        <v>47.038854954746704</v>
      </c>
      <c r="BF44">
        <v>3.5211178482065772E-2</v>
      </c>
      <c r="BG44">
        <v>9.5699383445062791E-2</v>
      </c>
      <c r="BH44">
        <v>5.0334940715070999</v>
      </c>
      <c r="BI44" s="107">
        <f>INDEX(Pipes_result_save_V1!$K$2:$K$206,MATCH(AX44,Pipes_result_save_V1!$I$2:$I$206,0)) *POWER(10,-3)</f>
        <v>1.194517374038696E-3</v>
      </c>
      <c r="BJ44" s="78">
        <v>5.8390557936610311E-3</v>
      </c>
      <c r="BK44" s="78">
        <f t="shared" si="4"/>
        <v>6.3471255700015397E-2</v>
      </c>
      <c r="BL44" s="78">
        <f t="shared" si="5"/>
        <v>-6.3471255700015397E-2</v>
      </c>
      <c r="BM44" s="78" cm="1">
        <f t="array" ref="BM44">IF(AU44=0,
IF(AW44="positif",ABS(BK44),ABS(BK44)*(-1)),
INDEX($AQ$8:$AQ$77,AU44))</f>
        <v>3.5211178482065772E-2</v>
      </c>
      <c r="BN44" s="78"/>
      <c r="BO44" s="78"/>
      <c r="BR44">
        <v>0</v>
      </c>
      <c r="BS44">
        <v>37</v>
      </c>
      <c r="BT44" t="s">
        <v>540</v>
      </c>
      <c r="BU44" t="s">
        <v>198</v>
      </c>
      <c r="BV44" s="106" t="str">
        <f>INDEX(Pipes_result_save_V1!$G$2:$G$206,MATCH(BU44,Pipes_result_save_V1!$I$2:$I$206,0))</f>
        <v>N86</v>
      </c>
      <c r="BW44" s="106" t="str">
        <f>INDEX(Pipes_result_save_V1!$H$2:$H$206,MATCH(BU44,Pipes_result_save_V1!$I$2:$I$206,0))</f>
        <v>N87</v>
      </c>
      <c r="BX44">
        <v>0.119923</v>
      </c>
      <c r="BY44">
        <v>400</v>
      </c>
      <c r="BZ44">
        <v>150</v>
      </c>
      <c r="CA44">
        <v>77</v>
      </c>
      <c r="CB44">
        <v>6.6568087851961293</v>
      </c>
      <c r="CC44">
        <v>-0.119923</v>
      </c>
      <c r="CD44">
        <v>-0.13103686163916922</v>
      </c>
      <c r="CE44">
        <v>2.0236340631550358</v>
      </c>
      <c r="CF44" s="107">
        <f>INDEX(Pipes_result_save_V1!$K$2:$K$206,MATCH(BU44,Pipes_result_save_V1!$I$2:$I$206,0)) *POWER(10,-3)</f>
        <v>1.8269411087036131E-2</v>
      </c>
      <c r="CG44" s="78">
        <v>5.4780433752761645E-3</v>
      </c>
      <c r="CH44" s="78">
        <f t="shared" si="6"/>
        <v>0.1106667961149343</v>
      </c>
      <c r="CI44" s="78">
        <f t="shared" si="7"/>
        <v>-0.1106667961149343</v>
      </c>
      <c r="CJ44" s="78" cm="1">
        <f t="array" ref="CJ44">IF(BR44=0,
IF(BT44="positif",ABS(CH44),ABS(CH44)*(-1)),
INDEX($BM$8:$BM$44,BR44))</f>
        <v>-0.1106667961149343</v>
      </c>
      <c r="CN44">
        <v>16</v>
      </c>
      <c r="CO44">
        <v>37</v>
      </c>
      <c r="CP44" t="s">
        <v>540</v>
      </c>
      <c r="CQ44" t="s">
        <v>120</v>
      </c>
      <c r="CR44" s="106" t="str">
        <f>INDEX(Pipes_result_save_V1!$G$2:$G$206,MATCH(CQ44,Pipes_result_save_V1!$I$2:$I$206,0))</f>
        <v>N66</v>
      </c>
      <c r="CS44" s="106" t="str">
        <f>INDEX(Pipes_result_save_V1!$H$2:$H$206,MATCH(CQ44,Pipes_result_save_V1!$I$2:$I$206,0))</f>
        <v>N65</v>
      </c>
      <c r="CT44">
        <v>3.2837000000000005E-2</v>
      </c>
      <c r="CU44">
        <v>250</v>
      </c>
      <c r="CV44">
        <v>150</v>
      </c>
      <c r="CW44">
        <v>65</v>
      </c>
      <c r="CX44">
        <v>55.457099198755657</v>
      </c>
      <c r="CY44">
        <v>2.3580796114934299E-2</v>
      </c>
      <c r="CZ44">
        <v>5.3695194907262093E-2</v>
      </c>
      <c r="DA44">
        <v>4.2171392553311353</v>
      </c>
      <c r="DB44" s="107">
        <f>INDEX(Pipes_result_save_V1!$K$2:$K$206,MATCH(CQ44,Pipes_result_save_V1!$I$2:$I$206,0)) *POWER(10,-3)</f>
        <v>-1.8941926956176761E-2</v>
      </c>
      <c r="DC44" s="78">
        <v>5.8905627993842656E-3</v>
      </c>
      <c r="DD44" s="78">
        <f t="shared" si="8"/>
        <v>2.1252643734511766E-2</v>
      </c>
      <c r="DE44" s="78">
        <f t="shared" si="9"/>
        <v>-2.1252643734511766E-2</v>
      </c>
      <c r="DF44" s="78" cm="1">
        <f t="array" ref="DF44">IF(CN44=0,
IF(CP44="positif",ABS(DD44),ABS(DD44)*(-1)),
INDEX($BM$8:$BM$44,CN44))</f>
        <v>-3.8250255700015404E-2</v>
      </c>
      <c r="DL44">
        <v>0</v>
      </c>
      <c r="DM44">
        <v>37</v>
      </c>
      <c r="DN44" t="s">
        <v>540</v>
      </c>
      <c r="DO44" t="s">
        <v>410</v>
      </c>
      <c r="DP44" s="106" t="str">
        <f>INDEX(Pipes_result_save_V1!$G$2:$G$206,MATCH(DO44,Pipes_result_save_V1!$I$2:$I$206,0))</f>
        <v>N110</v>
      </c>
      <c r="DQ44" s="106" t="str">
        <f>INDEX(Pipes_result_save_V1!$H$2:$H$206,MATCH(DO44,Pipes_result_save_V1!$I$2:$I$206,0))</f>
        <v>N121</v>
      </c>
      <c r="DR44">
        <v>8.3280000000000007E-2</v>
      </c>
      <c r="DS44">
        <v>350</v>
      </c>
      <c r="DT44">
        <v>150</v>
      </c>
      <c r="DU44">
        <v>81</v>
      </c>
      <c r="DV44">
        <v>13.419586980157902</v>
      </c>
      <c r="DW44">
        <v>-8.3280000000000007E-2</v>
      </c>
      <c r="DX44">
        <v>-0.13445611439220556</v>
      </c>
      <c r="DY44">
        <v>2.9900663287027465</v>
      </c>
      <c r="DZ44" s="107">
        <f>INDEX(Pipes_result_save_V1!$K$2:$K$206,MATCH(DO44,Pipes_result_save_V1!$I$2:$I$206,0)) *POWER(10,-3)</f>
        <v>6.8676170349121102E-2</v>
      </c>
      <c r="EA44" s="78">
        <v>6.5900998131799863E-3</v>
      </c>
      <c r="EB44" s="78">
        <f t="shared" si="10"/>
        <v>8.3865483842022887E-2</v>
      </c>
      <c r="EC44" s="78">
        <f t="shared" si="11"/>
        <v>-8.3865483842022887E-2</v>
      </c>
      <c r="ED44" s="78" cm="1">
        <f t="array" ref="ED44">IF(DL44=0,
IF(DN44="positif",ABS(EB44),ABS(EB44)*(-1)),
INDEX($BM$8:$BM$44,DL44))</f>
        <v>-8.3865483842022887E-2</v>
      </c>
      <c r="EE44" s="78"/>
      <c r="EF44" s="78"/>
    </row>
    <row r="45" spans="2:157" ht="30" x14ac:dyDescent="0.25">
      <c r="B45" s="106">
        <v>38</v>
      </c>
      <c r="C45" s="106" t="s">
        <v>539</v>
      </c>
      <c r="D45" s="106" t="s">
        <v>284</v>
      </c>
      <c r="E45" s="106" t="str">
        <f>INDEX(Pipes_result_save_V1!$G$2:$G$206,MATCH(D45,Pipes_result_save_V1!$I$2:$I$206,0))</f>
        <v>N160</v>
      </c>
      <c r="F45" s="106" t="str">
        <f>INDEX(Pipes_result_save_V1!$H$2:$H$206,MATCH(D45,Pipes_result_save_V1!$I$2:$I$206,0))</f>
        <v>N161</v>
      </c>
      <c r="G45" s="106">
        <v>7.8E-2</v>
      </c>
      <c r="H45" s="107">
        <v>350</v>
      </c>
      <c r="I45" s="107">
        <v>150</v>
      </c>
      <c r="J45" s="107">
        <v>78</v>
      </c>
      <c r="K45" s="107">
        <v>12.922565240152053</v>
      </c>
      <c r="L45" s="107">
        <v>7.8E-2</v>
      </c>
      <c r="M45" s="107">
        <v>0.11468534822271816</v>
      </c>
      <c r="N45" s="107">
        <v>2.7230418578009496</v>
      </c>
      <c r="O45" s="107">
        <f>INDEX(Pipes_result_save_V1!$K$2:$K$206,MATCH(D45,Pipes_result_save_V1!$I$2:$I$206,0)) *POWER(10,-3)</f>
        <v>-2.2561313629150391E-2</v>
      </c>
      <c r="P45" s="78">
        <v>6.1283395102213912E-3</v>
      </c>
      <c r="Q45" s="78">
        <f t="shared" si="0"/>
        <v>-5.9693507618349684E-4</v>
      </c>
      <c r="R45" s="78">
        <f t="shared" si="1"/>
        <v>5.9693507618349684E-4</v>
      </c>
      <c r="S45" s="78"/>
      <c r="T45" s="78"/>
      <c r="U45" s="78"/>
      <c r="V45" s="78"/>
      <c r="W45" s="78">
        <v>37</v>
      </c>
      <c r="X45" s="78">
        <v>38</v>
      </c>
      <c r="Y45" s="78" t="s">
        <v>540</v>
      </c>
      <c r="Z45" s="78" t="s">
        <v>285</v>
      </c>
      <c r="AA45" s="106" t="str">
        <f>INDEX(Pipes_result_save_V1!$G$2:$G$206,MATCH(Z45,Pipes_result_save_V1!$I$2:$I$206,0))</f>
        <v>N159</v>
      </c>
      <c r="AB45" s="106" t="str">
        <f>INDEX(Pipes_result_save_V1!$H$2:$H$206,MATCH(Z45,Pipes_result_save_V1!$I$2:$I$206,0))</f>
        <v>N160</v>
      </c>
      <c r="AC45" s="78">
        <v>2.9028999999999999E-2</v>
      </c>
      <c r="AD45" s="78">
        <v>200</v>
      </c>
      <c r="AE45" s="78">
        <v>150</v>
      </c>
      <c r="AF45" s="78">
        <v>84</v>
      </c>
      <c r="AG45" s="78">
        <v>212.50627170460322</v>
      </c>
      <c r="AH45" s="78">
        <v>9.0596935076183563E-2</v>
      </c>
      <c r="AI45" s="78">
        <v>1</v>
      </c>
      <c r="AJ45" s="78">
        <v>-1</v>
      </c>
      <c r="AK45" s="78">
        <v>2.4885476694281339</v>
      </c>
      <c r="AL45">
        <v>50.871370868179383</v>
      </c>
      <c r="AM45" s="107">
        <f>INDEX(Pipes_result_save_V1!$K$2:$K$206,MATCH(Z45,Pipes_result_save_V1!$I$2:$I$206,0)) *POWER(10,-3)</f>
        <v>-2.1637012481689449E-2</v>
      </c>
      <c r="AN45" s="78">
        <v>4.1937443302070467E-3</v>
      </c>
      <c r="AO45" s="78">
        <f t="shared" si="2"/>
        <v>6.1821784820657692E-3</v>
      </c>
      <c r="AP45" s="78">
        <f t="shared" si="3"/>
        <v>-6.1821784820657692E-3</v>
      </c>
      <c r="AQ45" s="78" cm="1">
        <f t="array" ref="AQ45">IF(W45=0,
IF(Y45="positif",ABS(AO45),ABS(AO45)*(-1)),
INDEX($R$8:$R$77,W45))</f>
        <v>5.4030649238165085E-3</v>
      </c>
      <c r="AX45" t="s">
        <v>380</v>
      </c>
      <c r="AY45" s="233"/>
      <c r="AZ45" s="233"/>
      <c r="BA45" s="233"/>
      <c r="BB45" s="233"/>
      <c r="BC45" s="233"/>
      <c r="BD45" s="233"/>
      <c r="BE45" s="233"/>
      <c r="BF45" s="233"/>
      <c r="BG45">
        <v>-1.2812965939244099</v>
      </c>
      <c r="BH45">
        <v>236.69611504233305</v>
      </c>
      <c r="BO45" s="78"/>
      <c r="BR45">
        <v>0</v>
      </c>
      <c r="BS45">
        <v>38</v>
      </c>
      <c r="BT45" t="s">
        <v>540</v>
      </c>
      <c r="BU45" t="s">
        <v>197</v>
      </c>
      <c r="BV45" s="106" t="str">
        <f>INDEX(Pipes_result_save_V1!$G$2:$G$206,MATCH(BU45,Pipes_result_save_V1!$I$2:$I$206,0))</f>
        <v>N87</v>
      </c>
      <c r="BW45" s="106" t="str">
        <f>INDEX(Pipes_result_save_V1!$H$2:$H$206,MATCH(BU45,Pipes_result_save_V1!$I$2:$I$206,0))</f>
        <v>N88</v>
      </c>
      <c r="BX45">
        <v>0.119923</v>
      </c>
      <c r="BY45">
        <v>400</v>
      </c>
      <c r="BZ45">
        <v>150</v>
      </c>
      <c r="CA45">
        <v>250</v>
      </c>
      <c r="CB45">
        <v>21.613015536351067</v>
      </c>
      <c r="CC45">
        <v>-0.119923</v>
      </c>
      <c r="CD45">
        <v>-0.42544435597132857</v>
      </c>
      <c r="CE45">
        <v>6.5702404647890766</v>
      </c>
      <c r="CF45" s="107">
        <f>INDEX(Pipes_result_save_V1!$K$2:$K$206,MATCH(BU45,Pipes_result_save_V1!$I$2:$I$206,0)) *POWER(10,-3)</f>
        <v>1.6403696060180661E-2</v>
      </c>
      <c r="CG45" s="78">
        <v>6.0888720627317316E-3</v>
      </c>
      <c r="CH45" s="78">
        <f t="shared" si="6"/>
        <v>0.1106667961149343</v>
      </c>
      <c r="CI45" s="78">
        <f t="shared" si="7"/>
        <v>-0.1106667961149343</v>
      </c>
      <c r="CJ45" s="78" cm="1">
        <f t="array" ref="CJ45">IF(BR45=0,
IF(BT45="positif",ABS(CH45),ABS(CH45)*(-1)),
INDEX($BM$8:$BM$44,BR45))</f>
        <v>-0.1106667961149343</v>
      </c>
      <c r="CN45">
        <v>17</v>
      </c>
      <c r="CO45">
        <v>38</v>
      </c>
      <c r="CP45" t="s">
        <v>540</v>
      </c>
      <c r="CQ45" t="s">
        <v>118</v>
      </c>
      <c r="CR45" s="106" t="str">
        <f>INDEX(Pipes_result_save_V1!$G$2:$G$206,MATCH(CQ45,Pipes_result_save_V1!$I$2:$I$206,0))</f>
        <v>N67</v>
      </c>
      <c r="CS45" s="106" t="str">
        <f>INDEX(Pipes_result_save_V1!$H$2:$H$206,MATCH(CQ45,Pipes_result_save_V1!$I$2:$I$206,0))</f>
        <v>N66</v>
      </c>
      <c r="CT45">
        <v>3.2837000000000005E-2</v>
      </c>
      <c r="CU45">
        <v>250</v>
      </c>
      <c r="CV45">
        <v>150</v>
      </c>
      <c r="CW45">
        <v>45</v>
      </c>
      <c r="CX45">
        <v>38.393376368369303</v>
      </c>
      <c r="CY45">
        <v>2.3580796114934299E-2</v>
      </c>
      <c r="CZ45">
        <v>3.7173596474258372E-2</v>
      </c>
      <c r="DA45">
        <v>2.9195579459984784</v>
      </c>
      <c r="DB45" s="107">
        <f>INDEX(Pipes_result_save_V1!$K$2:$K$206,MATCH(CQ45,Pipes_result_save_V1!$I$2:$I$206,0)) *POWER(10,-3)</f>
        <v>-1.8314315795898442E-2</v>
      </c>
      <c r="DC45" s="78">
        <v>6.5811502898759523E-3</v>
      </c>
      <c r="DD45" s="78">
        <f t="shared" si="8"/>
        <v>2.1252643734511766E-2</v>
      </c>
      <c r="DE45" s="78">
        <f t="shared" si="9"/>
        <v>-2.1252643734511766E-2</v>
      </c>
      <c r="DF45" s="78" cm="1">
        <f t="array" ref="DF45">IF(CN45=0,
IF(CP45="positif",ABS(DD45),ABS(DD45)*(-1)),
INDEX($BM$8:$BM$44,CN45))</f>
        <v>-3.8250255700015404E-2</v>
      </c>
      <c r="DL45">
        <v>0</v>
      </c>
      <c r="DM45">
        <v>38</v>
      </c>
      <c r="DN45" t="s">
        <v>539</v>
      </c>
      <c r="DO45" t="s">
        <v>263</v>
      </c>
      <c r="DP45" s="106" t="str">
        <f>INDEX(Pipes_result_save_V1!$G$2:$G$206,MATCH(DO45,Pipes_result_save_V1!$I$2:$I$206,0))</f>
        <v>N112</v>
      </c>
      <c r="DQ45" s="106" t="str">
        <f>INDEX(Pipes_result_save_V1!$H$2:$H$206,MATCH(DO45,Pipes_result_save_V1!$I$2:$I$206,0))</f>
        <v>N111</v>
      </c>
      <c r="DR45">
        <v>3.2837000000000005E-2</v>
      </c>
      <c r="DS45">
        <v>250</v>
      </c>
      <c r="DT45">
        <v>150</v>
      </c>
      <c r="DU45">
        <v>234</v>
      </c>
      <c r="DV45">
        <v>199.64555711552038</v>
      </c>
      <c r="DW45">
        <v>3.2837000000000005E-2</v>
      </c>
      <c r="DX45">
        <v>0.35691500121726061</v>
      </c>
      <c r="DY45">
        <v>20.12993215745551</v>
      </c>
      <c r="DZ45" s="107">
        <f>INDEX(Pipes_result_save_V1!$K$2:$K$206,MATCH(DO45,Pipes_result_save_V1!$I$2:$I$206,0)) *POWER(10,-3)</f>
        <v>-6.3918390274047849E-3</v>
      </c>
      <c r="EA45" s="78">
        <v>5.6339332133300106E-3</v>
      </c>
      <c r="EB45" s="78">
        <f t="shared" si="10"/>
        <v>3.3422483842022878E-2</v>
      </c>
      <c r="EC45" s="78">
        <f t="shared" si="11"/>
        <v>3.3422483842022878E-2</v>
      </c>
      <c r="ED45" s="78" cm="1">
        <f t="array" ref="ED45">IF(DL45=0,
IF(DN45="positif",ABS(EB45),ABS(EB45)*(-1)),
INDEX($BM$8:$BM$44,DL45))</f>
        <v>3.3422483842022878E-2</v>
      </c>
      <c r="EE45" s="78"/>
      <c r="EF45" s="78"/>
    </row>
    <row r="46" spans="2:157" ht="30" x14ac:dyDescent="0.25">
      <c r="B46" s="106">
        <v>39</v>
      </c>
      <c r="C46" s="106" t="s">
        <v>539</v>
      </c>
      <c r="D46" s="106" t="s">
        <v>283</v>
      </c>
      <c r="E46" s="106" t="str">
        <f>INDEX(Pipes_result_save_V1!$G$2:$G$206,MATCH(D46,Pipes_result_save_V1!$I$2:$I$206,0))</f>
        <v>N161</v>
      </c>
      <c r="F46" s="106" t="str">
        <f>INDEX(Pipes_result_save_V1!$H$2:$H$206,MATCH(D46,Pipes_result_save_V1!$I$2:$I$206,0))</f>
        <v>N162</v>
      </c>
      <c r="G46" s="106">
        <v>0.151</v>
      </c>
      <c r="H46" s="107">
        <v>466</v>
      </c>
      <c r="I46" s="107">
        <v>150</v>
      </c>
      <c r="J46" s="107">
        <v>151</v>
      </c>
      <c r="K46" s="107">
        <v>6.204099035985351</v>
      </c>
      <c r="L46" s="107">
        <v>0.151</v>
      </c>
      <c r="M46" s="107">
        <v>0.18713026311110245</v>
      </c>
      <c r="N46" s="107">
        <v>2.2951340879586879</v>
      </c>
      <c r="O46" s="107">
        <f>INDEX(Pipes_result_save_V1!$K$2:$K$206,MATCH(D46,Pipes_result_save_V1!$I$2:$I$206,0)) *POWER(10,-3)</f>
        <v>-2.3867883682250981E-2</v>
      </c>
      <c r="P46" s="78">
        <v>6.5314458135635354E-3</v>
      </c>
      <c r="Q46" s="78">
        <f t="shared" si="0"/>
        <v>7.2403064923816499E-2</v>
      </c>
      <c r="R46" s="78">
        <f t="shared" si="1"/>
        <v>7.2403064923816499E-2</v>
      </c>
      <c r="S46" s="78"/>
      <c r="T46" s="78"/>
      <c r="U46" s="78"/>
      <c r="V46" s="78"/>
      <c r="W46" s="78">
        <v>38</v>
      </c>
      <c r="X46" s="78">
        <v>39</v>
      </c>
      <c r="Y46" s="78" t="s">
        <v>540</v>
      </c>
      <c r="Z46" s="78" t="s">
        <v>284</v>
      </c>
      <c r="AA46" s="106" t="str">
        <f>INDEX(Pipes_result_save_V1!$G$2:$G$206,MATCH(Z46,Pipes_result_save_V1!$I$2:$I$206,0))</f>
        <v>N160</v>
      </c>
      <c r="AB46" s="106" t="str">
        <f>INDEX(Pipes_result_save_V1!$H$2:$H$206,MATCH(Z46,Pipes_result_save_V1!$I$2:$I$206,0))</f>
        <v>N161</v>
      </c>
      <c r="AC46" s="78">
        <v>2.9028999999999999E-2</v>
      </c>
      <c r="AD46" s="78">
        <v>200</v>
      </c>
      <c r="AE46" s="78">
        <v>150</v>
      </c>
      <c r="AF46" s="78">
        <v>78</v>
      </c>
      <c r="AG46" s="78">
        <v>197.32725229713157</v>
      </c>
      <c r="AH46" s="78">
        <v>8.4596935076183558E-2</v>
      </c>
      <c r="AI46" s="78">
        <v>1</v>
      </c>
      <c r="AJ46" s="78">
        <v>-1</v>
      </c>
      <c r="AK46" s="78">
        <v>2.0353909603128959</v>
      </c>
      <c r="AL46">
        <v>44.558872671980723</v>
      </c>
      <c r="AM46" s="107">
        <f>INDEX(Pipes_result_save_V1!$K$2:$K$206,MATCH(Z46,Pipes_result_save_V1!$I$2:$I$206,0)) *POWER(10,-3)</f>
        <v>-2.2561313629150391E-2</v>
      </c>
      <c r="AN46" s="78">
        <v>5.5915740305501321E-4</v>
      </c>
      <c r="AO46" s="78">
        <f t="shared" si="2"/>
        <v>6.1821784820657692E-3</v>
      </c>
      <c r="AP46" s="78">
        <f t="shared" si="3"/>
        <v>-6.1821784820657692E-3</v>
      </c>
      <c r="AQ46" s="78" cm="1">
        <f t="array" ref="AQ46">IF(W46=0,
IF(Y46="positif",ABS(AO46),ABS(AO46)*(-1)),
INDEX($R$8:$R$77,W46))</f>
        <v>5.9693507618349684E-4</v>
      </c>
      <c r="AX46" t="s">
        <v>381</v>
      </c>
      <c r="AY46" s="233">
        <v>5.4132557000153986E-3</v>
      </c>
      <c r="AZ46" s="233"/>
      <c r="BA46" s="233"/>
      <c r="BB46" s="233"/>
      <c r="BC46" s="233"/>
      <c r="BD46" s="233"/>
      <c r="BE46" s="233"/>
      <c r="BF46" s="233"/>
      <c r="BG46" s="233"/>
      <c r="BH46" s="233"/>
      <c r="BO46" s="78"/>
      <c r="BR46">
        <v>0</v>
      </c>
      <c r="BS46">
        <v>39</v>
      </c>
      <c r="BT46" t="s">
        <v>540</v>
      </c>
      <c r="BU46" t="s">
        <v>196</v>
      </c>
      <c r="BV46" s="106" t="str">
        <f>INDEX(Pipes_result_save_V1!$G$2:$G$206,MATCH(BU46,Pipes_result_save_V1!$I$2:$I$206,0))</f>
        <v>N88</v>
      </c>
      <c r="BW46" s="106" t="str">
        <f>INDEX(Pipes_result_save_V1!$H$2:$H$206,MATCH(BU46,Pipes_result_save_V1!$I$2:$I$206,0))</f>
        <v>N89</v>
      </c>
      <c r="BX46">
        <v>0.119923</v>
      </c>
      <c r="BY46">
        <v>400</v>
      </c>
      <c r="BZ46">
        <v>150</v>
      </c>
      <c r="CA46">
        <v>63</v>
      </c>
      <c r="CB46">
        <v>5.4464799151604693</v>
      </c>
      <c r="CC46">
        <v>-0.119923</v>
      </c>
      <c r="CD46">
        <v>-0.10721197770477481</v>
      </c>
      <c r="CE46">
        <v>1.6557005971268473</v>
      </c>
      <c r="CF46" s="107">
        <f>INDEX(Pipes_result_save_V1!$K$2:$K$206,MATCH(BU46,Pipes_result_save_V1!$I$2:$I$206,0)) *POWER(10,-3)</f>
        <v>1.461785984039307E-2</v>
      </c>
      <c r="CG46" s="78">
        <v>5.6274837406080575E-3</v>
      </c>
      <c r="CH46" s="78">
        <f t="shared" si="6"/>
        <v>0.1106667961149343</v>
      </c>
      <c r="CI46" s="78">
        <f t="shared" si="7"/>
        <v>-0.1106667961149343</v>
      </c>
      <c r="CJ46" s="78" cm="1">
        <f t="array" ref="CJ46">IF(BR46=0,
IF(BT46="positif",ABS(CH46),ABS(CH46)*(-1)),
INDEX($BM$8:$BM$44,BR46))</f>
        <v>-0.1106667961149343</v>
      </c>
      <c r="CN46">
        <v>18</v>
      </c>
      <c r="CO46">
        <v>39</v>
      </c>
      <c r="CP46" t="s">
        <v>540</v>
      </c>
      <c r="CQ46" t="s">
        <v>117</v>
      </c>
      <c r="CR46" s="106" t="str">
        <f>INDEX(Pipes_result_save_V1!$G$2:$G$206,MATCH(CQ46,Pipes_result_save_V1!$I$2:$I$206,0))</f>
        <v>N68</v>
      </c>
      <c r="CS46" s="106" t="str">
        <f>INDEX(Pipes_result_save_V1!$H$2:$H$206,MATCH(CQ46,Pipes_result_save_V1!$I$2:$I$206,0))</f>
        <v>N67</v>
      </c>
      <c r="CT46">
        <v>3.2837000000000005E-2</v>
      </c>
      <c r="CU46">
        <v>250</v>
      </c>
      <c r="CV46">
        <v>150</v>
      </c>
      <c r="CW46">
        <v>100</v>
      </c>
      <c r="CX46">
        <v>85.318614151931783</v>
      </c>
      <c r="CY46">
        <v>2.3580796114934299E-2</v>
      </c>
      <c r="CZ46">
        <v>8.2607992165018601E-2</v>
      </c>
      <c r="DA46">
        <v>6.487906546663285</v>
      </c>
      <c r="DB46" s="107">
        <f>INDEX(Pipes_result_save_V1!$K$2:$K$206,MATCH(CQ46,Pipes_result_save_V1!$I$2:$I$206,0)) *POWER(10,-3)</f>
        <v>-1.748701095581055E-2</v>
      </c>
      <c r="DC46" s="78">
        <v>6.1188648398937239E-3</v>
      </c>
      <c r="DD46" s="78">
        <f t="shared" si="8"/>
        <v>2.1252643734511766E-2</v>
      </c>
      <c r="DE46" s="78">
        <f t="shared" si="9"/>
        <v>-2.1252643734511766E-2</v>
      </c>
      <c r="DF46" s="78" cm="1">
        <f t="array" ref="DF46">IF(CN46=0,
IF(CP46="positif",ABS(DD46),ABS(DD46)*(-1)),
INDEX($BM$8:$BM$44,CN46))</f>
        <v>-3.8250255700015404E-2</v>
      </c>
      <c r="DL46">
        <v>0</v>
      </c>
      <c r="DM46">
        <v>39</v>
      </c>
      <c r="DN46" t="s">
        <v>539</v>
      </c>
      <c r="DO46" t="s">
        <v>264</v>
      </c>
      <c r="DP46" s="106" t="str">
        <f>INDEX(Pipes_result_save_V1!$G$2:$G$206,MATCH(DO46,Pipes_result_save_V1!$I$2:$I$206,0))</f>
        <v>N113</v>
      </c>
      <c r="DQ46" s="106" t="str">
        <f>INDEX(Pipes_result_save_V1!$H$2:$H$206,MATCH(DO46,Pipes_result_save_V1!$I$2:$I$206,0))</f>
        <v>N112</v>
      </c>
      <c r="DR46">
        <v>3.2837000000000005E-2</v>
      </c>
      <c r="DS46">
        <v>250</v>
      </c>
      <c r="DT46">
        <v>150</v>
      </c>
      <c r="DU46">
        <v>74</v>
      </c>
      <c r="DV46">
        <v>63.135774472429517</v>
      </c>
      <c r="DW46">
        <v>3.2837000000000005E-2</v>
      </c>
      <c r="DX46">
        <v>0.1128705559405012</v>
      </c>
      <c r="DY46">
        <v>6.3658759814175534</v>
      </c>
      <c r="DZ46" s="107">
        <f>INDEX(Pipes_result_save_V1!$K$2:$K$206,MATCH(DO46,Pipes_result_save_V1!$I$2:$I$206,0)) *POWER(10,-3)</f>
        <v>-4.6345300674438478E-3</v>
      </c>
      <c r="EA46" s="78">
        <v>6.322056607243034E-3</v>
      </c>
      <c r="EB46" s="78">
        <f t="shared" si="10"/>
        <v>3.3422483842022878E-2</v>
      </c>
      <c r="EC46" s="78">
        <f t="shared" si="11"/>
        <v>3.3422483842022878E-2</v>
      </c>
      <c r="ED46" s="78" cm="1">
        <f t="array" ref="ED46">IF(DL46=0,
IF(DN46="positif",ABS(EB46),ABS(EB46)*(-1)),
INDEX($BM$8:$BM$44,DL46))</f>
        <v>3.3422483842022878E-2</v>
      </c>
      <c r="EE46" s="78"/>
      <c r="EF46" s="78"/>
    </row>
    <row r="47" spans="2:157" ht="30" x14ac:dyDescent="0.25">
      <c r="B47" s="106">
        <v>40</v>
      </c>
      <c r="C47" s="106" t="s">
        <v>539</v>
      </c>
      <c r="D47" s="106" t="s">
        <v>280</v>
      </c>
      <c r="E47" s="106" t="str">
        <f>INDEX(Pipes_result_save_V1!$G$2:$G$206,MATCH(D47,Pipes_result_save_V1!$I$2:$I$206,0))</f>
        <v>N162</v>
      </c>
      <c r="F47" s="106" t="str">
        <f>INDEX(Pipes_result_save_V1!$H$2:$H$206,MATCH(D47,Pipes_result_save_V1!$I$2:$I$206,0))</f>
        <v>N163</v>
      </c>
      <c r="G47" s="106">
        <v>5.3999999999999999E-2</v>
      </c>
      <c r="H47" s="107">
        <v>300</v>
      </c>
      <c r="I47" s="107">
        <v>150</v>
      </c>
      <c r="J47" s="107">
        <v>54</v>
      </c>
      <c r="K47" s="107">
        <v>18.955956474300912</v>
      </c>
      <c r="L47" s="107">
        <v>5.3999999999999999E-2</v>
      </c>
      <c r="M47" s="107">
        <v>8.5141039063695509E-2</v>
      </c>
      <c r="N47" s="107">
        <v>2.9200223027030376</v>
      </c>
      <c r="O47" s="107">
        <f>INDEX(Pipes_result_save_V1!$K$2:$K$206,MATCH(D47,Pipes_result_save_V1!$I$2:$I$206,0)) *POWER(10,-3)</f>
        <v>-2.5037521362304693E-2</v>
      </c>
      <c r="P47" s="78">
        <v>5.4713251562226988E-3</v>
      </c>
      <c r="Q47" s="78">
        <f t="shared" si="0"/>
        <v>-2.4596935076183497E-2</v>
      </c>
      <c r="R47" s="78">
        <f t="shared" si="1"/>
        <v>2.4596935076183497E-2</v>
      </c>
      <c r="S47" s="78"/>
      <c r="T47" s="78"/>
      <c r="U47" s="78"/>
      <c r="V47" s="78"/>
      <c r="W47" s="78">
        <v>39</v>
      </c>
      <c r="X47" s="78">
        <v>40</v>
      </c>
      <c r="Y47" s="78" t="s">
        <v>540</v>
      </c>
      <c r="Z47" s="78" t="s">
        <v>283</v>
      </c>
      <c r="AA47" s="106" t="str">
        <f>INDEX(Pipes_result_save_V1!$G$2:$G$206,MATCH(Z47,Pipes_result_save_V1!$I$2:$I$206,0))</f>
        <v>N161</v>
      </c>
      <c r="AB47" s="106" t="str">
        <f>INDEX(Pipes_result_save_V1!$H$2:$H$206,MATCH(Z47,Pipes_result_save_V1!$I$2:$I$206,0))</f>
        <v>N162</v>
      </c>
      <c r="AC47" s="78">
        <v>2.9028999999999999E-2</v>
      </c>
      <c r="AD47" s="78">
        <v>200</v>
      </c>
      <c r="AE47" s="78">
        <v>150</v>
      </c>
      <c r="AF47" s="78">
        <v>151</v>
      </c>
      <c r="AG47" s="78">
        <v>382.0053217547034</v>
      </c>
      <c r="AH47" s="78">
        <v>0.15759693507618355</v>
      </c>
      <c r="AI47" s="78">
        <v>1</v>
      </c>
      <c r="AJ47" s="78">
        <v>-1</v>
      </c>
      <c r="AK47" s="78">
        <v>12.471763818331654</v>
      </c>
      <c r="AL47">
        <v>146.56190223740467</v>
      </c>
      <c r="AM47" s="107">
        <f>INDEX(Pipes_result_save_V1!$K$2:$K$206,MATCH(Z47,Pipes_result_save_V1!$I$2:$I$206,0)) *POWER(10,-3)</f>
        <v>-2.3867883682250981E-2</v>
      </c>
      <c r="AN47" s="78">
        <v>2.4399633518748689E-3</v>
      </c>
      <c r="AO47" s="78">
        <f t="shared" si="2"/>
        <v>6.1821784820657692E-3</v>
      </c>
      <c r="AP47" s="78">
        <f t="shared" si="3"/>
        <v>-6.1821784820657692E-3</v>
      </c>
      <c r="AQ47" s="78" cm="1">
        <f t="array" ref="AQ47">IF(W47=0,
IF(Y47="positif",ABS(AO47),ABS(AO47)*(-1)),
INDEX($R$8:$R$77,W47))</f>
        <v>7.2403064923816499E-2</v>
      </c>
      <c r="BR47">
        <v>0</v>
      </c>
      <c r="BS47">
        <v>40</v>
      </c>
      <c r="BT47" t="s">
        <v>540</v>
      </c>
      <c r="BU47" t="s">
        <v>195</v>
      </c>
      <c r="BV47" s="106" t="str">
        <f>INDEX(Pipes_result_save_V1!$G$2:$G$206,MATCH(BU47,Pipes_result_save_V1!$I$2:$I$206,0))</f>
        <v>N89</v>
      </c>
      <c r="BW47" s="106" t="str">
        <f>INDEX(Pipes_result_save_V1!$H$2:$H$206,MATCH(BU47,Pipes_result_save_V1!$I$2:$I$206,0))</f>
        <v>N90</v>
      </c>
      <c r="BX47">
        <v>0.119923</v>
      </c>
      <c r="BY47">
        <v>400</v>
      </c>
      <c r="BZ47">
        <v>150</v>
      </c>
      <c r="CA47">
        <v>41</v>
      </c>
      <c r="CB47">
        <v>3.5445345479615753</v>
      </c>
      <c r="CC47">
        <v>-0.119923</v>
      </c>
      <c r="CD47">
        <v>-6.9772874379297897E-2</v>
      </c>
      <c r="CE47">
        <v>1.0775194362254086</v>
      </c>
      <c r="CF47" s="107">
        <f>INDEX(Pipes_result_save_V1!$K$2:$K$206,MATCH(BU47,Pipes_result_save_V1!$I$2:$I$206,0)) *POWER(10,-3)</f>
        <v>1.402448272705078E-2</v>
      </c>
      <c r="CG47" s="78">
        <v>5.8155244189792895E-3</v>
      </c>
      <c r="CH47" s="78">
        <f t="shared" si="6"/>
        <v>0.1106667961149343</v>
      </c>
      <c r="CI47" s="78">
        <f t="shared" si="7"/>
        <v>-0.1106667961149343</v>
      </c>
      <c r="CJ47" s="78" cm="1">
        <f t="array" ref="CJ47">IF(BR47=0,
IF(BT47="positif",ABS(CH47),ABS(CH47)*(-1)),
INDEX($BM$8:$BM$44,BR47))</f>
        <v>-0.1106667961149343</v>
      </c>
      <c r="CN47">
        <v>19</v>
      </c>
      <c r="CO47">
        <v>40</v>
      </c>
      <c r="CP47" t="s">
        <v>540</v>
      </c>
      <c r="CQ47" t="s">
        <v>116</v>
      </c>
      <c r="CR47" s="106" t="str">
        <f>INDEX(Pipes_result_save_V1!$G$2:$G$206,MATCH(CQ47,Pipes_result_save_V1!$I$2:$I$206,0))</f>
        <v>N69</v>
      </c>
      <c r="CS47" s="106" t="str">
        <f>INDEX(Pipes_result_save_V1!$H$2:$H$206,MATCH(CQ47,Pipes_result_save_V1!$I$2:$I$206,0))</f>
        <v>N68</v>
      </c>
      <c r="CT47">
        <v>3.2835999999999997E-2</v>
      </c>
      <c r="CU47">
        <v>250</v>
      </c>
      <c r="CV47">
        <v>150</v>
      </c>
      <c r="CW47">
        <v>202</v>
      </c>
      <c r="CX47">
        <v>172.3436005869022</v>
      </c>
      <c r="CY47">
        <v>2.3579796114934291E-2</v>
      </c>
      <c r="CZ47">
        <v>0.1668550388388729</v>
      </c>
      <c r="DA47">
        <v>13.105097704126349</v>
      </c>
      <c r="DB47" s="107">
        <f>INDEX(Pipes_result_save_V1!$K$2:$K$206,MATCH(CQ47,Pipes_result_save_V1!$I$2:$I$206,0)) *POWER(10,-3)</f>
        <v>-1.5763935089111329E-2</v>
      </c>
      <c r="DC47" s="78">
        <v>6.1704841590305539E-3</v>
      </c>
      <c r="DD47" s="78">
        <f t="shared" si="8"/>
        <v>2.1251643734511758E-2</v>
      </c>
      <c r="DE47" s="78">
        <f t="shared" si="9"/>
        <v>-2.1251643734511758E-2</v>
      </c>
      <c r="DF47" s="78" cm="1">
        <f t="array" ref="DF47">IF(CN47=0,
IF(CP47="positif",ABS(DD47),ABS(DD47)*(-1)),
INDEX($BM$8:$BM$44,CN47))</f>
        <v>-3.8250255700015404E-2</v>
      </c>
      <c r="DL47">
        <v>0</v>
      </c>
      <c r="DM47">
        <v>40</v>
      </c>
      <c r="DN47" t="s">
        <v>539</v>
      </c>
      <c r="DO47" t="s">
        <v>266</v>
      </c>
      <c r="DP47" s="106" t="str">
        <f>INDEX(Pipes_result_save_V1!$G$2:$G$206,MATCH(DO47,Pipes_result_save_V1!$I$2:$I$206,0))</f>
        <v>N114</v>
      </c>
      <c r="DQ47" s="106" t="str">
        <f>INDEX(Pipes_result_save_V1!$H$2:$H$206,MATCH(DO47,Pipes_result_save_V1!$I$2:$I$206,0))</f>
        <v>N113</v>
      </c>
      <c r="DR47">
        <v>3.2837000000000005E-2</v>
      </c>
      <c r="DS47">
        <v>250</v>
      </c>
      <c r="DT47">
        <v>150</v>
      </c>
      <c r="DU47">
        <v>79</v>
      </c>
      <c r="DV47">
        <v>67.401705180026113</v>
      </c>
      <c r="DW47">
        <v>3.2837000000000005E-2</v>
      </c>
      <c r="DX47">
        <v>0.12049694485539995</v>
      </c>
      <c r="DY47">
        <v>6.7960027369187399</v>
      </c>
      <c r="DZ47" s="107">
        <f>INDEX(Pipes_result_save_V1!$K$2:$K$206,MATCH(DO47,Pipes_result_save_V1!$I$2:$I$206,0)) *POWER(10,-3)</f>
        <v>-3.761581182479858E-3</v>
      </c>
      <c r="EA47" s="78">
        <v>5.3573692531348055E-3</v>
      </c>
      <c r="EB47" s="78">
        <f t="shared" si="10"/>
        <v>3.3422483842022878E-2</v>
      </c>
      <c r="EC47" s="78">
        <f t="shared" si="11"/>
        <v>3.3422483842022878E-2</v>
      </c>
      <c r="ED47" s="78" cm="1">
        <f t="array" ref="ED47">IF(DL47=0,
IF(DN47="positif",ABS(EB47),ABS(EB47)*(-1)),
INDEX($BM$8:$BM$44,DL47))</f>
        <v>3.3422483842022878E-2</v>
      </c>
      <c r="EE47" s="78"/>
      <c r="EF47" s="78"/>
    </row>
    <row r="48" spans="2:157" ht="30" x14ac:dyDescent="0.25">
      <c r="B48" s="106">
        <v>41</v>
      </c>
      <c r="C48" s="106" t="s">
        <v>539</v>
      </c>
      <c r="D48" s="106" t="s">
        <v>282</v>
      </c>
      <c r="E48" s="106" t="str">
        <f>INDEX(Pipes_result_save_V1!$G$2:$G$206,MATCH(D48,Pipes_result_save_V1!$I$2:$I$206,0))</f>
        <v>N163</v>
      </c>
      <c r="F48" s="106" t="str">
        <f>INDEX(Pipes_result_save_V1!$H$2:$H$206,MATCH(D48,Pipes_result_save_V1!$I$2:$I$206,0))</f>
        <v>N164</v>
      </c>
      <c r="G48" s="106">
        <v>3.5000000000000003E-2</v>
      </c>
      <c r="H48" s="107">
        <v>250</v>
      </c>
      <c r="I48" s="107">
        <v>150</v>
      </c>
      <c r="J48" s="107">
        <v>35</v>
      </c>
      <c r="K48" s="107">
        <v>29.861514953176123</v>
      </c>
      <c r="L48" s="107">
        <v>3.5000000000000003E-2</v>
      </c>
      <c r="M48" s="107">
        <v>6.0079437098534257E-2</v>
      </c>
      <c r="N48" s="107">
        <v>3.1790605001852987</v>
      </c>
      <c r="O48" s="107">
        <f>INDEX(Pipes_result_save_V1!$K$2:$K$206,MATCH(D48,Pipes_result_save_V1!$I$2:$I$206,0)) *POWER(10,-3)</f>
        <v>-2.5545314788818361E-2</v>
      </c>
      <c r="P48" s="78">
        <v>5.8142214698149782E-3</v>
      </c>
      <c r="Q48" s="78">
        <f t="shared" si="0"/>
        <v>-4.3596935076183493E-2</v>
      </c>
      <c r="R48" s="78">
        <f t="shared" si="1"/>
        <v>4.3596935076183493E-2</v>
      </c>
      <c r="S48" s="78"/>
      <c r="T48" s="78"/>
      <c r="U48" s="78"/>
      <c r="V48" s="78"/>
      <c r="W48" s="78">
        <v>40</v>
      </c>
      <c r="X48" s="78">
        <v>41</v>
      </c>
      <c r="Y48" s="78" t="s">
        <v>540</v>
      </c>
      <c r="Z48" s="78" t="s">
        <v>280</v>
      </c>
      <c r="AA48" s="106" t="str">
        <f>INDEX(Pipes_result_save_V1!$G$2:$G$206,MATCH(Z48,Pipes_result_save_V1!$I$2:$I$206,0))</f>
        <v>N162</v>
      </c>
      <c r="AB48" s="106" t="str">
        <f>INDEX(Pipes_result_save_V1!$H$2:$H$206,MATCH(Z48,Pipes_result_save_V1!$I$2:$I$206,0))</f>
        <v>N163</v>
      </c>
      <c r="AC48" s="78">
        <v>2.9028999999999999E-2</v>
      </c>
      <c r="AD48" s="78">
        <v>200</v>
      </c>
      <c r="AE48" s="78">
        <v>150</v>
      </c>
      <c r="AF48" s="78">
        <v>54</v>
      </c>
      <c r="AG48" s="78">
        <v>136.61117466724494</v>
      </c>
      <c r="AH48" s="78">
        <v>6.059693507618355E-2</v>
      </c>
      <c r="AI48" s="78">
        <v>1</v>
      </c>
      <c r="AJ48" s="78">
        <v>-1</v>
      </c>
      <c r="AK48" s="78">
        <v>0.75959980646985081</v>
      </c>
      <c r="AL48">
        <v>23.215346449676638</v>
      </c>
      <c r="AM48" s="107">
        <f>INDEX(Pipes_result_save_V1!$K$2:$K$206,MATCH(Z48,Pipes_result_save_V1!$I$2:$I$206,0)) *POWER(10,-3)</f>
        <v>-2.5037521362304693E-2</v>
      </c>
      <c r="AN48" s="78">
        <v>2.1572128217552228E-3</v>
      </c>
      <c r="AO48" s="78">
        <f t="shared" si="2"/>
        <v>6.1821784820657692E-3</v>
      </c>
      <c r="AP48" s="78">
        <f t="shared" si="3"/>
        <v>-6.1821784820657692E-3</v>
      </c>
      <c r="AQ48" s="78" cm="1">
        <f t="array" ref="AQ48">IF(W48=0,
IF(Y48="positif",ABS(AO48),ABS(AO48)*(-1)),
INDEX($R$8:$R$77,W48))</f>
        <v>2.4596935076183497E-2</v>
      </c>
      <c r="BR48">
        <v>0</v>
      </c>
      <c r="BS48">
        <v>41</v>
      </c>
      <c r="BT48" t="s">
        <v>540</v>
      </c>
      <c r="BU48" t="s">
        <v>194</v>
      </c>
      <c r="BV48" s="106" t="str">
        <f>INDEX(Pipes_result_save_V1!$G$2:$G$206,MATCH(BU48,Pipes_result_save_V1!$I$2:$I$206,0))</f>
        <v>N90</v>
      </c>
      <c r="BW48" s="106" t="str">
        <f>INDEX(Pipes_result_save_V1!$H$2:$H$206,MATCH(BU48,Pipes_result_save_V1!$I$2:$I$206,0))</f>
        <v>N91</v>
      </c>
      <c r="BX48">
        <v>0.119923</v>
      </c>
      <c r="BY48">
        <v>400</v>
      </c>
      <c r="BZ48">
        <v>150</v>
      </c>
      <c r="CA48">
        <v>201</v>
      </c>
      <c r="CB48">
        <v>17.376864491226261</v>
      </c>
      <c r="CC48">
        <v>-0.119923</v>
      </c>
      <c r="CD48">
        <v>-0.34205726220094823</v>
      </c>
      <c r="CE48">
        <v>5.2824733336904179</v>
      </c>
      <c r="CF48" s="107">
        <f>INDEX(Pipes_result_save_V1!$K$2:$K$206,MATCH(BU48,Pipes_result_save_V1!$I$2:$I$206,0)) *POWER(10,-3)</f>
        <v>1.264373970031738E-2</v>
      </c>
      <c r="CG48" s="78">
        <v>5.4720869442523943E-3</v>
      </c>
      <c r="CH48" s="78">
        <f t="shared" si="6"/>
        <v>0.1106667961149343</v>
      </c>
      <c r="CI48" s="78">
        <f t="shared" si="7"/>
        <v>-0.1106667961149343</v>
      </c>
      <c r="CJ48" s="78" cm="1">
        <f t="array" ref="CJ48">IF(BR48=0,
IF(BT48="positif",ABS(CH48),ABS(CH48)*(-1)),
INDEX($BM$8:$BM$44,BR48))</f>
        <v>-0.1106667961149343</v>
      </c>
      <c r="CN48">
        <v>0</v>
      </c>
      <c r="CO48">
        <v>41</v>
      </c>
      <c r="CP48" t="s">
        <v>539</v>
      </c>
      <c r="CQ48" t="s">
        <v>417</v>
      </c>
      <c r="CR48" s="106" t="str">
        <f>INDEX(Pipes_result_save_V1!$G$2:$G$206,MATCH(CQ48,Pipes_result_save_V1!$I$2:$I$206,0))</f>
        <v>R2</v>
      </c>
      <c r="CS48" s="106" t="str">
        <f>INDEX(Pipes_result_save_V1!$H$2:$H$206,MATCH(CQ48,Pipes_result_save_V1!$I$2:$I$206,0))</f>
        <v>N41</v>
      </c>
      <c r="CT48">
        <v>9.851E-2</v>
      </c>
      <c r="CU48">
        <v>400</v>
      </c>
      <c r="CV48">
        <v>150</v>
      </c>
      <c r="CW48">
        <v>9</v>
      </c>
      <c r="CX48">
        <v>0.7780685593086385</v>
      </c>
      <c r="CY48">
        <v>9.851E-2</v>
      </c>
      <c r="CZ48">
        <v>1.0640043839006231E-2</v>
      </c>
      <c r="DA48">
        <v>0.20003412029072726</v>
      </c>
      <c r="DB48" s="107">
        <v>8.6925643734511754E-2</v>
      </c>
      <c r="DC48" s="78">
        <v>6.5493759904765017E-3</v>
      </c>
      <c r="DD48" s="78">
        <f t="shared" si="8"/>
        <v>8.6925643734511754E-2</v>
      </c>
      <c r="DE48" s="78">
        <f t="shared" si="9"/>
        <v>8.6925643734511754E-2</v>
      </c>
      <c r="DF48" s="78" cm="1">
        <f t="array" ref="DF48">IF(CN48=0,
IF(CP48="positif",ABS(DD48),ABS(DD48)*(-1)),
INDEX($BM$8:$BM$44,CN48))</f>
        <v>8.6925643734511754E-2</v>
      </c>
      <c r="DL48">
        <v>0</v>
      </c>
      <c r="DM48">
        <v>41</v>
      </c>
      <c r="DN48" t="s">
        <v>539</v>
      </c>
      <c r="DO48" t="s">
        <v>276</v>
      </c>
      <c r="DP48" s="106" t="str">
        <f>INDEX(Pipes_result_save_V1!$G$2:$G$206,MATCH(DO48,Pipes_result_save_V1!$I$2:$I$206,0))</f>
        <v>N115</v>
      </c>
      <c r="DQ48" s="106" t="str">
        <f>INDEX(Pipes_result_save_V1!$H$2:$H$206,MATCH(DO48,Pipes_result_save_V1!$I$2:$I$206,0))</f>
        <v>N114</v>
      </c>
      <c r="DR48">
        <v>3.2837000000000005E-2</v>
      </c>
      <c r="DS48">
        <v>250</v>
      </c>
      <c r="DT48">
        <v>150</v>
      </c>
      <c r="DU48">
        <v>241</v>
      </c>
      <c r="DV48">
        <v>205.6178601061556</v>
      </c>
      <c r="DW48">
        <v>3.2837000000000005E-2</v>
      </c>
      <c r="DX48">
        <v>0.36759194569811882</v>
      </c>
      <c r="DY48">
        <v>20.732109615157171</v>
      </c>
      <c r="DZ48" s="107">
        <f>INDEX(Pipes_result_save_V1!$K$2:$K$206,MATCH(DO48,Pipes_result_save_V1!$I$2:$I$206,0)) *POWER(10,-3)</f>
        <v>-1.935805678367615E-3</v>
      </c>
      <c r="EA48" s="78">
        <v>5.8139980983665986E-3</v>
      </c>
      <c r="EB48" s="78">
        <f t="shared" si="10"/>
        <v>3.3422483842022878E-2</v>
      </c>
      <c r="EC48" s="78">
        <f t="shared" si="11"/>
        <v>3.3422483842022878E-2</v>
      </c>
      <c r="ED48" s="78" cm="1">
        <f t="array" ref="ED48">IF(DL48=0,
IF(DN48="positif",ABS(EB48),ABS(EB48)*(-1)),
INDEX($BM$8:$BM$44,DL48))</f>
        <v>3.3422483842022878E-2</v>
      </c>
      <c r="EE48" s="78"/>
      <c r="EF48" s="78"/>
    </row>
    <row r="49" spans="2:136" ht="30" x14ac:dyDescent="0.25">
      <c r="B49" s="106">
        <v>42</v>
      </c>
      <c r="C49" s="106" t="s">
        <v>539</v>
      </c>
      <c r="D49" s="106" t="s">
        <v>430</v>
      </c>
      <c r="E49" s="106" t="str">
        <f>INDEX(Pipes_result_save_V1!$G$2:$G$206,MATCH(D49,Pipes_result_save_V1!$I$2:$I$206,0))</f>
        <v>N164</v>
      </c>
      <c r="F49" s="106" t="str">
        <f>INDEX(Pipes_result_save_V1!$H$2:$H$206,MATCH(D49,Pipes_result_save_V1!$I$2:$I$206,0))</f>
        <v>N165</v>
      </c>
      <c r="G49" s="106">
        <v>8.7999999999999995E-2</v>
      </c>
      <c r="H49" s="107">
        <v>350</v>
      </c>
      <c r="I49" s="107">
        <v>150</v>
      </c>
      <c r="J49" s="107">
        <v>88</v>
      </c>
      <c r="K49" s="107">
        <v>14.579304373504881</v>
      </c>
      <c r="L49" s="107">
        <v>8.7999999999999995E-2</v>
      </c>
      <c r="M49" s="107">
        <v>0.16177772046556005</v>
      </c>
      <c r="N49" s="107">
        <v>3.4046856625251967</v>
      </c>
      <c r="O49" s="107">
        <f>INDEX(Pipes_result_save_V1!$K$2:$K$206,MATCH(D49,Pipes_result_save_V1!$I$2:$I$206,0)) *POWER(10,-3)</f>
        <v>-2.624709701538086E-2</v>
      </c>
      <c r="P49" s="78">
        <v>5.1295262473634706E-3</v>
      </c>
      <c r="Q49" s="78">
        <f t="shared" si="0"/>
        <v>9.4030649238164982E-3</v>
      </c>
      <c r="R49" s="78">
        <f t="shared" si="1"/>
        <v>9.4030649238164982E-3</v>
      </c>
      <c r="S49" s="78"/>
      <c r="T49" s="78"/>
      <c r="U49" s="78"/>
      <c r="V49" s="78"/>
      <c r="W49" s="78">
        <v>41</v>
      </c>
      <c r="X49" s="78">
        <v>42</v>
      </c>
      <c r="Y49" s="78" t="s">
        <v>540</v>
      </c>
      <c r="Z49" s="78" t="s">
        <v>282</v>
      </c>
      <c r="AA49" s="106" t="str">
        <f>INDEX(Pipes_result_save_V1!$G$2:$G$206,MATCH(Z49,Pipes_result_save_V1!$I$2:$I$206,0))</f>
        <v>N163</v>
      </c>
      <c r="AB49" s="106" t="str">
        <f>INDEX(Pipes_result_save_V1!$H$2:$H$206,MATCH(Z49,Pipes_result_save_V1!$I$2:$I$206,0))</f>
        <v>N164</v>
      </c>
      <c r="AC49" s="78">
        <v>2.9028999999999999E-2</v>
      </c>
      <c r="AD49" s="78">
        <v>200</v>
      </c>
      <c r="AE49" s="78">
        <v>150</v>
      </c>
      <c r="AF49" s="78">
        <v>35</v>
      </c>
      <c r="AG49" s="78">
        <v>88.544279876918011</v>
      </c>
      <c r="AH49" s="78">
        <v>4.1596935076183561E-2</v>
      </c>
      <c r="AI49" s="78">
        <v>1</v>
      </c>
      <c r="AJ49" s="78">
        <v>-1</v>
      </c>
      <c r="AK49" s="78">
        <v>0.24527997752358771</v>
      </c>
      <c r="AL49">
        <v>10.920480500347525</v>
      </c>
      <c r="AM49" s="107">
        <f>INDEX(Pipes_result_save_V1!$K$2:$K$206,MATCH(Z49,Pipes_result_save_V1!$I$2:$I$206,0)) *POWER(10,-3)</f>
        <v>-2.5545314788818361E-2</v>
      </c>
      <c r="AN49" s="78">
        <v>4.4473267180016995E-3</v>
      </c>
      <c r="AO49" s="78">
        <f t="shared" si="2"/>
        <v>6.1821784820657692E-3</v>
      </c>
      <c r="AP49" s="78">
        <f t="shared" si="3"/>
        <v>-6.1821784820657692E-3</v>
      </c>
      <c r="AQ49" s="78" cm="1">
        <f t="array" ref="AQ49">IF(W49=0,
IF(Y49="positif",ABS(AO49),ABS(AO49)*(-1)),
INDEX($R$8:$R$77,W49))</f>
        <v>4.3596935076183493E-2</v>
      </c>
      <c r="BR49">
        <v>0</v>
      </c>
      <c r="BS49">
        <v>42</v>
      </c>
      <c r="BT49" t="s">
        <v>540</v>
      </c>
      <c r="BU49" t="s">
        <v>425</v>
      </c>
      <c r="BV49" s="106" t="str">
        <f>INDEX(Pipes_result_save_V1!$G$2:$G$206,MATCH(BU49,Pipes_result_save_V1!$I$2:$I$206,0))</f>
        <v>N91</v>
      </c>
      <c r="BW49" s="106" t="str">
        <f>INDEX(Pipes_result_save_V1!$H$2:$H$206,MATCH(BU49,Pipes_result_save_V1!$I$2:$I$206,0))</f>
        <v>N92</v>
      </c>
      <c r="BX49">
        <v>0.119923</v>
      </c>
      <c r="BY49">
        <v>400</v>
      </c>
      <c r="BZ49">
        <v>150</v>
      </c>
      <c r="CA49">
        <v>129</v>
      </c>
      <c r="CB49">
        <v>11.152316016757153</v>
      </c>
      <c r="CC49">
        <v>-0.119923</v>
      </c>
      <c r="CD49">
        <v>-0.21952928768120558</v>
      </c>
      <c r="CE49">
        <v>3.3902440798311639</v>
      </c>
      <c r="CF49" s="107">
        <f>INDEX(Pipes_result_save_V1!$K$2:$K$206,MATCH(BU49,Pipes_result_save_V1!$I$2:$I$206,0)) *POWER(10,-3)</f>
        <v>1.0760909080505369E-2</v>
      </c>
      <c r="CG49" s="78">
        <v>6.3134524301300537E-3</v>
      </c>
      <c r="CH49" s="78">
        <f t="shared" si="6"/>
        <v>0.1106667961149343</v>
      </c>
      <c r="CI49" s="78">
        <f t="shared" si="7"/>
        <v>-0.1106667961149343</v>
      </c>
      <c r="CJ49" s="78" cm="1">
        <f t="array" ref="CJ49">IF(BR49=0,
IF(BT49="positif",ABS(CH49),ABS(CH49)*(-1)),
INDEX($BM$8:$BM$44,BR49))</f>
        <v>-0.1106667961149343</v>
      </c>
      <c r="CQ49" t="s">
        <v>380</v>
      </c>
      <c r="CZ49">
        <v>2.2952384014795748</v>
      </c>
      <c r="DA49">
        <v>198.13258060074335</v>
      </c>
      <c r="DL49">
        <v>0</v>
      </c>
      <c r="DM49">
        <v>42</v>
      </c>
      <c r="DN49" t="s">
        <v>539</v>
      </c>
      <c r="DO49" t="s">
        <v>316</v>
      </c>
      <c r="DP49" s="106" t="str">
        <f>INDEX(Pipes_result_save_V1!$G$2:$G$206,MATCH(DO49,Pipes_result_save_V1!$I$2:$I$206,0))</f>
        <v>N116</v>
      </c>
      <c r="DQ49" s="106" t="str">
        <f>INDEX(Pipes_result_save_V1!$H$2:$H$206,MATCH(DO49,Pipes_result_save_V1!$I$2:$I$206,0))</f>
        <v>N115</v>
      </c>
      <c r="DR49">
        <v>3.2837000000000005E-2</v>
      </c>
      <c r="DS49">
        <v>250</v>
      </c>
      <c r="DT49">
        <v>150</v>
      </c>
      <c r="DU49">
        <v>61</v>
      </c>
      <c r="DV49">
        <v>52.044354632678385</v>
      </c>
      <c r="DW49">
        <v>3.2837000000000005E-2</v>
      </c>
      <c r="DX49">
        <v>9.30419447617645E-2</v>
      </c>
      <c r="DY49">
        <v>5.2475464171144699</v>
      </c>
      <c r="DZ49" s="107">
        <f>INDEX(Pipes_result_save_V1!$K$2:$K$206,MATCH(DO49,Pipes_result_save_V1!$I$2:$I$206,0)) *POWER(10,-3)</f>
        <v>-2.1272979676723481E-4</v>
      </c>
      <c r="EA49" s="78">
        <v>6.5067774447843396E-3</v>
      </c>
      <c r="EB49" s="78">
        <f t="shared" si="10"/>
        <v>3.3422483842022878E-2</v>
      </c>
      <c r="EC49" s="78">
        <f t="shared" si="11"/>
        <v>3.3422483842022878E-2</v>
      </c>
      <c r="ED49" s="78" cm="1">
        <f t="array" ref="ED49">IF(DL49=0,
IF(DN49="positif",ABS(EB49),ABS(EB49)*(-1)),
INDEX($BM$8:$BM$44,DL49))</f>
        <v>3.3422483842022878E-2</v>
      </c>
      <c r="EE49" s="78"/>
      <c r="EF49" s="78"/>
    </row>
    <row r="50" spans="2:136" ht="30" x14ac:dyDescent="0.25">
      <c r="B50" s="106">
        <v>43</v>
      </c>
      <c r="C50" s="106" t="s">
        <v>540</v>
      </c>
      <c r="D50" s="106" t="s">
        <v>252</v>
      </c>
      <c r="E50" s="106" t="str">
        <f>INDEX(Pipes_result_save_V1!$G$2:$G$206,MATCH(D50,Pipes_result_save_V1!$I$2:$I$206,0))</f>
        <v>N166</v>
      </c>
      <c r="F50" s="106" t="str">
        <f>INDEX(Pipes_result_save_V1!$H$2:$H$206,MATCH(D50,Pipes_result_save_V1!$I$2:$I$206,0))</f>
        <v>N167</v>
      </c>
      <c r="G50" s="106">
        <v>0.23</v>
      </c>
      <c r="H50" s="107">
        <v>565</v>
      </c>
      <c r="I50" s="107">
        <v>150</v>
      </c>
      <c r="J50" s="107">
        <v>230</v>
      </c>
      <c r="K50" s="107">
        <v>3.6975105465835916</v>
      </c>
      <c r="L50" s="107">
        <v>-0.23</v>
      </c>
      <c r="M50" s="107">
        <v>-0.24312486288101076</v>
      </c>
      <c r="N50" s="107">
        <v>1.9576836785027469</v>
      </c>
      <c r="O50" s="107">
        <f>INDEX(Pipes_result_save_V1!$K$2:$K$206,MATCH(D50,Pipes_result_save_V1!$I$2:$I$206,0)) *POWER(10,-3)</f>
        <v>1.17913990020752E-2</v>
      </c>
      <c r="P50" s="78">
        <v>6.070937579094801E-3</v>
      </c>
      <c r="Q50" s="78">
        <f t="shared" si="0"/>
        <v>0.1514030649238165</v>
      </c>
      <c r="R50" s="78">
        <f t="shared" si="1"/>
        <v>-0.1514030649238165</v>
      </c>
      <c r="S50" s="78"/>
      <c r="T50" s="78"/>
      <c r="U50" s="78"/>
      <c r="V50" s="78"/>
      <c r="W50" s="78">
        <v>42</v>
      </c>
      <c r="X50" s="78">
        <v>43</v>
      </c>
      <c r="Y50" s="78" t="s">
        <v>540</v>
      </c>
      <c r="Z50" s="78" t="s">
        <v>430</v>
      </c>
      <c r="AA50" s="106" t="str">
        <f>INDEX(Pipes_result_save_V1!$G$2:$G$206,MATCH(Z50,Pipes_result_save_V1!$I$2:$I$206,0))</f>
        <v>N164</v>
      </c>
      <c r="AB50" s="106" t="str">
        <f>INDEX(Pipes_result_save_V1!$H$2:$H$206,MATCH(Z50,Pipes_result_save_V1!$I$2:$I$206,0))</f>
        <v>N165</v>
      </c>
      <c r="AC50" s="78">
        <v>2.9028999999999999E-2</v>
      </c>
      <c r="AD50" s="78">
        <v>200</v>
      </c>
      <c r="AE50" s="78">
        <v>150</v>
      </c>
      <c r="AF50" s="78">
        <v>88</v>
      </c>
      <c r="AG50" s="78">
        <v>222.62561797625102</v>
      </c>
      <c r="AH50" s="78">
        <v>9.4596935076183553E-2</v>
      </c>
      <c r="AI50" s="78">
        <v>1</v>
      </c>
      <c r="AJ50" s="78">
        <v>-1</v>
      </c>
      <c r="AK50" s="78">
        <v>2.8242261078771005</v>
      </c>
      <c r="AL50">
        <v>55.29213761075917</v>
      </c>
      <c r="AM50" s="107">
        <f>INDEX(Pipes_result_save_V1!$K$2:$K$206,MATCH(Z50,Pipes_result_save_V1!$I$2:$I$206,0)) *POWER(10,-3)</f>
        <v>-2.624709701538086E-2</v>
      </c>
      <c r="AN50" s="78">
        <v>2.9347842678458646E-3</v>
      </c>
      <c r="AO50" s="78">
        <f t="shared" si="2"/>
        <v>6.1821784820657692E-3</v>
      </c>
      <c r="AP50" s="78">
        <f t="shared" si="3"/>
        <v>-6.1821784820657692E-3</v>
      </c>
      <c r="AQ50" s="78" cm="1">
        <f t="array" ref="AQ50">IF(W50=0,
IF(Y50="positif",ABS(AO50),ABS(AO50)*(-1)),
INDEX($R$8:$R$77,W50))</f>
        <v>9.4030649238164982E-3</v>
      </c>
      <c r="BR50">
        <v>0</v>
      </c>
      <c r="BS50">
        <v>43</v>
      </c>
      <c r="BT50" t="s">
        <v>540</v>
      </c>
      <c r="BU50" t="s">
        <v>183</v>
      </c>
      <c r="BV50" s="106" t="str">
        <f>INDEX(Pipes_result_save_V1!$G$2:$G$206,MATCH(BU50,Pipes_result_save_V1!$I$2:$I$206,0))</f>
        <v>N92</v>
      </c>
      <c r="BW50" s="106" t="str">
        <f>INDEX(Pipes_result_save_V1!$H$2:$H$206,MATCH(BU50,Pipes_result_save_V1!$I$2:$I$206,0))</f>
        <v>N93</v>
      </c>
      <c r="BX50">
        <v>0.119923</v>
      </c>
      <c r="BY50">
        <v>400</v>
      </c>
      <c r="BZ50">
        <v>150</v>
      </c>
      <c r="CA50">
        <v>111</v>
      </c>
      <c r="CB50">
        <v>9.5961788981398755</v>
      </c>
      <c r="CC50">
        <v>-0.119923</v>
      </c>
      <c r="CD50">
        <v>-0.18889729405126993</v>
      </c>
      <c r="CE50">
        <v>2.9171867663663504</v>
      </c>
      <c r="CF50" s="107">
        <f>INDEX(Pipes_result_save_V1!$K$2:$K$206,MATCH(BU50,Pipes_result_save_V1!$I$2:$I$206,0)) *POWER(10,-3)</f>
        <v>9.3915777206420893E-3</v>
      </c>
      <c r="CG50" s="78">
        <v>5.1921217048708466E-3</v>
      </c>
      <c r="CH50" s="78">
        <f t="shared" si="6"/>
        <v>0.1106667961149343</v>
      </c>
      <c r="CI50" s="78">
        <f t="shared" si="7"/>
        <v>-0.1106667961149343</v>
      </c>
      <c r="CJ50" s="78" cm="1">
        <f t="array" ref="CJ50">IF(BR50=0,
IF(BT50="positif",ABS(CH50),ABS(CH50)*(-1)),
INDEX($BM$8:$BM$44,BR50))</f>
        <v>-0.1106667961149343</v>
      </c>
      <c r="CQ50" t="s">
        <v>381</v>
      </c>
      <c r="CT50">
        <v>-1.158435626548824E-2</v>
      </c>
      <c r="DL50">
        <v>0</v>
      </c>
      <c r="DM50">
        <v>43</v>
      </c>
      <c r="DN50" t="s">
        <v>539</v>
      </c>
      <c r="DO50" t="s">
        <v>412</v>
      </c>
      <c r="DP50" s="106" t="str">
        <f>INDEX(Pipes_result_save_V1!$G$2:$G$206,MATCH(DO50,Pipes_result_save_V1!$I$2:$I$206,0))</f>
        <v>N195</v>
      </c>
      <c r="DQ50" s="106" t="str">
        <f>INDEX(Pipes_result_save_V1!$H$2:$H$206,MATCH(DO50,Pipes_result_save_V1!$I$2:$I$206,0))</f>
        <v>N116</v>
      </c>
      <c r="DR50">
        <v>3.2837000000000005E-2</v>
      </c>
      <c r="DS50">
        <v>250</v>
      </c>
      <c r="DT50">
        <v>150</v>
      </c>
      <c r="DU50">
        <v>76</v>
      </c>
      <c r="DV50">
        <v>64.84214675546815</v>
      </c>
      <c r="DW50">
        <v>3.2837000000000005E-2</v>
      </c>
      <c r="DX50">
        <v>0.1159211115064607</v>
      </c>
      <c r="DY50">
        <v>6.5379266836180276</v>
      </c>
      <c r="DZ50" s="107">
        <f>INDEX(Pipes_result_save_V1!$K$2:$K$206,MATCH(DO50,Pipes_result_save_V1!$I$2:$I$206,0)) *POWER(10,-3)</f>
        <v>5.689303874969482E-4</v>
      </c>
      <c r="EA50" s="78">
        <v>5.3893487469222137E-3</v>
      </c>
      <c r="EB50" s="78">
        <f t="shared" si="10"/>
        <v>3.3422483842022878E-2</v>
      </c>
      <c r="EC50" s="78">
        <f t="shared" si="11"/>
        <v>3.3422483842022878E-2</v>
      </c>
      <c r="ED50" s="78" cm="1">
        <f t="array" ref="ED50">IF(DL50=0,
IF(DN50="positif",ABS(EB50),ABS(EB50)*(-1)),
INDEX($BM$8:$BM$44,DL50))</f>
        <v>3.3422483842022878E-2</v>
      </c>
      <c r="EE50" s="78"/>
      <c r="EF50" s="78"/>
    </row>
    <row r="51" spans="2:136" ht="30" x14ac:dyDescent="0.25">
      <c r="B51" s="106">
        <v>44</v>
      </c>
      <c r="C51" s="106" t="s">
        <v>540</v>
      </c>
      <c r="D51" s="106" t="s">
        <v>253</v>
      </c>
      <c r="E51" s="106" t="str">
        <f>INDEX(Pipes_result_save_V1!$G$2:$G$206,MATCH(D51,Pipes_result_save_V1!$I$2:$I$206,0))</f>
        <v>N167</v>
      </c>
      <c r="F51" s="106" t="str">
        <f>INDEX(Pipes_result_save_V1!$H$2:$H$206,MATCH(D51,Pipes_result_save_V1!$I$2:$I$206,0))</f>
        <v>N168</v>
      </c>
      <c r="G51" s="106">
        <v>2.9028999999999999E-2</v>
      </c>
      <c r="H51" s="107">
        <v>200</v>
      </c>
      <c r="I51" s="107">
        <v>150</v>
      </c>
      <c r="J51" s="107">
        <v>145</v>
      </c>
      <c r="K51" s="107">
        <v>366.82630234723172</v>
      </c>
      <c r="L51" s="107">
        <v>-2.9028999999999999E-2</v>
      </c>
      <c r="M51" s="107">
        <v>-0.52194587745420518</v>
      </c>
      <c r="N51" s="107">
        <v>33.299244377870004</v>
      </c>
      <c r="O51" s="107">
        <f>INDEX(Pipes_result_save_V1!$K$2:$K$206,MATCH(D51,Pipes_result_save_V1!$I$2:$I$206,0)) *POWER(10,-3)</f>
        <v>9.6518192291259776E-3</v>
      </c>
      <c r="P51" s="78">
        <v>6.235923230736783E-3</v>
      </c>
      <c r="Q51" s="78">
        <f t="shared" si="0"/>
        <v>-4.9567935076183497E-2</v>
      </c>
      <c r="R51" s="78">
        <f t="shared" si="1"/>
        <v>-4.9567935076183497E-2</v>
      </c>
      <c r="S51" s="78"/>
      <c r="T51" s="78"/>
      <c r="U51" s="78"/>
      <c r="V51" s="78"/>
      <c r="W51" s="78">
        <v>44</v>
      </c>
      <c r="X51" s="78">
        <v>44</v>
      </c>
      <c r="Y51" s="78" t="s">
        <v>540</v>
      </c>
      <c r="Z51" s="78" t="s">
        <v>253</v>
      </c>
      <c r="AA51" s="106" t="str">
        <f>INDEX(Pipes_result_save_V1!$G$2:$G$206,MATCH(Z51,Pipes_result_save_V1!$I$2:$I$206,0))</f>
        <v>N167</v>
      </c>
      <c r="AB51" s="106" t="str">
        <f>INDEX(Pipes_result_save_V1!$H$2:$H$206,MATCH(Z51,Pipes_result_save_V1!$I$2:$I$206,0))</f>
        <v>N168</v>
      </c>
      <c r="AC51" s="78">
        <v>2.9028999999999999E-2</v>
      </c>
      <c r="AD51" s="78">
        <v>200</v>
      </c>
      <c r="AE51" s="78">
        <v>150</v>
      </c>
      <c r="AF51" s="78">
        <v>145</v>
      </c>
      <c r="AG51" s="78">
        <v>366.82630234723172</v>
      </c>
      <c r="AH51" s="78">
        <v>-2.2432064923816445E-2</v>
      </c>
      <c r="AI51" s="78">
        <v>-1</v>
      </c>
      <c r="AJ51" s="78">
        <v>-1</v>
      </c>
      <c r="AK51" s="78">
        <v>-0.3237951393825354</v>
      </c>
      <c r="AL51">
        <v>26.732652574475175</v>
      </c>
      <c r="AM51" s="107">
        <f>INDEX(Pipes_result_save_V1!$K$2:$K$206,MATCH(Z51,Pipes_result_save_V1!$I$2:$I$206,0)) *POWER(10,-3)</f>
        <v>9.6518192291259776E-3</v>
      </c>
      <c r="AN51" s="78">
        <v>3.934008477086714E-3</v>
      </c>
      <c r="AO51" s="78">
        <f t="shared" si="2"/>
        <v>6.1821784820657692E-3</v>
      </c>
      <c r="AP51" s="78">
        <f t="shared" si="3"/>
        <v>-6.1821784820657692E-3</v>
      </c>
      <c r="AQ51" s="78" cm="1">
        <f t="array" ref="AQ51">IF(W51=0,
IF(Y51="positif",ABS(AO51),ABS(AO51)*(-1)),
INDEX($R$8:$R$77,W51))</f>
        <v>-4.9567935076183497E-2</v>
      </c>
      <c r="BR51">
        <v>0</v>
      </c>
      <c r="BS51">
        <v>44</v>
      </c>
      <c r="BT51" t="s">
        <v>540</v>
      </c>
      <c r="BU51" t="s">
        <v>192</v>
      </c>
      <c r="BV51" s="106" t="str">
        <f>INDEX(Pipes_result_save_V1!$G$2:$G$206,MATCH(BU51,Pipes_result_save_V1!$I$2:$I$206,0))</f>
        <v>N93</v>
      </c>
      <c r="BW51" s="106" t="str">
        <f>INDEX(Pipes_result_save_V1!$H$2:$H$206,MATCH(BU51,Pipes_result_save_V1!$I$2:$I$206,0))</f>
        <v>N94</v>
      </c>
      <c r="BX51">
        <v>0.14499999999999999</v>
      </c>
      <c r="BY51">
        <v>466</v>
      </c>
      <c r="BZ51">
        <v>150</v>
      </c>
      <c r="CA51">
        <v>88</v>
      </c>
      <c r="CB51">
        <v>3.6156338752762309</v>
      </c>
      <c r="CC51">
        <v>-0.14499999999999999</v>
      </c>
      <c r="CD51">
        <v>-0.10116679388747182</v>
      </c>
      <c r="CE51">
        <v>1.2921441536523988</v>
      </c>
      <c r="CF51" s="107">
        <f>INDEX(Pipes_result_save_V1!$K$2:$K$206,MATCH(BU51,Pipes_result_save_V1!$I$2:$I$206,0)) *POWER(10,-3)</f>
        <v>8.256173133850098E-3</v>
      </c>
      <c r="CG51" s="78">
        <v>5.8606262622185722E-3</v>
      </c>
      <c r="CH51" s="78">
        <f t="shared" si="6"/>
        <v>0.13574379611493428</v>
      </c>
      <c r="CI51" s="78">
        <f t="shared" si="7"/>
        <v>-0.13574379611493428</v>
      </c>
      <c r="CJ51" s="78" cm="1">
        <f t="array" ref="CJ51">IF(BR51=0,
IF(BT51="positif",ABS(CH51),ABS(CH51)*(-1)),
INDEX($BM$8:$BM$44,BR51))</f>
        <v>-0.13574379611493428</v>
      </c>
      <c r="DL51">
        <v>0</v>
      </c>
      <c r="DM51">
        <v>44</v>
      </c>
      <c r="DN51" t="s">
        <v>539</v>
      </c>
      <c r="DO51" t="s">
        <v>308</v>
      </c>
      <c r="DP51" s="106" t="str">
        <f>INDEX(Pipes_result_save_V1!$G$2:$G$206,MATCH(DO51,Pipes_result_save_V1!$I$2:$I$206,0))</f>
        <v>N118</v>
      </c>
      <c r="DQ51" s="106" t="str">
        <f>INDEX(Pipes_result_save_V1!$H$2:$H$206,MATCH(DO51,Pipes_result_save_V1!$I$2:$I$206,0))</f>
        <v>N117</v>
      </c>
      <c r="DR51">
        <v>3.2837000000000005E-2</v>
      </c>
      <c r="DS51">
        <v>250</v>
      </c>
      <c r="DT51">
        <v>150</v>
      </c>
      <c r="DU51">
        <v>132</v>
      </c>
      <c r="DV51">
        <v>112.62057068054995</v>
      </c>
      <c r="DW51">
        <v>3.2837000000000005E-2</v>
      </c>
      <c r="DX51">
        <v>0.20133666735332648</v>
      </c>
      <c r="DY51">
        <v>11.355346345231313</v>
      </c>
      <c r="DZ51" s="107">
        <f>INDEX(Pipes_result_save_V1!$K$2:$K$206,MATCH(DO51,Pipes_result_save_V1!$I$2:$I$206,0)) *POWER(10,-3)</f>
        <v>3.5129935741424561E-3</v>
      </c>
      <c r="EA51" s="78">
        <v>6.3061611368338856E-3</v>
      </c>
      <c r="EB51" s="78">
        <f t="shared" si="10"/>
        <v>3.3422483842022878E-2</v>
      </c>
      <c r="EC51" s="78">
        <f t="shared" si="11"/>
        <v>3.3422483842022878E-2</v>
      </c>
      <c r="ED51" s="78" cm="1">
        <f t="array" ref="ED51">IF(DL51=0,
IF(DN51="positif",ABS(EB51),ABS(EB51)*(-1)),
INDEX($BM$8:$BM$44,DL51))</f>
        <v>3.3422483842022878E-2</v>
      </c>
      <c r="EE51" s="78"/>
      <c r="EF51" s="78"/>
    </row>
    <row r="52" spans="2:136" ht="30" x14ac:dyDescent="0.25">
      <c r="B52" s="106">
        <v>45</v>
      </c>
      <c r="C52" s="106" t="s">
        <v>540</v>
      </c>
      <c r="D52" s="106" t="s">
        <v>235</v>
      </c>
      <c r="E52" s="106" t="str">
        <f>INDEX(Pipes_result_save_V1!$G$2:$G$206,MATCH(D52,Pipes_result_save_V1!$I$2:$I$206,0))</f>
        <v>N168</v>
      </c>
      <c r="F52" s="106" t="str">
        <f>INDEX(Pipes_result_save_V1!$H$2:$H$206,MATCH(D52,Pipes_result_save_V1!$I$2:$I$206,0))</f>
        <v>N169</v>
      </c>
      <c r="G52" s="106">
        <v>2.9028999999999999E-2</v>
      </c>
      <c r="H52" s="107">
        <v>200</v>
      </c>
      <c r="I52" s="107">
        <v>150</v>
      </c>
      <c r="J52" s="107">
        <v>129</v>
      </c>
      <c r="K52" s="107">
        <v>326.34891726064069</v>
      </c>
      <c r="L52" s="107">
        <v>-2.9028999999999999E-2</v>
      </c>
      <c r="M52" s="107">
        <v>-0.46435184959718945</v>
      </c>
      <c r="N52" s="107">
        <v>29.624844998242978</v>
      </c>
      <c r="O52" s="107">
        <f>INDEX(Pipes_result_save_V1!$K$2:$K$206,MATCH(D52,Pipes_result_save_V1!$I$2:$I$206,0)) *POWER(10,-3)</f>
        <v>8.0884981155395514E-3</v>
      </c>
      <c r="P52" s="78">
        <v>5.240119024098237E-3</v>
      </c>
      <c r="Q52" s="78">
        <f t="shared" si="0"/>
        <v>-4.9567935076183497E-2</v>
      </c>
      <c r="R52" s="78">
        <f t="shared" si="1"/>
        <v>-4.9567935076183497E-2</v>
      </c>
      <c r="S52" s="78"/>
      <c r="T52" s="78"/>
      <c r="U52" s="78"/>
      <c r="V52" s="78"/>
      <c r="W52" s="78">
        <v>45</v>
      </c>
      <c r="X52" s="78">
        <v>45</v>
      </c>
      <c r="Y52" s="78" t="s">
        <v>540</v>
      </c>
      <c r="Z52" s="78" t="s">
        <v>235</v>
      </c>
      <c r="AA52" s="106" t="str">
        <f>INDEX(Pipes_result_save_V1!$G$2:$G$206,MATCH(Z52,Pipes_result_save_V1!$I$2:$I$206,0))</f>
        <v>N168</v>
      </c>
      <c r="AB52" s="106" t="str">
        <f>INDEX(Pipes_result_save_V1!$H$2:$H$206,MATCH(Z52,Pipes_result_save_V1!$I$2:$I$206,0))</f>
        <v>N169</v>
      </c>
      <c r="AC52" s="78">
        <v>2.9028999999999999E-2</v>
      </c>
      <c r="AD52" s="78">
        <v>200</v>
      </c>
      <c r="AE52" s="78">
        <v>150</v>
      </c>
      <c r="AF52" s="78">
        <v>129</v>
      </c>
      <c r="AG52" s="78">
        <v>326.34891726064069</v>
      </c>
      <c r="AH52" s="78">
        <v>-2.2432064923816445E-2</v>
      </c>
      <c r="AI52" s="78">
        <v>-1</v>
      </c>
      <c r="AJ52" s="78">
        <v>-1</v>
      </c>
      <c r="AK52" s="78">
        <v>-0.28806602055411779</v>
      </c>
      <c r="AL52">
        <v>23.782842635222746</v>
      </c>
      <c r="AM52" s="107">
        <f>INDEX(Pipes_result_save_V1!$K$2:$K$206,MATCH(Z52,Pipes_result_save_V1!$I$2:$I$206,0)) *POWER(10,-3)</f>
        <v>8.0884981155395514E-3</v>
      </c>
      <c r="AN52" s="78">
        <v>6.8805551372415254E-4</v>
      </c>
      <c r="AO52" s="78">
        <f t="shared" si="2"/>
        <v>6.1821784820657692E-3</v>
      </c>
      <c r="AP52" s="78">
        <f t="shared" si="3"/>
        <v>-6.1821784820657692E-3</v>
      </c>
      <c r="AQ52" s="78" cm="1">
        <f t="array" ref="AQ52">IF(W52=0,
IF(Y52="positif",ABS(AO52),ABS(AO52)*(-1)),
INDEX($R$8:$R$77,W52))</f>
        <v>-4.9567935076183497E-2</v>
      </c>
      <c r="BR52">
        <v>0</v>
      </c>
      <c r="BS52">
        <v>45</v>
      </c>
      <c r="BT52" t="s">
        <v>540</v>
      </c>
      <c r="BU52" t="s">
        <v>230</v>
      </c>
      <c r="BV52" s="106" t="str">
        <f>INDEX(Pipes_result_save_V1!$G$2:$G$206,MATCH(BU52,Pipes_result_save_V1!$I$2:$I$206,0))</f>
        <v>N94</v>
      </c>
      <c r="BW52" s="106" t="str">
        <f>INDEX(Pipes_result_save_V1!$H$2:$H$206,MATCH(BU52,Pipes_result_save_V1!$I$2:$I$206,0))</f>
        <v>N95</v>
      </c>
      <c r="BX52">
        <v>0.129</v>
      </c>
      <c r="BY52">
        <v>421</v>
      </c>
      <c r="BZ52">
        <v>150</v>
      </c>
      <c r="CA52">
        <v>74</v>
      </c>
      <c r="CB52">
        <v>4.9861255025952351</v>
      </c>
      <c r="CC52">
        <v>-0.129</v>
      </c>
      <c r="CD52">
        <v>-0.11235058785450108</v>
      </c>
      <c r="CE52">
        <v>1.6129712302832246</v>
      </c>
      <c r="CF52" s="107">
        <f>INDEX(Pipes_result_save_V1!$K$2:$K$206,MATCH(BU52,Pipes_result_save_V1!$I$2:$I$206,0)) *POWER(10,-3)</f>
        <v>7.3318743705749513E-3</v>
      </c>
      <c r="CG52" s="78">
        <v>5.8083044804732907E-3</v>
      </c>
      <c r="CH52" s="78">
        <f t="shared" si="6"/>
        <v>0.1197437961149343</v>
      </c>
      <c r="CI52" s="78">
        <f t="shared" si="7"/>
        <v>-0.1197437961149343</v>
      </c>
      <c r="CJ52" s="78" cm="1">
        <f t="array" ref="CJ52">IF(BR52=0,
IF(BT52="positif",ABS(CH52),ABS(CH52)*(-1)),
INDEX($BM$8:$BM$44,BR52))</f>
        <v>-0.1197437961149343</v>
      </c>
      <c r="DL52">
        <v>0</v>
      </c>
      <c r="DM52">
        <v>45</v>
      </c>
      <c r="DN52" t="s">
        <v>539</v>
      </c>
      <c r="DO52" t="s">
        <v>411</v>
      </c>
      <c r="DP52" s="106" t="str">
        <f>INDEX(Pipes_result_save_V1!$G$2:$G$206,MATCH(DO52,Pipes_result_save_V1!$I$2:$I$206,0))</f>
        <v>N117</v>
      </c>
      <c r="DQ52" s="106" t="str">
        <f>INDEX(Pipes_result_save_V1!$H$2:$H$206,MATCH(DO52,Pipes_result_save_V1!$I$2:$I$206,0))</f>
        <v>N195</v>
      </c>
      <c r="DR52">
        <v>3.2837000000000005E-2</v>
      </c>
      <c r="DS52">
        <v>250</v>
      </c>
      <c r="DT52">
        <v>150</v>
      </c>
      <c r="DU52">
        <v>154</v>
      </c>
      <c r="DV52">
        <v>131.39066579397493</v>
      </c>
      <c r="DW52">
        <v>3.2837000000000005E-2</v>
      </c>
      <c r="DX52">
        <v>0.23489277857888088</v>
      </c>
      <c r="DY52">
        <v>13.24790406943653</v>
      </c>
      <c r="DZ52" s="107">
        <f>INDEX(Pipes_result_save_V1!$K$2:$K$206,MATCH(DO52,Pipes_result_save_V1!$I$2:$I$206,0)) *POWER(10,-3)</f>
        <v>1.881206631660461E-3</v>
      </c>
      <c r="EA52" s="78">
        <v>5.6025911367785083E-3</v>
      </c>
      <c r="EB52" s="78">
        <f t="shared" si="10"/>
        <v>3.3422483842022878E-2</v>
      </c>
      <c r="EC52" s="78">
        <f t="shared" si="11"/>
        <v>3.3422483842022878E-2</v>
      </c>
      <c r="ED52" s="78" cm="1">
        <f t="array" ref="ED52">IF(DL52=0,
IF(DN52="positif",ABS(EB52),ABS(EB52)*(-1)),
INDEX($BM$8:$BM$44,DL52))</f>
        <v>3.3422483842022878E-2</v>
      </c>
      <c r="EE52" s="78"/>
      <c r="EF52" s="78"/>
    </row>
    <row r="53" spans="2:136" ht="30" x14ac:dyDescent="0.25">
      <c r="B53" s="106">
        <v>46</v>
      </c>
      <c r="C53" s="106" t="s">
        <v>540</v>
      </c>
      <c r="D53" s="106" t="s">
        <v>236</v>
      </c>
      <c r="E53" s="106" t="str">
        <f>INDEX(Pipes_result_save_V1!$G$2:$G$206,MATCH(D53,Pipes_result_save_V1!$I$2:$I$206,0))</f>
        <v>N169</v>
      </c>
      <c r="F53" s="106" t="str">
        <f>INDEX(Pipes_result_save_V1!$H$2:$H$206,MATCH(D53,Pipes_result_save_V1!$I$2:$I$206,0))</f>
        <v>N170</v>
      </c>
      <c r="G53" s="106">
        <v>2.9028999999999999E-2</v>
      </c>
      <c r="H53" s="107">
        <v>200</v>
      </c>
      <c r="I53" s="107">
        <v>150</v>
      </c>
      <c r="J53" s="107">
        <v>104</v>
      </c>
      <c r="K53" s="107">
        <v>263.10300306284211</v>
      </c>
      <c r="L53" s="107">
        <v>-2.9028999999999999E-2</v>
      </c>
      <c r="M53" s="107">
        <v>-0.37436118107060234</v>
      </c>
      <c r="N53" s="107">
        <v>23.883595967575733</v>
      </c>
      <c r="O53" s="107">
        <f>INDEX(Pipes_result_save_V1!$K$2:$K$206,MATCH(D53,Pipes_result_save_V1!$I$2:$I$206,0)) *POWER(10,-3)</f>
        <v>6.7591056823730466E-3</v>
      </c>
      <c r="P53" s="78">
        <v>5.9338494150622065E-3</v>
      </c>
      <c r="Q53" s="78">
        <f t="shared" si="0"/>
        <v>-4.9567935076183497E-2</v>
      </c>
      <c r="R53" s="78">
        <f t="shared" si="1"/>
        <v>-4.9567935076183497E-2</v>
      </c>
      <c r="S53" s="78"/>
      <c r="T53" s="78"/>
      <c r="U53" s="78"/>
      <c r="V53" s="78"/>
      <c r="W53" s="78">
        <v>46</v>
      </c>
      <c r="X53" s="78">
        <v>46</v>
      </c>
      <c r="Y53" s="78" t="s">
        <v>540</v>
      </c>
      <c r="Z53" s="78" t="s">
        <v>236</v>
      </c>
      <c r="AA53" s="106" t="str">
        <f>INDEX(Pipes_result_save_V1!$G$2:$G$206,MATCH(Z53,Pipes_result_save_V1!$I$2:$I$206,0))</f>
        <v>N169</v>
      </c>
      <c r="AB53" s="106" t="str">
        <f>INDEX(Pipes_result_save_V1!$H$2:$H$206,MATCH(Z53,Pipes_result_save_V1!$I$2:$I$206,0))</f>
        <v>N170</v>
      </c>
      <c r="AC53" s="78">
        <v>2.9028999999999999E-2</v>
      </c>
      <c r="AD53" s="78">
        <v>200</v>
      </c>
      <c r="AE53" s="78">
        <v>150</v>
      </c>
      <c r="AF53" s="78">
        <v>104</v>
      </c>
      <c r="AG53" s="78">
        <v>263.10300306284211</v>
      </c>
      <c r="AH53" s="78">
        <v>-2.2432064923816445E-2</v>
      </c>
      <c r="AI53" s="78">
        <v>-1</v>
      </c>
      <c r="AJ53" s="78">
        <v>-1</v>
      </c>
      <c r="AK53" s="78">
        <v>-0.23223927238471509</v>
      </c>
      <c r="AL53">
        <v>19.173764605140818</v>
      </c>
      <c r="AM53" s="107">
        <f>INDEX(Pipes_result_save_V1!$K$2:$K$206,MATCH(Z53,Pipes_result_save_V1!$I$2:$I$206,0)) *POWER(10,-3)</f>
        <v>6.7591056823730466E-3</v>
      </c>
      <c r="AN53" s="78">
        <v>4.0140195111003389E-3</v>
      </c>
      <c r="AO53" s="78">
        <f t="shared" si="2"/>
        <v>6.1821784820657692E-3</v>
      </c>
      <c r="AP53" s="78">
        <f t="shared" si="3"/>
        <v>-6.1821784820657692E-3</v>
      </c>
      <c r="AQ53" s="78" cm="1">
        <f t="array" ref="AQ53">IF(W53=0,
IF(Y53="positif",ABS(AO53),ABS(AO53)*(-1)),
INDEX($R$8:$R$77,W53))</f>
        <v>-4.9567935076183497E-2</v>
      </c>
      <c r="BR53">
        <v>0</v>
      </c>
      <c r="BS53">
        <v>46</v>
      </c>
      <c r="BT53" t="s">
        <v>540</v>
      </c>
      <c r="BU53" t="s">
        <v>215</v>
      </c>
      <c r="BV53" s="106" t="str">
        <f>INDEX(Pipes_result_save_V1!$G$2:$G$206,MATCH(BU53,Pipes_result_save_V1!$I$2:$I$206,0))</f>
        <v>N95</v>
      </c>
      <c r="BW53" s="106" t="str">
        <f>INDEX(Pipes_result_save_V1!$H$2:$H$206,MATCH(BU53,Pipes_result_save_V1!$I$2:$I$206,0))</f>
        <v>N96</v>
      </c>
      <c r="BX53">
        <v>0.104</v>
      </c>
      <c r="BY53">
        <v>400</v>
      </c>
      <c r="BZ53">
        <v>150</v>
      </c>
      <c r="CA53">
        <v>248</v>
      </c>
      <c r="CB53">
        <v>21.440111412060261</v>
      </c>
      <c r="CC53">
        <v>-0.104</v>
      </c>
      <c r="CD53">
        <v>-0.32416997102445538</v>
      </c>
      <c r="CE53">
        <v>5.7727190993970323</v>
      </c>
      <c r="CF53" s="107">
        <f>INDEX(Pipes_result_save_V1!$K$2:$K$206,MATCH(BU53,Pipes_result_save_V1!$I$2:$I$206,0)) *POWER(10,-3)</f>
        <v>5.4946870803833005E-3</v>
      </c>
      <c r="CG53" s="78">
        <v>6.0099784626388474E-3</v>
      </c>
      <c r="CH53" s="78">
        <f t="shared" si="6"/>
        <v>9.4743796114934289E-2</v>
      </c>
      <c r="CI53" s="78">
        <f t="shared" si="7"/>
        <v>-9.4743796114934289E-2</v>
      </c>
      <c r="CJ53" s="78" cm="1">
        <f t="array" ref="CJ53">IF(BR53=0,
IF(BT53="positif",ABS(CH53),ABS(CH53)*(-1)),
INDEX($BM$8:$BM$44,BR53))</f>
        <v>-9.4743796114934289E-2</v>
      </c>
      <c r="DL53">
        <v>0</v>
      </c>
      <c r="DM53">
        <v>46</v>
      </c>
      <c r="DN53" t="s">
        <v>539</v>
      </c>
      <c r="DO53" t="s">
        <v>309</v>
      </c>
      <c r="DP53" s="106" t="str">
        <f>INDEX(Pipes_result_save_V1!$G$2:$G$206,MATCH(DO53,Pipes_result_save_V1!$I$2:$I$206,0))</f>
        <v>N119</v>
      </c>
      <c r="DQ53" s="106" t="str">
        <f>INDEX(Pipes_result_save_V1!$H$2:$H$206,MATCH(DO53,Pipes_result_save_V1!$I$2:$I$206,0))</f>
        <v>N118</v>
      </c>
      <c r="DR53">
        <v>3.2837000000000005E-2</v>
      </c>
      <c r="DS53">
        <v>250</v>
      </c>
      <c r="DT53">
        <v>150</v>
      </c>
      <c r="DU53">
        <v>212</v>
      </c>
      <c r="DV53">
        <v>180.87546200209536</v>
      </c>
      <c r="DW53">
        <v>3.2837000000000005E-2</v>
      </c>
      <c r="DX53">
        <v>0.32335888999170614</v>
      </c>
      <c r="DY53">
        <v>18.237374433250288</v>
      </c>
      <c r="DZ53" s="107">
        <f>INDEX(Pipes_result_save_V1!$K$2:$K$206,MATCH(DO53,Pipes_result_save_V1!$I$2:$I$206,0)) *POWER(10,-3)</f>
        <v>5.4757027626037595E-3</v>
      </c>
      <c r="EA53" s="78">
        <v>5.4766907074032777E-3</v>
      </c>
      <c r="EB53" s="78">
        <f t="shared" si="10"/>
        <v>3.3422483842022878E-2</v>
      </c>
      <c r="EC53" s="78">
        <f t="shared" si="11"/>
        <v>3.3422483842022878E-2</v>
      </c>
      <c r="ED53" s="78" cm="1">
        <f t="array" ref="ED53">IF(DL53=0,
IF(DN53="positif",ABS(EB53),ABS(EB53)*(-1)),
INDEX($BM$8:$BM$44,DL53))</f>
        <v>3.3422483842022878E-2</v>
      </c>
      <c r="EE53" s="78"/>
      <c r="EF53" s="78"/>
    </row>
    <row r="54" spans="2:136" ht="30" x14ac:dyDescent="0.25">
      <c r="B54" s="106">
        <v>47</v>
      </c>
      <c r="C54" s="106" t="s">
        <v>540</v>
      </c>
      <c r="D54" s="106" t="s">
        <v>237</v>
      </c>
      <c r="E54" s="106" t="str">
        <f>INDEX(Pipes_result_save_V1!$G$2:$G$206,MATCH(D54,Pipes_result_save_V1!$I$2:$I$206,0))</f>
        <v>N170</v>
      </c>
      <c r="F54" s="106" t="str">
        <f>INDEX(Pipes_result_save_V1!$H$2:$H$206,MATCH(D54,Pipes_result_save_V1!$I$2:$I$206,0))</f>
        <v>N171</v>
      </c>
      <c r="G54" s="106">
        <v>2.9028999999999999E-2</v>
      </c>
      <c r="H54" s="107">
        <v>200</v>
      </c>
      <c r="I54" s="107">
        <v>150</v>
      </c>
      <c r="J54" s="107">
        <v>79</v>
      </c>
      <c r="K54" s="107">
        <v>199.85708886504352</v>
      </c>
      <c r="L54" s="107">
        <v>-2.9028999999999999E-2</v>
      </c>
      <c r="M54" s="107">
        <v>-0.28437051254401524</v>
      </c>
      <c r="N54" s="107">
        <v>18.142346936908488</v>
      </c>
      <c r="O54" s="107">
        <f>INDEX(Pipes_result_save_V1!$K$2:$K$206,MATCH(D54,Pipes_result_save_V1!$I$2:$I$206,0)) *POWER(10,-3)</f>
        <v>5.7149901390075681E-3</v>
      </c>
      <c r="P54" s="78">
        <v>5.1643131572267926E-3</v>
      </c>
      <c r="Q54" s="78">
        <f t="shared" si="0"/>
        <v>-4.9567935076183497E-2</v>
      </c>
      <c r="R54" s="78">
        <f t="shared" si="1"/>
        <v>-4.9567935076183497E-2</v>
      </c>
      <c r="S54" s="78"/>
      <c r="T54" s="78"/>
      <c r="U54" s="78"/>
      <c r="V54" s="78"/>
      <c r="W54" s="78">
        <v>47</v>
      </c>
      <c r="X54" s="78">
        <v>47</v>
      </c>
      <c r="Y54" s="78" t="s">
        <v>540</v>
      </c>
      <c r="Z54" s="78" t="s">
        <v>237</v>
      </c>
      <c r="AA54" s="106" t="str">
        <f>INDEX(Pipes_result_save_V1!$G$2:$G$206,MATCH(Z54,Pipes_result_save_V1!$I$2:$I$206,0))</f>
        <v>N170</v>
      </c>
      <c r="AB54" s="106" t="str">
        <f>INDEX(Pipes_result_save_V1!$H$2:$H$206,MATCH(Z54,Pipes_result_save_V1!$I$2:$I$206,0))</f>
        <v>N171</v>
      </c>
      <c r="AC54" s="78">
        <v>2.9028999999999999E-2</v>
      </c>
      <c r="AD54" s="78">
        <v>200</v>
      </c>
      <c r="AE54" s="78">
        <v>150</v>
      </c>
      <c r="AF54" s="78">
        <v>79</v>
      </c>
      <c r="AG54" s="78">
        <v>199.85708886504352</v>
      </c>
      <c r="AH54" s="78">
        <v>-2.2432064923816445E-2</v>
      </c>
      <c r="AI54" s="78">
        <v>-1</v>
      </c>
      <c r="AJ54" s="78">
        <v>-1</v>
      </c>
      <c r="AK54" s="78">
        <v>-0.17641252421531242</v>
      </c>
      <c r="AL54">
        <v>14.564686575058891</v>
      </c>
      <c r="AM54" s="107">
        <f>INDEX(Pipes_result_save_V1!$K$2:$K$206,MATCH(Z54,Pipes_result_save_V1!$I$2:$I$206,0)) *POWER(10,-3)</f>
        <v>5.7149901390075681E-3</v>
      </c>
      <c r="AN54" s="78">
        <v>1.2265447451526544E-3</v>
      </c>
      <c r="AO54" s="78">
        <f t="shared" si="2"/>
        <v>6.1821784820657692E-3</v>
      </c>
      <c r="AP54" s="78">
        <f t="shared" si="3"/>
        <v>-6.1821784820657692E-3</v>
      </c>
      <c r="AQ54" s="78" cm="1">
        <f t="array" ref="AQ54">IF(W54=0,
IF(Y54="positif",ABS(AO54),ABS(AO54)*(-1)),
INDEX($R$8:$R$77,W54))</f>
        <v>-4.9567935076183497E-2</v>
      </c>
      <c r="BR54">
        <v>0</v>
      </c>
      <c r="BS54">
        <v>47</v>
      </c>
      <c r="BT54" t="s">
        <v>540</v>
      </c>
      <c r="BU54" t="s">
        <v>214</v>
      </c>
      <c r="BV54" s="106" t="str">
        <f>INDEX(Pipes_result_save_V1!$G$2:$G$206,MATCH(BU54,Pipes_result_save_V1!$I$2:$I$206,0))</f>
        <v>N96</v>
      </c>
      <c r="BW54" s="106" t="str">
        <f>INDEX(Pipes_result_save_V1!$H$2:$H$206,MATCH(BU54,Pipes_result_save_V1!$I$2:$I$206,0))</f>
        <v>N97</v>
      </c>
      <c r="BX54">
        <v>7.9000000000000001E-2</v>
      </c>
      <c r="BY54">
        <v>350</v>
      </c>
      <c r="BZ54">
        <v>150</v>
      </c>
      <c r="CA54">
        <v>116</v>
      </c>
      <c r="CB54">
        <v>19.218173946892797</v>
      </c>
      <c r="CC54">
        <v>-7.9000000000000001E-2</v>
      </c>
      <c r="CD54">
        <v>-0.17462945274308583</v>
      </c>
      <c r="CE54">
        <v>4.0938448921543662</v>
      </c>
      <c r="CF54" s="107">
        <f>INDEX(Pipes_result_save_V1!$K$2:$K$206,MATCH(BU54,Pipes_result_save_V1!$I$2:$I$206,0)) *POWER(10,-3)</f>
        <v>3.417867422103882E-3</v>
      </c>
      <c r="CG54" s="78">
        <v>6.2132982275733047E-3</v>
      </c>
      <c r="CH54" s="78">
        <f t="shared" si="6"/>
        <v>6.9743796114934295E-2</v>
      </c>
      <c r="CI54" s="78">
        <f t="shared" si="7"/>
        <v>-6.9743796114934295E-2</v>
      </c>
      <c r="CJ54" s="78" cm="1">
        <f t="array" ref="CJ54">IF(BR54=0,
IF(BT54="positif",ABS(CH54),ABS(CH54)*(-1)),
INDEX($BM$8:$BM$44,BR54))</f>
        <v>-6.9743796114934295E-2</v>
      </c>
      <c r="DL54">
        <v>0</v>
      </c>
      <c r="DM54">
        <v>47</v>
      </c>
      <c r="DN54" t="s">
        <v>539</v>
      </c>
      <c r="DO54" t="s">
        <v>310</v>
      </c>
      <c r="DP54" s="106" t="str">
        <f>INDEX(Pipes_result_save_V1!$G$2:$G$206,MATCH(DO54,Pipes_result_save_V1!$I$2:$I$206,0))</f>
        <v>N120</v>
      </c>
      <c r="DQ54" s="106" t="str">
        <f>INDEX(Pipes_result_save_V1!$H$2:$H$206,MATCH(DO54,Pipes_result_save_V1!$I$2:$I$206,0))</f>
        <v>N119</v>
      </c>
      <c r="DR54">
        <v>3.2837000000000005E-2</v>
      </c>
      <c r="DS54">
        <v>250</v>
      </c>
      <c r="DT54">
        <v>150</v>
      </c>
      <c r="DU54">
        <v>173</v>
      </c>
      <c r="DV54">
        <v>147.60120248284198</v>
      </c>
      <c r="DW54">
        <v>3.2837000000000005E-2</v>
      </c>
      <c r="DX54">
        <v>0.26387305645549608</v>
      </c>
      <c r="DY54">
        <v>14.882385740341039</v>
      </c>
      <c r="DZ54" s="107">
        <f>INDEX(Pipes_result_save_V1!$K$2:$K$206,MATCH(DO54,Pipes_result_save_V1!$I$2:$I$206,0)) *POWER(10,-3)</f>
        <v>7.6723389625549315E-3</v>
      </c>
      <c r="EA54" s="78">
        <v>5.3526500938305393E-3</v>
      </c>
      <c r="EB54" s="78">
        <f t="shared" si="10"/>
        <v>3.3422483842022878E-2</v>
      </c>
      <c r="EC54" s="78">
        <f t="shared" si="11"/>
        <v>3.3422483842022878E-2</v>
      </c>
      <c r="ED54" s="78" cm="1">
        <f t="array" ref="ED54">IF(DL54=0,
IF(DN54="positif",ABS(EB54),ABS(EB54)*(-1)),
INDEX($BM$8:$BM$44,DL54))</f>
        <v>3.3422483842022878E-2</v>
      </c>
      <c r="EE54" s="78"/>
      <c r="EF54" s="78"/>
    </row>
    <row r="55" spans="2:136" ht="30" x14ac:dyDescent="0.25">
      <c r="B55" s="106">
        <v>48</v>
      </c>
      <c r="C55" s="106" t="s">
        <v>540</v>
      </c>
      <c r="D55" s="106" t="s">
        <v>238</v>
      </c>
      <c r="E55" s="106" t="str">
        <f>INDEX(Pipes_result_save_V1!$G$2:$G$206,MATCH(D55,Pipes_result_save_V1!$I$2:$I$206,0))</f>
        <v>N171</v>
      </c>
      <c r="F55" s="106" t="str">
        <f>INDEX(Pipes_result_save_V1!$H$2:$H$206,MATCH(D55,Pipes_result_save_V1!$I$2:$I$206,0))</f>
        <v>N172</v>
      </c>
      <c r="G55" s="106">
        <v>2.9028999999999999E-2</v>
      </c>
      <c r="H55" s="107">
        <v>200</v>
      </c>
      <c r="I55" s="107">
        <v>150</v>
      </c>
      <c r="J55" s="107">
        <v>89</v>
      </c>
      <c r="K55" s="107">
        <v>225.15545454416295</v>
      </c>
      <c r="L55" s="107">
        <v>-2.9028999999999999E-2</v>
      </c>
      <c r="M55" s="107">
        <v>-0.32036677995465007</v>
      </c>
      <c r="N55" s="107">
        <v>20.438846549175388</v>
      </c>
      <c r="O55" s="107">
        <f>INDEX(Pipes_result_save_V1!$K$2:$K$206,MATCH(D55,Pipes_result_save_V1!$I$2:$I$206,0)) *POWER(10,-3)</f>
        <v>4.7564578056335446E-3</v>
      </c>
      <c r="P55" s="78">
        <v>5.7854335335074678E-3</v>
      </c>
      <c r="Q55" s="78">
        <f t="shared" si="0"/>
        <v>-4.9567935076183497E-2</v>
      </c>
      <c r="R55" s="78">
        <f t="shared" si="1"/>
        <v>-4.9567935076183497E-2</v>
      </c>
      <c r="S55" s="78"/>
      <c r="T55" s="78"/>
      <c r="U55" s="78"/>
      <c r="V55" s="78"/>
      <c r="W55" s="78">
        <v>48</v>
      </c>
      <c r="X55" s="78">
        <v>48</v>
      </c>
      <c r="Y55" s="78" t="s">
        <v>540</v>
      </c>
      <c r="Z55" s="78" t="s">
        <v>238</v>
      </c>
      <c r="AA55" s="106" t="str">
        <f>INDEX(Pipes_result_save_V1!$G$2:$G$206,MATCH(Z55,Pipes_result_save_V1!$I$2:$I$206,0))</f>
        <v>N171</v>
      </c>
      <c r="AB55" s="106" t="str">
        <f>INDEX(Pipes_result_save_V1!$H$2:$H$206,MATCH(Z55,Pipes_result_save_V1!$I$2:$I$206,0))</f>
        <v>N172</v>
      </c>
      <c r="AC55" s="78">
        <v>2.9028999999999999E-2</v>
      </c>
      <c r="AD55" s="78">
        <v>200</v>
      </c>
      <c r="AE55" s="78">
        <v>150</v>
      </c>
      <c r="AF55" s="78">
        <v>89</v>
      </c>
      <c r="AG55" s="78">
        <v>225.15545454416295</v>
      </c>
      <c r="AH55" s="78">
        <v>-2.2432064923816445E-2</v>
      </c>
      <c r="AI55" s="78">
        <v>-1</v>
      </c>
      <c r="AJ55" s="78">
        <v>-1</v>
      </c>
      <c r="AK55" s="78">
        <v>-0.19874322348307349</v>
      </c>
      <c r="AL55">
        <v>16.408317787091661</v>
      </c>
      <c r="AM55" s="107">
        <f>INDEX(Pipes_result_save_V1!$K$2:$K$206,MATCH(Z55,Pipes_result_save_V1!$I$2:$I$206,0)) *POWER(10,-3)</f>
        <v>4.7564578056335446E-3</v>
      </c>
      <c r="AN55" s="78">
        <v>2.3783616915485427E-3</v>
      </c>
      <c r="AO55" s="78">
        <f t="shared" si="2"/>
        <v>6.1821784820657692E-3</v>
      </c>
      <c r="AP55" s="78">
        <f t="shared" si="3"/>
        <v>-6.1821784820657692E-3</v>
      </c>
      <c r="AQ55" s="78" cm="1">
        <f t="array" ref="AQ55">IF(W55=0,
IF(Y55="positif",ABS(AO55),ABS(AO55)*(-1)),
INDEX($R$8:$R$77,W55))</f>
        <v>-4.9567935076183497E-2</v>
      </c>
      <c r="BR55">
        <v>0</v>
      </c>
      <c r="BS55">
        <v>48</v>
      </c>
      <c r="BT55" t="s">
        <v>540</v>
      </c>
      <c r="BU55" t="s">
        <v>213</v>
      </c>
      <c r="BV55" s="106" t="str">
        <f>INDEX(Pipes_result_save_V1!$G$2:$G$206,MATCH(BU55,Pipes_result_save_V1!$I$2:$I$206,0))</f>
        <v>N97</v>
      </c>
      <c r="BW55" s="106" t="str">
        <f>INDEX(Pipes_result_save_V1!$H$2:$H$206,MATCH(BU55,Pipes_result_save_V1!$I$2:$I$206,0))</f>
        <v>N98</v>
      </c>
      <c r="BX55">
        <v>8.8999999999999996E-2</v>
      </c>
      <c r="BY55">
        <v>350</v>
      </c>
      <c r="BZ55">
        <v>150</v>
      </c>
      <c r="CA55">
        <v>128</v>
      </c>
      <c r="CB55">
        <v>21.206260906916189</v>
      </c>
      <c r="CC55">
        <v>-8.8999999999999996E-2</v>
      </c>
      <c r="CD55">
        <v>-0.24028927809755118</v>
      </c>
      <c r="CE55">
        <v>5.0001768880524162</v>
      </c>
      <c r="CF55" s="107">
        <f>INDEX(Pipes_result_save_V1!$K$2:$K$206,MATCH(BU55,Pipes_result_save_V1!$I$2:$I$206,0)) *POWER(10,-3)</f>
        <v>2.0257134437561041E-3</v>
      </c>
      <c r="CG55" s="78">
        <v>6.2974204989752151E-3</v>
      </c>
      <c r="CH55" s="78">
        <f t="shared" si="6"/>
        <v>7.974379611493429E-2</v>
      </c>
      <c r="CI55" s="78">
        <f t="shared" si="7"/>
        <v>-7.974379611493429E-2</v>
      </c>
      <c r="CJ55" s="78" cm="1">
        <f t="array" ref="CJ55">IF(BR55=0,
IF(BT55="positif",ABS(CH55),ABS(CH55)*(-1)),
INDEX($BM$8:$BM$44,BR55))</f>
        <v>-7.974379611493429E-2</v>
      </c>
      <c r="DL55">
        <v>0</v>
      </c>
      <c r="DM55">
        <v>48</v>
      </c>
      <c r="DN55" t="s">
        <v>539</v>
      </c>
      <c r="DO55" t="s">
        <v>312</v>
      </c>
      <c r="DP55" s="106" t="str">
        <f>INDEX(Pipes_result_save_V1!$G$2:$G$206,MATCH(DO55,Pipes_result_save_V1!$I$2:$I$206,0))</f>
        <v>N121</v>
      </c>
      <c r="DQ55" s="106" t="str">
        <f>INDEX(Pipes_result_save_V1!$H$2:$H$206,MATCH(DO55,Pipes_result_save_V1!$I$2:$I$206,0))</f>
        <v>N120</v>
      </c>
      <c r="DR55">
        <v>3.2835999999999997E-2</v>
      </c>
      <c r="DS55">
        <v>250</v>
      </c>
      <c r="DT55">
        <v>150</v>
      </c>
      <c r="DU55">
        <v>133</v>
      </c>
      <c r="DV55">
        <v>113.47375682206928</v>
      </c>
      <c r="DW55">
        <v>3.2835999999999997E-2</v>
      </c>
      <c r="DX55">
        <v>0.20285050391304088</v>
      </c>
      <c r="DY55">
        <v>11.441074833930802</v>
      </c>
      <c r="DZ55" s="107">
        <f>INDEX(Pipes_result_save_V1!$K$2:$K$206,MATCH(DO55,Pipes_result_save_V1!$I$2:$I$206,0)) *POWER(10,-3)</f>
        <v>9.4182367324829111E-3</v>
      </c>
      <c r="EA55" s="78">
        <v>5.2040221950044206E-3</v>
      </c>
      <c r="EB55" s="78">
        <f t="shared" si="10"/>
        <v>3.342148384202287E-2</v>
      </c>
      <c r="EC55" s="78">
        <f t="shared" si="11"/>
        <v>3.342148384202287E-2</v>
      </c>
      <c r="ED55" s="78" cm="1">
        <f t="array" ref="ED55">IF(DL55=0,
IF(DN55="positif",ABS(EB55),ABS(EB55)*(-1)),
INDEX($BM$8:$BM$44,DL55))</f>
        <v>3.342148384202287E-2</v>
      </c>
      <c r="EE55" s="78"/>
      <c r="EF55" s="78"/>
    </row>
    <row r="56" spans="2:136" ht="30" x14ac:dyDescent="0.25">
      <c r="B56" s="106">
        <v>49</v>
      </c>
      <c r="C56" s="106" t="s">
        <v>540</v>
      </c>
      <c r="D56" s="106" t="s">
        <v>239</v>
      </c>
      <c r="E56" s="106" t="str">
        <f>INDEX(Pipes_result_save_V1!$G$2:$G$206,MATCH(D56,Pipes_result_save_V1!$I$2:$I$206,0))</f>
        <v>N172</v>
      </c>
      <c r="F56" s="106" t="str">
        <f>INDEX(Pipes_result_save_V1!$H$2:$H$206,MATCH(D56,Pipes_result_save_V1!$I$2:$I$206,0))</f>
        <v>N173</v>
      </c>
      <c r="G56" s="106">
        <v>2.9028999999999999E-2</v>
      </c>
      <c r="H56" s="107">
        <v>200</v>
      </c>
      <c r="I56" s="107">
        <v>150</v>
      </c>
      <c r="J56" s="107">
        <v>89</v>
      </c>
      <c r="K56" s="107">
        <v>225.15545454416295</v>
      </c>
      <c r="L56" s="107">
        <v>-2.9028999999999999E-2</v>
      </c>
      <c r="M56" s="107">
        <v>-0.32036677995465007</v>
      </c>
      <c r="N56" s="107">
        <v>20.438846549175388</v>
      </c>
      <c r="O56" s="107">
        <f>INDEX(Pipes_result_save_V1!$K$2:$K$206,MATCH(D56,Pipes_result_save_V1!$I$2:$I$206,0)) *POWER(10,-3)</f>
        <v>3.7408702373504638E-3</v>
      </c>
      <c r="P56" s="78">
        <v>5.5641596830456157E-3</v>
      </c>
      <c r="Q56" s="78">
        <f t="shared" si="0"/>
        <v>-4.9567935076183497E-2</v>
      </c>
      <c r="R56" s="78">
        <f t="shared" si="1"/>
        <v>-4.9567935076183497E-2</v>
      </c>
      <c r="S56" s="78"/>
      <c r="T56" s="78"/>
      <c r="U56" s="78"/>
      <c r="V56" s="78"/>
      <c r="W56" s="78">
        <v>49</v>
      </c>
      <c r="X56" s="78">
        <v>49</v>
      </c>
      <c r="Y56" s="78" t="s">
        <v>540</v>
      </c>
      <c r="Z56" s="78" t="s">
        <v>239</v>
      </c>
      <c r="AA56" s="106" t="str">
        <f>INDEX(Pipes_result_save_V1!$G$2:$G$206,MATCH(Z56,Pipes_result_save_V1!$I$2:$I$206,0))</f>
        <v>N172</v>
      </c>
      <c r="AB56" s="106" t="str">
        <f>INDEX(Pipes_result_save_V1!$H$2:$H$206,MATCH(Z56,Pipes_result_save_V1!$I$2:$I$206,0))</f>
        <v>N173</v>
      </c>
      <c r="AC56" s="78">
        <v>2.9028999999999999E-2</v>
      </c>
      <c r="AD56" s="78">
        <v>200</v>
      </c>
      <c r="AE56" s="78">
        <v>150</v>
      </c>
      <c r="AF56" s="78">
        <v>89</v>
      </c>
      <c r="AG56" s="78">
        <v>225.15545454416295</v>
      </c>
      <c r="AH56" s="78">
        <v>-2.2432064923816445E-2</v>
      </c>
      <c r="AI56" s="78">
        <v>-1</v>
      </c>
      <c r="AJ56" s="78">
        <v>-1</v>
      </c>
      <c r="AK56" s="78">
        <v>-0.19874322348307349</v>
      </c>
      <c r="AL56">
        <v>16.408317787091661</v>
      </c>
      <c r="AM56" s="107">
        <f>INDEX(Pipes_result_save_V1!$K$2:$K$206,MATCH(Z56,Pipes_result_save_V1!$I$2:$I$206,0)) *POWER(10,-3)</f>
        <v>3.7408702373504638E-3</v>
      </c>
      <c r="AN56" s="78">
        <v>4.256461127399404E-3</v>
      </c>
      <c r="AO56" s="78">
        <f t="shared" si="2"/>
        <v>6.1821784820657692E-3</v>
      </c>
      <c r="AP56" s="78">
        <f t="shared" si="3"/>
        <v>-6.1821784820657692E-3</v>
      </c>
      <c r="AQ56" s="78" cm="1">
        <f t="array" ref="AQ56">IF(W56=0,
IF(Y56="positif",ABS(AO56),ABS(AO56)*(-1)),
INDEX($R$8:$R$77,W56))</f>
        <v>-4.9567935076183497E-2</v>
      </c>
      <c r="BR56">
        <v>0</v>
      </c>
      <c r="BS56">
        <v>49</v>
      </c>
      <c r="BT56" t="s">
        <v>540</v>
      </c>
      <c r="BU56" t="s">
        <v>212</v>
      </c>
      <c r="BV56" s="106" t="str">
        <f>INDEX(Pipes_result_save_V1!$G$2:$G$206,MATCH(BU56,Pipes_result_save_V1!$I$2:$I$206,0))</f>
        <v>N98</v>
      </c>
      <c r="BW56" s="106" t="str">
        <f>INDEX(Pipes_result_save_V1!$H$2:$H$206,MATCH(BU56,Pipes_result_save_V1!$I$2:$I$206,0))</f>
        <v>N99</v>
      </c>
      <c r="BX56">
        <v>8.8999999999999996E-2</v>
      </c>
      <c r="BY56">
        <v>350</v>
      </c>
      <c r="BZ56">
        <v>150</v>
      </c>
      <c r="CA56">
        <v>138</v>
      </c>
      <c r="CB56">
        <v>22.863000040269018</v>
      </c>
      <c r="CC56">
        <v>-8.8999999999999996E-2</v>
      </c>
      <c r="CD56">
        <v>-0.25906187794892238</v>
      </c>
      <c r="CE56">
        <v>5.3908157074315115</v>
      </c>
      <c r="CF56" s="107">
        <f>INDEX(Pipes_result_save_V1!$K$2:$K$206,MATCH(BU56,Pipes_result_save_V1!$I$2:$I$206,0)) *POWER(10,-3)</f>
        <v>5.0803762674331667E-4</v>
      </c>
      <c r="CG56" s="78">
        <v>5.3655740583200611E-3</v>
      </c>
      <c r="CH56" s="78">
        <f t="shared" si="6"/>
        <v>7.974379611493429E-2</v>
      </c>
      <c r="CI56" s="78">
        <f t="shared" si="7"/>
        <v>-7.974379611493429E-2</v>
      </c>
      <c r="CJ56" s="78" cm="1">
        <f t="array" ref="CJ56">IF(BR56=0,
IF(BT56="positif",ABS(CH56),ABS(CH56)*(-1)),
INDEX($BM$8:$BM$44,BR56))</f>
        <v>-7.974379611493429E-2</v>
      </c>
      <c r="DO56" t="s">
        <v>380</v>
      </c>
      <c r="DP56" s="233"/>
      <c r="DQ56" s="233"/>
      <c r="DR56" s="233"/>
      <c r="DS56" s="233"/>
      <c r="DT56" s="233"/>
      <c r="DU56" s="233"/>
      <c r="DV56" s="233"/>
      <c r="DW56" s="233"/>
      <c r="DX56">
        <v>-0.1490744251362402</v>
      </c>
      <c r="DY56">
        <v>254.61748802696457</v>
      </c>
    </row>
    <row r="57" spans="2:136" ht="30" x14ac:dyDescent="0.25">
      <c r="B57" s="106">
        <v>50</v>
      </c>
      <c r="C57" s="106" t="s">
        <v>540</v>
      </c>
      <c r="D57" s="106" t="s">
        <v>240</v>
      </c>
      <c r="E57" s="106" t="str">
        <f>INDEX(Pipes_result_save_V1!$G$2:$G$206,MATCH(D57,Pipes_result_save_V1!$I$2:$I$206,0))</f>
        <v>N173</v>
      </c>
      <c r="F57" s="106" t="str">
        <f>INDEX(Pipes_result_save_V1!$H$2:$H$206,MATCH(D57,Pipes_result_save_V1!$I$2:$I$206,0))</f>
        <v>N174</v>
      </c>
      <c r="G57" s="106">
        <v>2.9028999999999999E-2</v>
      </c>
      <c r="H57" s="107">
        <v>200</v>
      </c>
      <c r="I57" s="107">
        <v>150</v>
      </c>
      <c r="J57" s="107">
        <v>45</v>
      </c>
      <c r="K57" s="107">
        <v>113.84264555603744</v>
      </c>
      <c r="L57" s="107">
        <v>-2.9028999999999999E-2</v>
      </c>
      <c r="M57" s="107">
        <v>-0.16198320334785676</v>
      </c>
      <c r="N57" s="107">
        <v>10.334248255201038</v>
      </c>
      <c r="O57" s="107">
        <f>INDEX(Pipes_result_save_V1!$K$2:$K$206,MATCH(D57,Pipes_result_save_V1!$I$2:$I$206,0)) *POWER(10,-3)</f>
        <v>2.9763264656066891E-3</v>
      </c>
      <c r="P57" s="78">
        <v>5.7300114287608473E-3</v>
      </c>
      <c r="Q57" s="78">
        <f t="shared" si="0"/>
        <v>-4.9567935076183497E-2</v>
      </c>
      <c r="R57" s="78">
        <f t="shared" si="1"/>
        <v>-4.9567935076183497E-2</v>
      </c>
      <c r="S57" s="78"/>
      <c r="T57" s="78"/>
      <c r="U57" s="78"/>
      <c r="V57" s="78"/>
      <c r="W57" s="78">
        <v>50</v>
      </c>
      <c r="X57" s="78">
        <v>50</v>
      </c>
      <c r="Y57" s="78" t="s">
        <v>540</v>
      </c>
      <c r="Z57" s="78" t="s">
        <v>240</v>
      </c>
      <c r="AA57" s="106" t="str">
        <f>INDEX(Pipes_result_save_V1!$G$2:$G$206,MATCH(Z57,Pipes_result_save_V1!$I$2:$I$206,0))</f>
        <v>N173</v>
      </c>
      <c r="AB57" s="106" t="str">
        <f>INDEX(Pipes_result_save_V1!$H$2:$H$206,MATCH(Z57,Pipes_result_save_V1!$I$2:$I$206,0))</f>
        <v>N174</v>
      </c>
      <c r="AC57" s="78">
        <v>2.9028999999999999E-2</v>
      </c>
      <c r="AD57" s="78">
        <v>200</v>
      </c>
      <c r="AE57" s="78">
        <v>150</v>
      </c>
      <c r="AF57" s="78">
        <v>45</v>
      </c>
      <c r="AG57" s="78">
        <v>113.84264555603744</v>
      </c>
      <c r="AH57" s="78">
        <v>-2.2432064923816445E-2</v>
      </c>
      <c r="AI57" s="78">
        <v>-1</v>
      </c>
      <c r="AJ57" s="78">
        <v>-1</v>
      </c>
      <c r="AK57" s="78">
        <v>-0.10048814670492479</v>
      </c>
      <c r="AL57">
        <v>8.2963404541474688</v>
      </c>
      <c r="AM57" s="107">
        <f>INDEX(Pipes_result_save_V1!$K$2:$K$206,MATCH(Z57,Pipes_result_save_V1!$I$2:$I$206,0)) *POWER(10,-3)</f>
        <v>2.9763264656066891E-3</v>
      </c>
      <c r="AN57" s="78">
        <v>4.8710106639339645E-3</v>
      </c>
      <c r="AO57" s="78">
        <f t="shared" si="2"/>
        <v>6.1821784820657692E-3</v>
      </c>
      <c r="AP57" s="78">
        <f t="shared" si="3"/>
        <v>-6.1821784820657692E-3</v>
      </c>
      <c r="AQ57" s="78" cm="1">
        <f t="array" ref="AQ57">IF(W57=0,
IF(Y57="positif",ABS(AO57),ABS(AO57)*(-1)),
INDEX($R$8:$R$77,W57))</f>
        <v>-4.9567935076183497E-2</v>
      </c>
      <c r="BR57">
        <v>0</v>
      </c>
      <c r="BS57">
        <v>50</v>
      </c>
      <c r="BT57" t="s">
        <v>539</v>
      </c>
      <c r="BU57" t="s">
        <v>426</v>
      </c>
      <c r="BV57" s="106" t="str">
        <f>INDEX(Pipes_result_save_V1!$G$2:$G$206,MATCH(BU57,Pipes_result_save_V1!$I$2:$I$206,0))</f>
        <v>N99</v>
      </c>
      <c r="BW57" s="106" t="str">
        <f>INDEX(Pipes_result_save_V1!$H$2:$H$206,MATCH(BU57,Pipes_result_save_V1!$I$2:$I$206,0))</f>
        <v>N194</v>
      </c>
      <c r="BX57">
        <v>4.4999999999999998E-2</v>
      </c>
      <c r="BY57">
        <v>250</v>
      </c>
      <c r="BZ57">
        <v>150</v>
      </c>
      <c r="CA57">
        <v>184</v>
      </c>
      <c r="CB57">
        <v>156.98625003955448</v>
      </c>
      <c r="CC57">
        <v>4.4999999999999998E-2</v>
      </c>
      <c r="CD57">
        <v>0.50305004365010741</v>
      </c>
      <c r="CE57">
        <v>20.703304018666632</v>
      </c>
      <c r="CF57" s="107">
        <f>INDEX(Pipes_result_save_V1!$K$2:$K$206,MATCH(BU57,Pipes_result_save_V1!$I$2:$I$206,0)) *POWER(10,-3)</f>
        <v>-9.0544853210449226E-3</v>
      </c>
      <c r="CG57" s="78">
        <v>5.081636239368993E-3</v>
      </c>
      <c r="CH57" s="78">
        <f t="shared" si="6"/>
        <v>3.5743796114934293E-2</v>
      </c>
      <c r="CI57" s="78">
        <f t="shared" si="7"/>
        <v>3.5743796114934293E-2</v>
      </c>
      <c r="CJ57" s="78" cm="1">
        <f t="array" ref="CJ57">IF(BR57=0,
IF(BT57="positif",ABS(CH57),ABS(CH57)*(-1)),
INDEX($BM$8:$BM$44,BR57))</f>
        <v>3.5743796114934293E-2</v>
      </c>
      <c r="DO57" t="s">
        <v>381</v>
      </c>
      <c r="DP57" s="233">
        <v>5.8548384202287344E-4</v>
      </c>
      <c r="DQ57" s="233"/>
      <c r="DR57" s="233"/>
      <c r="DS57" s="233"/>
      <c r="DT57" s="233"/>
      <c r="DU57" s="233"/>
      <c r="DV57" s="233"/>
      <c r="DW57" s="233"/>
      <c r="DX57" s="233"/>
      <c r="DY57" s="233"/>
    </row>
    <row r="58" spans="2:136" ht="30" x14ac:dyDescent="0.25">
      <c r="B58" s="106">
        <v>51</v>
      </c>
      <c r="C58" s="106" t="s">
        <v>540</v>
      </c>
      <c r="D58" s="106" t="s">
        <v>241</v>
      </c>
      <c r="E58" s="106" t="str">
        <f>INDEX(Pipes_result_save_V1!$G$2:$G$206,MATCH(D58,Pipes_result_save_V1!$I$2:$I$206,0))</f>
        <v>N174</v>
      </c>
      <c r="F58" s="106" t="str">
        <f>INDEX(Pipes_result_save_V1!$H$2:$H$206,MATCH(D58,Pipes_result_save_V1!$I$2:$I$206,0))</f>
        <v>N175</v>
      </c>
      <c r="G58" s="106">
        <v>2.9028999999999999E-2</v>
      </c>
      <c r="H58" s="107">
        <v>200</v>
      </c>
      <c r="I58" s="107">
        <v>150</v>
      </c>
      <c r="J58" s="107">
        <v>43</v>
      </c>
      <c r="K58" s="107">
        <v>108.78297242021355</v>
      </c>
      <c r="L58" s="107">
        <v>-2.9028999999999999E-2</v>
      </c>
      <c r="M58" s="107">
        <v>-0.1547839498657298</v>
      </c>
      <c r="N58" s="107">
        <v>9.8749483327476586</v>
      </c>
      <c r="O58" s="107">
        <f>INDEX(Pipes_result_save_V1!$K$2:$K$206,MATCH(D58,Pipes_result_save_V1!$I$2:$I$206,0)) *POWER(10,-3)</f>
        <v>2.4742381572723389E-3</v>
      </c>
      <c r="P58" s="78">
        <v>5.1530817219391841E-3</v>
      </c>
      <c r="Q58" s="78">
        <f t="shared" si="0"/>
        <v>-4.9567935076183497E-2</v>
      </c>
      <c r="R58" s="78">
        <f t="shared" si="1"/>
        <v>-4.9567935076183497E-2</v>
      </c>
      <c r="S58" s="78"/>
      <c r="T58" s="78"/>
      <c r="U58" s="78"/>
      <c r="V58" s="78"/>
      <c r="W58" s="78">
        <v>51</v>
      </c>
      <c r="X58" s="78">
        <v>51</v>
      </c>
      <c r="Y58" s="78" t="s">
        <v>540</v>
      </c>
      <c r="Z58" s="78" t="s">
        <v>241</v>
      </c>
      <c r="AA58" s="106" t="str">
        <f>INDEX(Pipes_result_save_V1!$G$2:$G$206,MATCH(Z58,Pipes_result_save_V1!$I$2:$I$206,0))</f>
        <v>N174</v>
      </c>
      <c r="AB58" s="106" t="str">
        <f>INDEX(Pipes_result_save_V1!$H$2:$H$206,MATCH(Z58,Pipes_result_save_V1!$I$2:$I$206,0))</f>
        <v>N175</v>
      </c>
      <c r="AC58" s="78">
        <v>2.9028999999999999E-2</v>
      </c>
      <c r="AD58" s="78">
        <v>200</v>
      </c>
      <c r="AE58" s="78">
        <v>150</v>
      </c>
      <c r="AF58" s="78">
        <v>43</v>
      </c>
      <c r="AG58" s="78">
        <v>108.78297242021355</v>
      </c>
      <c r="AH58" s="78">
        <v>-2.2432064923816445E-2</v>
      </c>
      <c r="AI58" s="78">
        <v>-1</v>
      </c>
      <c r="AJ58" s="78">
        <v>-1</v>
      </c>
      <c r="AK58" s="78">
        <v>-9.6022006851372577E-2</v>
      </c>
      <c r="AL58">
        <v>7.9276142117409147</v>
      </c>
      <c r="AM58" s="107">
        <f>INDEX(Pipes_result_save_V1!$K$2:$K$206,MATCH(Z58,Pipes_result_save_V1!$I$2:$I$206,0)) *POWER(10,-3)</f>
        <v>2.4742381572723389E-3</v>
      </c>
      <c r="AN58" s="78">
        <v>8.7321639315801267E-4</v>
      </c>
      <c r="AO58" s="78">
        <f t="shared" si="2"/>
        <v>6.1821784820657692E-3</v>
      </c>
      <c r="AP58" s="78">
        <f t="shared" si="3"/>
        <v>-6.1821784820657692E-3</v>
      </c>
      <c r="AQ58" s="78" cm="1">
        <f t="array" ref="AQ58">IF(W58=0,
IF(Y58="positif",ABS(AO58),ABS(AO58)*(-1)),
INDEX($R$8:$R$77,W58))</f>
        <v>-4.9567935076183497E-2</v>
      </c>
      <c r="BR58">
        <v>0</v>
      </c>
      <c r="BS58">
        <v>51</v>
      </c>
      <c r="BT58" t="s">
        <v>539</v>
      </c>
      <c r="BU58" t="s">
        <v>277</v>
      </c>
      <c r="BV58" s="106" t="str">
        <f>INDEX(Pipes_result_save_V1!$G$2:$G$206,MATCH(BU58,Pipes_result_save_V1!$I$2:$I$206,0))</f>
        <v>N193</v>
      </c>
      <c r="BW58" s="106" t="str">
        <f>INDEX(Pipes_result_save_V1!$H$2:$H$206,MATCH(BU58,Pipes_result_save_V1!$I$2:$I$206,0))</f>
        <v>N192</v>
      </c>
      <c r="BX58">
        <v>4.2999999999999997E-2</v>
      </c>
      <c r="BY58">
        <v>250</v>
      </c>
      <c r="BZ58">
        <v>150</v>
      </c>
      <c r="CA58">
        <v>351</v>
      </c>
      <c r="CB58">
        <v>299.46833567328059</v>
      </c>
      <c r="CC58">
        <v>4.2999999999999997E-2</v>
      </c>
      <c r="CD58">
        <v>0.8821338523934692</v>
      </c>
      <c r="CE58">
        <v>37.993299875179169</v>
      </c>
      <c r="CF58" s="107">
        <f>INDEX(Pipes_result_save_V1!$K$2:$K$206,MATCH(BU58,Pipes_result_save_V1!$I$2:$I$206,0)) *POWER(10,-3)</f>
        <v>-1.403542900085449E-2</v>
      </c>
      <c r="CG58" s="78">
        <v>5.0636829601094606E-3</v>
      </c>
      <c r="CH58" s="78">
        <f t="shared" si="6"/>
        <v>3.3743796114934291E-2</v>
      </c>
      <c r="CI58" s="78">
        <f t="shared" si="7"/>
        <v>3.3743796114934291E-2</v>
      </c>
      <c r="CJ58" s="78" cm="1">
        <f t="array" ref="CJ58">IF(BR58=0,
IF(BT58="positif",ABS(CH58),ABS(CH58)*(-1)),
INDEX($BM$8:$BM$44,BR58))</f>
        <v>3.3743796114934291E-2</v>
      </c>
    </row>
    <row r="59" spans="2:136" ht="30" x14ac:dyDescent="0.25">
      <c r="B59" s="106">
        <v>52</v>
      </c>
      <c r="C59" s="106" t="s">
        <v>540</v>
      </c>
      <c r="D59" s="106" t="s">
        <v>243</v>
      </c>
      <c r="E59" s="106" t="str">
        <f>INDEX(Pipes_result_save_V1!$G$2:$G$206,MATCH(D59,Pipes_result_save_V1!$I$2:$I$206,0))</f>
        <v>N175</v>
      </c>
      <c r="F59" s="106" t="str">
        <f>INDEX(Pipes_result_save_V1!$H$2:$H$206,MATCH(D59,Pipes_result_save_V1!$I$2:$I$206,0))</f>
        <v>N176</v>
      </c>
      <c r="G59" s="106">
        <v>2.9028999999999999E-2</v>
      </c>
      <c r="H59" s="107">
        <v>200</v>
      </c>
      <c r="I59" s="107">
        <v>150</v>
      </c>
      <c r="J59" s="107">
        <v>66</v>
      </c>
      <c r="K59" s="107">
        <v>166.96921348218822</v>
      </c>
      <c r="L59" s="107">
        <v>-2.9028999999999999E-2</v>
      </c>
      <c r="M59" s="107">
        <v>-0.23757536491018991</v>
      </c>
      <c r="N59" s="107">
        <v>15.156897440961519</v>
      </c>
      <c r="O59" s="107">
        <f>INDEX(Pipes_result_save_V1!$K$2:$K$206,MATCH(D59,Pipes_result_save_V1!$I$2:$I$206,0)) *POWER(10,-3)</f>
        <v>1.8523334264755249E-3</v>
      </c>
      <c r="P59" s="78">
        <v>6.0043545941770591E-3</v>
      </c>
      <c r="Q59" s="78">
        <f t="shared" si="0"/>
        <v>-4.9567935076183497E-2</v>
      </c>
      <c r="R59" s="78">
        <f t="shared" si="1"/>
        <v>-4.9567935076183497E-2</v>
      </c>
      <c r="S59" s="78"/>
      <c r="T59" s="78"/>
      <c r="U59" s="78"/>
      <c r="V59" s="78"/>
      <c r="W59" s="78">
        <v>52</v>
      </c>
      <c r="X59" s="78">
        <v>52</v>
      </c>
      <c r="Y59" s="78" t="s">
        <v>540</v>
      </c>
      <c r="Z59" s="78" t="s">
        <v>243</v>
      </c>
      <c r="AA59" s="106" t="str">
        <f>INDEX(Pipes_result_save_V1!$G$2:$G$206,MATCH(Z59,Pipes_result_save_V1!$I$2:$I$206,0))</f>
        <v>N175</v>
      </c>
      <c r="AB59" s="106" t="str">
        <f>INDEX(Pipes_result_save_V1!$H$2:$H$206,MATCH(Z59,Pipes_result_save_V1!$I$2:$I$206,0))</f>
        <v>N176</v>
      </c>
      <c r="AC59" s="78">
        <v>2.9028999999999999E-2</v>
      </c>
      <c r="AD59" s="78">
        <v>200</v>
      </c>
      <c r="AE59" s="78">
        <v>150</v>
      </c>
      <c r="AF59" s="78">
        <v>66</v>
      </c>
      <c r="AG59" s="78">
        <v>166.96921348218822</v>
      </c>
      <c r="AH59" s="78">
        <v>-2.2432064923816445E-2</v>
      </c>
      <c r="AI59" s="78">
        <v>-1</v>
      </c>
      <c r="AJ59" s="78">
        <v>-1</v>
      </c>
      <c r="AK59" s="78">
        <v>-0.14738261516722301</v>
      </c>
      <c r="AL59">
        <v>12.167965999416285</v>
      </c>
      <c r="AM59" s="107">
        <f>INDEX(Pipes_result_save_V1!$K$2:$K$206,MATCH(Z59,Pipes_result_save_V1!$I$2:$I$206,0)) *POWER(10,-3)</f>
        <v>1.8523334264755249E-3</v>
      </c>
      <c r="AN59" s="78">
        <v>3.265057225500943E-3</v>
      </c>
      <c r="AO59" s="78">
        <f t="shared" si="2"/>
        <v>6.1821784820657692E-3</v>
      </c>
      <c r="AP59" s="78">
        <f t="shared" si="3"/>
        <v>-6.1821784820657692E-3</v>
      </c>
      <c r="AQ59" s="78" cm="1">
        <f t="array" ref="AQ59">IF(W59=0,
IF(Y59="positif",ABS(AO59),ABS(AO59)*(-1)),
INDEX($R$8:$R$77,W59))</f>
        <v>-4.9567935076183497E-2</v>
      </c>
      <c r="BR59">
        <v>0</v>
      </c>
      <c r="BS59">
        <v>52</v>
      </c>
      <c r="BT59" t="s">
        <v>539</v>
      </c>
      <c r="BU59" t="s">
        <v>427</v>
      </c>
      <c r="BV59" s="106" t="str">
        <f>INDEX(Pipes_result_save_V1!$G$2:$G$206,MATCH(BU59,Pipes_result_save_V1!$I$2:$I$206,0))</f>
        <v>N194</v>
      </c>
      <c r="BW59" s="106" t="str">
        <f>INDEX(Pipes_result_save_V1!$H$2:$H$206,MATCH(BU59,Pipes_result_save_V1!$I$2:$I$206,0))</f>
        <v>N193</v>
      </c>
      <c r="BX59">
        <v>6.6000000000000003E-2</v>
      </c>
      <c r="BY59">
        <v>300</v>
      </c>
      <c r="BZ59">
        <v>150</v>
      </c>
      <c r="CA59">
        <v>169</v>
      </c>
      <c r="CB59">
        <v>59.32512303994173</v>
      </c>
      <c r="CC59">
        <v>6.6000000000000003E-2</v>
      </c>
      <c r="CD59">
        <v>0.38639724054184493</v>
      </c>
      <c r="CE59">
        <v>10.84254074974996</v>
      </c>
      <c r="CF59" s="107">
        <f>INDEX(Pipes_result_save_V1!$K$2:$K$206,MATCH(BU59,Pipes_result_save_V1!$I$2:$I$206,0)) *POWER(10,-3)</f>
        <v>-1.1068543434143071E-2</v>
      </c>
      <c r="CG59" s="78">
        <v>5.4817377810355205E-3</v>
      </c>
      <c r="CH59" s="78">
        <f t="shared" si="6"/>
        <v>5.6743796114934297E-2</v>
      </c>
      <c r="CI59" s="78">
        <f t="shared" si="7"/>
        <v>5.6743796114934297E-2</v>
      </c>
      <c r="CJ59" s="78" cm="1">
        <f t="array" ref="CJ59">IF(BR59=0,
IF(BT59="positif",ABS(CH59),ABS(CH59)*(-1)),
INDEX($BM$8:$BM$44,BR59))</f>
        <v>5.6743796114934297E-2</v>
      </c>
    </row>
    <row r="60" spans="2:136" ht="30" x14ac:dyDescent="0.25">
      <c r="B60" s="106">
        <v>53</v>
      </c>
      <c r="C60" s="106" t="s">
        <v>540</v>
      </c>
      <c r="D60" s="106" t="s">
        <v>242</v>
      </c>
      <c r="E60" s="106" t="str">
        <f>INDEX(Pipes_result_save_V1!$G$2:$G$206,MATCH(D60,Pipes_result_save_V1!$I$2:$I$206,0))</f>
        <v>N176</v>
      </c>
      <c r="F60" s="106" t="str">
        <f>INDEX(Pipes_result_save_V1!$H$2:$H$206,MATCH(D60,Pipes_result_save_V1!$I$2:$I$206,0))</f>
        <v>N177</v>
      </c>
      <c r="G60" s="106">
        <v>2.9028999999999999E-2</v>
      </c>
      <c r="H60" s="107">
        <v>200</v>
      </c>
      <c r="I60" s="107">
        <v>150</v>
      </c>
      <c r="J60" s="107">
        <v>48</v>
      </c>
      <c r="K60" s="107">
        <v>121.43215525977327</v>
      </c>
      <c r="L60" s="107">
        <v>-2.9028999999999999E-2</v>
      </c>
      <c r="M60" s="107">
        <v>-0.17278208357104724</v>
      </c>
      <c r="N60" s="107">
        <v>11.023198138881106</v>
      </c>
      <c r="O60" s="107">
        <f>INDEX(Pipes_result_save_V1!$K$2:$K$206,MATCH(D60,Pipes_result_save_V1!$I$2:$I$206,0)) *POWER(10,-3)</f>
        <v>1.201900839805603E-3</v>
      </c>
      <c r="P60" s="78">
        <v>5.8491628632978574E-3</v>
      </c>
      <c r="Q60" s="78">
        <f t="shared" si="0"/>
        <v>-4.9567935076183497E-2</v>
      </c>
      <c r="R60" s="78">
        <f t="shared" si="1"/>
        <v>-4.9567935076183497E-2</v>
      </c>
      <c r="S60" s="78"/>
      <c r="T60" s="78"/>
      <c r="U60" s="78"/>
      <c r="V60" s="78"/>
      <c r="W60" s="78">
        <v>53</v>
      </c>
      <c r="X60" s="78">
        <v>53</v>
      </c>
      <c r="Y60" s="78" t="s">
        <v>540</v>
      </c>
      <c r="Z60" s="78" t="s">
        <v>242</v>
      </c>
      <c r="AA60" s="106" t="str">
        <f>INDEX(Pipes_result_save_V1!$G$2:$G$206,MATCH(Z60,Pipes_result_save_V1!$I$2:$I$206,0))</f>
        <v>N176</v>
      </c>
      <c r="AB60" s="106" t="str">
        <f>INDEX(Pipes_result_save_V1!$H$2:$H$206,MATCH(Z60,Pipes_result_save_V1!$I$2:$I$206,0))</f>
        <v>N177</v>
      </c>
      <c r="AC60" s="78">
        <v>2.9028999999999999E-2</v>
      </c>
      <c r="AD60" s="78">
        <v>200</v>
      </c>
      <c r="AE60" s="78">
        <v>150</v>
      </c>
      <c r="AF60" s="78">
        <v>48</v>
      </c>
      <c r="AG60" s="78">
        <v>121.43215525977327</v>
      </c>
      <c r="AH60" s="78">
        <v>-2.2432064923816445E-2</v>
      </c>
      <c r="AI60" s="78">
        <v>-1</v>
      </c>
      <c r="AJ60" s="78">
        <v>-1</v>
      </c>
      <c r="AK60" s="78">
        <v>-0.10718735648525311</v>
      </c>
      <c r="AL60">
        <v>8.8494298177573008</v>
      </c>
      <c r="AM60" s="107">
        <f>INDEX(Pipes_result_save_V1!$K$2:$K$206,MATCH(Z60,Pipes_result_save_V1!$I$2:$I$206,0)) *POWER(10,-3)</f>
        <v>1.201900839805603E-3</v>
      </c>
      <c r="AN60" s="78">
        <v>1.708222169463907E-5</v>
      </c>
      <c r="AO60" s="78">
        <f t="shared" si="2"/>
        <v>6.1821784820657692E-3</v>
      </c>
      <c r="AP60" s="78">
        <f t="shared" si="3"/>
        <v>-6.1821784820657692E-3</v>
      </c>
      <c r="AQ60" s="78" cm="1">
        <f t="array" ref="AQ60">IF(W60=0,
IF(Y60="positif",ABS(AO60),ABS(AO60)*(-1)),
INDEX($R$8:$R$77,W60))</f>
        <v>-4.9567935076183497E-2</v>
      </c>
      <c r="BR60">
        <v>10</v>
      </c>
      <c r="BU60" t="s">
        <v>380</v>
      </c>
      <c r="CD60">
        <v>3.5097209813072223</v>
      </c>
      <c r="CE60">
        <v>379.17498629972198</v>
      </c>
    </row>
    <row r="61" spans="2:136" ht="30" x14ac:dyDescent="0.25">
      <c r="B61" s="106">
        <v>54</v>
      </c>
      <c r="C61" s="106" t="s">
        <v>540</v>
      </c>
      <c r="D61" s="106" t="s">
        <v>244</v>
      </c>
      <c r="E61" s="106" t="str">
        <f>INDEX(Pipes_result_save_V1!$G$2:$G$206,MATCH(D61,Pipes_result_save_V1!$I$2:$I$206,0))</f>
        <v>N177</v>
      </c>
      <c r="F61" s="106" t="str">
        <f>INDEX(Pipes_result_save_V1!$H$2:$H$206,MATCH(D61,Pipes_result_save_V1!$I$2:$I$206,0))</f>
        <v>N178</v>
      </c>
      <c r="G61" s="106">
        <v>2.9028999999999999E-2</v>
      </c>
      <c r="H61" s="107">
        <v>200</v>
      </c>
      <c r="I61" s="107">
        <v>150</v>
      </c>
      <c r="J61" s="107">
        <v>19</v>
      </c>
      <c r="K61" s="107">
        <v>48.06689479032692</v>
      </c>
      <c r="L61" s="107">
        <v>-2.9028999999999999E-2</v>
      </c>
      <c r="M61" s="107">
        <v>-6.8392908080206191E-2</v>
      </c>
      <c r="N61" s="107">
        <v>4.3633492633071045</v>
      </c>
      <c r="O61" s="107">
        <f>INDEX(Pipes_result_save_V1!$K$2:$K$206,MATCH(D61,Pipes_result_save_V1!$I$2:$I$206,0)) *POWER(10,-3)</f>
        <v>8.1962907314300543E-4</v>
      </c>
      <c r="P61" s="78">
        <v>6.3476425359372778E-3</v>
      </c>
      <c r="Q61" s="78">
        <f t="shared" si="0"/>
        <v>-4.9567935076183497E-2</v>
      </c>
      <c r="R61" s="78">
        <f t="shared" si="1"/>
        <v>-4.9567935076183497E-2</v>
      </c>
      <c r="S61" s="78"/>
      <c r="T61" s="78"/>
      <c r="U61" s="78"/>
      <c r="V61" s="78"/>
      <c r="W61" s="78">
        <v>54</v>
      </c>
      <c r="X61" s="78">
        <v>54</v>
      </c>
      <c r="Y61" s="78" t="s">
        <v>540</v>
      </c>
      <c r="Z61" s="78" t="s">
        <v>244</v>
      </c>
      <c r="AA61" s="106" t="str">
        <f>INDEX(Pipes_result_save_V1!$G$2:$G$206,MATCH(Z61,Pipes_result_save_V1!$I$2:$I$206,0))</f>
        <v>N177</v>
      </c>
      <c r="AB61" s="106" t="str">
        <f>INDEX(Pipes_result_save_V1!$H$2:$H$206,MATCH(Z61,Pipes_result_save_V1!$I$2:$I$206,0))</f>
        <v>N178</v>
      </c>
      <c r="AC61" s="78">
        <v>2.9028999999999999E-2</v>
      </c>
      <c r="AD61" s="78">
        <v>200</v>
      </c>
      <c r="AE61" s="78">
        <v>150</v>
      </c>
      <c r="AF61" s="78">
        <v>19</v>
      </c>
      <c r="AG61" s="78">
        <v>48.06689479032692</v>
      </c>
      <c r="AH61" s="78">
        <v>-2.2432064923816445E-2</v>
      </c>
      <c r="AI61" s="78">
        <v>-1</v>
      </c>
      <c r="AJ61" s="78">
        <v>-1</v>
      </c>
      <c r="AK61" s="78">
        <v>-4.2428328608746027E-2</v>
      </c>
      <c r="AL61">
        <v>3.5028993028622648</v>
      </c>
      <c r="AM61" s="107">
        <f>INDEX(Pipes_result_save_V1!$K$2:$K$206,MATCH(Z61,Pipes_result_save_V1!$I$2:$I$206,0)) *POWER(10,-3)</f>
        <v>8.1962907314300543E-4</v>
      </c>
      <c r="AN61" s="78">
        <v>8.4633980498589369E-4</v>
      </c>
      <c r="AO61" s="78">
        <f t="shared" si="2"/>
        <v>6.1821784820657692E-3</v>
      </c>
      <c r="AP61" s="78">
        <f t="shared" si="3"/>
        <v>-6.1821784820657692E-3</v>
      </c>
      <c r="AQ61" s="78" cm="1">
        <f t="array" ref="AQ61">IF(W61=0,
IF(Y61="positif",ABS(AO61),ABS(AO61)*(-1)),
INDEX($R$8:$R$77,W61))</f>
        <v>-4.9567935076183497E-2</v>
      </c>
      <c r="BU61" t="s">
        <v>381</v>
      </c>
      <c r="BX61">
        <v>-9.2562038850657058E-3</v>
      </c>
    </row>
    <row r="62" spans="2:136" ht="30" x14ac:dyDescent="0.25">
      <c r="B62" s="106">
        <v>55</v>
      </c>
      <c r="C62" s="106" t="s">
        <v>540</v>
      </c>
      <c r="D62" s="106" t="s">
        <v>245</v>
      </c>
      <c r="E62" s="106" t="str">
        <f>INDEX(Pipes_result_save_V1!$G$2:$G$206,MATCH(D62,Pipes_result_save_V1!$I$2:$I$206,0))</f>
        <v>N178</v>
      </c>
      <c r="F62" s="106" t="str">
        <f>INDEX(Pipes_result_save_V1!$H$2:$H$206,MATCH(D62,Pipes_result_save_V1!$I$2:$I$206,0))</f>
        <v>N179</v>
      </c>
      <c r="G62" s="106">
        <v>2.9028999999999999E-2</v>
      </c>
      <c r="H62" s="107">
        <v>200</v>
      </c>
      <c r="I62" s="107">
        <v>150</v>
      </c>
      <c r="J62" s="107">
        <v>58</v>
      </c>
      <c r="K62" s="107">
        <v>146.73052093889271</v>
      </c>
      <c r="L62" s="107">
        <v>-2.9028999999999999E-2</v>
      </c>
      <c r="M62" s="107">
        <v>-0.20877835098168207</v>
      </c>
      <c r="N62" s="107">
        <v>13.319697751148006</v>
      </c>
      <c r="O62" s="107">
        <f>INDEX(Pipes_result_save_V1!$K$2:$K$206,MATCH(D62,Pipes_result_save_V1!$I$2:$I$206,0)) *POWER(10,-3)</f>
        <v>3.803018033504486E-4</v>
      </c>
      <c r="P62" s="78">
        <v>5.8926216561321926E-3</v>
      </c>
      <c r="Q62" s="78">
        <f t="shared" si="0"/>
        <v>-4.9567935076183497E-2</v>
      </c>
      <c r="R62" s="78">
        <f t="shared" si="1"/>
        <v>-4.9567935076183497E-2</v>
      </c>
      <c r="S62" s="78"/>
      <c r="T62" s="78"/>
      <c r="U62" s="78"/>
      <c r="V62" s="78"/>
      <c r="W62" s="78">
        <v>55</v>
      </c>
      <c r="X62" s="78">
        <v>55</v>
      </c>
      <c r="Y62" s="78" t="s">
        <v>540</v>
      </c>
      <c r="Z62" s="78" t="s">
        <v>245</v>
      </c>
      <c r="AA62" s="106" t="str">
        <f>INDEX(Pipes_result_save_V1!$G$2:$G$206,MATCH(Z62,Pipes_result_save_V1!$I$2:$I$206,0))</f>
        <v>N178</v>
      </c>
      <c r="AB62" s="106" t="str">
        <f>INDEX(Pipes_result_save_V1!$H$2:$H$206,MATCH(Z62,Pipes_result_save_V1!$I$2:$I$206,0))</f>
        <v>N179</v>
      </c>
      <c r="AC62" s="78">
        <v>2.9028999999999999E-2</v>
      </c>
      <c r="AD62" s="78">
        <v>200</v>
      </c>
      <c r="AE62" s="78">
        <v>150</v>
      </c>
      <c r="AF62" s="78">
        <v>58</v>
      </c>
      <c r="AG62" s="78">
        <v>146.73052093889271</v>
      </c>
      <c r="AH62" s="78">
        <v>-2.2432064923816445E-2</v>
      </c>
      <c r="AI62" s="78">
        <v>-1</v>
      </c>
      <c r="AJ62" s="78">
        <v>-1</v>
      </c>
      <c r="AK62" s="78">
        <v>-0.12951805575301417</v>
      </c>
      <c r="AL62">
        <v>10.693061029790073</v>
      </c>
      <c r="AM62" s="107">
        <f>INDEX(Pipes_result_save_V1!$K$2:$K$206,MATCH(Z62,Pipes_result_save_V1!$I$2:$I$206,0)) *POWER(10,-3)</f>
        <v>3.803018033504486E-4</v>
      </c>
      <c r="AN62" s="78">
        <v>3.6039700558807442E-3</v>
      </c>
      <c r="AO62" s="78">
        <f t="shared" si="2"/>
        <v>6.1821784820657692E-3</v>
      </c>
      <c r="AP62" s="78">
        <f t="shared" si="3"/>
        <v>-6.1821784820657692E-3</v>
      </c>
      <c r="AQ62" s="78" cm="1">
        <f t="array" ref="AQ62">IF(W62=0,
IF(Y62="positif",ABS(AO62),ABS(AO62)*(-1)),
INDEX($R$8:$R$77,W62))</f>
        <v>-4.9567935076183497E-2</v>
      </c>
    </row>
    <row r="63" spans="2:136" ht="30" x14ac:dyDescent="0.25">
      <c r="B63" s="106">
        <v>56</v>
      </c>
      <c r="C63" s="106" t="s">
        <v>540</v>
      </c>
      <c r="D63" s="106" t="s">
        <v>246</v>
      </c>
      <c r="E63" s="106" t="str">
        <f>INDEX(Pipes_result_save_V1!$G$2:$G$206,MATCH(D63,Pipes_result_save_V1!$I$2:$I$206,0))</f>
        <v>N179</v>
      </c>
      <c r="F63" s="106" t="str">
        <f>INDEX(Pipes_result_save_V1!$H$2:$H$206,MATCH(D63,Pipes_result_save_V1!$I$2:$I$206,0))</f>
        <v>N180</v>
      </c>
      <c r="G63" s="106">
        <v>2.9028999999999999E-2</v>
      </c>
      <c r="H63" s="107">
        <v>200</v>
      </c>
      <c r="I63" s="107">
        <v>150</v>
      </c>
      <c r="J63" s="107">
        <v>84</v>
      </c>
      <c r="K63" s="107">
        <v>212.50627170460322</v>
      </c>
      <c r="L63" s="107">
        <v>-2.9028999999999999E-2</v>
      </c>
      <c r="M63" s="107">
        <v>-0.30236864624933263</v>
      </c>
      <c r="N63" s="107">
        <v>19.290596743041935</v>
      </c>
      <c r="O63" s="107">
        <f>INDEX(Pipes_result_save_V1!$K$2:$K$206,MATCH(D63,Pipes_result_save_V1!$I$2:$I$206,0)) *POWER(10,-3)</f>
        <v>-4.2988613247871402E-4</v>
      </c>
      <c r="P63" s="78">
        <v>5.2392112794422485E-3</v>
      </c>
      <c r="Q63" s="78">
        <f t="shared" si="0"/>
        <v>-4.9567935076183497E-2</v>
      </c>
      <c r="R63" s="78">
        <f t="shared" si="1"/>
        <v>-4.9567935076183497E-2</v>
      </c>
      <c r="S63" s="78"/>
      <c r="T63" s="78"/>
      <c r="U63" s="78"/>
      <c r="V63" s="78"/>
      <c r="W63" s="78">
        <v>56</v>
      </c>
      <c r="X63" s="78">
        <v>56</v>
      </c>
      <c r="Y63" s="78" t="s">
        <v>540</v>
      </c>
      <c r="Z63" s="78" t="s">
        <v>246</v>
      </c>
      <c r="AA63" s="106" t="str">
        <f>INDEX(Pipes_result_save_V1!$G$2:$G$206,MATCH(Z63,Pipes_result_save_V1!$I$2:$I$206,0))</f>
        <v>N179</v>
      </c>
      <c r="AB63" s="106" t="str">
        <f>INDEX(Pipes_result_save_V1!$H$2:$H$206,MATCH(Z63,Pipes_result_save_V1!$I$2:$I$206,0))</f>
        <v>N180</v>
      </c>
      <c r="AC63" s="78">
        <v>2.9028999999999999E-2</v>
      </c>
      <c r="AD63" s="78">
        <v>200</v>
      </c>
      <c r="AE63" s="78">
        <v>150</v>
      </c>
      <c r="AF63" s="78">
        <v>84</v>
      </c>
      <c r="AG63" s="78">
        <v>212.50627170460322</v>
      </c>
      <c r="AH63" s="78">
        <v>-2.2432064923816445E-2</v>
      </c>
      <c r="AI63" s="78">
        <v>-1</v>
      </c>
      <c r="AJ63" s="78">
        <v>-1</v>
      </c>
      <c r="AK63" s="78">
        <v>-0.18757787384919294</v>
      </c>
      <c r="AL63">
        <v>15.486502181075274</v>
      </c>
      <c r="AM63" s="107">
        <f>INDEX(Pipes_result_save_V1!$K$2:$K$206,MATCH(Z63,Pipes_result_save_V1!$I$2:$I$206,0)) *POWER(10,-3)</f>
        <v>-4.2988613247871402E-4</v>
      </c>
      <c r="AN63" s="78">
        <v>3.4680174907045789E-3</v>
      </c>
      <c r="AO63" s="78">
        <f t="shared" si="2"/>
        <v>6.1821784820657692E-3</v>
      </c>
      <c r="AP63" s="78">
        <f t="shared" si="3"/>
        <v>-6.1821784820657692E-3</v>
      </c>
      <c r="AQ63" s="78" cm="1">
        <f t="array" ref="AQ63">IF(W63=0,
IF(Y63="positif",ABS(AO63),ABS(AO63)*(-1)),
INDEX($R$8:$R$77,W63))</f>
        <v>-4.9567935076183497E-2</v>
      </c>
    </row>
    <row r="64" spans="2:136" ht="30" x14ac:dyDescent="0.25">
      <c r="B64" s="106">
        <v>57</v>
      </c>
      <c r="C64" s="106" t="s">
        <v>540</v>
      </c>
      <c r="D64" s="106" t="s">
        <v>247</v>
      </c>
      <c r="E64" s="106" t="str">
        <f>INDEX(Pipes_result_save_V1!$G$2:$G$206,MATCH(D64,Pipes_result_save_V1!$I$2:$I$206,0))</f>
        <v>N180</v>
      </c>
      <c r="F64" s="106" t="str">
        <f>INDEX(Pipes_result_save_V1!$H$2:$H$206,MATCH(D64,Pipes_result_save_V1!$I$2:$I$206,0))</f>
        <v>N181</v>
      </c>
      <c r="G64" s="106">
        <v>2.9028999999999999E-2</v>
      </c>
      <c r="H64" s="107">
        <v>200</v>
      </c>
      <c r="I64" s="107">
        <v>150</v>
      </c>
      <c r="J64" s="107">
        <v>105</v>
      </c>
      <c r="K64" s="107">
        <v>265.63283963075406</v>
      </c>
      <c r="L64" s="107">
        <v>-2.9028999999999999E-2</v>
      </c>
      <c r="M64" s="107">
        <v>-0.37796080781166586</v>
      </c>
      <c r="N64" s="107">
        <v>24.113245928802424</v>
      </c>
      <c r="O64" s="107">
        <f>INDEX(Pipes_result_save_V1!$K$2:$K$206,MATCH(D64,Pipes_result_save_V1!$I$2:$I$206,0)) *POWER(10,-3)</f>
        <v>-1.508234858512878E-3</v>
      </c>
      <c r="P64" s="78">
        <v>6.2975312084214384E-3</v>
      </c>
      <c r="Q64" s="78">
        <f t="shared" si="0"/>
        <v>-4.9567935076183497E-2</v>
      </c>
      <c r="R64" s="78">
        <f t="shared" si="1"/>
        <v>-4.9567935076183497E-2</v>
      </c>
      <c r="S64" s="78"/>
      <c r="T64" s="78"/>
      <c r="U64" s="78"/>
      <c r="V64" s="78"/>
      <c r="W64" s="78">
        <v>57</v>
      </c>
      <c r="X64" s="78">
        <v>57</v>
      </c>
      <c r="Y64" s="78" t="s">
        <v>540</v>
      </c>
      <c r="Z64" s="78" t="s">
        <v>247</v>
      </c>
      <c r="AA64" s="106" t="str">
        <f>INDEX(Pipes_result_save_V1!$G$2:$G$206,MATCH(Z64,Pipes_result_save_V1!$I$2:$I$206,0))</f>
        <v>N180</v>
      </c>
      <c r="AB64" s="106" t="str">
        <f>INDEX(Pipes_result_save_V1!$H$2:$H$206,MATCH(Z64,Pipes_result_save_V1!$I$2:$I$206,0))</f>
        <v>N181</v>
      </c>
      <c r="AC64" s="78">
        <v>2.9028999999999999E-2</v>
      </c>
      <c r="AD64" s="78">
        <v>200</v>
      </c>
      <c r="AE64" s="78">
        <v>150</v>
      </c>
      <c r="AF64" s="78">
        <v>105</v>
      </c>
      <c r="AG64" s="78">
        <v>265.63283963075406</v>
      </c>
      <c r="AH64" s="78">
        <v>-2.2432064923816445E-2</v>
      </c>
      <c r="AI64" s="78">
        <v>-1</v>
      </c>
      <c r="AJ64" s="78">
        <v>-1</v>
      </c>
      <c r="AK64" s="78">
        <v>-0.23447234231149122</v>
      </c>
      <c r="AL64">
        <v>19.358127726344097</v>
      </c>
      <c r="AM64" s="107">
        <f>INDEX(Pipes_result_save_V1!$K$2:$K$206,MATCH(Z64,Pipes_result_save_V1!$I$2:$I$206,0)) *POWER(10,-3)</f>
        <v>-1.508234858512878E-3</v>
      </c>
      <c r="AN64" s="78">
        <v>7.6235847886750672E-4</v>
      </c>
      <c r="AO64" s="78">
        <f t="shared" si="2"/>
        <v>6.1821784820657692E-3</v>
      </c>
      <c r="AP64" s="78">
        <f t="shared" si="3"/>
        <v>-6.1821784820657692E-3</v>
      </c>
      <c r="AQ64" s="78" cm="1">
        <f t="array" ref="AQ64">IF(W64=0,
IF(Y64="positif",ABS(AO64),ABS(AO64)*(-1)),
INDEX($R$8:$R$77,W64))</f>
        <v>-4.9567935076183497E-2</v>
      </c>
    </row>
    <row r="65" spans="2:43" ht="30" x14ac:dyDescent="0.25">
      <c r="B65" s="106">
        <v>58</v>
      </c>
      <c r="C65" s="106" t="s">
        <v>540</v>
      </c>
      <c r="D65" s="106" t="s">
        <v>248</v>
      </c>
      <c r="E65" s="106" t="str">
        <f>INDEX(Pipes_result_save_V1!$G$2:$G$206,MATCH(D65,Pipes_result_save_V1!$I$2:$I$206,0))</f>
        <v>N181</v>
      </c>
      <c r="F65" s="106" t="str">
        <f>INDEX(Pipes_result_save_V1!$H$2:$H$206,MATCH(D65,Pipes_result_save_V1!$I$2:$I$206,0))</f>
        <v>N182</v>
      </c>
      <c r="G65" s="106">
        <v>2.9028999999999999E-2</v>
      </c>
      <c r="H65" s="107">
        <v>200</v>
      </c>
      <c r="I65" s="107">
        <v>150</v>
      </c>
      <c r="J65" s="107">
        <v>90</v>
      </c>
      <c r="K65" s="107">
        <v>227.68529111207488</v>
      </c>
      <c r="L65" s="107">
        <v>-2.9028999999999999E-2</v>
      </c>
      <c r="M65" s="107">
        <v>-0.32396640669571353</v>
      </c>
      <c r="N65" s="107">
        <v>20.668496510402075</v>
      </c>
      <c r="O65" s="107">
        <f>INDEX(Pipes_result_save_V1!$K$2:$K$206,MATCH(D65,Pipes_result_save_V1!$I$2:$I$206,0)) *POWER(10,-3)</f>
        <v>-2.6208169460296632E-3</v>
      </c>
      <c r="P65" s="78">
        <v>5.1389322853683129E-3</v>
      </c>
      <c r="Q65" s="78">
        <f t="shared" si="0"/>
        <v>-4.9567935076183497E-2</v>
      </c>
      <c r="R65" s="78">
        <f t="shared" si="1"/>
        <v>-4.9567935076183497E-2</v>
      </c>
      <c r="S65" s="78"/>
      <c r="T65" s="78"/>
      <c r="U65" s="78"/>
      <c r="V65" s="78"/>
      <c r="W65" s="78">
        <v>58</v>
      </c>
      <c r="X65" s="78">
        <v>58</v>
      </c>
      <c r="Y65" s="78" t="s">
        <v>540</v>
      </c>
      <c r="Z65" s="78" t="s">
        <v>248</v>
      </c>
      <c r="AA65" s="106" t="str">
        <f>INDEX(Pipes_result_save_V1!$G$2:$G$206,MATCH(Z65,Pipes_result_save_V1!$I$2:$I$206,0))</f>
        <v>N181</v>
      </c>
      <c r="AB65" s="106" t="str">
        <f>INDEX(Pipes_result_save_V1!$H$2:$H$206,MATCH(Z65,Pipes_result_save_V1!$I$2:$I$206,0))</f>
        <v>N182</v>
      </c>
      <c r="AC65" s="78">
        <v>2.9028999999999999E-2</v>
      </c>
      <c r="AD65" s="78">
        <v>200</v>
      </c>
      <c r="AE65" s="78">
        <v>150</v>
      </c>
      <c r="AF65" s="78">
        <v>90</v>
      </c>
      <c r="AG65" s="78">
        <v>227.68529111207488</v>
      </c>
      <c r="AH65" s="78">
        <v>-2.2432064923816445E-2</v>
      </c>
      <c r="AI65" s="78">
        <v>-1</v>
      </c>
      <c r="AJ65" s="78">
        <v>-1</v>
      </c>
      <c r="AK65" s="78">
        <v>-0.20097629340984957</v>
      </c>
      <c r="AL65">
        <v>16.592680908294938</v>
      </c>
      <c r="AM65" s="107">
        <f>INDEX(Pipes_result_save_V1!$K$2:$K$206,MATCH(Z65,Pipes_result_save_V1!$I$2:$I$206,0)) *POWER(10,-3)</f>
        <v>-2.6208169460296632E-3</v>
      </c>
      <c r="AN65" s="78">
        <v>2.9165432198665188E-3</v>
      </c>
      <c r="AO65" s="78">
        <f t="shared" si="2"/>
        <v>6.1821784820657692E-3</v>
      </c>
      <c r="AP65" s="78">
        <f t="shared" si="3"/>
        <v>-6.1821784820657692E-3</v>
      </c>
      <c r="AQ65" s="78" cm="1">
        <f t="array" ref="AQ65">IF(W65=0,
IF(Y65="positif",ABS(AO65),ABS(AO65)*(-1)),
INDEX($R$8:$R$77,W65))</f>
        <v>-4.9567935076183497E-2</v>
      </c>
    </row>
    <row r="66" spans="2:43" ht="30" x14ac:dyDescent="0.25">
      <c r="B66" s="106">
        <v>59</v>
      </c>
      <c r="C66" s="106" t="s">
        <v>540</v>
      </c>
      <c r="D66" s="106" t="s">
        <v>249</v>
      </c>
      <c r="E66" s="106" t="str">
        <f>INDEX(Pipes_result_save_V1!$G$2:$G$206,MATCH(D66,Pipes_result_save_V1!$I$2:$I$206,0))</f>
        <v>N182</v>
      </c>
      <c r="F66" s="106" t="str">
        <f>INDEX(Pipes_result_save_V1!$H$2:$H$206,MATCH(D66,Pipes_result_save_V1!$I$2:$I$206,0))</f>
        <v>N183</v>
      </c>
      <c r="G66" s="106">
        <v>2.9028999999999999E-2</v>
      </c>
      <c r="H66" s="107">
        <v>200</v>
      </c>
      <c r="I66" s="107">
        <v>150</v>
      </c>
      <c r="J66" s="107">
        <v>78</v>
      </c>
      <c r="K66" s="107">
        <v>197.32725229713157</v>
      </c>
      <c r="L66" s="107">
        <v>-2.9028999999999999E-2</v>
      </c>
      <c r="M66" s="107">
        <v>-0.28077088580295173</v>
      </c>
      <c r="N66" s="107">
        <v>17.912696975681797</v>
      </c>
      <c r="O66" s="107">
        <f>INDEX(Pipes_result_save_V1!$K$2:$K$206,MATCH(D66,Pipes_result_save_V1!$I$2:$I$206,0)) *POWER(10,-3)</f>
        <v>-3.5793492794036872E-3</v>
      </c>
      <c r="P66" s="78">
        <v>6.2953095200519232E-3</v>
      </c>
      <c r="Q66" s="78">
        <f t="shared" si="0"/>
        <v>-4.9567935076183497E-2</v>
      </c>
      <c r="R66" s="78">
        <f t="shared" si="1"/>
        <v>-4.9567935076183497E-2</v>
      </c>
      <c r="S66" s="78"/>
      <c r="T66" s="78"/>
      <c r="U66" s="78"/>
      <c r="V66" s="78"/>
      <c r="W66" s="78">
        <v>59</v>
      </c>
      <c r="X66" s="78">
        <v>59</v>
      </c>
      <c r="Y66" s="78" t="s">
        <v>540</v>
      </c>
      <c r="Z66" s="78" t="s">
        <v>249</v>
      </c>
      <c r="AA66" s="106" t="str">
        <f>INDEX(Pipes_result_save_V1!$G$2:$G$206,MATCH(Z66,Pipes_result_save_V1!$I$2:$I$206,0))</f>
        <v>N182</v>
      </c>
      <c r="AB66" s="106" t="str">
        <f>INDEX(Pipes_result_save_V1!$H$2:$H$206,MATCH(Z66,Pipes_result_save_V1!$I$2:$I$206,0))</f>
        <v>N183</v>
      </c>
      <c r="AC66" s="78">
        <v>2.9028999999999999E-2</v>
      </c>
      <c r="AD66" s="78">
        <v>200</v>
      </c>
      <c r="AE66" s="78">
        <v>150</v>
      </c>
      <c r="AF66" s="78">
        <v>78</v>
      </c>
      <c r="AG66" s="78">
        <v>197.32725229713157</v>
      </c>
      <c r="AH66" s="78">
        <v>-2.2432064923816445E-2</v>
      </c>
      <c r="AI66" s="78">
        <v>-1</v>
      </c>
      <c r="AJ66" s="78">
        <v>-1</v>
      </c>
      <c r="AK66" s="78">
        <v>-0.17417945428853632</v>
      </c>
      <c r="AL66">
        <v>14.380323453855612</v>
      </c>
      <c r="AM66" s="107">
        <f>INDEX(Pipes_result_save_V1!$K$2:$K$206,MATCH(Z66,Pipes_result_save_V1!$I$2:$I$206,0)) *POWER(10,-3)</f>
        <v>-3.5793492794036872E-3</v>
      </c>
      <c r="AN66" s="78">
        <v>6.3839606588319935E-5</v>
      </c>
      <c r="AO66" s="78">
        <f t="shared" si="2"/>
        <v>6.1821784820657692E-3</v>
      </c>
      <c r="AP66" s="78">
        <f t="shared" si="3"/>
        <v>-6.1821784820657692E-3</v>
      </c>
      <c r="AQ66" s="78" cm="1">
        <f t="array" ref="AQ66">IF(W66=0,
IF(Y66="positif",ABS(AO66),ABS(AO66)*(-1)),
INDEX($R$8:$R$77,W66))</f>
        <v>-4.9567935076183497E-2</v>
      </c>
    </row>
    <row r="67" spans="2:43" ht="30" x14ac:dyDescent="0.25">
      <c r="B67" s="106">
        <v>60</v>
      </c>
      <c r="C67" s="106" t="s">
        <v>540</v>
      </c>
      <c r="D67" s="106" t="s">
        <v>250</v>
      </c>
      <c r="E67" s="106" t="str">
        <f>INDEX(Pipes_result_save_V1!$G$2:$G$206,MATCH(D67,Pipes_result_save_V1!$I$2:$I$206,0))</f>
        <v>N183</v>
      </c>
      <c r="F67" s="106" t="str">
        <f>INDEX(Pipes_result_save_V1!$H$2:$H$206,MATCH(D67,Pipes_result_save_V1!$I$2:$I$206,0))</f>
        <v>N184</v>
      </c>
      <c r="G67" s="106">
        <v>2.9028999999999999E-2</v>
      </c>
      <c r="H67" s="107">
        <v>200</v>
      </c>
      <c r="I67" s="107">
        <v>150</v>
      </c>
      <c r="J67" s="107">
        <v>83</v>
      </c>
      <c r="K67" s="107">
        <v>209.97643513669126</v>
      </c>
      <c r="L67" s="107">
        <v>-2.9028999999999999E-2</v>
      </c>
      <c r="M67" s="107">
        <v>-0.29876901950826917</v>
      </c>
      <c r="N67" s="107">
        <v>19.060946781815247</v>
      </c>
      <c r="O67" s="107">
        <f>INDEX(Pipes_result_save_V1!$K$2:$K$206,MATCH(D67,Pipes_result_save_V1!$I$2:$I$206,0)) *POWER(10,-3)</f>
        <v>-4.4979424476623547E-3</v>
      </c>
      <c r="P67" s="78">
        <v>5.4572649696420011E-3</v>
      </c>
      <c r="Q67" s="78">
        <f t="shared" si="0"/>
        <v>-4.9567935076183497E-2</v>
      </c>
      <c r="R67" s="78">
        <f t="shared" si="1"/>
        <v>-4.9567935076183497E-2</v>
      </c>
      <c r="S67" s="78"/>
      <c r="T67" s="78"/>
      <c r="U67" s="78"/>
      <c r="V67" s="78"/>
      <c r="W67" s="78">
        <v>60</v>
      </c>
      <c r="X67" s="78">
        <v>60</v>
      </c>
      <c r="Y67" s="78" t="s">
        <v>540</v>
      </c>
      <c r="Z67" s="78" t="s">
        <v>250</v>
      </c>
      <c r="AA67" s="106" t="str">
        <f>INDEX(Pipes_result_save_V1!$G$2:$G$206,MATCH(Z67,Pipes_result_save_V1!$I$2:$I$206,0))</f>
        <v>N183</v>
      </c>
      <c r="AB67" s="106" t="str">
        <f>INDEX(Pipes_result_save_V1!$H$2:$H$206,MATCH(Z67,Pipes_result_save_V1!$I$2:$I$206,0))</f>
        <v>N184</v>
      </c>
      <c r="AC67" s="78">
        <v>2.9028999999999999E-2</v>
      </c>
      <c r="AD67" s="78">
        <v>200</v>
      </c>
      <c r="AE67" s="78">
        <v>150</v>
      </c>
      <c r="AF67" s="78">
        <v>83</v>
      </c>
      <c r="AG67" s="78">
        <v>209.97643513669126</v>
      </c>
      <c r="AH67" s="78">
        <v>-2.2432064923816445E-2</v>
      </c>
      <c r="AI67" s="78">
        <v>-1</v>
      </c>
      <c r="AJ67" s="78">
        <v>-1</v>
      </c>
      <c r="AK67" s="78">
        <v>-0.18534480392241684</v>
      </c>
      <c r="AL67">
        <v>15.302139059871998</v>
      </c>
      <c r="AM67" s="107">
        <f>INDEX(Pipes_result_save_V1!$K$2:$K$206,MATCH(Z67,Pipes_result_save_V1!$I$2:$I$206,0)) *POWER(10,-3)</f>
        <v>-4.4979424476623547E-3</v>
      </c>
      <c r="AN67" s="78">
        <v>2.6362514008356499E-3</v>
      </c>
      <c r="AO67" s="78">
        <f t="shared" si="2"/>
        <v>6.1821784820657692E-3</v>
      </c>
      <c r="AP67" s="78">
        <f t="shared" si="3"/>
        <v>-6.1821784820657692E-3</v>
      </c>
      <c r="AQ67" s="78" cm="1">
        <f t="array" ref="AQ67">IF(W67=0,
IF(Y67="positif",ABS(AO67),ABS(AO67)*(-1)),
INDEX($R$8:$R$77,W67))</f>
        <v>-4.9567935076183497E-2</v>
      </c>
    </row>
    <row r="68" spans="2:43" ht="30" x14ac:dyDescent="0.25">
      <c r="B68" s="106">
        <v>61</v>
      </c>
      <c r="C68" s="106" t="s">
        <v>540</v>
      </c>
      <c r="D68" s="106" t="s">
        <v>432</v>
      </c>
      <c r="E68" s="106" t="str">
        <f>INDEX(Pipes_result_save_V1!$G$2:$G$206,MATCH(D68,Pipes_result_save_V1!$I$2:$I$206,0))</f>
        <v>N184</v>
      </c>
      <c r="F68" s="106" t="str">
        <f>INDEX(Pipes_result_save_V1!$H$2:$H$206,MATCH(D68,Pipes_result_save_V1!$I$2:$I$206,0))</f>
        <v>N185</v>
      </c>
      <c r="G68" s="106">
        <v>2.9028999999999999E-2</v>
      </c>
      <c r="H68" s="107">
        <v>200</v>
      </c>
      <c r="I68" s="107">
        <v>150</v>
      </c>
      <c r="J68" s="107">
        <v>175</v>
      </c>
      <c r="K68" s="107">
        <v>442.72139938459003</v>
      </c>
      <c r="L68" s="107">
        <v>-2.9028999999999999E-2</v>
      </c>
      <c r="M68" s="107">
        <v>-0.62993467968610972</v>
      </c>
      <c r="N68" s="107">
        <v>40.188743214670701</v>
      </c>
      <c r="O68" s="107">
        <f>INDEX(Pipes_result_save_V1!$K$2:$K$206,MATCH(D68,Pipes_result_save_V1!$I$2:$I$206,0)) *POWER(10,-3)</f>
        <v>-5.969974040985108E-3</v>
      </c>
      <c r="P68" s="78">
        <v>6.4293583862618693E-3</v>
      </c>
      <c r="Q68" s="78">
        <f t="shared" si="0"/>
        <v>-4.9567935076183497E-2</v>
      </c>
      <c r="R68" s="78">
        <f t="shared" si="1"/>
        <v>-4.9567935076183497E-2</v>
      </c>
      <c r="S68" s="78"/>
      <c r="T68" s="78"/>
      <c r="U68" s="78"/>
      <c r="V68" s="78"/>
      <c r="W68" s="78">
        <v>61</v>
      </c>
      <c r="X68" s="78">
        <v>61</v>
      </c>
      <c r="Y68" s="78" t="s">
        <v>540</v>
      </c>
      <c r="Z68" s="78" t="s">
        <v>432</v>
      </c>
      <c r="AA68" s="106" t="str">
        <f>INDEX(Pipes_result_save_V1!$G$2:$G$206,MATCH(Z68,Pipes_result_save_V1!$I$2:$I$206,0))</f>
        <v>N184</v>
      </c>
      <c r="AB68" s="106" t="str">
        <f>INDEX(Pipes_result_save_V1!$H$2:$H$206,MATCH(Z68,Pipes_result_save_V1!$I$2:$I$206,0))</f>
        <v>N185</v>
      </c>
      <c r="AC68" s="78">
        <v>2.9028999999999999E-2</v>
      </c>
      <c r="AD68" s="78">
        <v>200</v>
      </c>
      <c r="AE68" s="78">
        <v>150</v>
      </c>
      <c r="AF68" s="78">
        <v>175</v>
      </c>
      <c r="AG68" s="78">
        <v>442.72139938459003</v>
      </c>
      <c r="AH68" s="78">
        <v>-2.2432064923816445E-2</v>
      </c>
      <c r="AI68" s="78">
        <v>-1</v>
      </c>
      <c r="AJ68" s="78">
        <v>-1</v>
      </c>
      <c r="AK68" s="78">
        <v>-0.39078723718581865</v>
      </c>
      <c r="AL68">
        <v>32.263546210573487</v>
      </c>
      <c r="AM68" s="107">
        <f>INDEX(Pipes_result_save_V1!$K$2:$K$206,MATCH(Z68,Pipes_result_save_V1!$I$2:$I$206,0)) *POWER(10,-3)</f>
        <v>-5.969974040985108E-3</v>
      </c>
      <c r="AN68" s="78">
        <v>1.1151632808153651E-3</v>
      </c>
      <c r="AO68" s="78">
        <f t="shared" si="2"/>
        <v>6.1821784820657692E-3</v>
      </c>
      <c r="AP68" s="78">
        <f t="shared" si="3"/>
        <v>-6.1821784820657692E-3</v>
      </c>
      <c r="AQ68" s="78" cm="1">
        <f t="array" ref="AQ68">IF(W68=0,
IF(Y68="positif",ABS(AO68),ABS(AO68)*(-1)),
INDEX($R$8:$R$77,W68))</f>
        <v>-4.9567935076183497E-2</v>
      </c>
    </row>
    <row r="69" spans="2:43" ht="30" x14ac:dyDescent="0.25">
      <c r="B69" s="106">
        <v>62</v>
      </c>
      <c r="C69" s="106" t="s">
        <v>540</v>
      </c>
      <c r="D69" s="106" t="s">
        <v>269</v>
      </c>
      <c r="E69" s="106" t="str">
        <f>INDEX(Pipes_result_save_V1!$G$2:$G$206,MATCH(D69,Pipes_result_save_V1!$I$2:$I$206,0))</f>
        <v>N185</v>
      </c>
      <c r="F69" s="106" t="str">
        <f>INDEX(Pipes_result_save_V1!$H$2:$H$206,MATCH(D69,Pipes_result_save_V1!$I$2:$I$206,0))</f>
        <v>N186</v>
      </c>
      <c r="G69" s="106">
        <v>2.9028999999999999E-2</v>
      </c>
      <c r="H69" s="107">
        <v>200</v>
      </c>
      <c r="I69" s="107">
        <v>150</v>
      </c>
      <c r="J69" s="107">
        <v>169</v>
      </c>
      <c r="K69" s="107">
        <v>427.5423799771184</v>
      </c>
      <c r="L69" s="107">
        <v>-2.9028999999999999E-2</v>
      </c>
      <c r="M69" s="107">
        <v>-0.60833691923972877</v>
      </c>
      <c r="N69" s="107">
        <v>38.81084344731056</v>
      </c>
      <c r="O69" s="107">
        <f>INDEX(Pipes_result_save_V1!$K$2:$K$206,MATCH(D69,Pipes_result_save_V1!$I$2:$I$206,0)) *POWER(10,-3)</f>
        <v>-7.9326825141906743E-3</v>
      </c>
      <c r="P69" s="78">
        <v>5.7088382822617165E-3</v>
      </c>
      <c r="Q69" s="78">
        <f t="shared" si="0"/>
        <v>-4.9567935076183497E-2</v>
      </c>
      <c r="R69" s="78">
        <f t="shared" si="1"/>
        <v>-4.9567935076183497E-2</v>
      </c>
      <c r="S69" s="78"/>
      <c r="T69" s="78"/>
      <c r="U69" s="78"/>
      <c r="V69" s="78"/>
      <c r="W69" s="78">
        <v>62</v>
      </c>
      <c r="X69" s="78">
        <v>62</v>
      </c>
      <c r="Y69" s="78" t="s">
        <v>540</v>
      </c>
      <c r="Z69" s="78" t="s">
        <v>269</v>
      </c>
      <c r="AA69" s="106" t="str">
        <f>INDEX(Pipes_result_save_V1!$G$2:$G$206,MATCH(Z69,Pipes_result_save_V1!$I$2:$I$206,0))</f>
        <v>N185</v>
      </c>
      <c r="AB69" s="106" t="str">
        <f>INDEX(Pipes_result_save_V1!$H$2:$H$206,MATCH(Z69,Pipes_result_save_V1!$I$2:$I$206,0))</f>
        <v>N186</v>
      </c>
      <c r="AC69" s="78">
        <v>2.9028999999999999E-2</v>
      </c>
      <c r="AD69" s="78">
        <v>200</v>
      </c>
      <c r="AE69" s="78">
        <v>150</v>
      </c>
      <c r="AF69" s="78">
        <v>169</v>
      </c>
      <c r="AG69" s="78">
        <v>427.5423799771184</v>
      </c>
      <c r="AH69" s="78">
        <v>-2.2432064923816445E-2</v>
      </c>
      <c r="AI69" s="78">
        <v>-1</v>
      </c>
      <c r="AJ69" s="78">
        <v>-1</v>
      </c>
      <c r="AK69" s="78">
        <v>-0.37738881762516202</v>
      </c>
      <c r="AL69">
        <v>31.157367483353827</v>
      </c>
      <c r="AM69" s="107">
        <f>INDEX(Pipes_result_save_V1!$K$2:$K$206,MATCH(Z69,Pipes_result_save_V1!$I$2:$I$206,0)) *POWER(10,-3)</f>
        <v>-7.9326825141906743E-3</v>
      </c>
      <c r="AN69" s="78">
        <v>2.5347452125473059E-3</v>
      </c>
      <c r="AO69" s="78">
        <f t="shared" si="2"/>
        <v>6.1821784820657692E-3</v>
      </c>
      <c r="AP69" s="78">
        <f t="shared" si="3"/>
        <v>-6.1821784820657692E-3</v>
      </c>
      <c r="AQ69" s="78" cm="1">
        <f t="array" ref="AQ69">IF(W69=0,
IF(Y69="positif",ABS(AO69),ABS(AO69)*(-1)),
INDEX($R$8:$R$77,W69))</f>
        <v>-4.9567935076183497E-2</v>
      </c>
    </row>
    <row r="70" spans="2:43" ht="30" x14ac:dyDescent="0.25">
      <c r="B70" s="106">
        <v>63</v>
      </c>
      <c r="C70" s="106" t="s">
        <v>540</v>
      </c>
      <c r="D70" s="106" t="s">
        <v>270</v>
      </c>
      <c r="E70" s="106" t="str">
        <f>INDEX(Pipes_result_save_V1!$G$2:$G$206,MATCH(D70,Pipes_result_save_V1!$I$2:$I$206,0))</f>
        <v>N186</v>
      </c>
      <c r="F70" s="106" t="str">
        <f>INDEX(Pipes_result_save_V1!$H$2:$H$206,MATCH(D70,Pipes_result_save_V1!$I$2:$I$206,0))</f>
        <v>N187</v>
      </c>
      <c r="G70" s="106">
        <v>2.9028999999999999E-2</v>
      </c>
      <c r="H70" s="107">
        <v>200</v>
      </c>
      <c r="I70" s="107">
        <v>150</v>
      </c>
      <c r="J70" s="107">
        <v>169</v>
      </c>
      <c r="K70" s="107">
        <v>427.5423799771184</v>
      </c>
      <c r="L70" s="107">
        <v>-2.9028999999999999E-2</v>
      </c>
      <c r="M70" s="107">
        <v>-0.60833691923972877</v>
      </c>
      <c r="N70" s="107">
        <v>38.81084344731056</v>
      </c>
      <c r="O70" s="107">
        <f>INDEX(Pipes_result_save_V1!$K$2:$K$206,MATCH(D70,Pipes_result_save_V1!$I$2:$I$206,0)) *POWER(10,-3)</f>
        <v>-9.8611583709716805E-3</v>
      </c>
      <c r="P70" s="78">
        <v>5.9730648656926462E-3</v>
      </c>
      <c r="Q70" s="78">
        <f t="shared" si="0"/>
        <v>-4.9567935076183497E-2</v>
      </c>
      <c r="R70" s="78">
        <f t="shared" si="1"/>
        <v>-4.9567935076183497E-2</v>
      </c>
      <c r="S70" s="78"/>
      <c r="T70" s="78"/>
      <c r="U70" s="78"/>
      <c r="V70" s="78"/>
      <c r="W70" s="78">
        <v>63</v>
      </c>
      <c r="X70" s="78">
        <v>63</v>
      </c>
      <c r="Y70" s="78" t="s">
        <v>540</v>
      </c>
      <c r="Z70" s="78" t="s">
        <v>270</v>
      </c>
      <c r="AA70" s="106" t="str">
        <f>INDEX(Pipes_result_save_V1!$G$2:$G$206,MATCH(Z70,Pipes_result_save_V1!$I$2:$I$206,0))</f>
        <v>N186</v>
      </c>
      <c r="AB70" s="106" t="str">
        <f>INDEX(Pipes_result_save_V1!$H$2:$H$206,MATCH(Z70,Pipes_result_save_V1!$I$2:$I$206,0))</f>
        <v>N187</v>
      </c>
      <c r="AC70" s="78">
        <v>2.9028999999999999E-2</v>
      </c>
      <c r="AD70" s="78">
        <v>200</v>
      </c>
      <c r="AE70" s="78">
        <v>150</v>
      </c>
      <c r="AF70" s="78">
        <v>169</v>
      </c>
      <c r="AG70" s="78">
        <v>427.5423799771184</v>
      </c>
      <c r="AH70" s="78">
        <v>-2.2432064923816445E-2</v>
      </c>
      <c r="AI70" s="78">
        <v>-1</v>
      </c>
      <c r="AJ70" s="78">
        <v>-1</v>
      </c>
      <c r="AK70" s="78">
        <v>-0.37738881762516202</v>
      </c>
      <c r="AL70">
        <v>31.157367483353827</v>
      </c>
      <c r="AM70" s="107">
        <f>INDEX(Pipes_result_save_V1!$K$2:$K$206,MATCH(Z70,Pipes_result_save_V1!$I$2:$I$206,0)) *POWER(10,-3)</f>
        <v>-9.8611583709716805E-3</v>
      </c>
      <c r="AN70" s="78">
        <v>4.6527855039262753E-3</v>
      </c>
      <c r="AO70" s="78">
        <f t="shared" si="2"/>
        <v>6.1821784820657692E-3</v>
      </c>
      <c r="AP70" s="78">
        <f t="shared" si="3"/>
        <v>-6.1821784820657692E-3</v>
      </c>
      <c r="AQ70" s="78" cm="1">
        <f t="array" ref="AQ70">IF(W70=0,
IF(Y70="positif",ABS(AO70),ABS(AO70)*(-1)),
INDEX($R$8:$R$77,W70))</f>
        <v>-4.9567935076183497E-2</v>
      </c>
    </row>
    <row r="71" spans="2:43" ht="30" x14ac:dyDescent="0.25">
      <c r="B71" s="106">
        <v>64</v>
      </c>
      <c r="C71" s="106" t="s">
        <v>540</v>
      </c>
      <c r="D71" s="106" t="s">
        <v>272</v>
      </c>
      <c r="E71" s="106" t="str">
        <f>INDEX(Pipes_result_save_V1!$G$2:$G$206,MATCH(D71,Pipes_result_save_V1!$I$2:$I$206,0))</f>
        <v>N187</v>
      </c>
      <c r="F71" s="106" t="str">
        <f>INDEX(Pipes_result_save_V1!$H$2:$H$206,MATCH(D71,Pipes_result_save_V1!$I$2:$I$206,0))</f>
        <v>N188</v>
      </c>
      <c r="G71" s="106">
        <v>2.9028999999999999E-2</v>
      </c>
      <c r="H71" s="107">
        <v>200</v>
      </c>
      <c r="I71" s="107">
        <v>150</v>
      </c>
      <c r="J71" s="107">
        <v>134</v>
      </c>
      <c r="K71" s="107">
        <v>338.99810010020042</v>
      </c>
      <c r="L71" s="107">
        <v>-2.9028999999999999E-2</v>
      </c>
      <c r="M71" s="107">
        <v>-0.48234998330250689</v>
      </c>
      <c r="N71" s="107">
        <v>30.773094804376424</v>
      </c>
      <c r="O71" s="107">
        <f>INDEX(Pipes_result_save_V1!$K$2:$K$206,MATCH(D71,Pipes_result_save_V1!$I$2:$I$206,0)) *POWER(10,-3)</f>
        <v>-1.1589940071105961E-2</v>
      </c>
      <c r="P71" s="78">
        <v>5.4140706158563104E-3</v>
      </c>
      <c r="Q71" s="78">
        <f t="shared" si="0"/>
        <v>-4.9567935076183497E-2</v>
      </c>
      <c r="R71" s="78">
        <f t="shared" si="1"/>
        <v>-4.9567935076183497E-2</v>
      </c>
      <c r="S71" s="78"/>
      <c r="T71" s="78"/>
      <c r="U71" s="78"/>
      <c r="V71" s="78"/>
      <c r="W71" s="78">
        <v>64</v>
      </c>
      <c r="X71" s="78">
        <v>64</v>
      </c>
      <c r="Y71" s="78" t="s">
        <v>540</v>
      </c>
      <c r="Z71" s="78" t="s">
        <v>272</v>
      </c>
      <c r="AA71" s="106" t="str">
        <f>INDEX(Pipes_result_save_V1!$G$2:$G$206,MATCH(Z71,Pipes_result_save_V1!$I$2:$I$206,0))</f>
        <v>N187</v>
      </c>
      <c r="AB71" s="106" t="str">
        <f>INDEX(Pipes_result_save_V1!$H$2:$H$206,MATCH(Z71,Pipes_result_save_V1!$I$2:$I$206,0))</f>
        <v>N188</v>
      </c>
      <c r="AC71" s="78">
        <v>2.9028999999999999E-2</v>
      </c>
      <c r="AD71" s="78">
        <v>200</v>
      </c>
      <c r="AE71" s="78">
        <v>150</v>
      </c>
      <c r="AF71" s="78">
        <v>134</v>
      </c>
      <c r="AG71" s="78">
        <v>338.99810010020042</v>
      </c>
      <c r="AH71" s="78">
        <v>-2.2432064923816445E-2</v>
      </c>
      <c r="AI71" s="78">
        <v>-1</v>
      </c>
      <c r="AJ71" s="78">
        <v>-1</v>
      </c>
      <c r="AK71" s="78">
        <v>-0.29923137018799828</v>
      </c>
      <c r="AL71">
        <v>24.70465824123913</v>
      </c>
      <c r="AM71" s="107">
        <f>INDEX(Pipes_result_save_V1!$K$2:$K$206,MATCH(Z71,Pipes_result_save_V1!$I$2:$I$206,0)) *POWER(10,-3)</f>
        <v>-1.1589940071105961E-2</v>
      </c>
      <c r="AN71" s="78">
        <v>1.0804693333157063E-3</v>
      </c>
      <c r="AO71" s="78">
        <f t="shared" si="2"/>
        <v>6.1821784820657692E-3</v>
      </c>
      <c r="AP71" s="78">
        <f t="shared" si="3"/>
        <v>-6.1821784820657692E-3</v>
      </c>
      <c r="AQ71" s="78" cm="1">
        <f t="array" ref="AQ71">IF(W71=0,
IF(Y71="positif",ABS(AO71),ABS(AO71)*(-1)),
INDEX($R$8:$R$77,W71))</f>
        <v>-4.9567935076183497E-2</v>
      </c>
    </row>
    <row r="72" spans="2:43" ht="30" x14ac:dyDescent="0.25">
      <c r="B72" s="106">
        <v>65</v>
      </c>
      <c r="C72" s="106" t="s">
        <v>540</v>
      </c>
      <c r="D72" s="106" t="s">
        <v>271</v>
      </c>
      <c r="E72" s="106" t="str">
        <f>INDEX(Pipes_result_save_V1!$G$2:$G$206,MATCH(D72,Pipes_result_save_V1!$I$2:$I$206,0))</f>
        <v>N188</v>
      </c>
      <c r="F72" s="106" t="str">
        <f>INDEX(Pipes_result_save_V1!$H$2:$H$206,MATCH(D72,Pipes_result_save_V1!$I$2:$I$206,0))</f>
        <v>N189</v>
      </c>
      <c r="G72" s="106">
        <v>2.9028999999999999E-2</v>
      </c>
      <c r="H72" s="107">
        <v>200</v>
      </c>
      <c r="I72" s="107">
        <v>150</v>
      </c>
      <c r="J72" s="107">
        <v>263</v>
      </c>
      <c r="K72" s="107">
        <v>665.34701736084105</v>
      </c>
      <c r="L72" s="107">
        <v>-2.9028999999999999E-2</v>
      </c>
      <c r="M72" s="107">
        <v>-0.94670183289969634</v>
      </c>
      <c r="N72" s="107">
        <v>60.397939802619398</v>
      </c>
      <c r="O72" s="107">
        <f>INDEX(Pipes_result_save_V1!$K$2:$K$206,MATCH(D72,Pipes_result_save_V1!$I$2:$I$206,0)) *POWER(10,-3)</f>
        <v>-1.385504245758057E-2</v>
      </c>
      <c r="P72" s="78">
        <v>5.2847983206110311E-3</v>
      </c>
      <c r="Q72" s="78">
        <f t="shared" si="0"/>
        <v>-4.9567935076183497E-2</v>
      </c>
      <c r="R72" s="78">
        <f t="shared" si="1"/>
        <v>-4.9567935076183497E-2</v>
      </c>
      <c r="S72" s="78"/>
      <c r="T72" s="78"/>
      <c r="U72" s="78"/>
      <c r="V72" s="78"/>
      <c r="W72" s="78">
        <v>65</v>
      </c>
      <c r="X72" s="78">
        <v>65</v>
      </c>
      <c r="Y72" s="78" t="s">
        <v>540</v>
      </c>
      <c r="Z72" s="78" t="s">
        <v>271</v>
      </c>
      <c r="AA72" s="106" t="str">
        <f>INDEX(Pipes_result_save_V1!$G$2:$G$206,MATCH(Z72,Pipes_result_save_V1!$I$2:$I$206,0))</f>
        <v>N188</v>
      </c>
      <c r="AB72" s="106" t="str">
        <f>INDEX(Pipes_result_save_V1!$H$2:$H$206,MATCH(Z72,Pipes_result_save_V1!$I$2:$I$206,0))</f>
        <v>N189</v>
      </c>
      <c r="AC72" s="78">
        <v>2.9028999999999999E-2</v>
      </c>
      <c r="AD72" s="78">
        <v>200</v>
      </c>
      <c r="AE72" s="78">
        <v>150</v>
      </c>
      <c r="AF72" s="78">
        <v>263</v>
      </c>
      <c r="AG72" s="78">
        <v>665.34701736084105</v>
      </c>
      <c r="AH72" s="78">
        <v>-2.2432064923816445E-2</v>
      </c>
      <c r="AI72" s="78">
        <v>-1</v>
      </c>
      <c r="AJ72" s="78">
        <v>-1</v>
      </c>
      <c r="AK72" s="78">
        <v>-0.58729739074211607</v>
      </c>
      <c r="AL72">
        <v>48.487500876461873</v>
      </c>
      <c r="AM72" s="107">
        <f>INDEX(Pipes_result_save_V1!$K$2:$K$206,MATCH(Z72,Pipes_result_save_V1!$I$2:$I$206,0)) *POWER(10,-3)</f>
        <v>-1.385504245758057E-2</v>
      </c>
      <c r="AN72" s="78">
        <v>3.7055250738890723E-3</v>
      </c>
      <c r="AO72" s="78">
        <f t="shared" si="2"/>
        <v>6.1821784820657692E-3</v>
      </c>
      <c r="AP72" s="78">
        <f t="shared" si="3"/>
        <v>-6.1821784820657692E-3</v>
      </c>
      <c r="AQ72" s="78" cm="1">
        <f t="array" ref="AQ72">IF(W72=0,
IF(Y72="positif",ABS(AO72),ABS(AO72)*(-1)),
INDEX($R$8:$R$77,W72))</f>
        <v>-4.9567935076183497E-2</v>
      </c>
    </row>
    <row r="73" spans="2:43" ht="30" x14ac:dyDescent="0.25">
      <c r="B73" s="106">
        <v>66</v>
      </c>
      <c r="C73" s="106" t="s">
        <v>540</v>
      </c>
      <c r="D73" s="106" t="s">
        <v>273</v>
      </c>
      <c r="E73" s="106" t="str">
        <f>INDEX(Pipes_result_save_V1!$G$2:$G$206,MATCH(D73,Pipes_result_save_V1!$I$2:$I$206,0))</f>
        <v>N189</v>
      </c>
      <c r="F73" s="106" t="str">
        <f>INDEX(Pipes_result_save_V1!$H$2:$H$206,MATCH(D73,Pipes_result_save_V1!$I$2:$I$206,0))</f>
        <v>N190</v>
      </c>
      <c r="G73" s="106">
        <v>2.9028999999999999E-2</v>
      </c>
      <c r="H73" s="107">
        <v>200</v>
      </c>
      <c r="I73" s="107">
        <v>150</v>
      </c>
      <c r="J73" s="107">
        <v>257</v>
      </c>
      <c r="K73" s="107">
        <v>650.16799795336942</v>
      </c>
      <c r="L73" s="107">
        <v>-2.9028999999999999E-2</v>
      </c>
      <c r="M73" s="107">
        <v>-0.92510407245331538</v>
      </c>
      <c r="N73" s="107">
        <v>59.020040035259257</v>
      </c>
      <c r="O73" s="107">
        <f>INDEX(Pipes_result_save_V1!$K$2:$K$206,MATCH(D73,Pipes_result_save_V1!$I$2:$I$206,0)) *POWER(10,-3)</f>
        <v>-1.6821928024291988E-2</v>
      </c>
      <c r="P73" s="78">
        <v>6.1713420649328237E-3</v>
      </c>
      <c r="Q73" s="78">
        <f t="shared" ref="Q73:Q77" si="14">G73+$D$79</f>
        <v>-4.9567935076183497E-2</v>
      </c>
      <c r="R73" s="78">
        <f t="shared" ref="R73:R77" si="15">IF(C73="positif",ABS(Q73),ABS(Q73)*(-1))</f>
        <v>-4.9567935076183497E-2</v>
      </c>
      <c r="S73" s="78"/>
      <c r="T73" s="78"/>
      <c r="U73" s="78"/>
      <c r="V73" s="78"/>
      <c r="W73" s="78">
        <v>66</v>
      </c>
      <c r="X73" s="78">
        <v>66</v>
      </c>
      <c r="Y73" s="78" t="s">
        <v>540</v>
      </c>
      <c r="Z73" s="78" t="s">
        <v>273</v>
      </c>
      <c r="AA73" s="106" t="str">
        <f>INDEX(Pipes_result_save_V1!$G$2:$G$206,MATCH(Z73,Pipes_result_save_V1!$I$2:$I$206,0))</f>
        <v>N189</v>
      </c>
      <c r="AB73" s="106" t="str">
        <f>INDEX(Pipes_result_save_V1!$H$2:$H$206,MATCH(Z73,Pipes_result_save_V1!$I$2:$I$206,0))</f>
        <v>N190</v>
      </c>
      <c r="AC73" s="78">
        <v>2.9028999999999999E-2</v>
      </c>
      <c r="AD73" s="78">
        <v>200</v>
      </c>
      <c r="AE73" s="78">
        <v>150</v>
      </c>
      <c r="AF73" s="78">
        <v>257</v>
      </c>
      <c r="AG73" s="78">
        <v>650.16799795336942</v>
      </c>
      <c r="AH73" s="78">
        <v>-2.2432064923816445E-2</v>
      </c>
      <c r="AI73" s="78">
        <v>-1</v>
      </c>
      <c r="AJ73" s="78">
        <v>-1</v>
      </c>
      <c r="AK73" s="78">
        <v>-0.57389897118145938</v>
      </c>
      <c r="AL73">
        <v>47.381322149242209</v>
      </c>
      <c r="AM73" s="107">
        <f>INDEX(Pipes_result_save_V1!$K$2:$K$206,MATCH(Z73,Pipes_result_save_V1!$I$2:$I$206,0)) *POWER(10,-3)</f>
        <v>-1.6821928024291988E-2</v>
      </c>
      <c r="AN73" s="78">
        <v>2.0439464026063801E-5</v>
      </c>
      <c r="AO73" s="78">
        <f t="shared" ref="AO73:AO77" si="16">AC73+$Z$79</f>
        <v>6.1821784820657692E-3</v>
      </c>
      <c r="AP73" s="78">
        <f t="shared" ref="AP73:AP77" si="17">IF(Y73="positif",ABS(AO73),ABS(AO73)*(-1))</f>
        <v>-6.1821784820657692E-3</v>
      </c>
      <c r="AQ73" s="78" cm="1">
        <f t="array" ref="AQ73">IF(W73=0,
IF(Y73="positif",ABS(AO73),ABS(AO73)*(-1)),
INDEX($R$8:$R$77,W73))</f>
        <v>-4.9567935076183497E-2</v>
      </c>
    </row>
    <row r="74" spans="2:43" ht="30" x14ac:dyDescent="0.25">
      <c r="B74" s="106">
        <v>67</v>
      </c>
      <c r="C74" s="106" t="s">
        <v>540</v>
      </c>
      <c r="D74" s="106" t="s">
        <v>274</v>
      </c>
      <c r="E74" s="106" t="str">
        <f>INDEX(Pipes_result_save_V1!$G$2:$G$206,MATCH(D74,Pipes_result_save_V1!$I$2:$I$206,0))</f>
        <v>N190</v>
      </c>
      <c r="F74" s="106" t="str">
        <f>INDEX(Pipes_result_save_V1!$H$2:$H$206,MATCH(D74,Pipes_result_save_V1!$I$2:$I$206,0))</f>
        <v>N191</v>
      </c>
      <c r="G74" s="106">
        <v>2.9028999999999999E-2</v>
      </c>
      <c r="H74" s="107">
        <v>200</v>
      </c>
      <c r="I74" s="107">
        <v>150</v>
      </c>
      <c r="J74" s="107">
        <v>173</v>
      </c>
      <c r="K74" s="107">
        <v>437.66172624876617</v>
      </c>
      <c r="L74" s="107">
        <v>-2.9028999999999999E-2</v>
      </c>
      <c r="M74" s="107">
        <v>-0.6227354262039827</v>
      </c>
      <c r="N74" s="107">
        <v>39.729443292217326</v>
      </c>
      <c r="O74" s="107">
        <f>INDEX(Pipes_result_save_V1!$K$2:$K$206,MATCH(D74,Pipes_result_save_V1!$I$2:$I$206,0)) *POWER(10,-3)</f>
        <v>-1.9275314331054692E-2</v>
      </c>
      <c r="P74" s="78">
        <v>5.0840904189161686E-3</v>
      </c>
      <c r="Q74" s="78">
        <f t="shared" si="14"/>
        <v>-4.9567935076183497E-2</v>
      </c>
      <c r="R74" s="78">
        <f t="shared" si="15"/>
        <v>-4.9567935076183497E-2</v>
      </c>
      <c r="S74" s="78"/>
      <c r="T74" s="78"/>
      <c r="U74" s="78"/>
      <c r="V74" s="78"/>
      <c r="W74" s="78">
        <v>67</v>
      </c>
      <c r="X74" s="78">
        <v>67</v>
      </c>
      <c r="Y74" s="78" t="s">
        <v>540</v>
      </c>
      <c r="Z74" s="78" t="s">
        <v>274</v>
      </c>
      <c r="AA74" s="106" t="str">
        <f>INDEX(Pipes_result_save_V1!$G$2:$G$206,MATCH(Z74,Pipes_result_save_V1!$I$2:$I$206,0))</f>
        <v>N190</v>
      </c>
      <c r="AB74" s="106" t="str">
        <f>INDEX(Pipes_result_save_V1!$H$2:$H$206,MATCH(Z74,Pipes_result_save_V1!$I$2:$I$206,0))</f>
        <v>N191</v>
      </c>
      <c r="AC74" s="78">
        <v>2.9028999999999999E-2</v>
      </c>
      <c r="AD74" s="78">
        <v>200</v>
      </c>
      <c r="AE74" s="78">
        <v>150</v>
      </c>
      <c r="AF74" s="78">
        <v>173</v>
      </c>
      <c r="AG74" s="78">
        <v>437.66172624876617</v>
      </c>
      <c r="AH74" s="78">
        <v>-2.2432064923816445E-2</v>
      </c>
      <c r="AI74" s="78">
        <v>-1</v>
      </c>
      <c r="AJ74" s="78">
        <v>-1</v>
      </c>
      <c r="AK74" s="78">
        <v>-0.38632109733226644</v>
      </c>
      <c r="AL74">
        <v>31.894819968166935</v>
      </c>
      <c r="AM74" s="107">
        <f>INDEX(Pipes_result_save_V1!$K$2:$K$206,MATCH(Z74,Pipes_result_save_V1!$I$2:$I$206,0)) *POWER(10,-3)</f>
        <v>-1.9275314331054692E-2</v>
      </c>
      <c r="AN74" s="78">
        <v>2.3847943325962812E-3</v>
      </c>
      <c r="AO74" s="78">
        <f t="shared" si="16"/>
        <v>6.1821784820657692E-3</v>
      </c>
      <c r="AP74" s="78">
        <f t="shared" si="17"/>
        <v>-6.1821784820657692E-3</v>
      </c>
      <c r="AQ74" s="78" cm="1">
        <f t="array" ref="AQ74">IF(W74=0,
IF(Y74="positif",ABS(AO74),ABS(AO74)*(-1)),
INDEX($R$8:$R$77,W74))</f>
        <v>-4.9567935076183497E-2</v>
      </c>
    </row>
    <row r="75" spans="2:43" ht="30" x14ac:dyDescent="0.25">
      <c r="B75" s="106">
        <v>68</v>
      </c>
      <c r="C75" s="106" t="s">
        <v>540</v>
      </c>
      <c r="D75" s="106" t="s">
        <v>275</v>
      </c>
      <c r="E75" s="106" t="str">
        <f>INDEX(Pipes_result_save_V1!$G$2:$G$206,MATCH(D75,Pipes_result_save_V1!$I$2:$I$206,0))</f>
        <v>N191</v>
      </c>
      <c r="F75" s="106" t="str">
        <f>INDEX(Pipes_result_save_V1!$H$2:$H$206,MATCH(D75,Pipes_result_save_V1!$I$2:$I$206,0))</f>
        <v>N192</v>
      </c>
      <c r="G75" s="106">
        <v>2.9028999999999999E-2</v>
      </c>
      <c r="H75" s="107">
        <v>200</v>
      </c>
      <c r="I75" s="107">
        <v>150</v>
      </c>
      <c r="J75" s="107">
        <v>47</v>
      </c>
      <c r="K75" s="107">
        <v>118.90231869186132</v>
      </c>
      <c r="L75" s="107">
        <v>-2.9028999999999999E-2</v>
      </c>
      <c r="M75" s="107">
        <v>-0.16918245682998373</v>
      </c>
      <c r="N75" s="107">
        <v>10.793548177654417</v>
      </c>
      <c r="O75" s="107">
        <f>INDEX(Pipes_result_save_V1!$K$2:$K$206,MATCH(D75,Pipes_result_save_V1!$I$2:$I$206,0)) *POWER(10,-3)</f>
        <v>-2.05305347442627E-2</v>
      </c>
      <c r="P75" s="78">
        <v>5.4959869416529123E-3</v>
      </c>
      <c r="Q75" s="78">
        <f t="shared" si="14"/>
        <v>-4.9567935076183497E-2</v>
      </c>
      <c r="R75" s="78">
        <f t="shared" si="15"/>
        <v>-4.9567935076183497E-2</v>
      </c>
      <c r="S75" s="78"/>
      <c r="T75" s="78"/>
      <c r="U75" s="78"/>
      <c r="V75" s="78"/>
      <c r="W75" s="78">
        <v>68</v>
      </c>
      <c r="X75" s="78">
        <v>68</v>
      </c>
      <c r="Y75" s="78" t="s">
        <v>540</v>
      </c>
      <c r="Z75" s="78" t="s">
        <v>275</v>
      </c>
      <c r="AA75" s="106" t="str">
        <f>INDEX(Pipes_result_save_V1!$G$2:$G$206,MATCH(Z75,Pipes_result_save_V1!$I$2:$I$206,0))</f>
        <v>N191</v>
      </c>
      <c r="AB75" s="106" t="str">
        <f>INDEX(Pipes_result_save_V1!$H$2:$H$206,MATCH(Z75,Pipes_result_save_V1!$I$2:$I$206,0))</f>
        <v>N192</v>
      </c>
      <c r="AC75" s="78">
        <v>2.9028999999999999E-2</v>
      </c>
      <c r="AD75" s="78">
        <v>200</v>
      </c>
      <c r="AE75" s="78">
        <v>150</v>
      </c>
      <c r="AF75" s="78">
        <v>47</v>
      </c>
      <c r="AG75" s="78">
        <v>118.90231869186132</v>
      </c>
      <c r="AH75" s="78">
        <v>-2.2432064923816445E-2</v>
      </c>
      <c r="AI75" s="78">
        <v>-1</v>
      </c>
      <c r="AJ75" s="78">
        <v>-1</v>
      </c>
      <c r="AK75" s="78">
        <v>-0.10495428655847701</v>
      </c>
      <c r="AL75">
        <v>8.6650666965540228</v>
      </c>
      <c r="AM75" s="107">
        <f>INDEX(Pipes_result_save_V1!$K$2:$K$206,MATCH(Z75,Pipes_result_save_V1!$I$2:$I$206,0)) *POWER(10,-3)</f>
        <v>-2.05305347442627E-2</v>
      </c>
      <c r="AN75" s="78">
        <v>2.9079985138577924E-3</v>
      </c>
      <c r="AO75" s="78">
        <f t="shared" si="16"/>
        <v>6.1821784820657692E-3</v>
      </c>
      <c r="AP75" s="78">
        <f t="shared" si="17"/>
        <v>-6.1821784820657692E-3</v>
      </c>
      <c r="AQ75" s="78" cm="1">
        <f t="array" ref="AQ75">IF(W75=0,
IF(Y75="positif",ABS(AO75),ABS(AO75)*(-1)),
INDEX($R$8:$R$77,W75))</f>
        <v>-4.9567935076183497E-2</v>
      </c>
    </row>
    <row r="76" spans="2:43" ht="30" x14ac:dyDescent="0.25">
      <c r="B76" s="106">
        <v>69</v>
      </c>
      <c r="C76" s="106" t="s">
        <v>540</v>
      </c>
      <c r="D76" s="106" t="s">
        <v>277</v>
      </c>
      <c r="E76" s="106" t="str">
        <f>INDEX(Pipes_result_save_V1!$G$2:$G$206,MATCH(D76,Pipes_result_save_V1!$I$2:$I$206,0))</f>
        <v>N193</v>
      </c>
      <c r="F76" s="106" t="str">
        <f>INDEX(Pipes_result_save_V1!$H$2:$H$206,MATCH(D76,Pipes_result_save_V1!$I$2:$I$206,0))</f>
        <v>N192</v>
      </c>
      <c r="G76" s="106">
        <v>0.22842500000000002</v>
      </c>
      <c r="H76" s="107">
        <v>565</v>
      </c>
      <c r="I76" s="107">
        <v>150</v>
      </c>
      <c r="J76" s="107">
        <v>351</v>
      </c>
      <c r="K76" s="107">
        <v>5.6427226167427849</v>
      </c>
      <c r="L76" s="107">
        <v>-0.22842500000000002</v>
      </c>
      <c r="M76" s="107">
        <v>-0.36633795039434436</v>
      </c>
      <c r="N76" s="107">
        <v>2.9701559992572006</v>
      </c>
      <c r="O76" s="107">
        <f>INDEX(Pipes_result_save_V1!$K$2:$K$206,MATCH(D76,Pipes_result_save_V1!$I$2:$I$206,0)) *POWER(10,-3)</f>
        <v>-1.403542900085449E-2</v>
      </c>
      <c r="P76" s="78">
        <v>5.456823903032002E-3</v>
      </c>
      <c r="Q76" s="78">
        <f t="shared" si="14"/>
        <v>0.14982806492381651</v>
      </c>
      <c r="R76" s="78">
        <f t="shared" si="15"/>
        <v>-0.14982806492381651</v>
      </c>
      <c r="S76" s="78"/>
      <c r="T76" s="78"/>
      <c r="U76" s="78"/>
      <c r="V76" s="78"/>
      <c r="W76" s="78">
        <v>69</v>
      </c>
      <c r="X76" s="78">
        <v>69</v>
      </c>
      <c r="Y76" s="78" t="s">
        <v>540</v>
      </c>
      <c r="Z76" s="78" t="s">
        <v>277</v>
      </c>
      <c r="AA76" s="106" t="str">
        <f>INDEX(Pipes_result_save_V1!$G$2:$G$206,MATCH(Z76,Pipes_result_save_V1!$I$2:$I$206,0))</f>
        <v>N193</v>
      </c>
      <c r="AB76" s="106" t="str">
        <f>INDEX(Pipes_result_save_V1!$H$2:$H$206,MATCH(Z76,Pipes_result_save_V1!$I$2:$I$206,0))</f>
        <v>N192</v>
      </c>
      <c r="AC76" s="78">
        <v>0.22842500000000002</v>
      </c>
      <c r="AD76" s="78">
        <v>565</v>
      </c>
      <c r="AE76" s="78">
        <v>150</v>
      </c>
      <c r="AF76" s="78">
        <v>351</v>
      </c>
      <c r="AG76" s="78">
        <v>5.6427226167427849</v>
      </c>
      <c r="AH76" s="78">
        <v>-0.22182806492381646</v>
      </c>
      <c r="AI76" s="78">
        <v>-1</v>
      </c>
      <c r="AJ76" s="78">
        <v>-1</v>
      </c>
      <c r="AK76" s="78">
        <v>-0.34698543293187428</v>
      </c>
      <c r="AL76">
        <v>2.89691487869458</v>
      </c>
      <c r="AM76" s="107">
        <f>INDEX(Pipes_result_save_V1!$K$2:$K$206,MATCH(Z76,Pipes_result_save_V1!$I$2:$I$206,0)) *POWER(10,-3)</f>
        <v>-1.403542900085449E-2</v>
      </c>
      <c r="AN76" s="78">
        <v>4.4989139488919869E-3</v>
      </c>
      <c r="AO76" s="78">
        <f t="shared" si="16"/>
        <v>0.20557817848206578</v>
      </c>
      <c r="AP76" s="78">
        <f t="shared" si="17"/>
        <v>-0.20557817848206578</v>
      </c>
      <c r="AQ76" s="78" cm="1">
        <f t="array" ref="AQ76">IF(W76=0,
IF(Y76="positif",ABS(AO76),ABS(AO76)*(-1)),
INDEX($R$8:$R$77,W76))</f>
        <v>-0.14982806492381651</v>
      </c>
    </row>
    <row r="77" spans="2:43" ht="30" x14ac:dyDescent="0.25">
      <c r="B77" s="106">
        <v>70</v>
      </c>
      <c r="C77" s="106" t="s">
        <v>540</v>
      </c>
      <c r="D77" s="106" t="s">
        <v>427</v>
      </c>
      <c r="E77" s="106" t="str">
        <f>INDEX(Pipes_result_save_V1!$G$2:$G$206,MATCH(D77,Pipes_result_save_V1!$I$2:$I$206,0))</f>
        <v>N194</v>
      </c>
      <c r="F77" s="106" t="str">
        <f>INDEX(Pipes_result_save_V1!$H$2:$H$206,MATCH(D77,Pipes_result_save_V1!$I$2:$I$206,0))</f>
        <v>N193</v>
      </c>
      <c r="G77" s="106">
        <v>0.22842500000000002</v>
      </c>
      <c r="H77" s="107">
        <v>565</v>
      </c>
      <c r="I77" s="107">
        <v>150</v>
      </c>
      <c r="J77" s="107">
        <v>169</v>
      </c>
      <c r="K77" s="107">
        <v>2.7168664450983777</v>
      </c>
      <c r="L77" s="107">
        <v>-0.22842500000000002</v>
      </c>
      <c r="M77" s="107">
        <v>-0.17638493907875838</v>
      </c>
      <c r="N77" s="107">
        <v>1.4300751107534666</v>
      </c>
      <c r="O77" s="107">
        <f>INDEX(Pipes_result_save_V1!$K$2:$K$206,MATCH(D77,Pipes_result_save_V1!$I$2:$I$206,0)) *POWER(10,-3)</f>
        <v>-1.1068543434143071E-2</v>
      </c>
      <c r="P77" s="78">
        <v>6.5543548446075697E-3</v>
      </c>
      <c r="Q77" s="78">
        <f t="shared" si="14"/>
        <v>0.14982806492381651</v>
      </c>
      <c r="R77" s="78">
        <f t="shared" si="15"/>
        <v>-0.14982806492381651</v>
      </c>
      <c r="S77" s="78"/>
      <c r="T77" s="78"/>
      <c r="U77" s="78"/>
      <c r="V77" s="78"/>
      <c r="W77" s="78">
        <v>70</v>
      </c>
      <c r="X77" s="78">
        <v>70</v>
      </c>
      <c r="Y77" s="78" t="s">
        <v>540</v>
      </c>
      <c r="Z77" s="78" t="s">
        <v>427</v>
      </c>
      <c r="AA77" s="106" t="str">
        <f>INDEX(Pipes_result_save_V1!$G$2:$G$206,MATCH(Z77,Pipes_result_save_V1!$I$2:$I$206,0))</f>
        <v>N194</v>
      </c>
      <c r="AB77" s="106" t="str">
        <f>INDEX(Pipes_result_save_V1!$H$2:$H$206,MATCH(Z77,Pipes_result_save_V1!$I$2:$I$206,0))</f>
        <v>N193</v>
      </c>
      <c r="AC77" s="78">
        <v>0.22842500000000002</v>
      </c>
      <c r="AD77" s="78">
        <v>565</v>
      </c>
      <c r="AE77" s="78">
        <v>150</v>
      </c>
      <c r="AF77" s="78">
        <v>169</v>
      </c>
      <c r="AG77" s="78">
        <v>2.7168664450983777</v>
      </c>
      <c r="AH77" s="78">
        <v>-0.22182806492381646</v>
      </c>
      <c r="AI77" s="78">
        <v>-1</v>
      </c>
      <c r="AJ77" s="78">
        <v>-1</v>
      </c>
      <c r="AK77" s="78">
        <v>-0.16706706030053203</v>
      </c>
      <c r="AL77">
        <v>1.3948108675196123</v>
      </c>
      <c r="AM77" s="107">
        <f>INDEX(Pipes_result_save_V1!$K$2:$K$206,MATCH(Z77,Pipes_result_save_V1!$I$2:$I$206,0)) *POWER(10,-3)</f>
        <v>-1.1068543434143071E-2</v>
      </c>
      <c r="AN77" s="78">
        <v>1.3429046318283954E-3</v>
      </c>
      <c r="AO77" s="78">
        <f t="shared" si="16"/>
        <v>0.20557817848206578</v>
      </c>
      <c r="AP77" s="78">
        <f t="shared" si="17"/>
        <v>-0.20557817848206578</v>
      </c>
      <c r="AQ77" s="78" cm="1">
        <f t="array" ref="AQ77">IF(W77=0,
IF(Y77="positif",ABS(AO77),ABS(AO77)*(-1)),
INDEX($R$8:$R$77,W77))</f>
        <v>-0.14982806492381651</v>
      </c>
    </row>
    <row r="78" spans="2:43" ht="30" x14ac:dyDescent="0.25">
      <c r="B78" s="106">
        <v>71</v>
      </c>
      <c r="C78" s="106" t="s">
        <v>380</v>
      </c>
      <c r="D78" s="233"/>
      <c r="E78" s="233"/>
      <c r="F78" s="233"/>
      <c r="G78" s="233"/>
      <c r="H78" s="233"/>
      <c r="I78" s="233"/>
      <c r="J78" s="233"/>
      <c r="K78" s="233"/>
      <c r="L78" s="233"/>
      <c r="M78" s="107">
        <v>-5.070376541099133</v>
      </c>
      <c r="N78" s="107">
        <v>768.59579221938282</v>
      </c>
      <c r="O78" s="107"/>
      <c r="P78" s="78"/>
      <c r="Q78" s="78"/>
      <c r="R78" s="78"/>
      <c r="S78" s="78"/>
      <c r="T78" s="78"/>
      <c r="U78" s="78"/>
      <c r="V78" s="78"/>
      <c r="W78" s="78">
        <v>44</v>
      </c>
      <c r="X78" s="78">
        <v>71</v>
      </c>
      <c r="Y78" s="78" t="s">
        <v>380</v>
      </c>
      <c r="Z78" s="249"/>
      <c r="AA78" s="249"/>
      <c r="AB78" s="249"/>
      <c r="AC78" s="249"/>
      <c r="AD78" s="249"/>
      <c r="AE78" s="249"/>
      <c r="AF78" s="249"/>
      <c r="AG78" s="249"/>
      <c r="AH78" s="249"/>
      <c r="AI78" s="249"/>
      <c r="AJ78" s="249"/>
      <c r="AK78" s="78">
        <v>35.649147910678835</v>
      </c>
      <c r="AL78">
        <v>1560.3548127119159</v>
      </c>
    </row>
    <row r="79" spans="2:43" x14ac:dyDescent="0.25">
      <c r="B79" s="106">
        <v>72</v>
      </c>
      <c r="C79" s="106" t="s">
        <v>381</v>
      </c>
      <c r="D79" s="233">
        <v>-7.8596935076183497E-2</v>
      </c>
      <c r="E79" s="233"/>
      <c r="F79" s="233"/>
      <c r="G79" s="233"/>
      <c r="H79" s="233"/>
      <c r="I79" s="233"/>
      <c r="J79" s="233"/>
      <c r="K79" s="233"/>
      <c r="L79" s="233"/>
      <c r="M79" s="233"/>
      <c r="N79" s="233"/>
      <c r="O79" s="107"/>
      <c r="P79" s="78"/>
      <c r="Q79" s="78"/>
      <c r="R79" s="78"/>
      <c r="S79" s="78"/>
      <c r="T79" s="78"/>
      <c r="U79" s="78"/>
      <c r="V79" s="78"/>
      <c r="W79" s="78"/>
      <c r="X79" s="78">
        <v>72</v>
      </c>
      <c r="Y79" s="78" t="s">
        <v>381</v>
      </c>
      <c r="Z79" s="249">
        <v>-2.284682151793423E-2</v>
      </c>
      <c r="AA79" s="249"/>
      <c r="AB79" s="249"/>
      <c r="AC79" s="249"/>
      <c r="AD79" s="249"/>
      <c r="AE79" s="249"/>
      <c r="AF79" s="249"/>
      <c r="AG79" s="249"/>
      <c r="AH79" s="249"/>
      <c r="AI79" s="249"/>
      <c r="AJ79" s="249"/>
      <c r="AK79" s="249"/>
      <c r="AL79" s="249"/>
    </row>
    <row r="80" spans="2:43" x14ac:dyDescent="0.25"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</row>
    <row r="81" spans="2:155" x14ac:dyDescent="0.25"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</row>
    <row r="82" spans="2:155" x14ac:dyDescent="0.25"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</row>
    <row r="83" spans="2:155" x14ac:dyDescent="0.25"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</row>
    <row r="84" spans="2:155" x14ac:dyDescent="0.25"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</row>
    <row r="85" spans="2:155" x14ac:dyDescent="0.25"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</row>
    <row r="86" spans="2:155" x14ac:dyDescent="0.25"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</row>
    <row r="87" spans="2:155" x14ac:dyDescent="0.25"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</row>
    <row r="88" spans="2:155" x14ac:dyDescent="0.25"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</row>
    <row r="89" spans="2:155" x14ac:dyDescent="0.25"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</row>
    <row r="90" spans="2:155" x14ac:dyDescent="0.25"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</row>
    <row r="91" spans="2:155" x14ac:dyDescent="0.25">
      <c r="B91" s="106"/>
      <c r="C91" s="233" t="s">
        <v>111</v>
      </c>
      <c r="D91" s="233"/>
      <c r="E91" s="233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78"/>
      <c r="S91" s="78"/>
      <c r="T91" s="78"/>
      <c r="U91" s="78"/>
      <c r="V91" s="78"/>
      <c r="W91" s="78"/>
      <c r="X91" s="78"/>
      <c r="Y91" s="249" t="s">
        <v>203</v>
      </c>
      <c r="Z91" s="249"/>
      <c r="AA91" s="249"/>
      <c r="AB91" s="249"/>
      <c r="AC91" s="249"/>
      <c r="AD91" s="249"/>
      <c r="AE91" s="249"/>
      <c r="AF91" s="249"/>
      <c r="AG91" s="249"/>
      <c r="AH91" s="249"/>
      <c r="AI91" s="249"/>
      <c r="AJ91" s="249"/>
      <c r="AK91" s="249"/>
      <c r="AL91" s="249"/>
      <c r="AM91" s="249"/>
      <c r="AN91" s="249"/>
      <c r="AO91" s="249"/>
      <c r="AV91" s="233" t="s">
        <v>233</v>
      </c>
      <c r="AW91" s="233"/>
      <c r="AX91" s="233"/>
      <c r="AY91" s="233"/>
      <c r="AZ91" s="233"/>
      <c r="BA91" s="233"/>
      <c r="BB91" s="233"/>
      <c r="BC91" s="233"/>
      <c r="BD91" s="233"/>
      <c r="BE91" s="233"/>
      <c r="BF91" s="233"/>
      <c r="BG91" s="233"/>
      <c r="BH91" s="233"/>
      <c r="BI91" s="233"/>
      <c r="BT91" s="233" t="s">
        <v>255</v>
      </c>
      <c r="BU91" s="233"/>
      <c r="BV91" s="233"/>
      <c r="BW91" s="233"/>
      <c r="BX91" s="233"/>
      <c r="BY91" s="233"/>
      <c r="BZ91" s="233"/>
      <c r="CA91" s="233"/>
      <c r="CB91" s="233"/>
      <c r="CC91" s="233"/>
      <c r="CD91" s="233"/>
      <c r="CE91" s="233"/>
      <c r="CF91" s="233"/>
      <c r="CG91" s="106"/>
      <c r="CH91" s="106"/>
      <c r="CI91" s="106"/>
      <c r="CJ91" s="106"/>
      <c r="CP91" t="s">
        <v>279</v>
      </c>
      <c r="DN91" t="s">
        <v>305</v>
      </c>
      <c r="EK91" t="s">
        <v>317</v>
      </c>
    </row>
    <row r="92" spans="2:155" ht="45" x14ac:dyDescent="0.25">
      <c r="B92" s="106"/>
      <c r="C92" s="106" t="s">
        <v>542</v>
      </c>
      <c r="D92" s="106" t="s">
        <v>102</v>
      </c>
      <c r="E92" s="106" t="s">
        <v>905</v>
      </c>
      <c r="F92" s="106" t="s">
        <v>906</v>
      </c>
      <c r="G92" s="106" t="s">
        <v>384</v>
      </c>
      <c r="H92" s="107" t="s">
        <v>440</v>
      </c>
      <c r="I92" s="107" t="s">
        <v>106</v>
      </c>
      <c r="J92" s="107" t="s">
        <v>107</v>
      </c>
      <c r="K92" s="107" t="s">
        <v>379</v>
      </c>
      <c r="L92" s="107" t="s">
        <v>385</v>
      </c>
      <c r="M92" s="107" t="s">
        <v>387</v>
      </c>
      <c r="N92" s="107" t="s">
        <v>388</v>
      </c>
      <c r="O92" s="107" t="s">
        <v>386</v>
      </c>
      <c r="P92" s="78" t="s">
        <v>907</v>
      </c>
      <c r="Q92" s="107" t="s">
        <v>908</v>
      </c>
      <c r="R92" s="78"/>
      <c r="S92" s="78"/>
      <c r="T92" s="78"/>
      <c r="U92" s="78"/>
      <c r="V92" s="78"/>
      <c r="W92" s="78" t="s">
        <v>544</v>
      </c>
      <c r="X92" s="78" t="s">
        <v>545</v>
      </c>
      <c r="Y92" s="78" t="s">
        <v>542</v>
      </c>
      <c r="Z92" s="78" t="s">
        <v>102</v>
      </c>
      <c r="AA92" s="106" t="s">
        <v>905</v>
      </c>
      <c r="AB92" s="106" t="s">
        <v>906</v>
      </c>
      <c r="AC92" s="78" t="s">
        <v>384</v>
      </c>
      <c r="AD92" s="78" t="s">
        <v>440</v>
      </c>
      <c r="AE92" s="78" t="s">
        <v>106</v>
      </c>
      <c r="AF92" s="78" t="s">
        <v>107</v>
      </c>
      <c r="AG92" s="78" t="s">
        <v>379</v>
      </c>
      <c r="AH92" s="78" t="s">
        <v>385</v>
      </c>
      <c r="AI92" s="78" t="s">
        <v>550</v>
      </c>
      <c r="AJ92" s="78" t="s">
        <v>551</v>
      </c>
      <c r="AK92" s="78" t="s">
        <v>387</v>
      </c>
      <c r="AL92" t="s">
        <v>388</v>
      </c>
      <c r="AM92" t="s">
        <v>386</v>
      </c>
      <c r="AN92" s="78" t="s">
        <v>907</v>
      </c>
      <c r="AO92" s="107" t="s">
        <v>908</v>
      </c>
      <c r="AU92" t="s">
        <v>544</v>
      </c>
      <c r="AV92" t="s">
        <v>545</v>
      </c>
      <c r="AW92" t="s">
        <v>542</v>
      </c>
      <c r="AX92" t="s">
        <v>102</v>
      </c>
      <c r="AY92" s="106" t="s">
        <v>905</v>
      </c>
      <c r="AZ92" s="106" t="s">
        <v>906</v>
      </c>
      <c r="BA92" t="s">
        <v>384</v>
      </c>
      <c r="BB92" t="s">
        <v>440</v>
      </c>
      <c r="BC92" t="s">
        <v>106</v>
      </c>
      <c r="BD92" t="s">
        <v>107</v>
      </c>
      <c r="BE92" t="s">
        <v>379</v>
      </c>
      <c r="BF92" t="s">
        <v>385</v>
      </c>
      <c r="BG92" t="s">
        <v>387</v>
      </c>
      <c r="BH92" t="s">
        <v>388</v>
      </c>
      <c r="BI92" t="s">
        <v>386</v>
      </c>
      <c r="BJ92" s="78" t="s">
        <v>907</v>
      </c>
      <c r="BK92" s="107" t="s">
        <v>908</v>
      </c>
      <c r="BR92" t="s">
        <v>544</v>
      </c>
      <c r="BS92" t="s">
        <v>545</v>
      </c>
      <c r="BT92" t="s">
        <v>542</v>
      </c>
      <c r="BU92" t="s">
        <v>102</v>
      </c>
      <c r="BV92" s="106" t="s">
        <v>905</v>
      </c>
      <c r="BW92" s="106" t="s">
        <v>906</v>
      </c>
      <c r="BX92" t="s">
        <v>384</v>
      </c>
      <c r="BY92" t="s">
        <v>440</v>
      </c>
      <c r="BZ92" t="s">
        <v>106</v>
      </c>
      <c r="CA92" t="s">
        <v>107</v>
      </c>
      <c r="CB92" t="s">
        <v>379</v>
      </c>
      <c r="CC92" t="s">
        <v>385</v>
      </c>
      <c r="CD92" t="s">
        <v>387</v>
      </c>
      <c r="CE92" t="s">
        <v>388</v>
      </c>
      <c r="CF92" t="s">
        <v>386</v>
      </c>
      <c r="CG92" s="78" t="s">
        <v>907</v>
      </c>
      <c r="CH92" s="107" t="s">
        <v>908</v>
      </c>
      <c r="CN92" t="s">
        <v>544</v>
      </c>
      <c r="CO92" t="s">
        <v>545</v>
      </c>
      <c r="CP92" t="s">
        <v>542</v>
      </c>
      <c r="CQ92" t="s">
        <v>102</v>
      </c>
      <c r="CR92" s="106" t="s">
        <v>905</v>
      </c>
      <c r="CS92" s="106" t="s">
        <v>906</v>
      </c>
      <c r="CT92" t="s">
        <v>384</v>
      </c>
      <c r="CU92" t="s">
        <v>440</v>
      </c>
      <c r="CV92" t="s">
        <v>106</v>
      </c>
      <c r="CW92" t="s">
        <v>107</v>
      </c>
      <c r="CX92" t="s">
        <v>379</v>
      </c>
      <c r="CY92" t="s">
        <v>385</v>
      </c>
      <c r="CZ92" t="s">
        <v>387</v>
      </c>
      <c r="DA92" t="s">
        <v>388</v>
      </c>
      <c r="DB92" t="s">
        <v>386</v>
      </c>
      <c r="DC92" s="78" t="s">
        <v>907</v>
      </c>
      <c r="DD92" s="107" t="s">
        <v>908</v>
      </c>
      <c r="DL92" t="s">
        <v>544</v>
      </c>
      <c r="DM92" t="s">
        <v>545</v>
      </c>
      <c r="DN92" t="s">
        <v>542</v>
      </c>
      <c r="DO92" t="s">
        <v>102</v>
      </c>
      <c r="DP92" s="106" t="s">
        <v>905</v>
      </c>
      <c r="DQ92" s="106" t="s">
        <v>906</v>
      </c>
      <c r="DR92" t="s">
        <v>384</v>
      </c>
      <c r="DS92" t="s">
        <v>440</v>
      </c>
      <c r="DT92" t="s">
        <v>106</v>
      </c>
      <c r="DU92" t="s">
        <v>107</v>
      </c>
      <c r="DV92" t="s">
        <v>379</v>
      </c>
      <c r="DW92" t="s">
        <v>385</v>
      </c>
      <c r="DX92" t="s">
        <v>387</v>
      </c>
      <c r="DY92" t="s">
        <v>388</v>
      </c>
      <c r="DZ92" t="s">
        <v>386</v>
      </c>
      <c r="EA92" s="78" t="s">
        <v>907</v>
      </c>
      <c r="EB92" s="107" t="s">
        <v>908</v>
      </c>
      <c r="EC92" s="107"/>
      <c r="ED92" s="107"/>
      <c r="EE92" s="107"/>
      <c r="EF92" s="107"/>
      <c r="EG92" s="107"/>
      <c r="EI92" t="s">
        <v>544</v>
      </c>
      <c r="EJ92" t="s">
        <v>545</v>
      </c>
      <c r="EK92" t="s">
        <v>542</v>
      </c>
      <c r="EL92" t="s">
        <v>102</v>
      </c>
      <c r="EM92" s="106" t="s">
        <v>905</v>
      </c>
      <c r="EN92" s="106" t="s">
        <v>906</v>
      </c>
      <c r="EO92" t="s">
        <v>384</v>
      </c>
      <c r="EP92" t="s">
        <v>440</v>
      </c>
      <c r="EQ92" t="s">
        <v>106</v>
      </c>
      <c r="ER92" t="s">
        <v>107</v>
      </c>
      <c r="ES92" t="s">
        <v>379</v>
      </c>
      <c r="ET92" t="s">
        <v>385</v>
      </c>
      <c r="EU92" t="s">
        <v>387</v>
      </c>
      <c r="EV92" t="s">
        <v>388</v>
      </c>
      <c r="EW92" t="s">
        <v>386</v>
      </c>
      <c r="EX92" s="78" t="s">
        <v>907</v>
      </c>
      <c r="EY92" s="107" t="s">
        <v>908</v>
      </c>
    </row>
    <row r="93" spans="2:155" x14ac:dyDescent="0.25">
      <c r="B93" s="106">
        <v>1</v>
      </c>
      <c r="C93" s="106" t="s">
        <v>539</v>
      </c>
      <c r="D93" s="106" t="s">
        <v>884</v>
      </c>
      <c r="E93" s="106" t="str">
        <f>INDEX(Pipes_result_save_V1!$G$2:$G$206,MATCH(D93,Pipes_result_save_V1!$I$2:$I$206,0))</f>
        <v>N165</v>
      </c>
      <c r="F93" s="106" t="str">
        <f>INDEX(Pipes_result_save_V1!$H$2:$H$206,MATCH(D93,Pipes_result_save_V1!$I$2:$I$206,0))</f>
        <v>N84</v>
      </c>
      <c r="G93" s="106">
        <f>ABS(R8)</f>
        <v>1.7403064923816505E-2</v>
      </c>
      <c r="H93" s="107">
        <v>350</v>
      </c>
      <c r="I93" s="107">
        <v>150</v>
      </c>
      <c r="J93" s="107">
        <v>96</v>
      </c>
      <c r="K93" s="107">
        <v>15.904695680187142</v>
      </c>
      <c r="L93" s="107">
        <v>9.6000000000000002E-2</v>
      </c>
      <c r="M93" s="107">
        <v>0.20734410255996347</v>
      </c>
      <c r="N93" s="107">
        <v>4.0000133118859607</v>
      </c>
      <c r="O93" s="107">
        <f>Q8</f>
        <v>1.7403064923816505E-2</v>
      </c>
      <c r="P93" s="78">
        <v>6.4431228208937999E-3</v>
      </c>
      <c r="Q93" s="106">
        <v>-6.8798556509843201E-3</v>
      </c>
      <c r="R93" s="78"/>
      <c r="S93" s="78"/>
      <c r="T93" s="78"/>
      <c r="U93" s="78"/>
      <c r="V93" s="78"/>
      <c r="W93" s="78">
        <v>0</v>
      </c>
      <c r="X93" s="78">
        <v>1</v>
      </c>
      <c r="Y93" s="78" t="s">
        <v>539</v>
      </c>
      <c r="Z93" s="78" t="s">
        <v>184</v>
      </c>
      <c r="AA93" s="106" t="str">
        <f>INDEX(Pipes_result_save_V1!$G$2:$G$206,MATCH(Z93,Pipes_result_save_V1!$I$2:$I$206,0))</f>
        <v>N82</v>
      </c>
      <c r="AB93" s="106" t="str">
        <f>INDEX(Pipes_result_save_V1!$H$2:$H$206,MATCH(Z93,Pipes_result_save_V1!$I$2:$I$206,0))</f>
        <v>N81</v>
      </c>
      <c r="AC93" s="106">
        <f>ABS(AQ8)</f>
        <v>6.8047178482065776E-2</v>
      </c>
      <c r="AD93" s="78">
        <v>350</v>
      </c>
      <c r="AE93" s="78">
        <v>150</v>
      </c>
      <c r="AF93" s="78">
        <v>68</v>
      </c>
      <c r="AG93" s="78">
        <v>11.265826106799226</v>
      </c>
      <c r="AH93" s="78">
        <v>9.0894000000000003E-2</v>
      </c>
      <c r="AI93" s="78">
        <v>0</v>
      </c>
      <c r="AJ93" s="78">
        <v>0</v>
      </c>
      <c r="AK93" s="78">
        <v>0.13273035727434446</v>
      </c>
      <c r="AL93">
        <v>2.7044317740674404</v>
      </c>
      <c r="AM93" s="107">
        <f>INDEX(Pipes_result_save_V1!$K$2:$K$206,MATCH(Z93,Pipes_result_save_V1!$I$2:$I$206,0)) *POWER(10,-3)</f>
        <v>-5.1448749542236327E-2</v>
      </c>
      <c r="AN93" s="78">
        <v>-1.7548399279513731E-3</v>
      </c>
      <c r="AO93" s="106">
        <v>-4.8867927851345354E-2</v>
      </c>
      <c r="AU93">
        <v>0</v>
      </c>
      <c r="AV93">
        <v>1</v>
      </c>
      <c r="AW93" t="s">
        <v>539</v>
      </c>
      <c r="AX93" t="s">
        <v>421</v>
      </c>
      <c r="AY93" s="106" t="str">
        <f>INDEX(Pipes_result_save_V1!$G$2:$G$206,MATCH(AX93,Pipes_result_save_V1!$I$2:$I$206,0))</f>
        <v>N42</v>
      </c>
      <c r="AZ93" s="106" t="str">
        <f>INDEX(Pipes_result_save_V1!$H$2:$H$206,MATCH(AX93,Pipes_result_save_V1!$I$2:$I$206,0))</f>
        <v>N72</v>
      </c>
      <c r="BA93" s="106">
        <f>ABS(BM8)</f>
        <v>3.8249255700015396E-2</v>
      </c>
      <c r="BB93">
        <v>250</v>
      </c>
      <c r="BC93">
        <v>150</v>
      </c>
      <c r="BD93">
        <v>42</v>
      </c>
      <c r="BE93">
        <v>35.833817943811347</v>
      </c>
      <c r="BF93">
        <v>3.2835999999999997E-2</v>
      </c>
      <c r="BG93">
        <v>6.405805386727606E-2</v>
      </c>
      <c r="BH93">
        <v>3.6129710001886743</v>
      </c>
      <c r="BI93" s="107">
        <f>INDEX(Pipes_result_save_V1!$K$2:$K$206,MATCH(AX93,Pipes_result_save_V1!$I$2:$I$206,0)) *POWER(10,-3)</f>
        <v>6.4305412292480477E-2</v>
      </c>
      <c r="BJ93" s="78">
        <v>5.753361051944573E-3</v>
      </c>
      <c r="BK93" s="106">
        <v>5.6735599202133863E-2</v>
      </c>
      <c r="BR93">
        <v>0</v>
      </c>
      <c r="BS93">
        <v>1</v>
      </c>
      <c r="BT93" t="s">
        <v>539</v>
      </c>
      <c r="BU93" t="s">
        <v>414</v>
      </c>
      <c r="BV93" s="106" t="str">
        <f>INDEX(Pipes_result_save_V1!$G$2:$G$206,MATCH(BU93,Pipes_result_save_V1!$I$2:$I$206,0))</f>
        <v>N52</v>
      </c>
      <c r="BW93" s="106" t="str">
        <f>INDEX(Pipes_result_save_V1!$H$2:$H$206,MATCH(BU93,Pipes_result_save_V1!$I$2:$I$206,0))</f>
        <v>N42</v>
      </c>
      <c r="BX93" s="106">
        <f>ABS(CJ8)</f>
        <v>2.3579796114934291E-2</v>
      </c>
      <c r="BY93">
        <v>250</v>
      </c>
      <c r="BZ93">
        <v>150</v>
      </c>
      <c r="CA93">
        <v>223</v>
      </c>
      <c r="CB93">
        <v>190.26050955880785</v>
      </c>
      <c r="CC93">
        <v>3.2835999999999997E-2</v>
      </c>
      <c r="CD93">
        <v>0.34011776220006096</v>
      </c>
      <c r="CE93">
        <v>19.183155548620817</v>
      </c>
      <c r="CF93" s="107">
        <f>INDEX(Pipes_result_save_V1!$K$2:$K$206,MATCH(BU93,Pipes_result_save_V1!$I$2:$I$206,0)) *POWER(10,-3)</f>
        <v>-3.351390075683594E-2</v>
      </c>
      <c r="CG93" s="78">
        <v>6.0903187807181871E-3</v>
      </c>
      <c r="CH93" s="106">
        <v>-2.2741781986659902E-2</v>
      </c>
      <c r="CN93">
        <v>0</v>
      </c>
      <c r="CO93">
        <v>1</v>
      </c>
      <c r="CP93" t="s">
        <v>540</v>
      </c>
      <c r="CQ93" t="s">
        <v>404</v>
      </c>
      <c r="CR93" s="106" t="str">
        <f>INDEX(Pipes_result_save_V1!$G$2:$G$206,MATCH(CQ93,Pipes_result_save_V1!$I$2:$I$206,0))</f>
        <v>N31</v>
      </c>
      <c r="CS93" s="106" t="str">
        <f>INDEX(Pipes_result_save_V1!$H$2:$H$206,MATCH(CQ93,Pipes_result_save_V1!$I$2:$I$206,0))</f>
        <v>N17</v>
      </c>
      <c r="CT93" s="106">
        <f>ABS(DF8)</f>
        <v>0.15497564373451178</v>
      </c>
      <c r="CU93">
        <v>466</v>
      </c>
      <c r="CV93">
        <v>150</v>
      </c>
      <c r="CW93">
        <v>211</v>
      </c>
      <c r="CX93">
        <v>8.6693039509464178</v>
      </c>
      <c r="CY93">
        <v>-0.16656000000000001</v>
      </c>
      <c r="CZ93">
        <v>-0.31356904893752557</v>
      </c>
      <c r="DA93">
        <v>3.4866107026434761</v>
      </c>
      <c r="DB93" s="107">
        <f>INDEX(Pipes_result_save_V1!$K$2:$K$206,MATCH(CQ93,Pipes_result_save_V1!$I$2:$I$206,0)) *POWER(10,-3)</f>
        <v>7.1654319763183594E-2</v>
      </c>
      <c r="DC93" s="78">
        <v>6.2765342189460916E-3</v>
      </c>
      <c r="DD93" s="106">
        <v>6.215237791480905E-2</v>
      </c>
      <c r="DL93">
        <v>0</v>
      </c>
      <c r="DM93">
        <v>1</v>
      </c>
      <c r="DN93" t="s">
        <v>539</v>
      </c>
      <c r="DO93" t="s">
        <v>399</v>
      </c>
      <c r="DP93" s="106" t="str">
        <f>INDEX(Pipes_result_save_V1!$G$2:$G$206,MATCH(DO93,Pipes_result_save_V1!$I$2:$I$206,0))</f>
        <v>N18</v>
      </c>
      <c r="DQ93" s="106" t="str">
        <f>INDEX(Pipes_result_save_V1!$H$2:$H$206,MATCH(DO93,Pipes_result_save_V1!$I$2:$I$206,0))</f>
        <v>N3</v>
      </c>
      <c r="DR93" s="106">
        <f>ABS(ED8)</f>
        <v>0.16714548384202288</v>
      </c>
      <c r="DS93">
        <v>466</v>
      </c>
      <c r="DT93">
        <v>150</v>
      </c>
      <c r="DU93">
        <v>93</v>
      </c>
      <c r="DV93">
        <v>3.821067618189653</v>
      </c>
      <c r="DW93">
        <v>0.16656000000000001</v>
      </c>
      <c r="DX93">
        <v>0.13820815901037856</v>
      </c>
      <c r="DY93">
        <v>1.5367525845774561</v>
      </c>
      <c r="DZ93" s="107">
        <f>INDEX(Pipes_result_save_V1!$K$2:$K$206,MATCH(DO93,Pipes_result_save_V1!$I$2:$I$206,0)) *POWER(10,-3)</f>
        <v>-0.20916310119628909</v>
      </c>
      <c r="EA93" s="78">
        <v>5.5779905744318134E-3</v>
      </c>
      <c r="EB93" s="106">
        <v>-0.19754158485380593</v>
      </c>
      <c r="EI93">
        <v>0</v>
      </c>
      <c r="EJ93">
        <v>1</v>
      </c>
      <c r="EK93" t="s">
        <v>539</v>
      </c>
      <c r="EL93" t="s">
        <v>405</v>
      </c>
      <c r="EM93" s="106" t="str">
        <f>INDEX(Pipes_result_save_V1!$G$2:$G$206,MATCH(EL93,Pipes_result_save_V1!$I$2:$I$206,0))</f>
        <v>R3</v>
      </c>
      <c r="EN93" s="106" t="str">
        <f>INDEX(Pipes_result_save_V1!$H$2:$H$206,MATCH(EL93,Pipes_result_save_V1!$I$2:$I$206,0))</f>
        <v>N1</v>
      </c>
      <c r="EO93" s="106">
        <f>ABS(FA8)</f>
        <v>0.29471177598290738</v>
      </c>
      <c r="EP93">
        <v>700</v>
      </c>
      <c r="EQ93">
        <v>150</v>
      </c>
      <c r="ER93">
        <v>47</v>
      </c>
      <c r="ES93">
        <v>0.26609387608691482</v>
      </c>
      <c r="ET93">
        <v>0.33212000000000003</v>
      </c>
      <c r="EU93">
        <v>3.4552006595457756E-2</v>
      </c>
      <c r="EV93">
        <v>0.19267227572801324</v>
      </c>
      <c r="EW93" s="107">
        <f>INDEX(Pipes_result_save_V1!$K$2:$K$206,MATCH(EL93,Pipes_result_save_V1!$I$2:$I$206,0)) *POWER(10,-3)</f>
        <v>0.3321200561523438</v>
      </c>
      <c r="EX93" s="78">
        <v>5.1620385675249583E-3</v>
      </c>
      <c r="EY93" s="78">
        <v>0.32198880906494448</v>
      </c>
    </row>
    <row r="94" spans="2:155" x14ac:dyDescent="0.25">
      <c r="B94" s="106">
        <v>2</v>
      </c>
      <c r="C94" s="106" t="s">
        <v>539</v>
      </c>
      <c r="D94" s="106" t="s">
        <v>201</v>
      </c>
      <c r="E94" s="106" t="str">
        <f>INDEX(Pipes_result_save_V1!$G$2:$G$206,MATCH(D94,Pipes_result_save_V1!$I$2:$I$206,0))</f>
        <v>N84</v>
      </c>
      <c r="F94" s="106" t="str">
        <f>INDEX(Pipes_result_save_V1!$H$2:$H$206,MATCH(D94,Pipes_result_save_V1!$I$2:$I$206,0))</f>
        <v>N85</v>
      </c>
      <c r="G94" s="106">
        <f t="shared" ref="G94:G157" si="18">ABS(R9)</f>
        <v>1.6403064923816504E-2</v>
      </c>
      <c r="H94" s="107">
        <v>350</v>
      </c>
      <c r="I94" s="107">
        <v>150</v>
      </c>
      <c r="J94" s="107">
        <v>95</v>
      </c>
      <c r="K94" s="107">
        <v>15.739021766851859</v>
      </c>
      <c r="L94" s="107">
        <v>9.5000000000000001E-2</v>
      </c>
      <c r="M94" s="107">
        <v>0.2012434958680151</v>
      </c>
      <c r="N94" s="107">
        <v>3.9231889931322512</v>
      </c>
      <c r="O94" s="107">
        <f t="shared" ref="O94:O157" si="19">Q9</f>
        <v>1.6403064923816504E-2</v>
      </c>
      <c r="P94" s="78">
        <v>5.1523291787287252E-3</v>
      </c>
      <c r="Q94" s="106">
        <v>-1.7462118491325014E-3</v>
      </c>
      <c r="R94" s="78"/>
      <c r="S94" s="78"/>
      <c r="T94" s="78"/>
      <c r="U94" s="78"/>
      <c r="V94" s="78"/>
      <c r="W94" s="78">
        <v>0</v>
      </c>
      <c r="X94" s="78">
        <v>2</v>
      </c>
      <c r="Y94" s="78" t="s">
        <v>539</v>
      </c>
      <c r="Z94" s="78" t="s">
        <v>422</v>
      </c>
      <c r="AA94" s="106" t="str">
        <f>INDEX(Pipes_result_save_V1!$G$2:$G$206,MATCH(Z94,Pipes_result_save_V1!$I$2:$I$206,0))</f>
        <v>N81</v>
      </c>
      <c r="AB94" s="106" t="str">
        <f>INDEX(Pipes_result_save_V1!$H$2:$H$206,MATCH(Z94,Pipes_result_save_V1!$I$2:$I$206,0))</f>
        <v>N135</v>
      </c>
      <c r="AC94" s="106">
        <f t="shared" ref="AC94:AC157" si="20">ABS(AQ9)</f>
        <v>3.5211178482065772E-2</v>
      </c>
      <c r="AD94" s="78">
        <v>300</v>
      </c>
      <c r="AE94" s="78">
        <v>150</v>
      </c>
      <c r="AF94" s="78">
        <v>88</v>
      </c>
      <c r="AG94" s="78">
        <v>30.891188328490372</v>
      </c>
      <c r="AH94" s="78">
        <v>5.8057999999999998E-2</v>
      </c>
      <c r="AI94" s="78">
        <v>0</v>
      </c>
      <c r="AJ94" s="78">
        <v>0</v>
      </c>
      <c r="AK94" s="78">
        <v>0.15867451177943664</v>
      </c>
      <c r="AL94">
        <v>5.061579727436647</v>
      </c>
      <c r="AM94" s="107">
        <f>INDEX(Pipes_result_save_V1!$K$2:$K$206,MATCH(Z94,Pipes_result_save_V1!$I$2:$I$206,0)) *POWER(10,-3)</f>
        <v>2.2272217273712159E-3</v>
      </c>
      <c r="AN94" s="78">
        <v>3.9753378517913395E-3</v>
      </c>
      <c r="AO94" s="106">
        <v>4.917242186266782E-4</v>
      </c>
      <c r="AU94">
        <v>0</v>
      </c>
      <c r="AV94">
        <v>2</v>
      </c>
      <c r="AW94" t="s">
        <v>540</v>
      </c>
      <c r="AX94" t="s">
        <v>413</v>
      </c>
      <c r="AY94" s="106" t="str">
        <f>INDEX(Pipes_result_save_V1!$G$2:$G$206,MATCH(AX94,Pipes_result_save_V1!$I$2:$I$206,0))</f>
        <v>N111</v>
      </c>
      <c r="AZ94" s="106" t="str">
        <f>INDEX(Pipes_result_save_V1!$H$2:$H$206,MATCH(AX94,Pipes_result_save_V1!$I$2:$I$206,0))</f>
        <v>N42</v>
      </c>
      <c r="BA94" s="106">
        <f t="shared" ref="BA94:BA129" si="21">ABS(BM9)</f>
        <v>3.8249255700015396E-2</v>
      </c>
      <c r="BB94">
        <v>250</v>
      </c>
      <c r="BC94">
        <v>150</v>
      </c>
      <c r="BD94">
        <v>42</v>
      </c>
      <c r="BE94">
        <v>35.833817943811347</v>
      </c>
      <c r="BF94">
        <v>-3.2835999999999997E-2</v>
      </c>
      <c r="BG94">
        <v>-6.405805386727606E-2</v>
      </c>
      <c r="BH94">
        <v>3.6129710001886743</v>
      </c>
      <c r="BI94" s="107">
        <f>INDEX(Pipes_result_save_V1!$K$2:$K$206,MATCH(AX94,Pipes_result_save_V1!$I$2:$I$206,0)) *POWER(10,-3)</f>
        <v>-8.0635652542114262E-3</v>
      </c>
      <c r="BJ94" s="78">
        <v>5.8404372619920604E-3</v>
      </c>
      <c r="BK94" s="106">
        <v>4.6747573447283256E-4</v>
      </c>
      <c r="BR94">
        <v>1</v>
      </c>
      <c r="BS94">
        <v>2</v>
      </c>
      <c r="BT94" t="s">
        <v>540</v>
      </c>
      <c r="BU94" t="s">
        <v>421</v>
      </c>
      <c r="BV94" s="106" t="str">
        <f>INDEX(Pipes_result_save_V1!$G$2:$G$206,MATCH(BU94,Pipes_result_save_V1!$I$2:$I$206,0))</f>
        <v>N42</v>
      </c>
      <c r="BW94" s="106" t="str">
        <f>INDEX(Pipes_result_save_V1!$H$2:$H$206,MATCH(BU94,Pipes_result_save_V1!$I$2:$I$206,0))</f>
        <v>N72</v>
      </c>
      <c r="BX94" s="106">
        <f t="shared" ref="BX94:BX144" si="22">ABS(CJ9)</f>
        <v>3.8249255700015396E-2</v>
      </c>
      <c r="BY94">
        <v>250</v>
      </c>
      <c r="BZ94">
        <v>150</v>
      </c>
      <c r="CA94">
        <v>91</v>
      </c>
      <c r="CB94">
        <v>77.639938878257922</v>
      </c>
      <c r="CC94">
        <v>3.8249255700015396E-2</v>
      </c>
      <c r="CD94">
        <v>0.18412084510295368</v>
      </c>
      <c r="CE94">
        <v>8.9149919100395199</v>
      </c>
      <c r="CF94" s="107">
        <f>INDEX(Pipes_result_save_V1!$K$2:$K$206,MATCH(BU94,Pipes_result_save_V1!$I$2:$I$206,0)) *POWER(10,-3)</f>
        <v>6.4305412292480477E-2</v>
      </c>
      <c r="CG94" s="78">
        <v>5.0228789967472947E-3</v>
      </c>
      <c r="CH94" s="106">
        <v>5.4949539441340123E-2</v>
      </c>
      <c r="CN94">
        <v>0</v>
      </c>
      <c r="CO94">
        <v>2</v>
      </c>
      <c r="CP94" t="s">
        <v>539</v>
      </c>
      <c r="CQ94" t="s">
        <v>416</v>
      </c>
      <c r="CR94" s="106" t="str">
        <f>INDEX(Pipes_result_save_V1!$G$2:$G$206,MATCH(CQ94,Pipes_result_save_V1!$I$2:$I$206,0))</f>
        <v>N43</v>
      </c>
      <c r="CS94" s="106" t="str">
        <f>INDEX(Pipes_result_save_V1!$H$2:$H$206,MATCH(CQ94,Pipes_result_save_V1!$I$2:$I$206,0))</f>
        <v>N17</v>
      </c>
      <c r="CT94" s="106">
        <f t="shared" ref="CT94:CT133" si="23">ABS(DF9)</f>
        <v>0.15497564373451178</v>
      </c>
      <c r="CU94">
        <v>466</v>
      </c>
      <c r="CV94">
        <v>150</v>
      </c>
      <c r="CW94">
        <v>232</v>
      </c>
      <c r="CX94">
        <v>9.5321256711827917</v>
      </c>
      <c r="CY94">
        <v>0.16656000000000001</v>
      </c>
      <c r="CZ94">
        <v>0.34477734290761108</v>
      </c>
      <c r="DA94">
        <v>3.8336193507738692</v>
      </c>
      <c r="DB94" s="107">
        <f>INDEX(Pipes_result_save_V1!$K$2:$K$206,MATCH(CQ94,Pipes_result_save_V1!$I$2:$I$206,0)) *POWER(10,-3)</f>
        <v>-6.128554534912109E-2</v>
      </c>
      <c r="DC94" s="78">
        <v>5.6258596043895891E-3</v>
      </c>
      <c r="DD94" s="106">
        <v>-5.2513130800982709E-2</v>
      </c>
      <c r="DL94">
        <v>0</v>
      </c>
      <c r="DM94">
        <v>2</v>
      </c>
      <c r="DN94" t="s">
        <v>540</v>
      </c>
      <c r="DO94" t="s">
        <v>400</v>
      </c>
      <c r="DP94" s="106" t="str">
        <f>INDEX(Pipes_result_save_V1!$G$2:$G$206,MATCH(DO94,Pipes_result_save_V1!$I$2:$I$206,0))</f>
        <v>N3</v>
      </c>
      <c r="DQ94" s="106" t="str">
        <f>INDEX(Pipes_result_save_V1!$H$2:$H$206,MATCH(DO94,Pipes_result_save_V1!$I$2:$I$206,0))</f>
        <v>N4</v>
      </c>
      <c r="DR94" s="106">
        <f t="shared" ref="DR94:DR140" si="24">ABS(ED9)</f>
        <v>0.16714548384202288</v>
      </c>
      <c r="DS94">
        <v>466</v>
      </c>
      <c r="DT94">
        <v>150</v>
      </c>
      <c r="DU94">
        <v>181</v>
      </c>
      <c r="DV94">
        <v>7.4367014934658844</v>
      </c>
      <c r="DW94">
        <v>-0.16656000000000001</v>
      </c>
      <c r="DX94">
        <v>-0.26898577183740346</v>
      </c>
      <c r="DY94">
        <v>2.9908840624571997</v>
      </c>
      <c r="DZ94" s="107">
        <f>INDEX(Pipes_result_save_V1!$K$2:$K$206,MATCH(DO94,Pipes_result_save_V1!$I$2:$I$206,0)) *POWER(10,-3)</f>
        <v>0.11761656188964839</v>
      </c>
      <c r="EA94" s="78">
        <v>5.1155246570994449E-3</v>
      </c>
      <c r="EB94" s="106">
        <v>0.10732103271874137</v>
      </c>
      <c r="EI94">
        <v>0</v>
      </c>
      <c r="EJ94">
        <v>2</v>
      </c>
      <c r="EK94" t="s">
        <v>539</v>
      </c>
      <c r="EL94" t="s">
        <v>406</v>
      </c>
      <c r="EM94" s="106" t="str">
        <f>INDEX(Pipes_result_save_V1!$G$2:$G$206,MATCH(EL94,Pipes_result_save_V1!$I$2:$I$206,0))</f>
        <v>N1</v>
      </c>
      <c r="EN94" s="106" t="str">
        <f>INDEX(Pipes_result_save_V1!$H$2:$H$206,MATCH(EL94,Pipes_result_save_V1!$I$2:$I$206,0))</f>
        <v>N2</v>
      </c>
      <c r="EO94" s="106">
        <f t="shared" ref="EO94:EO125" si="25">ABS(FA9)</f>
        <v>0.29471177598290738</v>
      </c>
      <c r="EP94">
        <v>700</v>
      </c>
      <c r="EQ94">
        <v>150</v>
      </c>
      <c r="ER94">
        <v>117</v>
      </c>
      <c r="ES94">
        <v>0.66240390430146878</v>
      </c>
      <c r="ET94">
        <v>0.33212000000000003</v>
      </c>
      <c r="EU94">
        <v>8.6012441950394827E-2</v>
      </c>
      <c r="EV94">
        <v>0.47963098425909684</v>
      </c>
      <c r="EW94" s="107">
        <f>INDEX(Pipes_result_save_V1!$K$2:$K$206,MATCH(EL94,Pipes_result_save_V1!$I$2:$I$206,0)) *POWER(10,-3)</f>
        <v>0.33091619873046879</v>
      </c>
      <c r="EX94" s="78">
        <v>5.2236693919670936E-3</v>
      </c>
      <c r="EY94" s="78">
        <v>0.32499284472378759</v>
      </c>
    </row>
    <row r="95" spans="2:155" x14ac:dyDescent="0.25">
      <c r="B95" s="106">
        <v>3</v>
      </c>
      <c r="C95" s="106" t="s">
        <v>539</v>
      </c>
      <c r="D95" s="106" t="s">
        <v>199</v>
      </c>
      <c r="E95" s="106" t="str">
        <f>INDEX(Pipes_result_save_V1!$G$2:$G$206,MATCH(D95,Pipes_result_save_V1!$I$2:$I$206,0))</f>
        <v>N85</v>
      </c>
      <c r="F95" s="106" t="str">
        <f>INDEX(Pipes_result_save_V1!$H$2:$H$206,MATCH(D95,Pipes_result_save_V1!$I$2:$I$206,0))</f>
        <v>N86</v>
      </c>
      <c r="G95" s="106">
        <f t="shared" si="18"/>
        <v>5.5969350761835013E-3</v>
      </c>
      <c r="H95" s="107">
        <v>350</v>
      </c>
      <c r="I95" s="107">
        <v>150</v>
      </c>
      <c r="J95" s="107">
        <v>73</v>
      </c>
      <c r="K95" s="107">
        <v>12.094195673475639</v>
      </c>
      <c r="L95" s="107">
        <v>7.2999999999999995E-2</v>
      </c>
      <c r="M95" s="107">
        <v>9.4940371718878883E-2</v>
      </c>
      <c r="N95" s="107">
        <v>2.4086242249775851</v>
      </c>
      <c r="O95" s="107">
        <f t="shared" si="19"/>
        <v>-5.5969350761835013E-3</v>
      </c>
      <c r="P95" s="78">
        <v>5.5356757694688587E-3</v>
      </c>
      <c r="Q95" s="106">
        <v>1.4378426137193799E-3</v>
      </c>
      <c r="R95" s="78"/>
      <c r="S95" s="78"/>
      <c r="T95" s="78"/>
      <c r="U95" s="78"/>
      <c r="V95" s="78"/>
      <c r="W95" s="78">
        <v>0</v>
      </c>
      <c r="X95" s="78">
        <v>3</v>
      </c>
      <c r="Y95" s="78" t="s">
        <v>539</v>
      </c>
      <c r="Z95" s="78" t="s">
        <v>200</v>
      </c>
      <c r="AA95" s="106" t="str">
        <f>INDEX(Pipes_result_save_V1!$G$2:$G$206,MATCH(Z95,Pipes_result_save_V1!$I$2:$I$206,0))</f>
        <v>N83</v>
      </c>
      <c r="AB95" s="106" t="str">
        <f>INDEX(Pipes_result_save_V1!$H$2:$H$206,MATCH(Z95,Pipes_result_save_V1!$I$2:$I$206,0))</f>
        <v>N82</v>
      </c>
      <c r="AC95" s="106">
        <f t="shared" si="20"/>
        <v>6.8047178482065776E-2</v>
      </c>
      <c r="AD95" s="78">
        <v>350</v>
      </c>
      <c r="AE95" s="78">
        <v>150</v>
      </c>
      <c r="AF95" s="78">
        <v>152</v>
      </c>
      <c r="AG95" s="78">
        <v>25.182434826962975</v>
      </c>
      <c r="AH95" s="78">
        <v>9.0894000000000003E-2</v>
      </c>
      <c r="AI95" s="78">
        <v>0</v>
      </c>
      <c r="AJ95" s="78">
        <v>0</v>
      </c>
      <c r="AK95" s="78">
        <v>0.29669138684853463</v>
      </c>
      <c r="AL95">
        <v>6.0452004361507479</v>
      </c>
      <c r="AM95" s="107">
        <f>INDEX(Pipes_result_save_V1!$K$2:$K$206,MATCH(Z95,Pipes_result_save_V1!$I$2:$I$206,0)) *POWER(10,-3)</f>
        <v>-5.0193531036376957E-2</v>
      </c>
      <c r="AN95" s="78">
        <v>1.5341845089411276E-3</v>
      </c>
      <c r="AO95" s="106">
        <v>-4.3145188036187693E-2</v>
      </c>
      <c r="AU95">
        <v>0</v>
      </c>
      <c r="AV95">
        <v>3</v>
      </c>
      <c r="AW95" t="s">
        <v>539</v>
      </c>
      <c r="AX95" t="s">
        <v>181</v>
      </c>
      <c r="AY95" s="106" t="str">
        <f>INDEX(Pipes_result_save_V1!$G$2:$G$206,MATCH(AX95,Pipes_result_save_V1!$I$2:$I$206,0))</f>
        <v>N72</v>
      </c>
      <c r="AZ95" s="106" t="str">
        <f>INDEX(Pipes_result_save_V1!$H$2:$H$206,MATCH(AX95,Pipes_result_save_V1!$I$2:$I$206,0))</f>
        <v>N73</v>
      </c>
      <c r="BA95" s="106">
        <f t="shared" si="21"/>
        <v>3.8250255700015404E-2</v>
      </c>
      <c r="BB95">
        <v>250</v>
      </c>
      <c r="BC95">
        <v>150</v>
      </c>
      <c r="BD95">
        <v>72</v>
      </c>
      <c r="BE95">
        <v>61.429402189390885</v>
      </c>
      <c r="BF95">
        <v>3.2837000000000005E-2</v>
      </c>
      <c r="BG95">
        <v>0.10982000037454172</v>
      </c>
      <c r="BH95">
        <v>6.19382527921708</v>
      </c>
      <c r="BI95" s="107">
        <f>INDEX(Pipes_result_save_V1!$K$2:$K$206,MATCH(AX95,Pipes_result_save_V1!$I$2:$I$206,0)) *POWER(10,-3)</f>
        <v>6.3329761505126952E-2</v>
      </c>
      <c r="BJ95" s="78">
        <v>5.2013618015163731E-3</v>
      </c>
      <c r="BK95" s="106">
        <v>5.7623940551745488E-2</v>
      </c>
      <c r="BR95">
        <v>0</v>
      </c>
      <c r="BS95">
        <v>3</v>
      </c>
      <c r="BT95" t="s">
        <v>539</v>
      </c>
      <c r="BU95" t="s">
        <v>159</v>
      </c>
      <c r="BV95" s="106" t="str">
        <f>INDEX(Pipes_result_save_V1!$G$2:$G$206,MATCH(BU95,Pipes_result_save_V1!$I$2:$I$206,0))</f>
        <v>N53</v>
      </c>
      <c r="BW95" s="106" t="str">
        <f>INDEX(Pipes_result_save_V1!$H$2:$H$206,MATCH(BU95,Pipes_result_save_V1!$I$2:$I$206,0))</f>
        <v>N52</v>
      </c>
      <c r="BX95" s="106">
        <f t="shared" si="22"/>
        <v>2.3580796114934299E-2</v>
      </c>
      <c r="BY95">
        <v>250</v>
      </c>
      <c r="BZ95">
        <v>150</v>
      </c>
      <c r="CA95">
        <v>94</v>
      </c>
      <c r="CB95">
        <v>80.199497302815871</v>
      </c>
      <c r="CC95">
        <v>3.2837000000000005E-2</v>
      </c>
      <c r="CD95">
        <v>0.14337611160009611</v>
      </c>
      <c r="CE95">
        <v>8.0863830034222985</v>
      </c>
      <c r="CF95" s="107">
        <f>INDEX(Pipes_result_save_V1!$K$2:$K$206,MATCH(BU95,Pipes_result_save_V1!$I$2:$I$206,0)) *POWER(10,-3)</f>
        <v>-3.1705240249633788E-2</v>
      </c>
      <c r="CG95" s="78">
        <v>5.890773312039058E-3</v>
      </c>
      <c r="CH95" s="106">
        <v>-2.4911242884389676E-2</v>
      </c>
      <c r="CN95">
        <v>0</v>
      </c>
      <c r="CO95">
        <v>3</v>
      </c>
      <c r="CP95" t="s">
        <v>540</v>
      </c>
      <c r="CQ95" t="s">
        <v>138</v>
      </c>
      <c r="CR95" s="106" t="str">
        <f>INDEX(Pipes_result_save_V1!$G$2:$G$206,MATCH(CQ95,Pipes_result_save_V1!$I$2:$I$206,0))</f>
        <v>N32</v>
      </c>
      <c r="CS95" s="106" t="str">
        <f>INDEX(Pipes_result_save_V1!$H$2:$H$206,MATCH(CQ95,Pipes_result_save_V1!$I$2:$I$206,0))</f>
        <v>N31</v>
      </c>
      <c r="CT95" s="106">
        <f t="shared" si="23"/>
        <v>7.169564373451176E-2</v>
      </c>
      <c r="CU95">
        <v>350</v>
      </c>
      <c r="CV95">
        <v>150</v>
      </c>
      <c r="CW95">
        <v>129</v>
      </c>
      <c r="CX95">
        <v>21.371934820251475</v>
      </c>
      <c r="CY95">
        <v>-8.3280000000000007E-2</v>
      </c>
      <c r="CZ95">
        <v>-0.21413381180980889</v>
      </c>
      <c r="DA95">
        <v>4.7619574864525225</v>
      </c>
      <c r="DB95" s="107">
        <f>INDEX(Pipes_result_save_V1!$K$2:$K$206,MATCH(CQ95,Pipes_result_save_V1!$I$2:$I$206,0)) *POWER(10,-3)</f>
        <v>-0.11996421051025391</v>
      </c>
      <c r="DC95" s="78">
        <v>5.6823466040250145E-3</v>
      </c>
      <c r="DD95" s="106">
        <v>-0.11228847936711817</v>
      </c>
      <c r="DL95">
        <v>0</v>
      </c>
      <c r="DM95">
        <v>3</v>
      </c>
      <c r="DN95" t="s">
        <v>540</v>
      </c>
      <c r="DO95" t="s">
        <v>401</v>
      </c>
      <c r="DP95" s="106" t="str">
        <f>INDEX(Pipes_result_save_V1!$G$2:$G$206,MATCH(DO95,Pipes_result_save_V1!$I$2:$I$206,0))</f>
        <v>N4</v>
      </c>
      <c r="DQ95" s="106" t="str">
        <f>INDEX(Pipes_result_save_V1!$H$2:$H$206,MATCH(DO95,Pipes_result_save_V1!$I$2:$I$206,0))</f>
        <v>N5</v>
      </c>
      <c r="DR95" s="106">
        <f t="shared" si="24"/>
        <v>0.16714548384202288</v>
      </c>
      <c r="DS95">
        <v>466</v>
      </c>
      <c r="DT95">
        <v>150</v>
      </c>
      <c r="DU95">
        <v>133</v>
      </c>
      <c r="DV95">
        <v>5.4645375614970311</v>
      </c>
      <c r="DW95">
        <v>-0.16656000000000001</v>
      </c>
      <c r="DX95">
        <v>-0.19765252847720807</v>
      </c>
      <c r="DY95">
        <v>2.1977214381591574</v>
      </c>
      <c r="DZ95" s="107">
        <f>INDEX(Pipes_result_save_V1!$K$2:$K$206,MATCH(DO95,Pipes_result_save_V1!$I$2:$I$206,0)) *POWER(10,-3)</f>
        <v>0.1158250274658203</v>
      </c>
      <c r="EA95" s="78">
        <v>5.0833954696630455E-3</v>
      </c>
      <c r="EB95" s="106">
        <v>0.10615915992308154</v>
      </c>
      <c r="EI95">
        <v>0</v>
      </c>
      <c r="EJ95">
        <v>3</v>
      </c>
      <c r="EK95" t="s">
        <v>539</v>
      </c>
      <c r="EL95" t="s">
        <v>407</v>
      </c>
      <c r="EM95" s="106" t="str">
        <f>INDEX(Pipes_result_save_V1!$G$2:$G$206,MATCH(EL95,Pipes_result_save_V1!$I$2:$I$206,0))</f>
        <v>N2</v>
      </c>
      <c r="EN95" s="106" t="str">
        <f>INDEX(Pipes_result_save_V1!$H$2:$H$206,MATCH(EL95,Pipes_result_save_V1!$I$2:$I$206,0))</f>
        <v>N3</v>
      </c>
      <c r="EO95" s="106">
        <f t="shared" si="25"/>
        <v>0.29471177598290738</v>
      </c>
      <c r="EP95">
        <v>700</v>
      </c>
      <c r="EQ95">
        <v>150</v>
      </c>
      <c r="ER95">
        <v>167</v>
      </c>
      <c r="ES95">
        <v>0.94548249588329314</v>
      </c>
      <c r="ET95">
        <v>0.33212000000000003</v>
      </c>
      <c r="EU95">
        <v>0.1227698957753499</v>
      </c>
      <c r="EV95">
        <v>0.68460149035272788</v>
      </c>
      <c r="EW95" s="107">
        <f>INDEX(Pipes_result_save_V1!$K$2:$K$206,MATCH(EL95,Pipes_result_save_V1!$I$2:$I$206,0)) *POWER(10,-3)</f>
        <v>0.32929580688476562</v>
      </c>
      <c r="EX95" s="78">
        <v>6.474608799300445E-3</v>
      </c>
      <c r="EY95" s="78">
        <v>0.31882539428588624</v>
      </c>
    </row>
    <row r="96" spans="2:155" x14ac:dyDescent="0.25">
      <c r="B96" s="106">
        <v>4</v>
      </c>
      <c r="C96" s="106" t="s">
        <v>539</v>
      </c>
      <c r="D96" s="106" t="s">
        <v>198</v>
      </c>
      <c r="E96" s="106" t="str">
        <f>INDEX(Pipes_result_save_V1!$G$2:$G$206,MATCH(D96,Pipes_result_save_V1!$I$2:$I$206,0))</f>
        <v>N86</v>
      </c>
      <c r="F96" s="106" t="str">
        <f>INDEX(Pipes_result_save_V1!$H$2:$H$206,MATCH(D96,Pipes_result_save_V1!$I$2:$I$206,0))</f>
        <v>N87</v>
      </c>
      <c r="G96" s="106">
        <f t="shared" si="18"/>
        <v>1.5969350761834977E-3</v>
      </c>
      <c r="H96" s="107">
        <v>350</v>
      </c>
      <c r="I96" s="107">
        <v>150</v>
      </c>
      <c r="J96" s="107">
        <v>77</v>
      </c>
      <c r="K96" s="107">
        <v>12.756891326816771</v>
      </c>
      <c r="L96" s="107">
        <v>7.6999999999999999E-2</v>
      </c>
      <c r="M96" s="107">
        <v>0.11054158283193545</v>
      </c>
      <c r="N96" s="107">
        <v>2.6587404078538244</v>
      </c>
      <c r="O96" s="107">
        <f t="shared" si="19"/>
        <v>-1.5969350761834977E-3</v>
      </c>
      <c r="P96" s="78">
        <v>6.0150194757186077E-3</v>
      </c>
      <c r="Q96" s="106">
        <v>-1.7847625033495032E-3</v>
      </c>
      <c r="R96" s="78"/>
      <c r="S96" s="78"/>
      <c r="T96" s="78"/>
      <c r="U96" s="78"/>
      <c r="V96" s="78"/>
      <c r="W96" s="78">
        <v>0</v>
      </c>
      <c r="X96" s="78">
        <v>4</v>
      </c>
      <c r="Y96" s="78" t="s">
        <v>539</v>
      </c>
      <c r="Z96" s="78" t="s">
        <v>202</v>
      </c>
      <c r="AA96" s="106" t="str">
        <f>INDEX(Pipes_result_save_V1!$G$2:$G$206,MATCH(Z96,Pipes_result_save_V1!$I$2:$I$206,0))</f>
        <v>N84</v>
      </c>
      <c r="AB96" s="106" t="str">
        <f>INDEX(Pipes_result_save_V1!$H$2:$H$206,MATCH(Z96,Pipes_result_save_V1!$I$2:$I$206,0))</f>
        <v>N83</v>
      </c>
      <c r="AC96" s="106">
        <f t="shared" si="20"/>
        <v>6.8047178482065776E-2</v>
      </c>
      <c r="AD96" s="78">
        <v>350</v>
      </c>
      <c r="AE96" s="78">
        <v>150</v>
      </c>
      <c r="AF96" s="78">
        <v>75</v>
      </c>
      <c r="AG96" s="78">
        <v>12.425543500146206</v>
      </c>
      <c r="AH96" s="78">
        <v>9.0894000000000003E-2</v>
      </c>
      <c r="AI96" s="78">
        <v>0</v>
      </c>
      <c r="AJ96" s="78">
        <v>0</v>
      </c>
      <c r="AK96" s="78">
        <v>0.14639377640552698</v>
      </c>
      <c r="AL96">
        <v>2.982829162574383</v>
      </c>
      <c r="AM96" s="107">
        <f>INDEX(Pipes_result_save_V1!$K$2:$K$206,MATCH(Z96,Pipes_result_save_V1!$I$2:$I$206,0)) *POWER(10,-3)</f>
        <v>-4.8898372650146481E-2</v>
      </c>
      <c r="AN96" s="78">
        <v>3.6478905222830926E-3</v>
      </c>
      <c r="AO96" s="106">
        <v>-4.151187067262798E-2</v>
      </c>
      <c r="AU96">
        <v>0</v>
      </c>
      <c r="AV96">
        <v>4</v>
      </c>
      <c r="AW96" t="s">
        <v>539</v>
      </c>
      <c r="AX96" t="s">
        <v>179</v>
      </c>
      <c r="AY96" s="106" t="str">
        <f>INDEX(Pipes_result_save_V1!$G$2:$G$206,MATCH(AX96,Pipes_result_save_V1!$I$2:$I$206,0))</f>
        <v>N73</v>
      </c>
      <c r="AZ96" s="106" t="str">
        <f>INDEX(Pipes_result_save_V1!$H$2:$H$206,MATCH(AX96,Pipes_result_save_V1!$I$2:$I$206,0))</f>
        <v>N74</v>
      </c>
      <c r="BA96" s="106">
        <f t="shared" si="21"/>
        <v>3.8250255700015404E-2</v>
      </c>
      <c r="BB96">
        <v>250</v>
      </c>
      <c r="BC96">
        <v>150</v>
      </c>
      <c r="BD96">
        <v>73</v>
      </c>
      <c r="BE96">
        <v>62.282588330910201</v>
      </c>
      <c r="BF96">
        <v>3.2837000000000005E-2</v>
      </c>
      <c r="BG96">
        <v>0.11134527815752146</v>
      </c>
      <c r="BH96">
        <v>6.2798506303173163</v>
      </c>
      <c r="BI96" s="107">
        <f>INDEX(Pipes_result_save_V1!$K$2:$K$206,MATCH(AX96,Pipes_result_save_V1!$I$2:$I$206,0)) *POWER(10,-3)</f>
        <v>6.2376930236816418E-2</v>
      </c>
      <c r="BJ96" s="78">
        <v>6.030104226897608E-3</v>
      </c>
      <c r="BK96" s="106">
        <v>5.5504800847892617E-2</v>
      </c>
      <c r="BR96">
        <v>0</v>
      </c>
      <c r="BS96">
        <v>4</v>
      </c>
      <c r="BT96" t="s">
        <v>539</v>
      </c>
      <c r="BU96" t="s">
        <v>158</v>
      </c>
      <c r="BV96" s="106" t="str">
        <f>INDEX(Pipes_result_save_V1!$G$2:$G$206,MATCH(BU96,Pipes_result_save_V1!$I$2:$I$206,0))</f>
        <v>N54</v>
      </c>
      <c r="BW96" s="106" t="str">
        <f>INDEX(Pipes_result_save_V1!$H$2:$H$206,MATCH(BU96,Pipes_result_save_V1!$I$2:$I$206,0))</f>
        <v>N53</v>
      </c>
      <c r="BX96" s="106">
        <f t="shared" si="22"/>
        <v>2.3580796114934299E-2</v>
      </c>
      <c r="BY96">
        <v>250</v>
      </c>
      <c r="BZ96">
        <v>150</v>
      </c>
      <c r="CA96">
        <v>191</v>
      </c>
      <c r="CB96">
        <v>162.95855303018971</v>
      </c>
      <c r="CC96">
        <v>3.2837000000000005E-2</v>
      </c>
      <c r="CD96">
        <v>0.29132805654913152</v>
      </c>
      <c r="CE96">
        <v>16.430842060145309</v>
      </c>
      <c r="CF96" s="107">
        <f>INDEX(Pipes_result_save_V1!$K$2:$K$206,MATCH(BU96,Pipes_result_save_V1!$I$2:$I$206,0)) *POWER(10,-3)</f>
        <v>-3.0079156875610351E-2</v>
      </c>
      <c r="CG96" s="78">
        <v>6.1574795089512106E-3</v>
      </c>
      <c r="CH96" s="106">
        <v>-2.1275913102240061E-2</v>
      </c>
      <c r="CN96">
        <v>0</v>
      </c>
      <c r="CO96">
        <v>4</v>
      </c>
      <c r="CP96" t="s">
        <v>540</v>
      </c>
      <c r="CQ96" t="s">
        <v>137</v>
      </c>
      <c r="CR96" s="106" t="str">
        <f>INDEX(Pipes_result_save_V1!$G$2:$G$206,MATCH(CQ96,Pipes_result_save_V1!$I$2:$I$206,0))</f>
        <v>N33</v>
      </c>
      <c r="CS96" s="106" t="str">
        <f>INDEX(Pipes_result_save_V1!$H$2:$H$206,MATCH(CQ96,Pipes_result_save_V1!$I$2:$I$206,0))</f>
        <v>N32</v>
      </c>
      <c r="CT96" s="106">
        <f t="shared" si="23"/>
        <v>7.169564373451176E-2</v>
      </c>
      <c r="CU96">
        <v>350</v>
      </c>
      <c r="CV96">
        <v>150</v>
      </c>
      <c r="CW96">
        <v>157</v>
      </c>
      <c r="CX96">
        <v>26.01080439363939</v>
      </c>
      <c r="CY96">
        <v>-8.3280000000000007E-2</v>
      </c>
      <c r="CZ96">
        <v>-0.26061246863674414</v>
      </c>
      <c r="DA96">
        <v>5.795560661806558</v>
      </c>
      <c r="DB96" s="107">
        <f>INDEX(Pipes_result_save_V1!$K$2:$K$206,MATCH(CQ96,Pipes_result_save_V1!$I$2:$I$206,0)) *POWER(10,-3)</f>
        <v>-0.1183324203491211</v>
      </c>
      <c r="DC96" s="78">
        <v>6.0996730274598832E-3</v>
      </c>
      <c r="DD96" s="106">
        <v>-0.10757812314520393</v>
      </c>
      <c r="DL96">
        <v>0</v>
      </c>
      <c r="DM96">
        <v>4</v>
      </c>
      <c r="DN96" t="s">
        <v>540</v>
      </c>
      <c r="DO96" t="s">
        <v>403</v>
      </c>
      <c r="DP96" s="106" t="str">
        <f>INDEX(Pipes_result_save_V1!$G$2:$G$206,MATCH(DO96,Pipes_result_save_V1!$I$2:$I$206,0))</f>
        <v>N5</v>
      </c>
      <c r="DQ96" s="106" t="str">
        <f>INDEX(Pipes_result_save_V1!$H$2:$H$206,MATCH(DO96,Pipes_result_save_V1!$I$2:$I$206,0))</f>
        <v>N6</v>
      </c>
      <c r="DR96" s="106">
        <f t="shared" si="24"/>
        <v>0.16714548384202288</v>
      </c>
      <c r="DS96">
        <v>466</v>
      </c>
      <c r="DT96">
        <v>150</v>
      </c>
      <c r="DU96">
        <v>75</v>
      </c>
      <c r="DV96">
        <v>3.0815061437013331</v>
      </c>
      <c r="DW96">
        <v>-0.16656000000000001</v>
      </c>
      <c r="DX96">
        <v>-0.11145819275030529</v>
      </c>
      <c r="DY96">
        <v>1.2393166004656904</v>
      </c>
      <c r="DZ96" s="107">
        <f>INDEX(Pipes_result_save_V1!$K$2:$K$206,MATCH(DO96,Pipes_result_save_V1!$I$2:$I$206,0)) *POWER(10,-3)</f>
        <v>0.1146382675170898</v>
      </c>
      <c r="EA96" s="78">
        <v>5.3390830705729595E-3</v>
      </c>
      <c r="EB96" s="106">
        <v>0.10868567028196981</v>
      </c>
      <c r="EI96">
        <v>1</v>
      </c>
      <c r="EJ96">
        <v>4</v>
      </c>
      <c r="EK96" t="s">
        <v>540</v>
      </c>
      <c r="EL96" t="s">
        <v>399</v>
      </c>
      <c r="EM96" s="106" t="str">
        <f>INDEX(Pipes_result_save_V1!$G$2:$G$206,MATCH(EL96,Pipes_result_save_V1!$I$2:$I$206,0))</f>
        <v>N18</v>
      </c>
      <c r="EN96" s="106" t="str">
        <f>INDEX(Pipes_result_save_V1!$H$2:$H$206,MATCH(EL96,Pipes_result_save_V1!$I$2:$I$206,0))</f>
        <v>N3</v>
      </c>
      <c r="EO96" s="106">
        <f t="shared" si="25"/>
        <v>3.8249255700015396E-2</v>
      </c>
      <c r="EP96">
        <v>466</v>
      </c>
      <c r="EQ96">
        <v>150</v>
      </c>
      <c r="ER96">
        <v>93</v>
      </c>
      <c r="ES96">
        <v>3.821067618189653</v>
      </c>
      <c r="ET96">
        <v>-0.17814435626548825</v>
      </c>
      <c r="EU96">
        <v>-0.15653613023676707</v>
      </c>
      <c r="EV96">
        <v>1.6273595149230984</v>
      </c>
      <c r="EW96" s="107">
        <f>INDEX(Pipes_result_save_V1!$K$2:$K$206,MATCH(EL96,Pipes_result_save_V1!$I$2:$I$206,0)) *POWER(10,-3)</f>
        <v>-0.20916310119628909</v>
      </c>
      <c r="EX96" s="78">
        <v>6.4633791434452279E-3</v>
      </c>
      <c r="EY96" s="78">
        <v>-0.19722380121522018</v>
      </c>
    </row>
    <row r="97" spans="2:155" x14ac:dyDescent="0.25">
      <c r="B97" s="106">
        <v>5</v>
      </c>
      <c r="C97" s="106" t="s">
        <v>539</v>
      </c>
      <c r="D97" s="106" t="s">
        <v>197</v>
      </c>
      <c r="E97" s="106" t="str">
        <f>INDEX(Pipes_result_save_V1!$G$2:$G$206,MATCH(D97,Pipes_result_save_V1!$I$2:$I$206,0))</f>
        <v>N87</v>
      </c>
      <c r="F97" s="106" t="str">
        <f>INDEX(Pipes_result_save_V1!$H$2:$H$206,MATCH(D97,Pipes_result_save_V1!$I$2:$I$206,0))</f>
        <v>N88</v>
      </c>
      <c r="G97" s="106">
        <f t="shared" si="18"/>
        <v>0.17140306492381652</v>
      </c>
      <c r="H97" s="107">
        <v>565</v>
      </c>
      <c r="I97" s="107">
        <v>150</v>
      </c>
      <c r="J97" s="107">
        <v>250</v>
      </c>
      <c r="K97" s="107">
        <v>4.0190332028082514</v>
      </c>
      <c r="L97" s="107">
        <v>0.25</v>
      </c>
      <c r="M97" s="107">
        <v>0.30839440487044523</v>
      </c>
      <c r="N97" s="107">
        <v>2.2845857512802583</v>
      </c>
      <c r="O97" s="107">
        <f t="shared" si="19"/>
        <v>0.17140306492381652</v>
      </c>
      <c r="P97" s="78">
        <v>5.9554526288505532E-3</v>
      </c>
      <c r="Q97" s="106">
        <v>1.3686581628310284E-3</v>
      </c>
      <c r="R97" s="78"/>
      <c r="S97" s="78"/>
      <c r="T97" s="78"/>
      <c r="U97" s="78"/>
      <c r="V97" s="78"/>
      <c r="W97" s="78">
        <v>0</v>
      </c>
      <c r="X97" s="78">
        <v>5</v>
      </c>
      <c r="Y97" s="78" t="s">
        <v>540</v>
      </c>
      <c r="Z97" s="106" t="s">
        <v>884</v>
      </c>
      <c r="AA97" s="106" t="str">
        <f>INDEX(Pipes_result_save_V1!$G$2:$G$206,MATCH(Z97,Pipes_result_save_V1!$I$2:$I$206,0))</f>
        <v>N165</v>
      </c>
      <c r="AB97" s="106" t="str">
        <f>INDEX(Pipes_result_save_V1!$H$2:$H$206,MATCH(Z97,Pipes_result_save_V1!$I$2:$I$206,0))</f>
        <v>N84</v>
      </c>
      <c r="AC97" s="106">
        <f t="shared" si="20"/>
        <v>6.1821784820657692E-3</v>
      </c>
      <c r="AD97" s="78">
        <v>200</v>
      </c>
      <c r="AE97" s="78">
        <v>150</v>
      </c>
      <c r="AF97" s="78">
        <v>96</v>
      </c>
      <c r="AG97" s="78">
        <v>242.86431051954654</v>
      </c>
      <c r="AH97" s="78">
        <v>-2.9028999999999999E-2</v>
      </c>
      <c r="AI97" s="78">
        <v>0</v>
      </c>
      <c r="AJ97" s="78">
        <v>0</v>
      </c>
      <c r="AK97" s="78">
        <v>-0.34556416714209448</v>
      </c>
      <c r="AL97">
        <v>22.046396277762213</v>
      </c>
      <c r="AM97" s="107">
        <f>INDEX(Pipes_result_save_V1!$K$2:$K$206,MATCH(Z97,Pipes_result_save_V1!$I$2:$I$206,0)) *POWER(10,-3)</f>
        <v>-2.7296918869018551E-2</v>
      </c>
      <c r="AN97" s="78">
        <v>1.1755613789145893E-3</v>
      </c>
      <c r="AO97" s="106">
        <v>-2.2839220565071285E-2</v>
      </c>
      <c r="AU97">
        <v>0</v>
      </c>
      <c r="AV97">
        <v>5</v>
      </c>
      <c r="AW97" t="s">
        <v>539</v>
      </c>
      <c r="AX97" t="s">
        <v>180</v>
      </c>
      <c r="AY97" s="106" t="str">
        <f>INDEX(Pipes_result_save_V1!$G$2:$G$206,MATCH(AX97,Pipes_result_save_V1!$I$2:$I$206,0))</f>
        <v>N74</v>
      </c>
      <c r="AZ97" s="106" t="str">
        <f>INDEX(Pipes_result_save_V1!$H$2:$H$206,MATCH(AX97,Pipes_result_save_V1!$I$2:$I$206,0))</f>
        <v>N75</v>
      </c>
      <c r="BA97" s="106">
        <f t="shared" si="21"/>
        <v>3.8250255700015404E-2</v>
      </c>
      <c r="BB97">
        <v>250</v>
      </c>
      <c r="BC97">
        <v>150</v>
      </c>
      <c r="BD97">
        <v>74</v>
      </c>
      <c r="BE97">
        <v>63.135774472429517</v>
      </c>
      <c r="BF97">
        <v>3.2837000000000005E-2</v>
      </c>
      <c r="BG97">
        <v>0.1128705559405012</v>
      </c>
      <c r="BH97">
        <v>6.3658759814175534</v>
      </c>
      <c r="BI97" s="107">
        <f>INDEX(Pipes_result_save_V1!$K$2:$K$206,MATCH(AX97,Pipes_result_save_V1!$I$2:$I$206,0)) *POWER(10,-3)</f>
        <v>6.1372756958007813E-2</v>
      </c>
      <c r="BJ97" s="78">
        <v>6.0754373213024147E-3</v>
      </c>
      <c r="BK97" s="106">
        <v>5.1887381827727876E-2</v>
      </c>
      <c r="BR97">
        <v>0</v>
      </c>
      <c r="BS97">
        <v>5</v>
      </c>
      <c r="BT97" t="s">
        <v>539</v>
      </c>
      <c r="BU97" t="s">
        <v>130</v>
      </c>
      <c r="BV97" s="106" t="str">
        <f>INDEX(Pipes_result_save_V1!$G$2:$G$206,MATCH(BU97,Pipes_result_save_V1!$I$2:$I$206,0))</f>
        <v>N55</v>
      </c>
      <c r="BW97" s="106" t="str">
        <f>INDEX(Pipes_result_save_V1!$H$2:$H$206,MATCH(BU97,Pipes_result_save_V1!$I$2:$I$206,0))</f>
        <v>N54</v>
      </c>
      <c r="BX97" s="106">
        <f t="shared" si="22"/>
        <v>2.3580796114934299E-2</v>
      </c>
      <c r="BY97">
        <v>250</v>
      </c>
      <c r="BZ97">
        <v>150</v>
      </c>
      <c r="CA97">
        <v>77</v>
      </c>
      <c r="CB97">
        <v>65.695332896987466</v>
      </c>
      <c r="CC97">
        <v>3.2837000000000005E-2</v>
      </c>
      <c r="CD97">
        <v>0.11744638928944044</v>
      </c>
      <c r="CE97">
        <v>6.6239520347182648</v>
      </c>
      <c r="CF97" s="107">
        <f>INDEX(Pipes_result_save_V1!$K$2:$K$206,MATCH(BU97,Pipes_result_save_V1!$I$2:$I$206,0)) *POWER(10,-3)</f>
        <v>-2.8550071716308592E-2</v>
      </c>
      <c r="CG97" s="78">
        <v>5.4589137819041553E-3</v>
      </c>
      <c r="CH97" s="106">
        <v>-1.7992018825854682E-2</v>
      </c>
      <c r="CN97">
        <v>0</v>
      </c>
      <c r="CO97">
        <v>5</v>
      </c>
      <c r="CP97" t="s">
        <v>540</v>
      </c>
      <c r="CQ97" t="s">
        <v>136</v>
      </c>
      <c r="CR97" s="106" t="str">
        <f>INDEX(Pipes_result_save_V1!$G$2:$G$206,MATCH(CQ97,Pipes_result_save_V1!$I$2:$I$206,0))</f>
        <v>N34</v>
      </c>
      <c r="CS97" s="106" t="str">
        <f>INDEX(Pipes_result_save_V1!$H$2:$H$206,MATCH(CQ97,Pipes_result_save_V1!$I$2:$I$206,0))</f>
        <v>N33</v>
      </c>
      <c r="CT97" s="106">
        <f t="shared" si="23"/>
        <v>7.169564373451176E-2</v>
      </c>
      <c r="CU97">
        <v>350</v>
      </c>
      <c r="CV97">
        <v>150</v>
      </c>
      <c r="CW97">
        <v>82</v>
      </c>
      <c r="CX97">
        <v>13.585260893493183</v>
      </c>
      <c r="CY97">
        <v>-8.3280000000000007E-2</v>
      </c>
      <c r="CZ97">
        <v>-0.13611606642173896</v>
      </c>
      <c r="DA97">
        <v>3.0269807278225334</v>
      </c>
      <c r="DB97" s="107">
        <f>INDEX(Pipes_result_save_V1!$K$2:$K$206,MATCH(CQ97,Pipes_result_save_V1!$I$2:$I$206,0)) *POWER(10,-3)</f>
        <v>-0.11696879577636721</v>
      </c>
      <c r="DC97" s="78">
        <v>6.3272602333288921E-3</v>
      </c>
      <c r="DD97" s="106">
        <v>-0.10620590360774455</v>
      </c>
      <c r="DL97">
        <v>0</v>
      </c>
      <c r="DM97">
        <v>5</v>
      </c>
      <c r="DN97" t="s">
        <v>540</v>
      </c>
      <c r="DO97" t="s">
        <v>396</v>
      </c>
      <c r="DP97" s="106" t="str">
        <f>INDEX(Pipes_result_save_V1!$G$2:$G$206,MATCH(DO97,Pipes_result_save_V1!$I$2:$I$206,0))</f>
        <v>N6</v>
      </c>
      <c r="DQ97" s="106" t="str">
        <f>INDEX(Pipes_result_save_V1!$H$2:$H$206,MATCH(DO97,Pipes_result_save_V1!$I$2:$I$206,0))</f>
        <v>N7</v>
      </c>
      <c r="DR97" s="106">
        <f t="shared" si="24"/>
        <v>0.16714548384202288</v>
      </c>
      <c r="DS97">
        <v>466</v>
      </c>
      <c r="DT97">
        <v>150</v>
      </c>
      <c r="DU97">
        <v>94</v>
      </c>
      <c r="DV97">
        <v>3.8621543667723377</v>
      </c>
      <c r="DW97">
        <v>-0.16656000000000001</v>
      </c>
      <c r="DX97">
        <v>-0.13969426824704931</v>
      </c>
      <c r="DY97">
        <v>1.5532768059169988</v>
      </c>
      <c r="DZ97" s="107">
        <f>INDEX(Pipes_result_save_V1!$K$2:$K$206,MATCH(DO97,Pipes_result_save_V1!$I$2:$I$206,0)) *POWER(10,-3)</f>
        <v>0.1136740341186523</v>
      </c>
      <c r="EA97" s="78">
        <v>5.5846881956221669E-3</v>
      </c>
      <c r="EB97" s="106">
        <v>0.10596531325955082</v>
      </c>
      <c r="EI97">
        <v>2</v>
      </c>
      <c r="EJ97">
        <v>5</v>
      </c>
      <c r="EK97" t="s">
        <v>539</v>
      </c>
      <c r="EL97" t="s">
        <v>400</v>
      </c>
      <c r="EM97" s="106" t="str">
        <f>INDEX(Pipes_result_save_V1!$G$2:$G$206,MATCH(EL97,Pipes_result_save_V1!$I$2:$I$206,0))</f>
        <v>N3</v>
      </c>
      <c r="EN97" s="106" t="str">
        <f>INDEX(Pipes_result_save_V1!$H$2:$H$206,MATCH(EL97,Pipes_result_save_V1!$I$2:$I$206,0))</f>
        <v>N4</v>
      </c>
      <c r="EO97" s="106">
        <f t="shared" si="25"/>
        <v>3.8249255700015396E-2</v>
      </c>
      <c r="EP97">
        <v>466</v>
      </c>
      <c r="EQ97">
        <v>150</v>
      </c>
      <c r="ER97">
        <v>181</v>
      </c>
      <c r="ES97">
        <v>7.4367014934658844</v>
      </c>
      <c r="ET97">
        <v>0.15497564373451178</v>
      </c>
      <c r="EU97">
        <v>0.23536845520519051</v>
      </c>
      <c r="EV97">
        <v>2.8127153953737118</v>
      </c>
      <c r="EW97" s="107">
        <f>INDEX(Pipes_result_save_V1!$K$2:$K$206,MATCH(EL97,Pipes_result_save_V1!$I$2:$I$206,0)) *POWER(10,-3)</f>
        <v>0.11761656188964839</v>
      </c>
      <c r="EX97" s="78">
        <v>6.2925356570970392E-3</v>
      </c>
      <c r="EY97" s="78">
        <v>0.10664416378096675</v>
      </c>
    </row>
    <row r="98" spans="2:155" ht="30" x14ac:dyDescent="0.25">
      <c r="B98" s="106">
        <v>6</v>
      </c>
      <c r="C98" s="106" t="s">
        <v>539</v>
      </c>
      <c r="D98" s="106" t="s">
        <v>196</v>
      </c>
      <c r="E98" s="106" t="str">
        <f>INDEX(Pipes_result_save_V1!$G$2:$G$206,MATCH(D98,Pipes_result_save_V1!$I$2:$I$206,0))</f>
        <v>N88</v>
      </c>
      <c r="F98" s="106" t="str">
        <f>INDEX(Pipes_result_save_V1!$H$2:$H$206,MATCH(D98,Pipes_result_save_V1!$I$2:$I$206,0))</f>
        <v>N89</v>
      </c>
      <c r="G98" s="106">
        <f t="shared" si="18"/>
        <v>1.5596935076183496E-2</v>
      </c>
      <c r="H98" s="107">
        <v>300</v>
      </c>
      <c r="I98" s="107">
        <v>150</v>
      </c>
      <c r="J98" s="107">
        <v>63</v>
      </c>
      <c r="K98" s="107">
        <v>22.115282553351062</v>
      </c>
      <c r="L98" s="107">
        <v>6.3E-2</v>
      </c>
      <c r="M98" s="107">
        <v>0.132151224021303</v>
      </c>
      <c r="N98" s="107">
        <v>3.8848264585309997</v>
      </c>
      <c r="O98" s="107">
        <f t="shared" si="19"/>
        <v>-1.5596935076183496E-2</v>
      </c>
      <c r="P98" s="78">
        <v>6.4376277225501911E-3</v>
      </c>
      <c r="Q98" s="106">
        <v>4.1770757349255836E-4</v>
      </c>
      <c r="R98" s="78"/>
      <c r="S98" s="78"/>
      <c r="T98" s="78"/>
      <c r="U98" s="78"/>
      <c r="V98" s="78"/>
      <c r="W98" s="78">
        <v>0</v>
      </c>
      <c r="X98" s="78">
        <v>6</v>
      </c>
      <c r="Y98" s="78" t="s">
        <v>540</v>
      </c>
      <c r="Z98" s="78" t="s">
        <v>436</v>
      </c>
      <c r="AA98" s="106" t="str">
        <f>INDEX(Pipes_result_save_V1!$G$2:$G$206,MATCH(Z98,Pipes_result_save_V1!$I$2:$I$206,0))</f>
        <v>N127</v>
      </c>
      <c r="AB98" s="106" t="str">
        <f>INDEX(Pipes_result_save_V1!$H$2:$H$206,MATCH(Z98,Pipes_result_save_V1!$I$2:$I$206,0))</f>
        <v>N136</v>
      </c>
      <c r="AC98" s="106">
        <f t="shared" si="20"/>
        <v>3.5211178482065772E-2</v>
      </c>
      <c r="AD98" s="78">
        <v>300</v>
      </c>
      <c r="AE98" s="78">
        <v>150</v>
      </c>
      <c r="AF98" s="78">
        <v>222</v>
      </c>
      <c r="AG98" s="78">
        <v>77.930043283237083</v>
      </c>
      <c r="AH98" s="78">
        <v>-5.8057999999999998E-2</v>
      </c>
      <c r="AI98" s="78">
        <v>0</v>
      </c>
      <c r="AJ98" s="78">
        <v>0</v>
      </c>
      <c r="AK98" s="78">
        <v>-0.40029251835266977</v>
      </c>
      <c r="AL98">
        <v>12.768985221487904</v>
      </c>
      <c r="AM98" s="107">
        <f>INDEX(Pipes_result_save_V1!$K$2:$K$206,MATCH(Z98,Pipes_result_save_V1!$I$2:$I$206,0)) *POWER(10,-3)</f>
        <v>3.1976058959960939E-2</v>
      </c>
      <c r="AN98" s="78">
        <v>3.2090603882803858E-3</v>
      </c>
      <c r="AO98" s="106">
        <v>2.2291799747795091E-2</v>
      </c>
      <c r="AU98">
        <v>0</v>
      </c>
      <c r="AV98">
        <v>6</v>
      </c>
      <c r="AW98" t="s">
        <v>539</v>
      </c>
      <c r="AX98" t="s">
        <v>178</v>
      </c>
      <c r="AY98" s="106" t="str">
        <f>INDEX(Pipes_result_save_V1!$G$2:$G$206,MATCH(AX98,Pipes_result_save_V1!$I$2:$I$206,0))</f>
        <v>N75</v>
      </c>
      <c r="AZ98" s="106" t="str">
        <f>INDEX(Pipes_result_save_V1!$H$2:$H$206,MATCH(AX98,Pipes_result_save_V1!$I$2:$I$206,0))</f>
        <v>N76</v>
      </c>
      <c r="BA98" s="106">
        <f t="shared" si="21"/>
        <v>3.8250255700015404E-2</v>
      </c>
      <c r="BB98">
        <v>250</v>
      </c>
      <c r="BC98">
        <v>150</v>
      </c>
      <c r="BD98">
        <v>75</v>
      </c>
      <c r="BE98">
        <v>63.988960613948841</v>
      </c>
      <c r="BF98">
        <v>3.2837000000000005E-2</v>
      </c>
      <c r="BG98">
        <v>0.11439583372348096</v>
      </c>
      <c r="BH98">
        <v>6.4519013325177914</v>
      </c>
      <c r="BI98" s="107">
        <f>INDEX(Pipes_result_save_V1!$K$2:$K$206,MATCH(AX98,Pipes_result_save_V1!$I$2:$I$206,0)) *POWER(10,-3)</f>
        <v>6.0362876892089835E-2</v>
      </c>
      <c r="BJ98" s="78">
        <v>5.6477156408531754E-3</v>
      </c>
      <c r="BK98" s="106">
        <v>5.156458984420325E-2</v>
      </c>
      <c r="BR98">
        <v>0</v>
      </c>
      <c r="BS98">
        <v>6</v>
      </c>
      <c r="BT98" t="s">
        <v>539</v>
      </c>
      <c r="BU98" t="s">
        <v>129</v>
      </c>
      <c r="BV98" s="106" t="str">
        <f>INDEX(Pipes_result_save_V1!$G$2:$G$206,MATCH(BU98,Pipes_result_save_V1!$I$2:$I$206,0))</f>
        <v>N56</v>
      </c>
      <c r="BW98" s="106" t="str">
        <f>INDEX(Pipes_result_save_V1!$H$2:$H$206,MATCH(BU98,Pipes_result_save_V1!$I$2:$I$206,0))</f>
        <v>N55</v>
      </c>
      <c r="BX98" s="106">
        <f t="shared" si="22"/>
        <v>2.3580796114934299E-2</v>
      </c>
      <c r="BY98">
        <v>250</v>
      </c>
      <c r="BZ98">
        <v>150</v>
      </c>
      <c r="CA98">
        <v>77</v>
      </c>
      <c r="CB98">
        <v>65.695332896987466</v>
      </c>
      <c r="CC98">
        <v>3.2837000000000005E-2</v>
      </c>
      <c r="CD98">
        <v>0.11744638928944044</v>
      </c>
      <c r="CE98">
        <v>6.6239520347182648</v>
      </c>
      <c r="CF98" s="107">
        <f>INDEX(Pipes_result_save_V1!$K$2:$K$206,MATCH(BU98,Pipes_result_save_V1!$I$2:$I$206,0)) *POWER(10,-3)</f>
        <v>-2.7671417236328121E-2</v>
      </c>
      <c r="CG98" s="78">
        <v>5.1170571745524735E-3</v>
      </c>
      <c r="CH98" s="106">
        <v>-1.6321818199199173E-2</v>
      </c>
      <c r="CN98">
        <v>0</v>
      </c>
      <c r="CO98">
        <v>6</v>
      </c>
      <c r="CP98" t="s">
        <v>540</v>
      </c>
      <c r="CQ98" t="s">
        <v>134</v>
      </c>
      <c r="CR98" s="106" t="str">
        <f>INDEX(Pipes_result_save_V1!$G$2:$G$206,MATCH(CQ98,Pipes_result_save_V1!$I$2:$I$206,0))</f>
        <v>N35</v>
      </c>
      <c r="CS98" s="106" t="str">
        <f>INDEX(Pipes_result_save_V1!$H$2:$H$206,MATCH(CQ98,Pipes_result_save_V1!$I$2:$I$206,0))</f>
        <v>N34</v>
      </c>
      <c r="CT98" s="106">
        <f t="shared" si="23"/>
        <v>7.169564373451176E-2</v>
      </c>
      <c r="CU98">
        <v>350</v>
      </c>
      <c r="CV98">
        <v>150</v>
      </c>
      <c r="CW98">
        <v>69</v>
      </c>
      <c r="CX98">
        <v>11.431500020134509</v>
      </c>
      <c r="CY98">
        <v>-8.3280000000000007E-2</v>
      </c>
      <c r="CZ98">
        <v>-0.11453669003780474</v>
      </c>
      <c r="DA98">
        <v>2.5470935392653025</v>
      </c>
      <c r="DB98" s="107">
        <f>INDEX(Pipes_result_save_V1!$K$2:$K$206,MATCH(CQ98,Pipes_result_save_V1!$I$2:$I$206,0)) *POWER(10,-3)</f>
        <v>-0.1161072616577148</v>
      </c>
      <c r="DC98" s="78">
        <v>6.5534383745440121E-3</v>
      </c>
      <c r="DD98" s="106">
        <v>-0.10616207730507131</v>
      </c>
      <c r="DL98">
        <v>0</v>
      </c>
      <c r="DM98">
        <v>6</v>
      </c>
      <c r="DN98" t="s">
        <v>540</v>
      </c>
      <c r="DO98" t="s">
        <v>409</v>
      </c>
      <c r="DP98" s="106" t="str">
        <f>INDEX(Pipes_result_save_V1!$G$2:$G$206,MATCH(DO98,Pipes_result_save_V1!$I$2:$I$206,0))</f>
        <v>N7</v>
      </c>
      <c r="DQ98" s="106" t="str">
        <f>INDEX(Pipes_result_save_V1!$H$2:$H$206,MATCH(DO98,Pipes_result_save_V1!$I$2:$I$206,0))</f>
        <v>N106</v>
      </c>
      <c r="DR98" s="106">
        <f t="shared" si="24"/>
        <v>8.3865483842022887E-2</v>
      </c>
      <c r="DS98">
        <v>350</v>
      </c>
      <c r="DT98">
        <v>150</v>
      </c>
      <c r="DU98">
        <v>322</v>
      </c>
      <c r="DV98">
        <v>53.347000093961036</v>
      </c>
      <c r="DW98">
        <v>-8.3280000000000007E-2</v>
      </c>
      <c r="DX98">
        <v>-0.53450455350975545</v>
      </c>
      <c r="DY98">
        <v>11.886436516571411</v>
      </c>
      <c r="DZ98" s="107">
        <f>INDEX(Pipes_result_save_V1!$K$2:$K$206,MATCH(DO98,Pipes_result_save_V1!$I$2:$I$206,0)) *POWER(10,-3)</f>
        <v>7.9282783508300786E-2</v>
      </c>
      <c r="EA98" s="78">
        <v>5.9367404767737527E-3</v>
      </c>
      <c r="EB98" s="106">
        <v>6.7375968741913747E-2</v>
      </c>
      <c r="EI98">
        <v>3</v>
      </c>
      <c r="EJ98">
        <v>6</v>
      </c>
      <c r="EK98" t="s">
        <v>539</v>
      </c>
      <c r="EL98" t="s">
        <v>401</v>
      </c>
      <c r="EM98" s="106" t="str">
        <f>INDEX(Pipes_result_save_V1!$G$2:$G$206,MATCH(EL98,Pipes_result_save_V1!$I$2:$I$206,0))</f>
        <v>N4</v>
      </c>
      <c r="EN98" s="106" t="str">
        <f>INDEX(Pipes_result_save_V1!$H$2:$H$206,MATCH(EL98,Pipes_result_save_V1!$I$2:$I$206,0))</f>
        <v>N5</v>
      </c>
      <c r="EO98" s="106">
        <f t="shared" si="25"/>
        <v>3.8250255700015404E-2</v>
      </c>
      <c r="EP98">
        <v>466</v>
      </c>
      <c r="EQ98">
        <v>150</v>
      </c>
      <c r="ER98">
        <v>133</v>
      </c>
      <c r="ES98">
        <v>5.4645375614970311</v>
      </c>
      <c r="ET98">
        <v>-9.4864356265488253E-2</v>
      </c>
      <c r="EU98">
        <v>-6.9686441817195688E-2</v>
      </c>
      <c r="EV98">
        <v>1.3604613505652203</v>
      </c>
      <c r="EW98" s="107">
        <f>INDEX(Pipes_result_save_V1!$K$2:$K$206,MATCH(EL98,Pipes_result_save_V1!$I$2:$I$206,0)) *POWER(10,-3)</f>
        <v>0.1158250274658203</v>
      </c>
      <c r="EX98" s="78">
        <v>5.2981749260163141E-3</v>
      </c>
      <c r="EY98" s="78">
        <v>0.10682382796361509</v>
      </c>
    </row>
    <row r="99" spans="2:155" ht="30" x14ac:dyDescent="0.25">
      <c r="B99" s="106">
        <v>7</v>
      </c>
      <c r="C99" s="106" t="s">
        <v>539</v>
      </c>
      <c r="D99" s="106" t="s">
        <v>195</v>
      </c>
      <c r="E99" s="106" t="str">
        <f>INDEX(Pipes_result_save_V1!$G$2:$G$206,MATCH(D99,Pipes_result_save_V1!$I$2:$I$206,0))</f>
        <v>N89</v>
      </c>
      <c r="F99" s="106" t="str">
        <f>INDEX(Pipes_result_save_V1!$H$2:$H$206,MATCH(D99,Pipes_result_save_V1!$I$2:$I$206,0))</f>
        <v>N90</v>
      </c>
      <c r="G99" s="106">
        <f t="shared" si="18"/>
        <v>3.7596935076183495E-2</v>
      </c>
      <c r="H99" s="107">
        <v>250</v>
      </c>
      <c r="I99" s="107">
        <v>150</v>
      </c>
      <c r="J99" s="107">
        <v>41</v>
      </c>
      <c r="K99" s="107">
        <v>34.980631802292031</v>
      </c>
      <c r="L99" s="107">
        <v>4.1000000000000002E-2</v>
      </c>
      <c r="M99" s="107">
        <v>9.4341624853503211E-2</v>
      </c>
      <c r="N99" s="107">
        <v>4.2614802250899499</v>
      </c>
      <c r="O99" s="107">
        <f t="shared" si="19"/>
        <v>-3.7596935076183495E-2</v>
      </c>
      <c r="P99" s="78">
        <v>6.1790292582421221E-3</v>
      </c>
      <c r="Q99" s="106">
        <v>2.5054865544641924E-3</v>
      </c>
      <c r="R99" s="78"/>
      <c r="S99" s="78"/>
      <c r="T99" s="78"/>
      <c r="U99" s="78"/>
      <c r="V99" s="78"/>
      <c r="W99" s="78">
        <v>0</v>
      </c>
      <c r="X99" s="78">
        <v>7</v>
      </c>
      <c r="Y99" s="78" t="s">
        <v>539</v>
      </c>
      <c r="Z99" s="78" t="s">
        <v>292</v>
      </c>
      <c r="AA99" s="106" t="str">
        <f>INDEX(Pipes_result_save_V1!$G$2:$G$206,MATCH(Z99,Pipes_result_save_V1!$I$2:$I$206,0))</f>
        <v>N128</v>
      </c>
      <c r="AB99" s="106" t="str">
        <f>INDEX(Pipes_result_save_V1!$H$2:$H$206,MATCH(Z99,Pipes_result_save_V1!$I$2:$I$206,0))</f>
        <v>N127</v>
      </c>
      <c r="AC99" s="106">
        <f t="shared" si="20"/>
        <v>3.5211178482065772E-2</v>
      </c>
      <c r="AD99" s="78">
        <v>300</v>
      </c>
      <c r="AE99" s="78">
        <v>150</v>
      </c>
      <c r="AF99" s="78">
        <v>190</v>
      </c>
      <c r="AG99" s="78">
        <v>66.696883891058746</v>
      </c>
      <c r="AH99" s="78">
        <v>5.8057999999999998E-2</v>
      </c>
      <c r="AI99" s="78">
        <v>0</v>
      </c>
      <c r="AJ99" s="78">
        <v>0</v>
      </c>
      <c r="AK99" s="78">
        <v>0.34259269588741997</v>
      </c>
      <c r="AL99">
        <v>10.928410775147302</v>
      </c>
      <c r="AM99" s="107">
        <f>INDEX(Pipes_result_save_V1!$K$2:$K$206,MATCH(Z99,Pipes_result_save_V1!$I$2:$I$206,0)) *POWER(10,-3)</f>
        <v>-9.0811767578125001E-3</v>
      </c>
      <c r="AN99" s="78">
        <v>1.7520822324454286E-3</v>
      </c>
      <c r="AO99" s="106">
        <v>-2.0540330063501195E-3</v>
      </c>
      <c r="AU99">
        <v>0</v>
      </c>
      <c r="AV99">
        <v>7</v>
      </c>
      <c r="AW99" t="s">
        <v>539</v>
      </c>
      <c r="AX99" t="s">
        <v>189</v>
      </c>
      <c r="AY99" s="106" t="str">
        <f>INDEX(Pipes_result_save_V1!$G$2:$G$206,MATCH(AX99,Pipes_result_save_V1!$I$2:$I$206,0))</f>
        <v>N76</v>
      </c>
      <c r="AZ99" s="106" t="str">
        <f>INDEX(Pipes_result_save_V1!$H$2:$H$206,MATCH(AX99,Pipes_result_save_V1!$I$2:$I$206,0))</f>
        <v>N77</v>
      </c>
      <c r="BA99" s="106">
        <f t="shared" si="21"/>
        <v>3.8250255700015404E-2</v>
      </c>
      <c r="BB99">
        <v>250</v>
      </c>
      <c r="BC99">
        <v>150</v>
      </c>
      <c r="BD99">
        <v>76</v>
      </c>
      <c r="BE99">
        <v>64.84214675546815</v>
      </c>
      <c r="BF99">
        <v>3.2837000000000005E-2</v>
      </c>
      <c r="BG99">
        <v>0.1159211115064607</v>
      </c>
      <c r="BH99">
        <v>6.5379266836180276</v>
      </c>
      <c r="BI99" s="107">
        <f>INDEX(Pipes_result_save_V1!$K$2:$K$206,MATCH(AX99,Pipes_result_save_V1!$I$2:$I$206,0)) *POWER(10,-3)</f>
        <v>5.9427165985107423E-2</v>
      </c>
      <c r="BJ99" s="78">
        <v>5.1678069077390172E-3</v>
      </c>
      <c r="BK99" s="106">
        <v>5.0528249923601685E-2</v>
      </c>
      <c r="BR99">
        <v>0</v>
      </c>
      <c r="BS99">
        <v>7</v>
      </c>
      <c r="BT99" t="s">
        <v>539</v>
      </c>
      <c r="BU99" t="s">
        <v>128</v>
      </c>
      <c r="BV99" s="106" t="str">
        <f>INDEX(Pipes_result_save_V1!$G$2:$G$206,MATCH(BU99,Pipes_result_save_V1!$I$2:$I$206,0))</f>
        <v>N57</v>
      </c>
      <c r="BW99" s="106" t="str">
        <f>INDEX(Pipes_result_save_V1!$H$2:$H$206,MATCH(BU99,Pipes_result_save_V1!$I$2:$I$206,0))</f>
        <v>N56</v>
      </c>
      <c r="BX99" s="106">
        <f t="shared" si="22"/>
        <v>2.3580796114934299E-2</v>
      </c>
      <c r="BY99">
        <v>250</v>
      </c>
      <c r="BZ99">
        <v>150</v>
      </c>
      <c r="CA99">
        <v>76</v>
      </c>
      <c r="CB99">
        <v>64.84214675546815</v>
      </c>
      <c r="CC99">
        <v>3.2837000000000005E-2</v>
      </c>
      <c r="CD99">
        <v>0.1159211115064607</v>
      </c>
      <c r="CE99">
        <v>6.5379266836180276</v>
      </c>
      <c r="CF99" s="107">
        <f>INDEX(Pipes_result_save_V1!$K$2:$K$206,MATCH(BU99,Pipes_result_save_V1!$I$2:$I$206,0)) *POWER(10,-3)</f>
        <v>-2.6798467636108398E-2</v>
      </c>
      <c r="CG99" s="78">
        <v>5.8060254579695826E-3</v>
      </c>
      <c r="CH99" s="106">
        <v>-1.9927271352417505E-2</v>
      </c>
      <c r="CN99">
        <v>0</v>
      </c>
      <c r="CO99">
        <v>7</v>
      </c>
      <c r="CP99" t="s">
        <v>540</v>
      </c>
      <c r="CQ99" t="s">
        <v>135</v>
      </c>
      <c r="CR99" s="106" t="str">
        <f>INDEX(Pipes_result_save_V1!$G$2:$G$206,MATCH(CQ99,Pipes_result_save_V1!$I$2:$I$206,0))</f>
        <v>N36</v>
      </c>
      <c r="CS99" s="106" t="str">
        <f>INDEX(Pipes_result_save_V1!$H$2:$H$206,MATCH(CQ99,Pipes_result_save_V1!$I$2:$I$206,0))</f>
        <v>N35</v>
      </c>
      <c r="CT99" s="106">
        <f t="shared" si="23"/>
        <v>7.169564373451176E-2</v>
      </c>
      <c r="CU99">
        <v>350</v>
      </c>
      <c r="CV99">
        <v>150</v>
      </c>
      <c r="CW99">
        <v>73</v>
      </c>
      <c r="CX99">
        <v>12.094195673475639</v>
      </c>
      <c r="CY99">
        <v>-8.3280000000000007E-2</v>
      </c>
      <c r="CZ99">
        <v>-0.12117649815593834</v>
      </c>
      <c r="DA99">
        <v>2.69475113574445</v>
      </c>
      <c r="DB99" s="107">
        <f>INDEX(Pipes_result_save_V1!$K$2:$K$206,MATCH(CQ99,Pipes_result_save_V1!$I$2:$I$206,0)) *POWER(10,-3)</f>
        <v>-0.1152970657348633</v>
      </c>
      <c r="DC99" s="78">
        <v>5.6497529229469576E-3</v>
      </c>
      <c r="DD99" s="106">
        <v>-0.10433378337683077</v>
      </c>
      <c r="DL99">
        <v>0</v>
      </c>
      <c r="DM99">
        <v>7</v>
      </c>
      <c r="DN99" t="s">
        <v>539</v>
      </c>
      <c r="DO99" t="s">
        <v>151</v>
      </c>
      <c r="DP99" s="106" t="str">
        <f>INDEX(Pipes_result_save_V1!$G$2:$G$206,MATCH(DO99,Pipes_result_save_V1!$I$2:$I$206,0))</f>
        <v>N19</v>
      </c>
      <c r="DQ99" s="106" t="str">
        <f>INDEX(Pipes_result_save_V1!$H$2:$H$206,MATCH(DO99,Pipes_result_save_V1!$I$2:$I$206,0))</f>
        <v>N18</v>
      </c>
      <c r="DR99" s="106">
        <f t="shared" si="24"/>
        <v>0.16714548384202288</v>
      </c>
      <c r="DS99">
        <v>466</v>
      </c>
      <c r="DT99">
        <v>150</v>
      </c>
      <c r="DU99">
        <v>56</v>
      </c>
      <c r="DV99">
        <v>2.3008579206303286</v>
      </c>
      <c r="DW99">
        <v>0.16656000000000001</v>
      </c>
      <c r="DX99">
        <v>8.3222117253561281E-2</v>
      </c>
      <c r="DY99">
        <v>0.92535639501438216</v>
      </c>
      <c r="DZ99" s="107">
        <f>INDEX(Pipes_result_save_V1!$K$2:$K$206,MATCH(DO99,Pipes_result_save_V1!$I$2:$I$206,0)) *POWER(10,-3)</f>
        <v>-0.20831297302246091</v>
      </c>
      <c r="EA99" s="78">
        <v>6.3972910940920513E-3</v>
      </c>
      <c r="EB99" s="106">
        <v>-0.19719556481909861</v>
      </c>
      <c r="EI99">
        <v>4</v>
      </c>
      <c r="EJ99">
        <v>7</v>
      </c>
      <c r="EK99" t="s">
        <v>539</v>
      </c>
      <c r="EL99" t="s">
        <v>403</v>
      </c>
      <c r="EM99" s="106" t="str">
        <f>INDEX(Pipes_result_save_V1!$G$2:$G$206,MATCH(EL99,Pipes_result_save_V1!$I$2:$I$206,0))</f>
        <v>N5</v>
      </c>
      <c r="EN99" s="106" t="str">
        <f>INDEX(Pipes_result_save_V1!$H$2:$H$206,MATCH(EL99,Pipes_result_save_V1!$I$2:$I$206,0))</f>
        <v>N6</v>
      </c>
      <c r="EO99" s="106">
        <f t="shared" si="25"/>
        <v>3.8250255700015404E-2</v>
      </c>
      <c r="EP99">
        <v>466</v>
      </c>
      <c r="EQ99">
        <v>150</v>
      </c>
      <c r="ER99">
        <v>75</v>
      </c>
      <c r="ES99">
        <v>3.0815061437013331</v>
      </c>
      <c r="ET99">
        <v>-9.4864356265488253E-2</v>
      </c>
      <c r="EU99">
        <v>-3.9296865686388543E-2</v>
      </c>
      <c r="EV99">
        <v>0.76717745332625198</v>
      </c>
      <c r="EW99" s="107">
        <f>INDEX(Pipes_result_save_V1!$K$2:$K$206,MATCH(EL99,Pipes_result_save_V1!$I$2:$I$206,0)) *POWER(10,-3)</f>
        <v>0.1146382675170898</v>
      </c>
      <c r="EX99" s="78">
        <v>5.5595164112455788E-3</v>
      </c>
      <c r="EY99" s="78">
        <v>0.10556686389483461</v>
      </c>
    </row>
    <row r="100" spans="2:155" ht="30" x14ac:dyDescent="0.25">
      <c r="B100" s="106">
        <v>8</v>
      </c>
      <c r="C100" s="106" t="s">
        <v>539</v>
      </c>
      <c r="D100" s="106" t="s">
        <v>194</v>
      </c>
      <c r="E100" s="106" t="str">
        <f>INDEX(Pipes_result_save_V1!$G$2:$G$206,MATCH(D100,Pipes_result_save_V1!$I$2:$I$206,0))</f>
        <v>N90</v>
      </c>
      <c r="F100" s="106" t="str">
        <f>INDEX(Pipes_result_save_V1!$H$2:$H$206,MATCH(D100,Pipes_result_save_V1!$I$2:$I$206,0))</f>
        <v>N91</v>
      </c>
      <c r="G100" s="106">
        <f t="shared" si="18"/>
        <v>0.12240306492381652</v>
      </c>
      <c r="H100" s="107">
        <v>565</v>
      </c>
      <c r="I100" s="107">
        <v>150</v>
      </c>
      <c r="J100" s="107">
        <v>201</v>
      </c>
      <c r="K100" s="107">
        <v>3.2313026950578347</v>
      </c>
      <c r="L100" s="107">
        <v>0.20100000000000001</v>
      </c>
      <c r="M100" s="107">
        <v>0.16553763307059088</v>
      </c>
      <c r="N100" s="107">
        <v>1.5252522211280313</v>
      </c>
      <c r="O100" s="107">
        <f t="shared" si="19"/>
        <v>0.12240306492381652</v>
      </c>
      <c r="P100" s="78">
        <v>6.5072513739895029E-3</v>
      </c>
      <c r="Q100" s="106">
        <v>-2.9146759669536446E-3</v>
      </c>
      <c r="R100" s="78"/>
      <c r="S100" s="78"/>
      <c r="T100" s="78"/>
      <c r="U100" s="78"/>
      <c r="V100" s="78"/>
      <c r="W100" s="78">
        <v>0</v>
      </c>
      <c r="X100" s="78">
        <v>8</v>
      </c>
      <c r="Y100" s="78" t="s">
        <v>539</v>
      </c>
      <c r="Z100" s="78" t="s">
        <v>291</v>
      </c>
      <c r="AA100" s="106" t="str">
        <f>INDEX(Pipes_result_save_V1!$G$2:$G$206,MATCH(Z100,Pipes_result_save_V1!$I$2:$I$206,0))</f>
        <v>N129</v>
      </c>
      <c r="AB100" s="106" t="str">
        <f>INDEX(Pipes_result_save_V1!$H$2:$H$206,MATCH(Z100,Pipes_result_save_V1!$I$2:$I$206,0))</f>
        <v>N128</v>
      </c>
      <c r="AC100" s="106">
        <f t="shared" si="20"/>
        <v>3.5211178482065772E-2</v>
      </c>
      <c r="AD100" s="78">
        <v>300</v>
      </c>
      <c r="AE100" s="78">
        <v>150</v>
      </c>
      <c r="AF100" s="78">
        <v>290</v>
      </c>
      <c r="AG100" s="78">
        <v>101.80050699161599</v>
      </c>
      <c r="AH100" s="78">
        <v>5.8057999999999998E-2</v>
      </c>
      <c r="AI100" s="78">
        <v>0</v>
      </c>
      <c r="AJ100" s="78">
        <v>0</v>
      </c>
      <c r="AK100" s="78">
        <v>0.52290464109132528</v>
      </c>
      <c r="AL100">
        <v>16.680205919961676</v>
      </c>
      <c r="AM100" s="107">
        <f>INDEX(Pipes_result_save_V1!$K$2:$K$206,MATCH(Z100,Pipes_result_save_V1!$I$2:$I$206,0)) *POWER(10,-3)</f>
        <v>-6.3425126075744628E-3</v>
      </c>
      <c r="AN100" s="78">
        <v>4.3014822979732074E-3</v>
      </c>
      <c r="AO100" s="106">
        <v>6.2706414588876427E-4</v>
      </c>
      <c r="AU100">
        <v>0</v>
      </c>
      <c r="AV100">
        <v>8</v>
      </c>
      <c r="AW100" t="s">
        <v>539</v>
      </c>
      <c r="AX100" t="s">
        <v>188</v>
      </c>
      <c r="AY100" s="106" t="str">
        <f>INDEX(Pipes_result_save_V1!$G$2:$G$206,MATCH(AX100,Pipes_result_save_V1!$I$2:$I$206,0))</f>
        <v>N77</v>
      </c>
      <c r="AZ100" s="106" t="str">
        <f>INDEX(Pipes_result_save_V1!$H$2:$H$206,MATCH(AX100,Pipes_result_save_V1!$I$2:$I$206,0))</f>
        <v>N78</v>
      </c>
      <c r="BA100" s="106">
        <f t="shared" si="21"/>
        <v>3.8250255700015404E-2</v>
      </c>
      <c r="BB100">
        <v>250</v>
      </c>
      <c r="BC100">
        <v>150</v>
      </c>
      <c r="BD100">
        <v>77</v>
      </c>
      <c r="BE100">
        <v>65.695332896987466</v>
      </c>
      <c r="BF100">
        <v>3.2837000000000005E-2</v>
      </c>
      <c r="BG100">
        <v>0.11744638928944044</v>
      </c>
      <c r="BH100">
        <v>6.6239520347182648</v>
      </c>
      <c r="BI100" s="107">
        <f>INDEX(Pipes_result_save_V1!$K$2:$K$206,MATCH(AX100,Pipes_result_save_V1!$I$2:$I$206,0)) *POWER(10,-3)</f>
        <v>5.8537097930908201E-2</v>
      </c>
      <c r="BJ100" s="78">
        <v>5.2131629820899731E-3</v>
      </c>
      <c r="BK100" s="106">
        <v>4.8772637017312777E-2</v>
      </c>
      <c r="BR100">
        <v>0</v>
      </c>
      <c r="BS100">
        <v>8</v>
      </c>
      <c r="BT100" t="s">
        <v>539</v>
      </c>
      <c r="BU100" t="s">
        <v>127</v>
      </c>
      <c r="BV100" s="106" t="str">
        <f>INDEX(Pipes_result_save_V1!$G$2:$G$206,MATCH(BU100,Pipes_result_save_V1!$I$2:$I$206,0))</f>
        <v>N58</v>
      </c>
      <c r="BW100" s="106" t="str">
        <f>INDEX(Pipes_result_save_V1!$H$2:$H$206,MATCH(BU100,Pipes_result_save_V1!$I$2:$I$206,0))</f>
        <v>N57</v>
      </c>
      <c r="BX100" s="106">
        <f t="shared" si="22"/>
        <v>2.3580796114934299E-2</v>
      </c>
      <c r="BY100">
        <v>250</v>
      </c>
      <c r="BZ100">
        <v>150</v>
      </c>
      <c r="CA100">
        <v>36</v>
      </c>
      <c r="CB100">
        <v>30.714701094695442</v>
      </c>
      <c r="CC100">
        <v>3.2837000000000005E-2</v>
      </c>
      <c r="CD100">
        <v>5.4910000187270859E-2</v>
      </c>
      <c r="CE100">
        <v>3.09691263960854</v>
      </c>
      <c r="CF100" s="107">
        <f>INDEX(Pipes_result_save_V1!$K$2:$K$206,MATCH(BU100,Pipes_result_save_V1!$I$2:$I$206,0)) *POWER(10,-3)</f>
        <v>-2.6159444808959962E-2</v>
      </c>
      <c r="CG100" s="78">
        <v>5.1975307395639636E-3</v>
      </c>
      <c r="CH100" s="106">
        <v>-1.5382852529843227E-2</v>
      </c>
      <c r="CN100">
        <v>0</v>
      </c>
      <c r="CO100">
        <v>8</v>
      </c>
      <c r="CP100" t="s">
        <v>540</v>
      </c>
      <c r="CQ100" t="s">
        <v>133</v>
      </c>
      <c r="CR100" s="106" t="str">
        <f>INDEX(Pipes_result_save_V1!$G$2:$G$206,MATCH(CQ100,Pipes_result_save_V1!$I$2:$I$206,0))</f>
        <v>N37</v>
      </c>
      <c r="CS100" s="106" t="str">
        <f>INDEX(Pipes_result_save_V1!$H$2:$H$206,MATCH(CQ100,Pipes_result_save_V1!$I$2:$I$206,0))</f>
        <v>N36</v>
      </c>
      <c r="CT100" s="106">
        <f t="shared" si="23"/>
        <v>7.169564373451176E-2</v>
      </c>
      <c r="CU100">
        <v>350</v>
      </c>
      <c r="CV100">
        <v>150</v>
      </c>
      <c r="CW100">
        <v>81</v>
      </c>
      <c r="CX100">
        <v>13.419586980157902</v>
      </c>
      <c r="CY100">
        <v>-8.3280000000000007E-2</v>
      </c>
      <c r="CZ100">
        <v>-0.13445611439220556</v>
      </c>
      <c r="DA100">
        <v>2.9900663287027465</v>
      </c>
      <c r="DB100" s="107">
        <f>INDEX(Pipes_result_save_V1!$K$2:$K$206,MATCH(CQ100,Pipes_result_save_V1!$I$2:$I$206,0)) *POWER(10,-3)</f>
        <v>-0.11441841125488281</v>
      </c>
      <c r="DC100" s="78">
        <v>6.1696904257668578E-3</v>
      </c>
      <c r="DD100" s="106">
        <v>-0.10416507018554108</v>
      </c>
      <c r="DL100">
        <v>0</v>
      </c>
      <c r="DM100">
        <v>8</v>
      </c>
      <c r="DN100" t="s">
        <v>539</v>
      </c>
      <c r="DO100" t="s">
        <v>150</v>
      </c>
      <c r="DP100" s="106" t="str">
        <f>INDEX(Pipes_result_save_V1!$G$2:$G$206,MATCH(DO100,Pipes_result_save_V1!$I$2:$I$206,0))</f>
        <v>N20</v>
      </c>
      <c r="DQ100" s="106" t="str">
        <f>INDEX(Pipes_result_save_V1!$H$2:$H$206,MATCH(DO100,Pipes_result_save_V1!$I$2:$I$206,0))</f>
        <v>N19</v>
      </c>
      <c r="DR100" s="106">
        <f t="shared" si="24"/>
        <v>0.16714548384202288</v>
      </c>
      <c r="DS100">
        <v>466</v>
      </c>
      <c r="DT100">
        <v>150</v>
      </c>
      <c r="DU100">
        <v>60</v>
      </c>
      <c r="DV100">
        <v>2.4652049149610664</v>
      </c>
      <c r="DW100">
        <v>0.16656000000000001</v>
      </c>
      <c r="DX100">
        <v>8.9166554200244233E-2</v>
      </c>
      <c r="DY100">
        <v>0.9914532803725522</v>
      </c>
      <c r="DZ100" s="107">
        <f>INDEX(Pipes_result_save_V1!$K$2:$K$206,MATCH(DO100,Pipes_result_save_V1!$I$2:$I$206,0)) *POWER(10,-3)</f>
        <v>-0.207651123046875</v>
      </c>
      <c r="EA100" s="78">
        <v>6.1394164288756797E-3</v>
      </c>
      <c r="EB100" s="106">
        <v>-0.19705735983515418</v>
      </c>
      <c r="EI100">
        <v>5</v>
      </c>
      <c r="EJ100">
        <v>8</v>
      </c>
      <c r="EK100" t="s">
        <v>539</v>
      </c>
      <c r="EL100" t="s">
        <v>396</v>
      </c>
      <c r="EM100" s="106" t="str">
        <f>INDEX(Pipes_result_save_V1!$G$2:$G$206,MATCH(EL100,Pipes_result_save_V1!$I$2:$I$206,0))</f>
        <v>N6</v>
      </c>
      <c r="EN100" s="106" t="str">
        <f>INDEX(Pipes_result_save_V1!$H$2:$H$206,MATCH(EL100,Pipes_result_save_V1!$I$2:$I$206,0))</f>
        <v>N7</v>
      </c>
      <c r="EO100" s="106">
        <f t="shared" si="25"/>
        <v>3.8250255700015404E-2</v>
      </c>
      <c r="EP100">
        <v>466</v>
      </c>
      <c r="EQ100">
        <v>150</v>
      </c>
      <c r="ER100">
        <v>94</v>
      </c>
      <c r="ES100">
        <v>3.8621543667723377</v>
      </c>
      <c r="ET100">
        <v>-9.4864356265488253E-2</v>
      </c>
      <c r="EU100">
        <v>-4.9252071660273643E-2</v>
      </c>
      <c r="EV100">
        <v>0.96152907483556926</v>
      </c>
      <c r="EW100" s="107">
        <f>INDEX(Pipes_result_save_V1!$K$2:$K$206,MATCH(EL100,Pipes_result_save_V1!$I$2:$I$206,0)) *POWER(10,-3)</f>
        <v>0.1136740341186523</v>
      </c>
      <c r="EX100" s="78">
        <v>5.9866222049283595E-3</v>
      </c>
      <c r="EY100" s="78">
        <v>0.10326779764139249</v>
      </c>
    </row>
    <row r="101" spans="2:155" ht="30" x14ac:dyDescent="0.25">
      <c r="B101" s="106">
        <v>9</v>
      </c>
      <c r="C101" s="106" t="s">
        <v>539</v>
      </c>
      <c r="D101" s="106" t="s">
        <v>425</v>
      </c>
      <c r="E101" s="106" t="str">
        <f>INDEX(Pipes_result_save_V1!$G$2:$G$206,MATCH(D101,Pipes_result_save_V1!$I$2:$I$206,0))</f>
        <v>N91</v>
      </c>
      <c r="F101" s="106" t="str">
        <f>INDEX(Pipes_result_save_V1!$H$2:$H$206,MATCH(D101,Pipes_result_save_V1!$I$2:$I$206,0))</f>
        <v>N92</v>
      </c>
      <c r="G101" s="106">
        <f t="shared" si="18"/>
        <v>5.0403064923816507E-2</v>
      </c>
      <c r="H101" s="107">
        <v>421</v>
      </c>
      <c r="I101" s="107">
        <v>150</v>
      </c>
      <c r="J101" s="107">
        <v>129</v>
      </c>
      <c r="K101" s="107">
        <v>8.6920295923619637</v>
      </c>
      <c r="L101" s="107">
        <v>0.129</v>
      </c>
      <c r="M101" s="107">
        <v>0.19585440315176539</v>
      </c>
      <c r="N101" s="107">
        <v>2.8118011987369731</v>
      </c>
      <c r="O101" s="107">
        <f t="shared" si="19"/>
        <v>5.0403064923816507E-2</v>
      </c>
      <c r="P101" s="78">
        <v>5.6664658257871477E-3</v>
      </c>
      <c r="Q101" s="106">
        <v>-3.8308322353701398E-4</v>
      </c>
      <c r="R101" s="78"/>
      <c r="S101" s="78"/>
      <c r="T101" s="78"/>
      <c r="U101" s="78"/>
      <c r="V101" s="78"/>
      <c r="W101" s="78">
        <v>0</v>
      </c>
      <c r="X101" s="78">
        <v>9</v>
      </c>
      <c r="Y101" s="78" t="s">
        <v>539</v>
      </c>
      <c r="Z101" s="78" t="s">
        <v>293</v>
      </c>
      <c r="AA101" s="106" t="str">
        <f>INDEX(Pipes_result_save_V1!$G$2:$G$206,MATCH(Z101,Pipes_result_save_V1!$I$2:$I$206,0))</f>
        <v>N130</v>
      </c>
      <c r="AB101" s="106" t="str">
        <f>INDEX(Pipes_result_save_V1!$H$2:$H$206,MATCH(Z101,Pipes_result_save_V1!$I$2:$I$206,0))</f>
        <v>N129</v>
      </c>
      <c r="AC101" s="106">
        <f t="shared" si="20"/>
        <v>3.5211178482065772E-2</v>
      </c>
      <c r="AD101" s="78">
        <v>300</v>
      </c>
      <c r="AE101" s="78">
        <v>150</v>
      </c>
      <c r="AF101" s="78">
        <v>82</v>
      </c>
      <c r="AG101" s="78">
        <v>28.784970942456937</v>
      </c>
      <c r="AH101" s="78">
        <v>5.8057999999999998E-2</v>
      </c>
      <c r="AI101" s="78">
        <v>0</v>
      </c>
      <c r="AJ101" s="78">
        <v>0</v>
      </c>
      <c r="AK101" s="78">
        <v>0.14785579506720234</v>
      </c>
      <c r="AL101">
        <v>4.7164720187477842</v>
      </c>
      <c r="AM101" s="107">
        <f>INDEX(Pipes_result_save_V1!$K$2:$K$206,MATCH(Z101,Pipes_result_save_V1!$I$2:$I$206,0)) *POWER(10,-3)</f>
        <v>-4.2200489044189457E-3</v>
      </c>
      <c r="AN101" s="78">
        <v>2.0451193143003572E-3</v>
      </c>
      <c r="AO101" s="106">
        <v>4.9326517420330207E-4</v>
      </c>
      <c r="AU101">
        <v>0</v>
      </c>
      <c r="AV101">
        <v>9</v>
      </c>
      <c r="AW101" t="s">
        <v>539</v>
      </c>
      <c r="AX101" t="s">
        <v>186</v>
      </c>
      <c r="AY101" s="106" t="str">
        <f>INDEX(Pipes_result_save_V1!$G$2:$G$206,MATCH(AX101,Pipes_result_save_V1!$I$2:$I$206,0))</f>
        <v>N78</v>
      </c>
      <c r="AZ101" s="106" t="str">
        <f>INDEX(Pipes_result_save_V1!$H$2:$H$206,MATCH(AX101,Pipes_result_save_V1!$I$2:$I$206,0))</f>
        <v>N79</v>
      </c>
      <c r="BA101" s="106">
        <f t="shared" si="21"/>
        <v>3.8250255700015404E-2</v>
      </c>
      <c r="BB101">
        <v>250</v>
      </c>
      <c r="BC101">
        <v>150</v>
      </c>
      <c r="BD101">
        <v>78</v>
      </c>
      <c r="BE101">
        <v>66.548519038506782</v>
      </c>
      <c r="BF101">
        <v>3.2837000000000005E-2</v>
      </c>
      <c r="BG101">
        <v>0.11897166707242018</v>
      </c>
      <c r="BH101">
        <v>6.7099773858185019</v>
      </c>
      <c r="BI101" s="107">
        <f>INDEX(Pipes_result_save_V1!$K$2:$K$206,MATCH(AX101,Pipes_result_save_V1!$I$2:$I$206,0)) *POWER(10,-3)</f>
        <v>5.7179180145263672E-2</v>
      </c>
      <c r="BJ101" s="78">
        <v>5.4724288895827613E-3</v>
      </c>
      <c r="BK101" s="106">
        <v>4.8623911072191564E-2</v>
      </c>
      <c r="BR101">
        <v>0</v>
      </c>
      <c r="BS101">
        <v>9</v>
      </c>
      <c r="BT101" t="s">
        <v>539</v>
      </c>
      <c r="BU101" t="s">
        <v>126</v>
      </c>
      <c r="BV101" s="106" t="str">
        <f>INDEX(Pipes_result_save_V1!$G$2:$G$206,MATCH(BU101,Pipes_result_save_V1!$I$2:$I$206,0))</f>
        <v>N59</v>
      </c>
      <c r="BW101" s="106" t="str">
        <f>INDEX(Pipes_result_save_V1!$H$2:$H$206,MATCH(BU101,Pipes_result_save_V1!$I$2:$I$206,0))</f>
        <v>N58</v>
      </c>
      <c r="BX101" s="106">
        <f t="shared" si="22"/>
        <v>2.3580796114934299E-2</v>
      </c>
      <c r="BY101">
        <v>250</v>
      </c>
      <c r="BZ101">
        <v>150</v>
      </c>
      <c r="CA101">
        <v>32</v>
      </c>
      <c r="CB101">
        <v>27.30195652861817</v>
      </c>
      <c r="CC101">
        <v>3.2837000000000005E-2</v>
      </c>
      <c r="CD101">
        <v>4.8808889055351877E-2</v>
      </c>
      <c r="CE101">
        <v>2.7528112352075911</v>
      </c>
      <c r="CF101" s="107">
        <f>INDEX(Pipes_result_save_V1!$K$2:$K$206,MATCH(BU101,Pipes_result_save_V1!$I$2:$I$206,0)) *POWER(10,-3)</f>
        <v>-2.5771469116210942E-2</v>
      </c>
      <c r="CG101" s="78">
        <v>5.5781242088045243E-3</v>
      </c>
      <c r="CH101" s="106">
        <v>-1.5513456882792235E-2</v>
      </c>
      <c r="CN101">
        <v>0</v>
      </c>
      <c r="CO101">
        <v>9</v>
      </c>
      <c r="CP101" t="s">
        <v>540</v>
      </c>
      <c r="CQ101" t="s">
        <v>132</v>
      </c>
      <c r="CR101" s="106" t="str">
        <f>INDEX(Pipes_result_save_V1!$G$2:$G$206,MATCH(CQ101,Pipes_result_save_V1!$I$2:$I$206,0))</f>
        <v>N38</v>
      </c>
      <c r="CS101" s="106" t="str">
        <f>INDEX(Pipes_result_save_V1!$H$2:$H$206,MATCH(CQ101,Pipes_result_save_V1!$I$2:$I$206,0))</f>
        <v>N37</v>
      </c>
      <c r="CT101" s="106">
        <f t="shared" si="23"/>
        <v>7.169564373451176E-2</v>
      </c>
      <c r="CU101">
        <v>350</v>
      </c>
      <c r="CV101">
        <v>150</v>
      </c>
      <c r="CW101">
        <v>101</v>
      </c>
      <c r="CX101">
        <v>16.733065246863553</v>
      </c>
      <c r="CY101">
        <v>-8.3280000000000007E-2</v>
      </c>
      <c r="CZ101">
        <v>-0.16765515498287359</v>
      </c>
      <c r="DA101">
        <v>3.7283543110984856</v>
      </c>
      <c r="DB101" s="107">
        <f>INDEX(Pipes_result_save_V1!$K$2:$K$206,MATCH(CQ101,Pipes_result_save_V1!$I$2:$I$206,0)) *POWER(10,-3)</f>
        <v>-0.1133800048828125</v>
      </c>
      <c r="DC101" s="78">
        <v>5.3039577739582063E-3</v>
      </c>
      <c r="DD101" s="106">
        <v>-0.1060138096683628</v>
      </c>
      <c r="DL101">
        <v>0</v>
      </c>
      <c r="DM101">
        <v>9</v>
      </c>
      <c r="DN101" t="s">
        <v>539</v>
      </c>
      <c r="DO101" t="s">
        <v>149</v>
      </c>
      <c r="DP101" s="106" t="str">
        <f>INDEX(Pipes_result_save_V1!$G$2:$G$206,MATCH(DO101,Pipes_result_save_V1!$I$2:$I$206,0))</f>
        <v>N21</v>
      </c>
      <c r="DQ101" s="106" t="str">
        <f>INDEX(Pipes_result_save_V1!$H$2:$H$206,MATCH(DO101,Pipes_result_save_V1!$I$2:$I$206,0))</f>
        <v>N20</v>
      </c>
      <c r="DR101" s="106">
        <f t="shared" si="24"/>
        <v>0.16714548384202288</v>
      </c>
      <c r="DS101">
        <v>466</v>
      </c>
      <c r="DT101">
        <v>150</v>
      </c>
      <c r="DU101">
        <v>67</v>
      </c>
      <c r="DV101">
        <v>2.7528121550398579</v>
      </c>
      <c r="DW101">
        <v>0.16656000000000001</v>
      </c>
      <c r="DX101">
        <v>9.9569318856939398E-2</v>
      </c>
      <c r="DY101">
        <v>1.1071228297493503</v>
      </c>
      <c r="DZ101" s="107">
        <f>INDEX(Pipes_result_save_V1!$K$2:$K$206,MATCH(DO101,Pipes_result_save_V1!$I$2:$I$206,0)) *POWER(10,-3)</f>
        <v>-0.20692651367187501</v>
      </c>
      <c r="EA101" s="78">
        <v>6.4258328353900933E-3</v>
      </c>
      <c r="EB101" s="106">
        <v>-0.19558411158842803</v>
      </c>
      <c r="EI101">
        <v>0</v>
      </c>
      <c r="EJ101">
        <v>9</v>
      </c>
      <c r="EK101" t="s">
        <v>539</v>
      </c>
      <c r="EL101" t="s">
        <v>402</v>
      </c>
      <c r="EM101" s="106" t="str">
        <f>INDEX(Pipes_result_save_V1!$G$2:$G$206,MATCH(EL101,Pipes_result_save_V1!$I$2:$I$206,0))</f>
        <v>N8</v>
      </c>
      <c r="EN101" s="106" t="str">
        <f>INDEX(Pipes_result_save_V1!$H$2:$H$206,MATCH(EL101,Pipes_result_save_V1!$I$2:$I$206,0))</f>
        <v>N7</v>
      </c>
      <c r="EO101" s="106">
        <f t="shared" si="25"/>
        <v>4.5871775982907335E-2</v>
      </c>
      <c r="EP101">
        <v>350</v>
      </c>
      <c r="EQ101">
        <v>150</v>
      </c>
      <c r="ER101">
        <v>133</v>
      </c>
      <c r="ES101">
        <v>22.034630473592603</v>
      </c>
      <c r="ET101">
        <v>8.3280000000000007E-2</v>
      </c>
      <c r="EU101">
        <v>0.22077361992794248</v>
      </c>
      <c r="EV101">
        <v>4.9096150829316691</v>
      </c>
      <c r="EW101" s="107">
        <f>INDEX(Pipes_result_save_V1!$K$2:$K$206,MATCH(EL101,Pipes_result_save_V1!$I$2:$I$206,0)) *POWER(10,-3)</f>
        <v>-3.1258901596069338E-2</v>
      </c>
      <c r="EX101" s="78">
        <v>5.419887647284332E-3</v>
      </c>
      <c r="EY101" s="78">
        <v>-2.3857198011229073E-2</v>
      </c>
    </row>
    <row r="102" spans="2:155" ht="30" x14ac:dyDescent="0.25">
      <c r="B102" s="106">
        <v>10</v>
      </c>
      <c r="C102" s="106" t="s">
        <v>539</v>
      </c>
      <c r="D102" s="106" t="s">
        <v>183</v>
      </c>
      <c r="E102" s="106" t="str">
        <f>INDEX(Pipes_result_save_V1!$G$2:$G$206,MATCH(D102,Pipes_result_save_V1!$I$2:$I$206,0))</f>
        <v>N92</v>
      </c>
      <c r="F102" s="106" t="str">
        <f>INDEX(Pipes_result_save_V1!$H$2:$H$206,MATCH(D102,Pipes_result_save_V1!$I$2:$I$206,0))</f>
        <v>N93</v>
      </c>
      <c r="G102" s="106">
        <f t="shared" si="18"/>
        <v>3.2403064923816505E-2</v>
      </c>
      <c r="H102" s="107">
        <v>400</v>
      </c>
      <c r="I102" s="107">
        <v>150</v>
      </c>
      <c r="J102" s="107">
        <v>111</v>
      </c>
      <c r="K102" s="107">
        <v>9.5961788981398755</v>
      </c>
      <c r="L102" s="107">
        <v>0.111</v>
      </c>
      <c r="M102" s="107">
        <v>0.16369540640591485</v>
      </c>
      <c r="N102" s="107">
        <v>2.7312062402140032</v>
      </c>
      <c r="O102" s="107">
        <f t="shared" si="19"/>
        <v>3.2403064923816505E-2</v>
      </c>
      <c r="P102" s="78">
        <v>5.1410950439355957E-3</v>
      </c>
      <c r="Q102" s="106">
        <v>1.467413532335158E-3</v>
      </c>
      <c r="R102" s="78"/>
      <c r="S102" s="78"/>
      <c r="T102" s="78"/>
      <c r="U102" s="78"/>
      <c r="V102" s="78"/>
      <c r="W102" s="78">
        <v>0</v>
      </c>
      <c r="X102" s="78">
        <v>10</v>
      </c>
      <c r="Y102" s="78" t="s">
        <v>539</v>
      </c>
      <c r="Z102" s="78" t="s">
        <v>294</v>
      </c>
      <c r="AA102" s="106" t="str">
        <f>INDEX(Pipes_result_save_V1!$G$2:$G$206,MATCH(Z102,Pipes_result_save_V1!$I$2:$I$206,0))</f>
        <v>N131</v>
      </c>
      <c r="AB102" s="106" t="str">
        <f>INDEX(Pipes_result_save_V1!$H$2:$H$206,MATCH(Z102,Pipes_result_save_V1!$I$2:$I$206,0))</f>
        <v>N130</v>
      </c>
      <c r="AC102" s="106">
        <f t="shared" si="20"/>
        <v>3.5211178482065772E-2</v>
      </c>
      <c r="AD102" s="78">
        <v>300</v>
      </c>
      <c r="AE102" s="78">
        <v>150</v>
      </c>
      <c r="AF102" s="78">
        <v>75</v>
      </c>
      <c r="AG102" s="78">
        <v>26.327717325417932</v>
      </c>
      <c r="AH102" s="78">
        <v>5.8057999999999998E-2</v>
      </c>
      <c r="AI102" s="78">
        <v>0</v>
      </c>
      <c r="AJ102" s="78">
        <v>0</v>
      </c>
      <c r="AK102" s="78">
        <v>0.13523395890292897</v>
      </c>
      <c r="AL102">
        <v>4.3138463586107783</v>
      </c>
      <c r="AM102" s="107">
        <f>INDEX(Pipes_result_save_V1!$K$2:$K$206,MATCH(Z102,Pipes_result_save_V1!$I$2:$I$206,0)) *POWER(10,-3)</f>
        <v>-3.3242774009704591E-3</v>
      </c>
      <c r="AN102" s="78">
        <v>2.9765588437570896E-3</v>
      </c>
      <c r="AO102" s="106">
        <v>2.3373640010856379E-3</v>
      </c>
      <c r="AU102">
        <v>0</v>
      </c>
      <c r="AV102">
        <v>10</v>
      </c>
      <c r="AW102" t="s">
        <v>539</v>
      </c>
      <c r="AX102" t="s">
        <v>187</v>
      </c>
      <c r="AY102" s="106" t="str">
        <f>INDEX(Pipes_result_save_V1!$G$2:$G$206,MATCH(AX102,Pipes_result_save_V1!$I$2:$I$206,0))</f>
        <v>N80</v>
      </c>
      <c r="AZ102" s="106" t="str">
        <f>INDEX(Pipes_result_save_V1!$H$2:$H$206,MATCH(AX102,Pipes_result_save_V1!$I$2:$I$206,0))</f>
        <v>N79</v>
      </c>
      <c r="BA102" s="106">
        <f t="shared" si="21"/>
        <v>3.8250255700015404E-2</v>
      </c>
      <c r="BB102">
        <v>250</v>
      </c>
      <c r="BC102">
        <v>150</v>
      </c>
      <c r="BD102">
        <v>79</v>
      </c>
      <c r="BE102">
        <v>67.401705180026113</v>
      </c>
      <c r="BF102">
        <v>3.2837000000000005E-2</v>
      </c>
      <c r="BG102">
        <v>0.12049694485539995</v>
      </c>
      <c r="BH102">
        <v>6.7960027369187399</v>
      </c>
      <c r="BI102" s="107">
        <f>INDEX(Pipes_result_save_V1!$K$2:$K$206,MATCH(AX102,Pipes_result_save_V1!$I$2:$I$206,0)) *POWER(10,-3)</f>
        <v>-5.5878314971923831E-2</v>
      </c>
      <c r="BJ102" s="78">
        <v>5.4515790317720761E-3</v>
      </c>
      <c r="BK102" s="106">
        <v>-4.8371213717852912E-2</v>
      </c>
      <c r="BR102">
        <v>0</v>
      </c>
      <c r="BS102">
        <v>10</v>
      </c>
      <c r="BT102" t="s">
        <v>539</v>
      </c>
      <c r="BU102" t="s">
        <v>125</v>
      </c>
      <c r="BV102" s="106" t="str">
        <f>INDEX(Pipes_result_save_V1!$G$2:$G$206,MATCH(BU102,Pipes_result_save_V1!$I$2:$I$206,0))</f>
        <v>N60</v>
      </c>
      <c r="BW102" s="106" t="str">
        <f>INDEX(Pipes_result_save_V1!$H$2:$H$206,MATCH(BU102,Pipes_result_save_V1!$I$2:$I$206,0))</f>
        <v>N59</v>
      </c>
      <c r="BX102" s="106">
        <f t="shared" si="22"/>
        <v>2.3580796114934299E-2</v>
      </c>
      <c r="BY102">
        <v>250</v>
      </c>
      <c r="BZ102">
        <v>150</v>
      </c>
      <c r="CA102">
        <v>79</v>
      </c>
      <c r="CB102">
        <v>67.401705180026113</v>
      </c>
      <c r="CC102">
        <v>3.2837000000000005E-2</v>
      </c>
      <c r="CD102">
        <v>0.12049694485539995</v>
      </c>
      <c r="CE102">
        <v>6.7960027369187399</v>
      </c>
      <c r="CF102" s="107">
        <f>INDEX(Pipes_result_save_V1!$K$2:$K$206,MATCH(BU102,Pipes_result_save_V1!$I$2:$I$206,0)) *POWER(10,-3)</f>
        <v>-2.5138153076171878E-2</v>
      </c>
      <c r="CG102" s="78">
        <v>6.2043547710051656E-3</v>
      </c>
      <c r="CH102" s="106">
        <v>-1.764648039127218E-2</v>
      </c>
      <c r="CN102">
        <v>0</v>
      </c>
      <c r="CO102">
        <v>10</v>
      </c>
      <c r="CP102" t="s">
        <v>540</v>
      </c>
      <c r="CQ102" t="s">
        <v>408</v>
      </c>
      <c r="CR102" s="106" t="str">
        <f>INDEX(Pipes_result_save_V1!$G$2:$G$206,MATCH(CQ102,Pipes_result_save_V1!$I$2:$I$206,0))</f>
        <v>N39</v>
      </c>
      <c r="CS102" s="106" t="str">
        <f>INDEX(Pipes_result_save_V1!$H$2:$H$206,MATCH(CQ102,Pipes_result_save_V1!$I$2:$I$206,0))</f>
        <v>N38</v>
      </c>
      <c r="CT102" s="106">
        <f t="shared" si="23"/>
        <v>7.169564373451176E-2</v>
      </c>
      <c r="CU102">
        <v>350</v>
      </c>
      <c r="CV102">
        <v>150</v>
      </c>
      <c r="CW102">
        <v>91</v>
      </c>
      <c r="CX102">
        <v>15.076326113510728</v>
      </c>
      <c r="CY102">
        <v>-8.3280000000000007E-2</v>
      </c>
      <c r="CZ102">
        <v>-0.15105563468753958</v>
      </c>
      <c r="DA102">
        <v>3.3592103199006162</v>
      </c>
      <c r="DB102" s="107">
        <f>INDEX(Pipes_result_save_V1!$K$2:$K$206,MATCH(CQ102,Pipes_result_save_V1!$I$2:$I$206,0)) *POWER(10,-3)</f>
        <v>-0.112284538269043</v>
      </c>
      <c r="DC102" s="78">
        <v>6.194731456914444E-3</v>
      </c>
      <c r="DD102" s="106">
        <v>-0.10530683810461154</v>
      </c>
      <c r="DL102">
        <v>0</v>
      </c>
      <c r="DM102">
        <v>10</v>
      </c>
      <c r="DN102" t="s">
        <v>539</v>
      </c>
      <c r="DO102" t="s">
        <v>148</v>
      </c>
      <c r="DP102" s="106" t="str">
        <f>INDEX(Pipes_result_save_V1!$G$2:$G$206,MATCH(DO102,Pipes_result_save_V1!$I$2:$I$206,0))</f>
        <v>N22</v>
      </c>
      <c r="DQ102" s="106" t="str">
        <f>INDEX(Pipes_result_save_V1!$H$2:$H$206,MATCH(DO102,Pipes_result_save_V1!$I$2:$I$206,0))</f>
        <v>N21</v>
      </c>
      <c r="DR102" s="106">
        <f t="shared" si="24"/>
        <v>0.16714548384202288</v>
      </c>
      <c r="DS102">
        <v>466</v>
      </c>
      <c r="DT102">
        <v>150</v>
      </c>
      <c r="DU102">
        <v>194</v>
      </c>
      <c r="DV102">
        <v>7.9708292250407817</v>
      </c>
      <c r="DW102">
        <v>0.16656000000000001</v>
      </c>
      <c r="DX102">
        <v>0.28830519191412302</v>
      </c>
      <c r="DY102">
        <v>3.2056989398712523</v>
      </c>
      <c r="DZ102" s="107">
        <f>INDEX(Pipes_result_save_V1!$K$2:$K$206,MATCH(DO102,Pipes_result_save_V1!$I$2:$I$206,0)) *POWER(10,-3)</f>
        <v>-0.2054373626708984</v>
      </c>
      <c r="EA102" s="78">
        <v>6.026751064043042E-3</v>
      </c>
      <c r="EB102" s="106">
        <v>-0.19416402659125065</v>
      </c>
      <c r="EI102">
        <v>0</v>
      </c>
      <c r="EJ102">
        <v>10</v>
      </c>
      <c r="EK102" t="s">
        <v>539</v>
      </c>
      <c r="EL102" t="s">
        <v>174</v>
      </c>
      <c r="EM102" s="106" t="str">
        <f>INDEX(Pipes_result_save_V1!$G$2:$G$206,MATCH(EL102,Pipes_result_save_V1!$I$2:$I$206,0))</f>
        <v>N9</v>
      </c>
      <c r="EN102" s="106" t="str">
        <f>INDEX(Pipes_result_save_V1!$H$2:$H$206,MATCH(EL102,Pipes_result_save_V1!$I$2:$I$206,0))</f>
        <v>N8</v>
      </c>
      <c r="EO102" s="106">
        <f t="shared" si="25"/>
        <v>4.5871775982907335E-2</v>
      </c>
      <c r="EP102">
        <v>350</v>
      </c>
      <c r="EQ102">
        <v>150</v>
      </c>
      <c r="ER102">
        <v>178</v>
      </c>
      <c r="ES102">
        <v>29.489956573680328</v>
      </c>
      <c r="ET102">
        <v>8.3280000000000007E-2</v>
      </c>
      <c r="EU102">
        <v>0.29547146125694557</v>
      </c>
      <c r="EV102">
        <v>6.5707630433220849</v>
      </c>
      <c r="EW102" s="107">
        <f>INDEX(Pipes_result_save_V1!$K$2:$K$206,MATCH(EL102,Pipes_result_save_V1!$I$2:$I$206,0)) *POWER(10,-3)</f>
        <v>-2.9484477996826169E-2</v>
      </c>
      <c r="EX102" s="78">
        <v>5.2253689992558623E-3</v>
      </c>
      <c r="EY102" s="78">
        <v>-2.2431506178413399E-2</v>
      </c>
    </row>
    <row r="103" spans="2:155" ht="30" x14ac:dyDescent="0.25">
      <c r="B103" s="106">
        <v>11</v>
      </c>
      <c r="C103" s="106" t="s">
        <v>539</v>
      </c>
      <c r="D103" s="106" t="s">
        <v>192</v>
      </c>
      <c r="E103" s="106" t="str">
        <f>INDEX(Pipes_result_save_V1!$G$2:$G$206,MATCH(D103,Pipes_result_save_V1!$I$2:$I$206,0))</f>
        <v>N93</v>
      </c>
      <c r="F103" s="106" t="str">
        <f>INDEX(Pipes_result_save_V1!$H$2:$H$206,MATCH(D103,Pipes_result_save_V1!$I$2:$I$206,0))</f>
        <v>N94</v>
      </c>
      <c r="G103" s="106">
        <f t="shared" si="18"/>
        <v>9.4030649238164982E-3</v>
      </c>
      <c r="H103" s="107">
        <v>350</v>
      </c>
      <c r="I103" s="107">
        <v>150</v>
      </c>
      <c r="J103" s="107">
        <v>88</v>
      </c>
      <c r="K103" s="107">
        <v>14.579304373504881</v>
      </c>
      <c r="L103" s="107">
        <v>8.7999999999999995E-2</v>
      </c>
      <c r="M103" s="107">
        <v>0.16177772046556005</v>
      </c>
      <c r="N103" s="107">
        <v>3.4046856625251967</v>
      </c>
      <c r="O103" s="107">
        <f t="shared" si="19"/>
        <v>9.4030649238164982E-3</v>
      </c>
      <c r="P103" s="78">
        <v>6.4400131087253634E-3</v>
      </c>
      <c r="Q103" s="106">
        <v>-2.3790241119899446E-3</v>
      </c>
      <c r="R103" s="78"/>
      <c r="S103" s="78"/>
      <c r="T103" s="78"/>
      <c r="U103" s="78"/>
      <c r="V103" s="78"/>
      <c r="W103" s="78">
        <v>0</v>
      </c>
      <c r="X103" s="78">
        <v>11</v>
      </c>
      <c r="Y103" s="78" t="s">
        <v>539</v>
      </c>
      <c r="Z103" s="78" t="s">
        <v>295</v>
      </c>
      <c r="AA103" s="106" t="str">
        <f>INDEX(Pipes_result_save_V1!$G$2:$G$206,MATCH(Z103,Pipes_result_save_V1!$I$2:$I$206,0))</f>
        <v>N132</v>
      </c>
      <c r="AB103" s="106" t="str">
        <f>INDEX(Pipes_result_save_V1!$H$2:$H$206,MATCH(Z103,Pipes_result_save_V1!$I$2:$I$206,0))</f>
        <v>N131</v>
      </c>
      <c r="AC103" s="106">
        <f t="shared" si="20"/>
        <v>3.5211178482065772E-2</v>
      </c>
      <c r="AD103" s="78">
        <v>300</v>
      </c>
      <c r="AE103" s="78">
        <v>150</v>
      </c>
      <c r="AF103" s="78">
        <v>108</v>
      </c>
      <c r="AG103" s="78">
        <v>37.911912948601824</v>
      </c>
      <c r="AH103" s="78">
        <v>5.8057999999999998E-2</v>
      </c>
      <c r="AI103" s="78">
        <v>0</v>
      </c>
      <c r="AJ103" s="78">
        <v>0</v>
      </c>
      <c r="AK103" s="78">
        <v>0.19473690082021772</v>
      </c>
      <c r="AL103">
        <v>6.2119387563995216</v>
      </c>
      <c r="AM103" s="107">
        <f>INDEX(Pipes_result_save_V1!$K$2:$K$206,MATCH(Z103,Pipes_result_save_V1!$I$2:$I$206,0)) *POWER(10,-3)</f>
        <v>-2.2801618576049803E-3</v>
      </c>
      <c r="AN103" s="78">
        <v>4.9607976540950102E-3</v>
      </c>
      <c r="AO103" s="106">
        <v>-3.4432834261369288E-3</v>
      </c>
      <c r="AU103">
        <v>0</v>
      </c>
      <c r="AV103">
        <v>11</v>
      </c>
      <c r="AW103" t="s">
        <v>539</v>
      </c>
      <c r="AX103" t="s">
        <v>185</v>
      </c>
      <c r="AY103" s="106" t="str">
        <f>INDEX(Pipes_result_save_V1!$G$2:$G$206,MATCH(AX103,Pipes_result_save_V1!$I$2:$I$206,0))</f>
        <v>N81</v>
      </c>
      <c r="AZ103" s="106" t="str">
        <f>INDEX(Pipes_result_save_V1!$H$2:$H$206,MATCH(AX103,Pipes_result_save_V1!$I$2:$I$206,0))</f>
        <v>N80</v>
      </c>
      <c r="BA103" s="106">
        <f t="shared" si="21"/>
        <v>3.8249255700015396E-2</v>
      </c>
      <c r="BB103">
        <v>250</v>
      </c>
      <c r="BC103">
        <v>150</v>
      </c>
      <c r="BD103">
        <v>80</v>
      </c>
      <c r="BE103">
        <v>68.254891321545429</v>
      </c>
      <c r="BF103">
        <v>3.2835999999999997E-2</v>
      </c>
      <c r="BG103">
        <v>0.12201534069957347</v>
      </c>
      <c r="BH103">
        <v>6.8818495241689046</v>
      </c>
      <c r="BI103" s="107">
        <f>INDEX(Pipes_result_save_V1!$K$2:$K$206,MATCH(AX103,Pipes_result_save_V1!$I$2:$I$206,0)) *POWER(10,-3)</f>
        <v>-5.5022480010986329E-2</v>
      </c>
      <c r="BJ103" s="78">
        <v>6.4606581198190681E-3</v>
      </c>
      <c r="BK103" s="106">
        <v>-4.3499642463957676E-2</v>
      </c>
      <c r="BR103">
        <v>0</v>
      </c>
      <c r="BS103">
        <v>11</v>
      </c>
      <c r="BT103" t="s">
        <v>539</v>
      </c>
      <c r="BU103" t="s">
        <v>124</v>
      </c>
      <c r="BV103" s="106" t="str">
        <f>INDEX(Pipes_result_save_V1!$G$2:$G$206,MATCH(BU103,Pipes_result_save_V1!$I$2:$I$206,0))</f>
        <v>N61</v>
      </c>
      <c r="BW103" s="106" t="str">
        <f>INDEX(Pipes_result_save_V1!$H$2:$H$206,MATCH(BU103,Pipes_result_save_V1!$I$2:$I$206,0))</f>
        <v>N60</v>
      </c>
      <c r="BX103" s="106">
        <f t="shared" si="22"/>
        <v>2.3580796114934299E-2</v>
      </c>
      <c r="BY103">
        <v>250</v>
      </c>
      <c r="BZ103">
        <v>150</v>
      </c>
      <c r="CA103">
        <v>51</v>
      </c>
      <c r="CB103">
        <v>43.512493217485208</v>
      </c>
      <c r="CC103">
        <v>3.2837000000000005E-2</v>
      </c>
      <c r="CD103">
        <v>7.7789166931967052E-2</v>
      </c>
      <c r="CE103">
        <v>4.3872929061120978</v>
      </c>
      <c r="CF103" s="107">
        <f>INDEX(Pipes_result_save_V1!$K$2:$K$206,MATCH(BU103,Pipes_result_save_V1!$I$2:$I$206,0)) *POWER(10,-3)</f>
        <v>-2.439643096923828E-2</v>
      </c>
      <c r="CG103" s="78">
        <v>5.6834226732106396E-3</v>
      </c>
      <c r="CH103" s="106">
        <v>-1.4348535735898406E-2</v>
      </c>
      <c r="CN103">
        <v>0</v>
      </c>
      <c r="CO103">
        <v>11</v>
      </c>
      <c r="CP103" t="s">
        <v>540</v>
      </c>
      <c r="CQ103" t="s">
        <v>172</v>
      </c>
      <c r="CR103" s="106" t="str">
        <f>INDEX(Pipes_result_save_V1!$G$2:$G$206,MATCH(CQ103,Pipes_result_save_V1!$I$2:$I$206,0))</f>
        <v>N40</v>
      </c>
      <c r="CS103" s="106" t="str">
        <f>INDEX(Pipes_result_save_V1!$H$2:$H$206,MATCH(CQ103,Pipes_result_save_V1!$I$2:$I$206,0))</f>
        <v>N39</v>
      </c>
      <c r="CT103" s="106">
        <f t="shared" si="23"/>
        <v>7.169564373451176E-2</v>
      </c>
      <c r="CU103">
        <v>350</v>
      </c>
      <c r="CV103">
        <v>150</v>
      </c>
      <c r="CW103">
        <v>87</v>
      </c>
      <c r="CX103">
        <v>14.413630460169598</v>
      </c>
      <c r="CY103">
        <v>-8.3280000000000007E-2</v>
      </c>
      <c r="CZ103">
        <v>-0.14441582656940599</v>
      </c>
      <c r="DA103">
        <v>3.2115527234214682</v>
      </c>
      <c r="DB103" s="107">
        <f>INDEX(Pipes_result_save_V1!$K$2:$K$206,MATCH(CQ103,Pipes_result_save_V1!$I$2:$I$206,0)) *POWER(10,-3)</f>
        <v>-0.1112689437866211</v>
      </c>
      <c r="DC103" s="78">
        <v>5.341244150467433E-3</v>
      </c>
      <c r="DD103" s="106">
        <v>-9.942276996042658E-2</v>
      </c>
      <c r="DL103">
        <v>0</v>
      </c>
      <c r="DM103">
        <v>11</v>
      </c>
      <c r="DN103" t="s">
        <v>539</v>
      </c>
      <c r="DO103" t="s">
        <v>147</v>
      </c>
      <c r="DP103" s="106" t="str">
        <f>INDEX(Pipes_result_save_V1!$G$2:$G$206,MATCH(DO103,Pipes_result_save_V1!$I$2:$I$206,0))</f>
        <v>N23</v>
      </c>
      <c r="DQ103" s="106" t="str">
        <f>INDEX(Pipes_result_save_V1!$H$2:$H$206,MATCH(DO103,Pipes_result_save_V1!$I$2:$I$206,0))</f>
        <v>N22</v>
      </c>
      <c r="DR103" s="106">
        <f t="shared" si="24"/>
        <v>0.16714548384202288</v>
      </c>
      <c r="DS103">
        <v>466</v>
      </c>
      <c r="DT103">
        <v>150</v>
      </c>
      <c r="DU103">
        <v>74</v>
      </c>
      <c r="DV103">
        <v>3.0404193951186484</v>
      </c>
      <c r="DW103">
        <v>0.16656000000000001</v>
      </c>
      <c r="DX103">
        <v>0.10997208351363455</v>
      </c>
      <c r="DY103">
        <v>1.2227923791261477</v>
      </c>
      <c r="DZ103" s="107">
        <f>INDEX(Pipes_result_save_V1!$K$2:$K$206,MATCH(DO103,Pipes_result_save_V1!$I$2:$I$206,0)) *POWER(10,-3)</f>
        <v>-0.20390827941894532</v>
      </c>
      <c r="EA103" s="78">
        <v>5.186407326757592E-3</v>
      </c>
      <c r="EB103" s="106">
        <v>-0.1936776386503658</v>
      </c>
      <c r="EI103">
        <v>0</v>
      </c>
      <c r="EJ103">
        <v>11</v>
      </c>
      <c r="EK103" t="s">
        <v>539</v>
      </c>
      <c r="EL103" t="s">
        <v>175</v>
      </c>
      <c r="EM103" s="106" t="str">
        <f>INDEX(Pipes_result_save_V1!$G$2:$G$206,MATCH(EL103,Pipes_result_save_V1!$I$2:$I$206,0))</f>
        <v>N10</v>
      </c>
      <c r="EN103" s="106" t="str">
        <f>INDEX(Pipes_result_save_V1!$H$2:$H$206,MATCH(EL103,Pipes_result_save_V1!$I$2:$I$206,0))</f>
        <v>N9</v>
      </c>
      <c r="EO103" s="106">
        <f t="shared" si="25"/>
        <v>4.5871775982907335E-2</v>
      </c>
      <c r="EP103">
        <v>350</v>
      </c>
      <c r="EQ103">
        <v>150</v>
      </c>
      <c r="ER103">
        <v>198</v>
      </c>
      <c r="ES103">
        <v>32.803434840385982</v>
      </c>
      <c r="ET103">
        <v>8.3280000000000007E-2</v>
      </c>
      <c r="EU103">
        <v>0.32867050184761359</v>
      </c>
      <c r="EV103">
        <v>7.3090510257178245</v>
      </c>
      <c r="EW103" s="107">
        <f>INDEX(Pipes_result_save_V1!$K$2:$K$206,MATCH(EL103,Pipes_result_save_V1!$I$2:$I$206,0)) *POWER(10,-3)</f>
        <v>-2.7339191436767583E-2</v>
      </c>
      <c r="EX103" s="78">
        <v>6.4474007047654585E-3</v>
      </c>
      <c r="EY103" s="78">
        <v>-1.7540625804645698E-2</v>
      </c>
    </row>
    <row r="104" spans="2:155" ht="30" x14ac:dyDescent="0.25">
      <c r="B104" s="106">
        <v>12</v>
      </c>
      <c r="C104" s="106" t="s">
        <v>539</v>
      </c>
      <c r="D104" s="106" t="s">
        <v>230</v>
      </c>
      <c r="E104" s="106" t="str">
        <f>INDEX(Pipes_result_save_V1!$G$2:$G$206,MATCH(D104,Pipes_result_save_V1!$I$2:$I$206,0))</f>
        <v>N94</v>
      </c>
      <c r="F104" s="106" t="str">
        <f>INDEX(Pipes_result_save_V1!$H$2:$H$206,MATCH(D104,Pipes_result_save_V1!$I$2:$I$206,0))</f>
        <v>N95</v>
      </c>
      <c r="G104" s="106">
        <f t="shared" si="18"/>
        <v>4.5969350761835004E-3</v>
      </c>
      <c r="H104" s="107">
        <v>350</v>
      </c>
      <c r="I104" s="107">
        <v>150</v>
      </c>
      <c r="J104" s="107">
        <v>74</v>
      </c>
      <c r="K104" s="107">
        <v>12.259869586810922</v>
      </c>
      <c r="L104" s="107">
        <v>7.3999999999999996E-2</v>
      </c>
      <c r="M104" s="107">
        <v>9.8696782594534224E-2</v>
      </c>
      <c r="N104" s="107">
        <v>2.4700870454740191</v>
      </c>
      <c r="O104" s="107">
        <f t="shared" si="19"/>
        <v>-4.5969350761835004E-3</v>
      </c>
      <c r="P104" s="78">
        <v>6.2863093128296037E-3</v>
      </c>
      <c r="Q104" s="106">
        <v>-2.1239171332404468E-3</v>
      </c>
      <c r="R104" s="78"/>
      <c r="S104" s="78"/>
      <c r="T104" s="78"/>
      <c r="U104" s="78"/>
      <c r="V104" s="78"/>
      <c r="W104" s="78">
        <v>0</v>
      </c>
      <c r="X104" s="78">
        <v>12</v>
      </c>
      <c r="Y104" s="78" t="s">
        <v>539</v>
      </c>
      <c r="Z104" s="78" t="s">
        <v>296</v>
      </c>
      <c r="AA104" s="106" t="str">
        <f>INDEX(Pipes_result_save_V1!$G$2:$G$206,MATCH(Z104,Pipes_result_save_V1!$I$2:$I$206,0))</f>
        <v>N133</v>
      </c>
      <c r="AB104" s="106" t="str">
        <f>INDEX(Pipes_result_save_V1!$H$2:$H$206,MATCH(Z104,Pipes_result_save_V1!$I$2:$I$206,0))</f>
        <v>N132</v>
      </c>
      <c r="AC104" s="106">
        <f t="shared" si="20"/>
        <v>3.5211178482065772E-2</v>
      </c>
      <c r="AD104" s="78">
        <v>300</v>
      </c>
      <c r="AE104" s="78">
        <v>150</v>
      </c>
      <c r="AF104" s="78">
        <v>150</v>
      </c>
      <c r="AG104" s="78">
        <v>52.655434650835865</v>
      </c>
      <c r="AH104" s="78">
        <v>5.8057999999999998E-2</v>
      </c>
      <c r="AI104" s="78">
        <v>0</v>
      </c>
      <c r="AJ104" s="78">
        <v>0</v>
      </c>
      <c r="AK104" s="78">
        <v>0.27046791780585794</v>
      </c>
      <c r="AL104">
        <v>8.6276927172215565</v>
      </c>
      <c r="AM104" s="107">
        <f>INDEX(Pipes_result_save_V1!$K$2:$K$206,MATCH(Z104,Pipes_result_save_V1!$I$2:$I$206,0)) *POWER(10,-3)</f>
        <v>-8.0813032388687132E-4</v>
      </c>
      <c r="AN104" s="78">
        <v>4.851489264708366E-3</v>
      </c>
      <c r="AO104" s="106">
        <v>1.2362768954695983E-3</v>
      </c>
      <c r="AU104">
        <v>2</v>
      </c>
      <c r="AV104">
        <v>12</v>
      </c>
      <c r="AW104" t="s">
        <v>540</v>
      </c>
      <c r="AX104" t="s">
        <v>422</v>
      </c>
      <c r="AY104" s="106" t="str">
        <f>INDEX(Pipes_result_save_V1!$G$2:$G$206,MATCH(AX104,Pipes_result_save_V1!$I$2:$I$206,0))</f>
        <v>N81</v>
      </c>
      <c r="AZ104" s="106" t="str">
        <f>INDEX(Pipes_result_save_V1!$H$2:$H$206,MATCH(AX104,Pipes_result_save_V1!$I$2:$I$206,0))</f>
        <v>N135</v>
      </c>
      <c r="BA104" s="106">
        <f t="shared" si="21"/>
        <v>3.5211178482065772E-2</v>
      </c>
      <c r="BB104">
        <v>300</v>
      </c>
      <c r="BC104">
        <v>150</v>
      </c>
      <c r="BD104">
        <v>81</v>
      </c>
      <c r="BE104">
        <v>28.433934711451364</v>
      </c>
      <c r="BF104">
        <v>3.5211178482065772E-2</v>
      </c>
      <c r="BG104">
        <v>5.7848134769030488E-2</v>
      </c>
      <c r="BH104">
        <v>3.0426344760602615</v>
      </c>
      <c r="BI104" s="107">
        <f>INDEX(Pipes_result_save_V1!$K$2:$K$206,MATCH(AX104,Pipes_result_save_V1!$I$2:$I$206,0)) *POWER(10,-3)</f>
        <v>2.2272217273712159E-3</v>
      </c>
      <c r="BJ104" s="78">
        <v>5.5853532612658713E-3</v>
      </c>
      <c r="BK104" s="106">
        <v>7.7685963678984608E-4</v>
      </c>
      <c r="BR104">
        <v>0</v>
      </c>
      <c r="BS104">
        <v>12</v>
      </c>
      <c r="BT104" t="s">
        <v>539</v>
      </c>
      <c r="BU104" t="s">
        <v>123</v>
      </c>
      <c r="BV104" s="106" t="str">
        <f>INDEX(Pipes_result_save_V1!$G$2:$G$206,MATCH(BU104,Pipes_result_save_V1!$I$2:$I$206,0))</f>
        <v>N62</v>
      </c>
      <c r="BW104" s="106" t="str">
        <f>INDEX(Pipes_result_save_V1!$H$2:$H$206,MATCH(BU104,Pipes_result_save_V1!$I$2:$I$206,0))</f>
        <v>N61</v>
      </c>
      <c r="BX104" s="106">
        <f t="shared" si="22"/>
        <v>2.3580796114934299E-2</v>
      </c>
      <c r="BY104">
        <v>250</v>
      </c>
      <c r="BZ104">
        <v>150</v>
      </c>
      <c r="CA104">
        <v>73</v>
      </c>
      <c r="CB104">
        <v>62.282588330910201</v>
      </c>
      <c r="CC104">
        <v>3.2837000000000005E-2</v>
      </c>
      <c r="CD104">
        <v>0.11134527815752146</v>
      </c>
      <c r="CE104">
        <v>6.2798506303173163</v>
      </c>
      <c r="CF104" s="107">
        <f>INDEX(Pipes_result_save_V1!$K$2:$K$206,MATCH(BU104,Pipes_result_save_V1!$I$2:$I$206,0)) *POWER(10,-3)</f>
        <v>-2.3688943862915039E-2</v>
      </c>
      <c r="CG104" s="78">
        <v>6.0413349936045812E-3</v>
      </c>
      <c r="CH104" s="106">
        <v>-1.439079867055304E-2</v>
      </c>
      <c r="CN104">
        <v>0</v>
      </c>
      <c r="CO104">
        <v>12</v>
      </c>
      <c r="CP104" t="s">
        <v>540</v>
      </c>
      <c r="CQ104" t="s">
        <v>170</v>
      </c>
      <c r="CR104" s="106" t="str">
        <f>INDEX(Pipes_result_save_V1!$G$2:$G$206,MATCH(CQ104,Pipes_result_save_V1!$I$2:$I$206,0))</f>
        <v>N41</v>
      </c>
      <c r="CS104" s="106" t="str">
        <f>INDEX(Pipes_result_save_V1!$H$2:$H$206,MATCH(CQ104,Pipes_result_save_V1!$I$2:$I$206,0))</f>
        <v>N40</v>
      </c>
      <c r="CT104" s="106">
        <f t="shared" si="23"/>
        <v>7.169564373451176E-2</v>
      </c>
      <c r="CU104">
        <v>350</v>
      </c>
      <c r="CV104">
        <v>150</v>
      </c>
      <c r="CW104">
        <v>94</v>
      </c>
      <c r="CX104">
        <v>15.573347853516577</v>
      </c>
      <c r="CY104">
        <v>-8.3280000000000007E-2</v>
      </c>
      <c r="CZ104">
        <v>-0.15603549077613979</v>
      </c>
      <c r="DA104">
        <v>3.4699535172599769</v>
      </c>
      <c r="DB104" s="107">
        <f>INDEX(Pipes_result_save_V1!$K$2:$K$206,MATCH(CQ104,Pipes_result_save_V1!$I$2:$I$206,0)) *POWER(10,-3)</f>
        <v>-0.10984255981445309</v>
      </c>
      <c r="DC104" s="78">
        <v>5.2385239985790026E-3</v>
      </c>
      <c r="DD104" s="106">
        <v>-0.10294157911533856</v>
      </c>
      <c r="DL104">
        <v>0</v>
      </c>
      <c r="DM104">
        <v>12</v>
      </c>
      <c r="DN104" t="s">
        <v>539</v>
      </c>
      <c r="DO104" t="s">
        <v>146</v>
      </c>
      <c r="DP104" s="106" t="str">
        <f>INDEX(Pipes_result_save_V1!$G$2:$G$206,MATCH(DO104,Pipes_result_save_V1!$I$2:$I$206,0))</f>
        <v>N24</v>
      </c>
      <c r="DQ104" s="106" t="str">
        <f>INDEX(Pipes_result_save_V1!$H$2:$H$206,MATCH(DO104,Pipes_result_save_V1!$I$2:$I$206,0))</f>
        <v>N23</v>
      </c>
      <c r="DR104" s="106">
        <f t="shared" si="24"/>
        <v>0.16714548384202288</v>
      </c>
      <c r="DS104">
        <v>466</v>
      </c>
      <c r="DT104">
        <v>150</v>
      </c>
      <c r="DU104">
        <v>92</v>
      </c>
      <c r="DV104">
        <v>3.7799808696069688</v>
      </c>
      <c r="DW104">
        <v>0.16656000000000001</v>
      </c>
      <c r="DX104">
        <v>0.13672204977370783</v>
      </c>
      <c r="DY104">
        <v>1.5202283632379134</v>
      </c>
      <c r="DZ104" s="107">
        <f>INDEX(Pipes_result_save_V1!$K$2:$K$206,MATCH(DO104,Pipes_result_save_V1!$I$2:$I$206,0)) *POWER(10,-3)</f>
        <v>-0.20296116638183592</v>
      </c>
      <c r="EA104" s="78">
        <v>5.1205947079335547E-3</v>
      </c>
      <c r="EB104" s="106">
        <v>-0.19463571658352263</v>
      </c>
      <c r="EI104">
        <v>0</v>
      </c>
      <c r="EJ104">
        <v>12</v>
      </c>
      <c r="EK104" t="s">
        <v>539</v>
      </c>
      <c r="EL104" t="s">
        <v>176</v>
      </c>
      <c r="EM104" s="106" t="str">
        <f>INDEX(Pipes_result_save_V1!$G$2:$G$206,MATCH(EL104,Pipes_result_save_V1!$I$2:$I$206,0))</f>
        <v>N11</v>
      </c>
      <c r="EN104" s="106" t="str">
        <f>INDEX(Pipes_result_save_V1!$H$2:$H$206,MATCH(EL104,Pipes_result_save_V1!$I$2:$I$206,0))</f>
        <v>N10</v>
      </c>
      <c r="EO104" s="106">
        <f t="shared" si="25"/>
        <v>4.5871775982907335E-2</v>
      </c>
      <c r="EP104">
        <v>350</v>
      </c>
      <c r="EQ104">
        <v>150</v>
      </c>
      <c r="ER104">
        <v>174</v>
      </c>
      <c r="ES104">
        <v>28.827260920339196</v>
      </c>
      <c r="ET104">
        <v>8.3280000000000007E-2</v>
      </c>
      <c r="EU104">
        <v>0.28883165313881198</v>
      </c>
      <c r="EV104">
        <v>6.4231054468429365</v>
      </c>
      <c r="EW104" s="107">
        <f>INDEX(Pipes_result_save_V1!$K$2:$K$206,MATCH(EL104,Pipes_result_save_V1!$I$2:$I$206,0)) *POWER(10,-3)</f>
        <v>-2.5216728210449218E-2</v>
      </c>
      <c r="EX104" s="78">
        <v>6.0070813399753509E-3</v>
      </c>
      <c r="EY104" s="78">
        <v>-1.4797625226010479E-2</v>
      </c>
    </row>
    <row r="105" spans="2:155" ht="30" x14ac:dyDescent="0.25">
      <c r="B105" s="106">
        <v>13</v>
      </c>
      <c r="C105" s="106" t="s">
        <v>539</v>
      </c>
      <c r="D105" s="106" t="s">
        <v>215</v>
      </c>
      <c r="E105" s="106" t="str">
        <f>INDEX(Pipes_result_save_V1!$G$2:$G$206,MATCH(D105,Pipes_result_save_V1!$I$2:$I$206,0))</f>
        <v>N95</v>
      </c>
      <c r="F105" s="106" t="str">
        <f>INDEX(Pipes_result_save_V1!$H$2:$H$206,MATCH(D105,Pipes_result_save_V1!$I$2:$I$206,0))</f>
        <v>N96</v>
      </c>
      <c r="G105" s="106">
        <f t="shared" si="18"/>
        <v>0.16940306492381652</v>
      </c>
      <c r="H105" s="107">
        <v>565</v>
      </c>
      <c r="I105" s="107">
        <v>150</v>
      </c>
      <c r="J105" s="107">
        <v>248</v>
      </c>
      <c r="K105" s="107">
        <v>3.9868809371857856</v>
      </c>
      <c r="L105" s="107">
        <v>0.248</v>
      </c>
      <c r="M105" s="107">
        <v>0.30141008477405656</v>
      </c>
      <c r="N105" s="107">
        <v>2.2508527298449703</v>
      </c>
      <c r="O105" s="107">
        <f t="shared" si="19"/>
        <v>0.16940306492381652</v>
      </c>
      <c r="P105" s="78">
        <v>5.0800818278635036E-3</v>
      </c>
      <c r="Q105" s="106">
        <v>1.6210085603307013E-3</v>
      </c>
      <c r="R105" s="78"/>
      <c r="S105" s="78"/>
      <c r="T105" s="78"/>
      <c r="U105" s="78"/>
      <c r="V105" s="78"/>
      <c r="W105" s="78">
        <v>0</v>
      </c>
      <c r="X105" s="78">
        <v>13</v>
      </c>
      <c r="Y105" s="78" t="s">
        <v>539</v>
      </c>
      <c r="Z105" s="78" t="s">
        <v>297</v>
      </c>
      <c r="AA105" s="106" t="str">
        <f>INDEX(Pipes_result_save_V1!$G$2:$G$206,MATCH(Z105,Pipes_result_save_V1!$I$2:$I$206,0))</f>
        <v>N134</v>
      </c>
      <c r="AB105" s="106" t="str">
        <f>INDEX(Pipes_result_save_V1!$H$2:$H$206,MATCH(Z105,Pipes_result_save_V1!$I$2:$I$206,0))</f>
        <v>N133</v>
      </c>
      <c r="AC105" s="106">
        <f t="shared" si="20"/>
        <v>3.5211178482065772E-2</v>
      </c>
      <c r="AD105" s="78">
        <v>300</v>
      </c>
      <c r="AE105" s="78">
        <v>150</v>
      </c>
      <c r="AF105" s="78">
        <v>54</v>
      </c>
      <c r="AG105" s="78">
        <v>18.955956474300912</v>
      </c>
      <c r="AH105" s="78">
        <v>5.8057999999999998E-2</v>
      </c>
      <c r="AI105" s="78">
        <v>0</v>
      </c>
      <c r="AJ105" s="78">
        <v>0</v>
      </c>
      <c r="AK105" s="78">
        <v>9.7368450410108859E-2</v>
      </c>
      <c r="AL105">
        <v>3.1059693781997608</v>
      </c>
      <c r="AM105" s="107">
        <f>INDEX(Pipes_result_save_V1!$K$2:$K$206,MATCH(Z105,Pipes_result_save_V1!$I$2:$I$206,0)) *POWER(10,-3)</f>
        <v>3.558016419410706E-4</v>
      </c>
      <c r="AN105" s="78">
        <v>4.391108088355699E-3</v>
      </c>
      <c r="AO105" s="106">
        <v>1.018104178815489E-3</v>
      </c>
      <c r="AU105">
        <v>0</v>
      </c>
      <c r="AV105">
        <v>13</v>
      </c>
      <c r="AW105" t="s">
        <v>540</v>
      </c>
      <c r="AX105" t="s">
        <v>263</v>
      </c>
      <c r="AY105" s="106" t="str">
        <f>INDEX(Pipes_result_save_V1!$G$2:$G$206,MATCH(AX105,Pipes_result_save_V1!$I$2:$I$206,0))</f>
        <v>N112</v>
      </c>
      <c r="AZ105" s="106" t="str">
        <f>INDEX(Pipes_result_save_V1!$H$2:$H$206,MATCH(AX105,Pipes_result_save_V1!$I$2:$I$206,0))</f>
        <v>N111</v>
      </c>
      <c r="BA105" s="106">
        <f t="shared" si="21"/>
        <v>3.8250255700015404E-2</v>
      </c>
      <c r="BB105">
        <v>250</v>
      </c>
      <c r="BC105">
        <v>150</v>
      </c>
      <c r="BD105">
        <v>111</v>
      </c>
      <c r="BE105">
        <v>94.70366170864429</v>
      </c>
      <c r="BF105">
        <v>-3.2837000000000005E-2</v>
      </c>
      <c r="BG105">
        <v>-0.16930583391075182</v>
      </c>
      <c r="BH105">
        <v>9.5488139721263323</v>
      </c>
      <c r="BI105" s="107">
        <f>INDEX(Pipes_result_save_V1!$K$2:$K$206,MATCH(AX105,Pipes_result_save_V1!$I$2:$I$206,0)) *POWER(10,-3)</f>
        <v>-6.3918390274047849E-3</v>
      </c>
      <c r="BJ105" s="78">
        <v>5.9927909760638907E-3</v>
      </c>
      <c r="BK105" s="106">
        <v>4.2578034422985651E-3</v>
      </c>
      <c r="BR105">
        <v>0</v>
      </c>
      <c r="BS105">
        <v>13</v>
      </c>
      <c r="BT105" t="s">
        <v>539</v>
      </c>
      <c r="BU105" t="s">
        <v>122</v>
      </c>
      <c r="BV105" s="106" t="str">
        <f>INDEX(Pipes_result_save_V1!$G$2:$G$206,MATCH(BU105,Pipes_result_save_V1!$I$2:$I$206,0))</f>
        <v>N63</v>
      </c>
      <c r="BW105" s="106" t="str">
        <f>INDEX(Pipes_result_save_V1!$H$2:$H$206,MATCH(BU105,Pipes_result_save_V1!$I$2:$I$206,0))</f>
        <v>N62</v>
      </c>
      <c r="BX105" s="106">
        <f t="shared" si="22"/>
        <v>2.3580796114934299E-2</v>
      </c>
      <c r="BY105">
        <v>250</v>
      </c>
      <c r="BZ105">
        <v>150</v>
      </c>
      <c r="CA105">
        <v>58</v>
      </c>
      <c r="CB105">
        <v>49.484796208120436</v>
      </c>
      <c r="CC105">
        <v>3.2837000000000005E-2</v>
      </c>
      <c r="CD105">
        <v>8.8466111412825274E-2</v>
      </c>
      <c r="CE105">
        <v>4.9894703638137585</v>
      </c>
      <c r="CF105" s="107">
        <f>INDEX(Pipes_result_save_V1!$K$2:$K$206,MATCH(BU105,Pipes_result_save_V1!$I$2:$I$206,0)) *POWER(10,-3)</f>
        <v>-2.2941516876220699E-2</v>
      </c>
      <c r="CG105" s="78">
        <v>5.561579490242767E-3</v>
      </c>
      <c r="CH105" s="106">
        <v>-1.2876497675479638E-2</v>
      </c>
      <c r="CN105">
        <v>0</v>
      </c>
      <c r="CO105">
        <v>13</v>
      </c>
      <c r="CP105" t="s">
        <v>540</v>
      </c>
      <c r="CQ105" t="s">
        <v>171</v>
      </c>
      <c r="CR105" s="106" t="str">
        <f>INDEX(Pipes_result_save_V1!$G$2:$G$206,MATCH(CQ105,Pipes_result_save_V1!$I$2:$I$206,0))</f>
        <v>N41</v>
      </c>
      <c r="CS105" s="106" t="str">
        <f>INDEX(Pipes_result_save_V1!$H$2:$H$206,MATCH(CQ105,Pipes_result_save_V1!$I$2:$I$206,0))</f>
        <v>N42</v>
      </c>
      <c r="CT105" s="106">
        <f t="shared" si="23"/>
        <v>8.6925643734511754E-2</v>
      </c>
      <c r="CU105">
        <v>400</v>
      </c>
      <c r="CV105">
        <v>150</v>
      </c>
      <c r="CW105">
        <v>70</v>
      </c>
      <c r="CX105">
        <v>6.0516443501782993</v>
      </c>
      <c r="CY105">
        <v>-9.851E-2</v>
      </c>
      <c r="CZ105">
        <v>-8.2755896525604014E-2</v>
      </c>
      <c r="DA105">
        <v>1.5558209355945454</v>
      </c>
      <c r="DB105" s="107">
        <f>INDEX(Pipes_result_save_V1!$K$2:$K$206,MATCH(CQ105,Pipes_result_save_V1!$I$2:$I$206,0)) *POWER(10,-3)</f>
        <v>0.1084104309082031</v>
      </c>
      <c r="DC105" s="78">
        <v>5.2961710303004832E-3</v>
      </c>
      <c r="DD105" s="106">
        <v>9.8093589570092732E-2</v>
      </c>
      <c r="DL105">
        <v>0</v>
      </c>
      <c r="DM105">
        <v>13</v>
      </c>
      <c r="DN105" t="s">
        <v>539</v>
      </c>
      <c r="DO105" t="s">
        <v>145</v>
      </c>
      <c r="DP105" s="106" t="str">
        <f>INDEX(Pipes_result_save_V1!$G$2:$G$206,MATCH(DO105,Pipes_result_save_V1!$I$2:$I$206,0))</f>
        <v>N25</v>
      </c>
      <c r="DQ105" s="106" t="str">
        <f>INDEX(Pipes_result_save_V1!$H$2:$H$206,MATCH(DO105,Pipes_result_save_V1!$I$2:$I$206,0))</f>
        <v>N24</v>
      </c>
      <c r="DR105" s="106">
        <f t="shared" si="24"/>
        <v>0.16714548384202288</v>
      </c>
      <c r="DS105">
        <v>466</v>
      </c>
      <c r="DT105">
        <v>150</v>
      </c>
      <c r="DU105">
        <v>75</v>
      </c>
      <c r="DV105">
        <v>3.0815061437013331</v>
      </c>
      <c r="DW105">
        <v>0.16656000000000001</v>
      </c>
      <c r="DX105">
        <v>0.11145819275030529</v>
      </c>
      <c r="DY105">
        <v>1.2393166004656904</v>
      </c>
      <c r="DZ105" s="107">
        <f>INDEX(Pipes_result_save_V1!$K$2:$K$206,MATCH(DO105,Pipes_result_save_V1!$I$2:$I$206,0)) *POWER(10,-3)</f>
        <v>-0.20200834655761718</v>
      </c>
      <c r="EA105" s="78">
        <v>5.5044408918834406E-3</v>
      </c>
      <c r="EB105" s="106">
        <v>-0.19428302393562605</v>
      </c>
      <c r="EI105">
        <v>0</v>
      </c>
      <c r="EJ105">
        <v>13</v>
      </c>
      <c r="EK105" t="s">
        <v>539</v>
      </c>
      <c r="EL105" t="s">
        <v>177</v>
      </c>
      <c r="EM105" s="106" t="str">
        <f>INDEX(Pipes_result_save_V1!$G$2:$G$206,MATCH(EL105,Pipes_result_save_V1!$I$2:$I$206,0))</f>
        <v>N12</v>
      </c>
      <c r="EN105" s="106" t="str">
        <f>INDEX(Pipes_result_save_V1!$H$2:$H$206,MATCH(EL105,Pipes_result_save_V1!$I$2:$I$206,0))</f>
        <v>N11</v>
      </c>
      <c r="EO105" s="106">
        <f t="shared" si="25"/>
        <v>4.5871775982907335E-2</v>
      </c>
      <c r="EP105">
        <v>350</v>
      </c>
      <c r="EQ105">
        <v>150</v>
      </c>
      <c r="ER105">
        <v>227</v>
      </c>
      <c r="ES105">
        <v>37.607978327109187</v>
      </c>
      <c r="ET105">
        <v>8.3280000000000007E-2</v>
      </c>
      <c r="EU105">
        <v>0.37680911070408235</v>
      </c>
      <c r="EV105">
        <v>8.3795686001916483</v>
      </c>
      <c r="EW105" s="107">
        <f>INDEX(Pipes_result_save_V1!$K$2:$K$206,MATCH(EL105,Pipes_result_save_V1!$I$2:$I$206,0)) *POWER(10,-3)</f>
        <v>-2.2928802490234379E-2</v>
      </c>
      <c r="EX105" s="78">
        <v>6.1898935542342029E-3</v>
      </c>
      <c r="EY105" s="78">
        <v>-1.473362840248623E-2</v>
      </c>
    </row>
    <row r="106" spans="2:155" ht="30" x14ac:dyDescent="0.25">
      <c r="B106" s="106">
        <v>14</v>
      </c>
      <c r="C106" s="106" t="s">
        <v>539</v>
      </c>
      <c r="D106" s="106" t="s">
        <v>214</v>
      </c>
      <c r="E106" s="106" t="str">
        <f>INDEX(Pipes_result_save_V1!$G$2:$G$206,MATCH(D106,Pipes_result_save_V1!$I$2:$I$206,0))</f>
        <v>N96</v>
      </c>
      <c r="F106" s="106" t="str">
        <f>INDEX(Pipes_result_save_V1!$H$2:$H$206,MATCH(D106,Pipes_result_save_V1!$I$2:$I$206,0))</f>
        <v>N97</v>
      </c>
      <c r="G106" s="106">
        <f t="shared" si="18"/>
        <v>3.7403064923816509E-2</v>
      </c>
      <c r="H106" s="107">
        <v>400</v>
      </c>
      <c r="I106" s="107">
        <v>150</v>
      </c>
      <c r="J106" s="107">
        <v>116</v>
      </c>
      <c r="K106" s="107">
        <v>10.028439208866896</v>
      </c>
      <c r="L106" s="107">
        <v>0.11600000000000001</v>
      </c>
      <c r="M106" s="107">
        <v>0.18561349239891756</v>
      </c>
      <c r="N106" s="107">
        <v>2.963415413127545</v>
      </c>
      <c r="O106" s="107">
        <f t="shared" si="19"/>
        <v>3.7403064923816509E-2</v>
      </c>
      <c r="P106" s="78">
        <v>5.35508992780528E-3</v>
      </c>
      <c r="Q106" s="106">
        <v>4.1319946074232774E-3</v>
      </c>
      <c r="R106" s="78"/>
      <c r="S106" s="78"/>
      <c r="T106" s="78"/>
      <c r="U106" s="78"/>
      <c r="V106" s="78"/>
      <c r="W106" s="78">
        <v>0</v>
      </c>
      <c r="X106" s="78">
        <v>14</v>
      </c>
      <c r="Y106" s="78" t="s">
        <v>539</v>
      </c>
      <c r="Z106" s="78" t="s">
        <v>298</v>
      </c>
      <c r="AA106" s="106" t="str">
        <f>INDEX(Pipes_result_save_V1!$G$2:$G$206,MATCH(Z106,Pipes_result_save_V1!$I$2:$I$206,0))</f>
        <v>N135</v>
      </c>
      <c r="AB106" s="106" t="str">
        <f>INDEX(Pipes_result_save_V1!$H$2:$H$206,MATCH(Z106,Pipes_result_save_V1!$I$2:$I$206,0))</f>
        <v>N134</v>
      </c>
      <c r="AC106" s="106">
        <f t="shared" si="20"/>
        <v>3.5211178482065772E-2</v>
      </c>
      <c r="AD106" s="78">
        <v>300</v>
      </c>
      <c r="AE106" s="78">
        <v>150</v>
      </c>
      <c r="AF106" s="78">
        <v>93</v>
      </c>
      <c r="AG106" s="78">
        <v>32.646369483518235</v>
      </c>
      <c r="AH106" s="78">
        <v>5.8057999999999998E-2</v>
      </c>
      <c r="AI106" s="78">
        <v>0</v>
      </c>
      <c r="AJ106" s="78">
        <v>0</v>
      </c>
      <c r="AK106" s="78">
        <v>0.16769010903963191</v>
      </c>
      <c r="AL106">
        <v>5.3491694846773656</v>
      </c>
      <c r="AM106" s="107">
        <f>INDEX(Pipes_result_save_V1!$K$2:$K$206,MATCH(Z106,Pipes_result_save_V1!$I$2:$I$206,0)) *POWER(10,-3)</f>
        <v>1.194517374038696E-3</v>
      </c>
      <c r="AN106" s="78">
        <v>3.6538468174584261E-3</v>
      </c>
      <c r="AO106" s="106">
        <v>-8.617431489995771E-4</v>
      </c>
      <c r="AU106">
        <v>0</v>
      </c>
      <c r="AV106">
        <v>14</v>
      </c>
      <c r="AW106" t="s">
        <v>540</v>
      </c>
      <c r="AX106" t="s">
        <v>264</v>
      </c>
      <c r="AY106" s="106" t="str">
        <f>INDEX(Pipes_result_save_V1!$G$2:$G$206,MATCH(AX106,Pipes_result_save_V1!$I$2:$I$206,0))</f>
        <v>N113</v>
      </c>
      <c r="AZ106" s="106" t="str">
        <f>INDEX(Pipes_result_save_V1!$H$2:$H$206,MATCH(AX106,Pipes_result_save_V1!$I$2:$I$206,0))</f>
        <v>N112</v>
      </c>
      <c r="BA106" s="106">
        <f t="shared" si="21"/>
        <v>3.8250255700015404E-2</v>
      </c>
      <c r="BB106">
        <v>250</v>
      </c>
      <c r="BC106">
        <v>150</v>
      </c>
      <c r="BD106">
        <v>112</v>
      </c>
      <c r="BE106">
        <v>95.556847850163592</v>
      </c>
      <c r="BF106">
        <v>-3.2837000000000005E-2</v>
      </c>
      <c r="BG106">
        <v>-0.17083111169373155</v>
      </c>
      <c r="BH106">
        <v>9.6348393232265668</v>
      </c>
      <c r="BI106" s="107">
        <f>INDEX(Pipes_result_save_V1!$K$2:$K$206,MATCH(AX106,Pipes_result_save_V1!$I$2:$I$206,0)) *POWER(10,-3)</f>
        <v>-4.6345300674438478E-3</v>
      </c>
      <c r="BJ106" s="78">
        <v>5.2542776304977338E-3</v>
      </c>
      <c r="BK106" s="106">
        <v>-2.345832985000137E-3</v>
      </c>
      <c r="BR106">
        <v>0</v>
      </c>
      <c r="BS106">
        <v>14</v>
      </c>
      <c r="BT106" t="s">
        <v>539</v>
      </c>
      <c r="BU106" t="s">
        <v>121</v>
      </c>
      <c r="BV106" s="106" t="str">
        <f>INDEX(Pipes_result_save_V1!$G$2:$G$206,MATCH(BU106,Pipes_result_save_V1!$I$2:$I$206,0))</f>
        <v>N64</v>
      </c>
      <c r="BW106" s="106" t="str">
        <f>INDEX(Pipes_result_save_V1!$H$2:$H$206,MATCH(BU106,Pipes_result_save_V1!$I$2:$I$206,0))</f>
        <v>N63</v>
      </c>
      <c r="BX106" s="106">
        <f t="shared" si="22"/>
        <v>2.3580796114934299E-2</v>
      </c>
      <c r="BY106">
        <v>250</v>
      </c>
      <c r="BZ106">
        <v>150</v>
      </c>
      <c r="CA106">
        <v>216</v>
      </c>
      <c r="CB106">
        <v>184.28820656817265</v>
      </c>
      <c r="CC106">
        <v>3.2837000000000005E-2</v>
      </c>
      <c r="CD106">
        <v>0.32946000112362517</v>
      </c>
      <c r="CE106">
        <v>18.581475837651237</v>
      </c>
      <c r="CF106" s="107">
        <f>INDEX(Pipes_result_save_V1!$K$2:$K$206,MATCH(BU106,Pipes_result_save_V1!$I$2:$I$206,0)) *POWER(10,-3)</f>
        <v>-2.1378194808959961E-2</v>
      </c>
      <c r="CG106" s="78">
        <v>6.3848835260542861E-3</v>
      </c>
      <c r="CH106" s="106">
        <v>-1.0327652426063445E-2</v>
      </c>
      <c r="CN106">
        <v>1</v>
      </c>
      <c r="CO106">
        <v>14</v>
      </c>
      <c r="CP106" t="s">
        <v>540</v>
      </c>
      <c r="CQ106" t="s">
        <v>414</v>
      </c>
      <c r="CR106" s="106" t="str">
        <f>INDEX(Pipes_result_save_V1!$G$2:$G$206,MATCH(CQ106,Pipes_result_save_V1!$I$2:$I$206,0))</f>
        <v>N52</v>
      </c>
      <c r="CS106" s="106" t="str">
        <f>INDEX(Pipes_result_save_V1!$H$2:$H$206,MATCH(CQ106,Pipes_result_save_V1!$I$2:$I$206,0))</f>
        <v>N42</v>
      </c>
      <c r="CT106" s="106">
        <f t="shared" si="23"/>
        <v>3.8249255700015396E-2</v>
      </c>
      <c r="CU106">
        <v>250</v>
      </c>
      <c r="CV106">
        <v>150</v>
      </c>
      <c r="CW106">
        <v>223</v>
      </c>
      <c r="CX106">
        <v>190.26050955880785</v>
      </c>
      <c r="CY106">
        <v>2.3579796114934291E-2</v>
      </c>
      <c r="CZ106">
        <v>0.18420135475776558</v>
      </c>
      <c r="DA106">
        <v>14.467508851585029</v>
      </c>
      <c r="DB106" s="107">
        <f>INDEX(Pipes_result_save_V1!$K$2:$K$206,MATCH(CQ106,Pipes_result_save_V1!$I$2:$I$206,0)) *POWER(10,-3)</f>
        <v>-3.351390075683594E-2</v>
      </c>
      <c r="DC106" s="78">
        <v>5.4175001596607963E-3</v>
      </c>
      <c r="DD106" s="106">
        <v>-2.583385030079139E-2</v>
      </c>
      <c r="DL106">
        <v>0</v>
      </c>
      <c r="DM106">
        <v>14</v>
      </c>
      <c r="DN106" t="s">
        <v>539</v>
      </c>
      <c r="DO106" t="s">
        <v>144</v>
      </c>
      <c r="DP106" s="106" t="str">
        <f>INDEX(Pipes_result_save_V1!$G$2:$G$206,MATCH(DO106,Pipes_result_save_V1!$I$2:$I$206,0))</f>
        <v>N26</v>
      </c>
      <c r="DQ106" s="106" t="str">
        <f>INDEX(Pipes_result_save_V1!$H$2:$H$206,MATCH(DO106,Pipes_result_save_V1!$I$2:$I$206,0))</f>
        <v>N25</v>
      </c>
      <c r="DR106" s="106">
        <f t="shared" si="24"/>
        <v>0.16714548384202288</v>
      </c>
      <c r="DS106">
        <v>466</v>
      </c>
      <c r="DT106">
        <v>150</v>
      </c>
      <c r="DU106">
        <v>76</v>
      </c>
      <c r="DV106">
        <v>3.1225928922840178</v>
      </c>
      <c r="DW106">
        <v>0.16656000000000001</v>
      </c>
      <c r="DX106">
        <v>0.11294430198697604</v>
      </c>
      <c r="DY106">
        <v>1.255840821805233</v>
      </c>
      <c r="DZ106" s="107">
        <f>INDEX(Pipes_result_save_V1!$K$2:$K$206,MATCH(DO106,Pipes_result_save_V1!$I$2:$I$206,0)) *POWER(10,-3)</f>
        <v>-0.20114678955078119</v>
      </c>
      <c r="EA106" s="78">
        <v>5.2238149459227431E-3</v>
      </c>
      <c r="EB106" s="106">
        <v>-0.19318791137477495</v>
      </c>
      <c r="EI106">
        <v>0</v>
      </c>
      <c r="EJ106">
        <v>14</v>
      </c>
      <c r="EK106" t="s">
        <v>539</v>
      </c>
      <c r="EL106" t="s">
        <v>157</v>
      </c>
      <c r="EM106" s="106" t="str">
        <f>INDEX(Pipes_result_save_V1!$G$2:$G$206,MATCH(EL106,Pipes_result_save_V1!$I$2:$I$206,0))</f>
        <v>N13</v>
      </c>
      <c r="EN106" s="106" t="str">
        <f>INDEX(Pipes_result_save_V1!$H$2:$H$206,MATCH(EL106,Pipes_result_save_V1!$I$2:$I$206,0))</f>
        <v>N12</v>
      </c>
      <c r="EO106" s="106">
        <f t="shared" si="25"/>
        <v>4.5871775982907335E-2</v>
      </c>
      <c r="EP106">
        <v>350</v>
      </c>
      <c r="EQ106">
        <v>150</v>
      </c>
      <c r="ER106">
        <v>533</v>
      </c>
      <c r="ES106">
        <v>88.304195807705696</v>
      </c>
      <c r="ET106">
        <v>8.3280000000000007E-2</v>
      </c>
      <c r="EU106">
        <v>0.8847544317413033</v>
      </c>
      <c r="EV106">
        <v>19.675374730846467</v>
      </c>
      <c r="EW106" s="107">
        <f>INDEX(Pipes_result_save_V1!$K$2:$K$206,MATCH(EL106,Pipes_result_save_V1!$I$2:$I$206,0)) *POWER(10,-3)</f>
        <v>-1.8592584609985353E-2</v>
      </c>
      <c r="EX106" s="78">
        <v>6.4477182794105683E-3</v>
      </c>
      <c r="EY106" s="78">
        <v>-8.910694409369516E-3</v>
      </c>
    </row>
    <row r="107" spans="2:155" ht="30" x14ac:dyDescent="0.25">
      <c r="B107" s="106">
        <v>15</v>
      </c>
      <c r="C107" s="106" t="s">
        <v>539</v>
      </c>
      <c r="D107" s="106" t="s">
        <v>213</v>
      </c>
      <c r="E107" s="106" t="str">
        <f>INDEX(Pipes_result_save_V1!$G$2:$G$206,MATCH(D107,Pipes_result_save_V1!$I$2:$I$206,0))</f>
        <v>N97</v>
      </c>
      <c r="F107" s="106" t="str">
        <f>INDEX(Pipes_result_save_V1!$H$2:$H$206,MATCH(D107,Pipes_result_save_V1!$I$2:$I$206,0))</f>
        <v>N98</v>
      </c>
      <c r="G107" s="106">
        <f t="shared" si="18"/>
        <v>4.9403064923816506E-2</v>
      </c>
      <c r="H107" s="107">
        <v>421</v>
      </c>
      <c r="I107" s="107">
        <v>150</v>
      </c>
      <c r="J107" s="107">
        <v>128</v>
      </c>
      <c r="K107" s="107">
        <v>8.6246495180025686</v>
      </c>
      <c r="L107" s="107">
        <v>0.128</v>
      </c>
      <c r="M107" s="107">
        <v>0.19155536470823792</v>
      </c>
      <c r="N107" s="107">
        <v>2.7715666831223169</v>
      </c>
      <c r="O107" s="107">
        <f t="shared" si="19"/>
        <v>4.9403064923816506E-2</v>
      </c>
      <c r="P107" s="78">
        <v>5.8974305337180823E-3</v>
      </c>
      <c r="Q107" s="106">
        <v>-2.2548357602394475E-5</v>
      </c>
      <c r="R107" s="78"/>
      <c r="S107" s="78"/>
      <c r="T107" s="78"/>
      <c r="U107" s="78"/>
      <c r="V107" s="78"/>
      <c r="W107" s="78">
        <v>0</v>
      </c>
      <c r="X107" s="78">
        <v>15</v>
      </c>
      <c r="Y107" s="78" t="s">
        <v>540</v>
      </c>
      <c r="Z107" s="78" t="s">
        <v>300</v>
      </c>
      <c r="AA107" s="106" t="str">
        <f>INDEX(Pipes_result_save_V1!$G$2:$G$206,MATCH(Z107,Pipes_result_save_V1!$I$2:$I$206,0))</f>
        <v>N136</v>
      </c>
      <c r="AB107" s="106" t="str">
        <f>INDEX(Pipes_result_save_V1!$H$2:$H$206,MATCH(Z107,Pipes_result_save_V1!$I$2:$I$206,0))</f>
        <v>N137</v>
      </c>
      <c r="AC107" s="106">
        <f t="shared" si="20"/>
        <v>3.5211178482065772E-2</v>
      </c>
      <c r="AD107" s="78">
        <v>300</v>
      </c>
      <c r="AE107" s="78">
        <v>150</v>
      </c>
      <c r="AF107" s="78">
        <v>360</v>
      </c>
      <c r="AG107" s="78">
        <v>126.37304316200606</v>
      </c>
      <c r="AH107" s="78">
        <v>-5.8057999999999998E-2</v>
      </c>
      <c r="AI107" s="78">
        <v>0</v>
      </c>
      <c r="AJ107" s="78">
        <v>0</v>
      </c>
      <c r="AK107" s="78">
        <v>-0.64912300273405898</v>
      </c>
      <c r="AL107">
        <v>20.706462521331733</v>
      </c>
      <c r="AM107" s="107">
        <f>INDEX(Pipes_result_save_V1!$K$2:$K$206,MATCH(Z107,Pipes_result_save_V1!$I$2:$I$206,0)) *POWER(10,-3)</f>
        <v>2.8655429840087891E-2</v>
      </c>
      <c r="AN107" s="78">
        <v>4.5179268908135724E-3</v>
      </c>
      <c r="AO107" s="106">
        <v>1.9473999650058773E-2</v>
      </c>
      <c r="AU107">
        <v>0</v>
      </c>
      <c r="AV107">
        <v>15</v>
      </c>
      <c r="AW107" t="s">
        <v>540</v>
      </c>
      <c r="AX107" t="s">
        <v>266</v>
      </c>
      <c r="AY107" s="106" t="str">
        <f>INDEX(Pipes_result_save_V1!$G$2:$G$206,MATCH(AX107,Pipes_result_save_V1!$I$2:$I$206,0))</f>
        <v>N114</v>
      </c>
      <c r="AZ107" s="106" t="str">
        <f>INDEX(Pipes_result_save_V1!$H$2:$H$206,MATCH(AX107,Pipes_result_save_V1!$I$2:$I$206,0))</f>
        <v>N113</v>
      </c>
      <c r="BA107" s="106">
        <f t="shared" si="21"/>
        <v>3.8250255700015404E-2</v>
      </c>
      <c r="BB107">
        <v>250</v>
      </c>
      <c r="BC107">
        <v>150</v>
      </c>
      <c r="BD107">
        <v>113</v>
      </c>
      <c r="BE107">
        <v>96.410033991682923</v>
      </c>
      <c r="BF107">
        <v>-3.2837000000000005E-2</v>
      </c>
      <c r="BG107">
        <v>-0.17235638947671134</v>
      </c>
      <c r="BH107">
        <v>9.7208646743268066</v>
      </c>
      <c r="BI107" s="107">
        <f>INDEX(Pipes_result_save_V1!$K$2:$K$206,MATCH(AX107,Pipes_result_save_V1!$I$2:$I$206,0)) *POWER(10,-3)</f>
        <v>-3.761581182479858E-3</v>
      </c>
      <c r="BJ107" s="78">
        <v>5.6612208252616201E-3</v>
      </c>
      <c r="BK107" s="106">
        <v>6.5206731405556767E-4</v>
      </c>
      <c r="BR107">
        <v>0</v>
      </c>
      <c r="BS107">
        <v>15</v>
      </c>
      <c r="BT107" t="s">
        <v>539</v>
      </c>
      <c r="BU107" t="s">
        <v>119</v>
      </c>
      <c r="BV107" s="106" t="str">
        <f>INDEX(Pipes_result_save_V1!$G$2:$G$206,MATCH(BU107,Pipes_result_save_V1!$I$2:$I$206,0))</f>
        <v>N65</v>
      </c>
      <c r="BW107" s="106" t="str">
        <f>INDEX(Pipes_result_save_V1!$H$2:$H$206,MATCH(BU107,Pipes_result_save_V1!$I$2:$I$206,0))</f>
        <v>N64</v>
      </c>
      <c r="BX107" s="106">
        <f t="shared" si="22"/>
        <v>2.3580796114934299E-2</v>
      </c>
      <c r="BY107">
        <v>250</v>
      </c>
      <c r="BZ107">
        <v>150</v>
      </c>
      <c r="CA107">
        <v>73</v>
      </c>
      <c r="CB107">
        <v>62.282588330910201</v>
      </c>
      <c r="CC107">
        <v>3.2837000000000005E-2</v>
      </c>
      <c r="CD107">
        <v>0.11134527815752146</v>
      </c>
      <c r="CE107">
        <v>6.2798506303173163</v>
      </c>
      <c r="CF107" s="107">
        <f>INDEX(Pipes_result_save_V1!$K$2:$K$206,MATCH(BU107,Pipes_result_save_V1!$I$2:$I$206,0)) *POWER(10,-3)</f>
        <v>-1.9729291915893551E-2</v>
      </c>
      <c r="CG107" s="78">
        <v>5.4690950211208214E-3</v>
      </c>
      <c r="CH107" s="106">
        <v>-1.3433228629802374E-2</v>
      </c>
      <c r="CN107">
        <v>0</v>
      </c>
      <c r="CO107">
        <v>15</v>
      </c>
      <c r="CP107" t="s">
        <v>540</v>
      </c>
      <c r="CQ107" t="s">
        <v>168</v>
      </c>
      <c r="CR107" s="106" t="str">
        <f>INDEX(Pipes_result_save_V1!$G$2:$G$206,MATCH(CQ107,Pipes_result_save_V1!$I$2:$I$206,0))</f>
        <v>N44</v>
      </c>
      <c r="CS107" s="106" t="str">
        <f>INDEX(Pipes_result_save_V1!$H$2:$H$206,MATCH(CQ107,Pipes_result_save_V1!$I$2:$I$206,0))</f>
        <v>N43</v>
      </c>
      <c r="CT107" s="106">
        <f t="shared" si="23"/>
        <v>0.15497564373451178</v>
      </c>
      <c r="CU107">
        <v>466</v>
      </c>
      <c r="CV107">
        <v>150</v>
      </c>
      <c r="CW107">
        <v>340</v>
      </c>
      <c r="CX107">
        <v>13.969494518112711</v>
      </c>
      <c r="CY107">
        <v>-0.16656000000000001</v>
      </c>
      <c r="CZ107">
        <v>-0.50527714046805072</v>
      </c>
      <c r="DA107">
        <v>5.6182352554444632</v>
      </c>
      <c r="DB107" s="107">
        <f>INDEX(Pipes_result_save_V1!$K$2:$K$206,MATCH(CQ107,Pipes_result_save_V1!$I$2:$I$206,0)) *POWER(10,-3)</f>
        <v>-5.8021972656250004E-2</v>
      </c>
      <c r="DC107" s="78">
        <v>6.12795826848829E-3</v>
      </c>
      <c r="DD107" s="106">
        <v>-5.0026619279448847E-2</v>
      </c>
      <c r="DL107">
        <v>0</v>
      </c>
      <c r="DM107">
        <v>15</v>
      </c>
      <c r="DN107" t="s">
        <v>539</v>
      </c>
      <c r="DO107" t="s">
        <v>142</v>
      </c>
      <c r="DP107" s="106" t="str">
        <f>INDEX(Pipes_result_save_V1!$G$2:$G$206,MATCH(DO107,Pipes_result_save_V1!$I$2:$I$206,0))</f>
        <v>N27</v>
      </c>
      <c r="DQ107" s="106" t="str">
        <f>INDEX(Pipes_result_save_V1!$H$2:$H$206,MATCH(DO107,Pipes_result_save_V1!$I$2:$I$206,0))</f>
        <v>N26</v>
      </c>
      <c r="DR107" s="106">
        <f t="shared" si="24"/>
        <v>0.16714548384202288</v>
      </c>
      <c r="DS107">
        <v>466</v>
      </c>
      <c r="DT107">
        <v>150</v>
      </c>
      <c r="DU107">
        <v>76</v>
      </c>
      <c r="DV107">
        <v>3.1225928922840178</v>
      </c>
      <c r="DW107">
        <v>0.16656000000000001</v>
      </c>
      <c r="DX107">
        <v>0.11294430198697604</v>
      </c>
      <c r="DY107">
        <v>1.255840821805233</v>
      </c>
      <c r="DZ107" s="107">
        <f>INDEX(Pipes_result_save_V1!$K$2:$K$206,MATCH(DO107,Pipes_result_save_V1!$I$2:$I$206,0)) *POWER(10,-3)</f>
        <v>-0.2002795562744141</v>
      </c>
      <c r="EA107" s="78">
        <v>5.575510199414305E-3</v>
      </c>
      <c r="EB107" s="106">
        <v>-0.18890682163685651</v>
      </c>
      <c r="EI107">
        <v>0</v>
      </c>
      <c r="EJ107">
        <v>15</v>
      </c>
      <c r="EK107" t="s">
        <v>539</v>
      </c>
      <c r="EL107" t="s">
        <v>156</v>
      </c>
      <c r="EM107" s="106" t="str">
        <f>INDEX(Pipes_result_save_V1!$G$2:$G$206,MATCH(EL107,Pipes_result_save_V1!$I$2:$I$206,0))</f>
        <v>N14</v>
      </c>
      <c r="EN107" s="106" t="str">
        <f>INDEX(Pipes_result_save_V1!$H$2:$H$206,MATCH(EL107,Pipes_result_save_V1!$I$2:$I$206,0))</f>
        <v>N13</v>
      </c>
      <c r="EO107" s="106">
        <f t="shared" si="25"/>
        <v>4.5871775982907335E-2</v>
      </c>
      <c r="EP107">
        <v>350</v>
      </c>
      <c r="EQ107">
        <v>150</v>
      </c>
      <c r="ER107">
        <v>345</v>
      </c>
      <c r="ES107">
        <v>57.157500100672543</v>
      </c>
      <c r="ET107">
        <v>8.3280000000000007E-2</v>
      </c>
      <c r="EU107">
        <v>0.57268345018902367</v>
      </c>
      <c r="EV107">
        <v>12.735467696326513</v>
      </c>
      <c r="EW107" s="107">
        <f>INDEX(Pipes_result_save_V1!$K$2:$K$206,MATCH(EL107,Pipes_result_save_V1!$I$2:$I$206,0)) *POWER(10,-3)</f>
        <v>-1.3583112716674799E-2</v>
      </c>
      <c r="EX107" s="78">
        <v>5.933558518219288E-3</v>
      </c>
      <c r="EY107" s="78">
        <v>-7.1283828025367757E-3</v>
      </c>
    </row>
    <row r="108" spans="2:155" ht="30" x14ac:dyDescent="0.25">
      <c r="B108" s="106">
        <v>16</v>
      </c>
      <c r="C108" s="106" t="s">
        <v>539</v>
      </c>
      <c r="D108" s="106" t="s">
        <v>212</v>
      </c>
      <c r="E108" s="106" t="str">
        <f>INDEX(Pipes_result_save_V1!$G$2:$G$206,MATCH(D108,Pipes_result_save_V1!$I$2:$I$206,0))</f>
        <v>N98</v>
      </c>
      <c r="F108" s="106" t="str">
        <f>INDEX(Pipes_result_save_V1!$H$2:$H$206,MATCH(D108,Pipes_result_save_V1!$I$2:$I$206,0))</f>
        <v>N99</v>
      </c>
      <c r="G108" s="106">
        <f t="shared" si="18"/>
        <v>5.9403064923816515E-2</v>
      </c>
      <c r="H108" s="107">
        <v>421</v>
      </c>
      <c r="I108" s="107">
        <v>150</v>
      </c>
      <c r="J108" s="107">
        <v>138</v>
      </c>
      <c r="K108" s="107">
        <v>9.2984502615965194</v>
      </c>
      <c r="L108" s="107">
        <v>0.13800000000000001</v>
      </c>
      <c r="M108" s="107">
        <v>0.2373923066502179</v>
      </c>
      <c r="N108" s="107">
        <v>3.1858735646101701</v>
      </c>
      <c r="O108" s="107">
        <f t="shared" si="19"/>
        <v>5.9403064923816515E-2</v>
      </c>
      <c r="P108" s="78">
        <v>6.5780253695368633E-3</v>
      </c>
      <c r="Q108" s="106">
        <v>8.9124860760414807E-4</v>
      </c>
      <c r="R108" s="78"/>
      <c r="S108" s="78"/>
      <c r="T108" s="78"/>
      <c r="U108" s="78"/>
      <c r="V108" s="78"/>
      <c r="W108" s="78">
        <v>0</v>
      </c>
      <c r="X108" s="78">
        <v>16</v>
      </c>
      <c r="Y108" s="78" t="s">
        <v>540</v>
      </c>
      <c r="Z108" s="78" t="s">
        <v>301</v>
      </c>
      <c r="AA108" s="106" t="str">
        <f>INDEX(Pipes_result_save_V1!$G$2:$G$206,MATCH(Z108,Pipes_result_save_V1!$I$2:$I$206,0))</f>
        <v>N137</v>
      </c>
      <c r="AB108" s="106" t="str">
        <f>INDEX(Pipes_result_save_V1!$H$2:$H$206,MATCH(Z108,Pipes_result_save_V1!$I$2:$I$206,0))</f>
        <v>N138</v>
      </c>
      <c r="AC108" s="106">
        <f t="shared" si="20"/>
        <v>3.5211178482065772E-2</v>
      </c>
      <c r="AD108" s="78">
        <v>300</v>
      </c>
      <c r="AE108" s="78">
        <v>150</v>
      </c>
      <c r="AF108" s="78">
        <v>315</v>
      </c>
      <c r="AG108" s="78">
        <v>110.57641276675531</v>
      </c>
      <c r="AH108" s="78">
        <v>-5.8057999999999998E-2</v>
      </c>
      <c r="AI108" s="78">
        <v>0</v>
      </c>
      <c r="AJ108" s="78">
        <v>0</v>
      </c>
      <c r="AK108" s="78">
        <v>-0.56798262739230165</v>
      </c>
      <c r="AL108">
        <v>18.118154706165267</v>
      </c>
      <c r="AM108" s="107">
        <f>INDEX(Pipes_result_save_V1!$K$2:$K$206,MATCH(Z108,Pipes_result_save_V1!$I$2:$I$206,0)) *POWER(10,-3)</f>
        <v>2.4804183959960941E-2</v>
      </c>
      <c r="AN108" s="78">
        <v>4.2147937106030526E-3</v>
      </c>
      <c r="AO108" s="106">
        <v>1.9694631884816141E-2</v>
      </c>
      <c r="AU108">
        <v>0</v>
      </c>
      <c r="AV108">
        <v>16</v>
      </c>
      <c r="AW108" t="s">
        <v>540</v>
      </c>
      <c r="AX108" t="s">
        <v>276</v>
      </c>
      <c r="AY108" s="106" t="str">
        <f>INDEX(Pipes_result_save_V1!$G$2:$G$206,MATCH(AX108,Pipes_result_save_V1!$I$2:$I$206,0))</f>
        <v>N115</v>
      </c>
      <c r="AZ108" s="106" t="str">
        <f>INDEX(Pipes_result_save_V1!$H$2:$H$206,MATCH(AX108,Pipes_result_save_V1!$I$2:$I$206,0))</f>
        <v>N114</v>
      </c>
      <c r="BA108" s="106">
        <f t="shared" si="21"/>
        <v>3.8250255700015404E-2</v>
      </c>
      <c r="BB108">
        <v>250</v>
      </c>
      <c r="BC108">
        <v>150</v>
      </c>
      <c r="BD108">
        <v>114</v>
      </c>
      <c r="BE108">
        <v>97.263220133202225</v>
      </c>
      <c r="BF108">
        <v>-3.2837000000000005E-2</v>
      </c>
      <c r="BG108">
        <v>-0.17388166725969104</v>
      </c>
      <c r="BH108">
        <v>9.8068900254270428</v>
      </c>
      <c r="BI108" s="107">
        <f>INDEX(Pipes_result_save_V1!$K$2:$K$206,MATCH(AX108,Pipes_result_save_V1!$I$2:$I$206,0)) *POWER(10,-3)</f>
        <v>-1.935805678367615E-3</v>
      </c>
      <c r="BJ108" s="78">
        <v>6.1925185279414026E-3</v>
      </c>
      <c r="BK108" s="106">
        <v>-6.1031166122661046E-4</v>
      </c>
      <c r="BR108">
        <v>0</v>
      </c>
      <c r="BS108">
        <v>16</v>
      </c>
      <c r="BT108" t="s">
        <v>539</v>
      </c>
      <c r="BU108" t="s">
        <v>120</v>
      </c>
      <c r="BV108" s="106" t="str">
        <f>INDEX(Pipes_result_save_V1!$G$2:$G$206,MATCH(BU108,Pipes_result_save_V1!$I$2:$I$206,0))</f>
        <v>N66</v>
      </c>
      <c r="BW108" s="106" t="str">
        <f>INDEX(Pipes_result_save_V1!$H$2:$H$206,MATCH(BU108,Pipes_result_save_V1!$I$2:$I$206,0))</f>
        <v>N65</v>
      </c>
      <c r="BX108" s="106">
        <f t="shared" si="22"/>
        <v>2.3580796114934299E-2</v>
      </c>
      <c r="BY108">
        <v>250</v>
      </c>
      <c r="BZ108">
        <v>150</v>
      </c>
      <c r="CA108">
        <v>65</v>
      </c>
      <c r="CB108">
        <v>55.457099198755657</v>
      </c>
      <c r="CC108">
        <v>3.2837000000000005E-2</v>
      </c>
      <c r="CD108">
        <v>9.9143055893683496E-2</v>
      </c>
      <c r="CE108">
        <v>5.5916478215154193</v>
      </c>
      <c r="CF108" s="107">
        <f>INDEX(Pipes_result_save_V1!$K$2:$K$206,MATCH(BU108,Pipes_result_save_V1!$I$2:$I$206,0)) *POWER(10,-3)</f>
        <v>-1.8941926956176761E-2</v>
      </c>
      <c r="CG108" s="78">
        <v>5.4533404730918549E-3</v>
      </c>
      <c r="CH108" s="106">
        <v>-7.8297386232658531E-3</v>
      </c>
      <c r="CN108">
        <v>0</v>
      </c>
      <c r="CO108">
        <v>16</v>
      </c>
      <c r="CP108" t="s">
        <v>539</v>
      </c>
      <c r="CQ108" t="s">
        <v>167</v>
      </c>
      <c r="CR108" s="106" t="str">
        <f>INDEX(Pipes_result_save_V1!$G$2:$G$206,MATCH(CQ108,Pipes_result_save_V1!$I$2:$I$206,0))</f>
        <v>N45</v>
      </c>
      <c r="CS108" s="106" t="str">
        <f>INDEX(Pipes_result_save_V1!$H$2:$H$206,MATCH(CQ108,Pipes_result_save_V1!$I$2:$I$206,0))</f>
        <v>N44</v>
      </c>
      <c r="CT108" s="106">
        <f t="shared" si="23"/>
        <v>0.15497564373451178</v>
      </c>
      <c r="CU108">
        <v>466</v>
      </c>
      <c r="CV108">
        <v>150</v>
      </c>
      <c r="CW108">
        <v>205</v>
      </c>
      <c r="CX108">
        <v>8.4227834594503115</v>
      </c>
      <c r="CY108">
        <v>0.16656000000000001</v>
      </c>
      <c r="CZ108">
        <v>0.30465239351750117</v>
      </c>
      <c r="DA108">
        <v>3.3874653746062209</v>
      </c>
      <c r="DB108" s="107">
        <f>INDEX(Pipes_result_save_V1!$K$2:$K$206,MATCH(CQ108,Pipes_result_save_V1!$I$2:$I$206,0)) *POWER(10,-3)</f>
        <v>-5.4912445068359385E-2</v>
      </c>
      <c r="DC108" s="78">
        <v>5.6931941318149638E-3</v>
      </c>
      <c r="DD108" s="106">
        <v>-4.4129454955005032E-2</v>
      </c>
      <c r="DL108">
        <v>0</v>
      </c>
      <c r="DM108">
        <v>16</v>
      </c>
      <c r="DN108" t="s">
        <v>539</v>
      </c>
      <c r="DO108" t="s">
        <v>143</v>
      </c>
      <c r="DP108" s="106" t="str">
        <f>INDEX(Pipes_result_save_V1!$G$2:$G$206,MATCH(DO108,Pipes_result_save_V1!$I$2:$I$206,0))</f>
        <v>N28</v>
      </c>
      <c r="DQ108" s="106" t="str">
        <f>INDEX(Pipes_result_save_V1!$H$2:$H$206,MATCH(DO108,Pipes_result_save_V1!$I$2:$I$206,0))</f>
        <v>N27</v>
      </c>
      <c r="DR108" s="106">
        <f t="shared" si="24"/>
        <v>0.16714548384202288</v>
      </c>
      <c r="DS108">
        <v>466</v>
      </c>
      <c r="DT108">
        <v>150</v>
      </c>
      <c r="DU108">
        <v>80</v>
      </c>
      <c r="DV108">
        <v>3.2869398866147552</v>
      </c>
      <c r="DW108">
        <v>0.16656000000000001</v>
      </c>
      <c r="DX108">
        <v>0.11888873893365898</v>
      </c>
      <c r="DY108">
        <v>1.3219377071634029</v>
      </c>
      <c r="DZ108" s="107">
        <f>INDEX(Pipes_result_save_V1!$K$2:$K$206,MATCH(DO108,Pipes_result_save_V1!$I$2:$I$206,0)) *POWER(10,-3)</f>
        <v>-0.19938948059082032</v>
      </c>
      <c r="EA108" s="78">
        <v>6.5576107033999739E-3</v>
      </c>
      <c r="EB108" s="106">
        <v>-0.19016444957607453</v>
      </c>
      <c r="EI108">
        <v>0</v>
      </c>
      <c r="EJ108">
        <v>16</v>
      </c>
      <c r="EK108" t="s">
        <v>539</v>
      </c>
      <c r="EL108" t="s">
        <v>155</v>
      </c>
      <c r="EM108" s="106" t="str">
        <f>INDEX(Pipes_result_save_V1!$G$2:$G$206,MATCH(EL108,Pipes_result_save_V1!$I$2:$I$206,0))</f>
        <v>N15</v>
      </c>
      <c r="EN108" s="106" t="str">
        <f>INDEX(Pipes_result_save_V1!$H$2:$H$206,MATCH(EL108,Pipes_result_save_V1!$I$2:$I$206,0))</f>
        <v>N14</v>
      </c>
      <c r="EO108" s="106">
        <f t="shared" si="25"/>
        <v>4.5871775982907335E-2</v>
      </c>
      <c r="EP108">
        <v>350</v>
      </c>
      <c r="EQ108">
        <v>150</v>
      </c>
      <c r="ER108">
        <v>795</v>
      </c>
      <c r="ES108">
        <v>131.71076110154976</v>
      </c>
      <c r="ET108">
        <v>8.3280000000000007E-2</v>
      </c>
      <c r="EU108">
        <v>1.3196618634790545</v>
      </c>
      <c r="EV108">
        <v>29.346947300230656</v>
      </c>
      <c r="EW108" s="107">
        <f>INDEX(Pipes_result_save_V1!$K$2:$K$206,MATCH(EL108,Pipes_result_save_V1!$I$2:$I$206,0)) *POWER(10,-3)</f>
        <v>-7.0787868499755857E-3</v>
      </c>
      <c r="EX108" s="78">
        <v>6.191936284247081E-3</v>
      </c>
      <c r="EY108" s="78">
        <v>1.4524275359280906E-3</v>
      </c>
    </row>
    <row r="109" spans="2:155" ht="30" x14ac:dyDescent="0.25">
      <c r="B109" s="106">
        <v>17</v>
      </c>
      <c r="C109" s="106" t="s">
        <v>540</v>
      </c>
      <c r="D109" s="106" t="s">
        <v>426</v>
      </c>
      <c r="E109" s="106" t="str">
        <f>INDEX(Pipes_result_save_V1!$G$2:$G$206,MATCH(D109,Pipes_result_save_V1!$I$2:$I$206,0))</f>
        <v>N99</v>
      </c>
      <c r="F109" s="106" t="str">
        <f>INDEX(Pipes_result_save_V1!$H$2:$H$206,MATCH(D109,Pipes_result_save_V1!$I$2:$I$206,0))</f>
        <v>N194</v>
      </c>
      <c r="G109" s="106">
        <f t="shared" si="18"/>
        <v>0.1054030649238165</v>
      </c>
      <c r="H109" s="107">
        <v>565</v>
      </c>
      <c r="I109" s="107">
        <v>150</v>
      </c>
      <c r="J109" s="107">
        <v>184</v>
      </c>
      <c r="K109" s="107">
        <v>2.9580084372668733</v>
      </c>
      <c r="L109" s="107">
        <v>-0.184</v>
      </c>
      <c r="M109" s="107">
        <v>-0.12865954661016527</v>
      </c>
      <c r="N109" s="107">
        <v>1.2949863060979676</v>
      </c>
      <c r="O109" s="107">
        <f t="shared" si="19"/>
        <v>0.1054030649238165</v>
      </c>
      <c r="P109" s="78">
        <v>6.5247330238857384E-3</v>
      </c>
      <c r="Q109" s="106">
        <v>-1.9842866014152445E-3</v>
      </c>
      <c r="R109" s="78"/>
      <c r="S109" s="78"/>
      <c r="T109" s="78"/>
      <c r="U109" s="78"/>
      <c r="V109" s="78"/>
      <c r="W109" s="78">
        <v>0</v>
      </c>
      <c r="X109" s="78">
        <v>17</v>
      </c>
      <c r="Y109" s="78" t="s">
        <v>540</v>
      </c>
      <c r="Z109" s="78" t="s">
        <v>302</v>
      </c>
      <c r="AA109" s="106" t="str">
        <f>INDEX(Pipes_result_save_V1!$G$2:$G$206,MATCH(Z109,Pipes_result_save_V1!$I$2:$I$206,0))</f>
        <v>N138</v>
      </c>
      <c r="AB109" s="106" t="str">
        <f>INDEX(Pipes_result_save_V1!$H$2:$H$206,MATCH(Z109,Pipes_result_save_V1!$I$2:$I$206,0))</f>
        <v>N139</v>
      </c>
      <c r="AC109" s="106">
        <f t="shared" si="20"/>
        <v>3.5211178482065772E-2</v>
      </c>
      <c r="AD109" s="78">
        <v>300</v>
      </c>
      <c r="AE109" s="78">
        <v>150</v>
      </c>
      <c r="AF109" s="78">
        <v>270</v>
      </c>
      <c r="AG109" s="78">
        <v>94.779782371504538</v>
      </c>
      <c r="AH109" s="78">
        <v>-5.8057999999999998E-2</v>
      </c>
      <c r="AI109" s="78">
        <v>0</v>
      </c>
      <c r="AJ109" s="78">
        <v>0</v>
      </c>
      <c r="AK109" s="78">
        <v>-0.48684225205054421</v>
      </c>
      <c r="AL109">
        <v>15.529846890998799</v>
      </c>
      <c r="AM109" s="107">
        <f>INDEX(Pipes_result_save_V1!$K$2:$K$206,MATCH(Z109,Pipes_result_save_V1!$I$2:$I$206,0)) *POWER(10,-3)</f>
        <v>2.146643829345703E-2</v>
      </c>
      <c r="AN109" s="78">
        <v>2.5596503864963854E-4</v>
      </c>
      <c r="AO109" s="106">
        <v>2.0212088271170919E-2</v>
      </c>
      <c r="AU109">
        <v>0</v>
      </c>
      <c r="AV109">
        <v>17</v>
      </c>
      <c r="AW109" t="s">
        <v>540</v>
      </c>
      <c r="AX109" t="s">
        <v>316</v>
      </c>
      <c r="AY109" s="106" t="str">
        <f>INDEX(Pipes_result_save_V1!$G$2:$G$206,MATCH(AX109,Pipes_result_save_V1!$I$2:$I$206,0))</f>
        <v>N116</v>
      </c>
      <c r="AZ109" s="106" t="str">
        <f>INDEX(Pipes_result_save_V1!$H$2:$H$206,MATCH(AX109,Pipes_result_save_V1!$I$2:$I$206,0))</f>
        <v>N115</v>
      </c>
      <c r="BA109" s="106">
        <f t="shared" si="21"/>
        <v>3.8250255700015404E-2</v>
      </c>
      <c r="BB109">
        <v>250</v>
      </c>
      <c r="BC109">
        <v>150</v>
      </c>
      <c r="BD109">
        <v>115</v>
      </c>
      <c r="BE109">
        <v>98.116406274721555</v>
      </c>
      <c r="BF109">
        <v>-3.2837000000000005E-2</v>
      </c>
      <c r="BG109">
        <v>-0.17540694504267082</v>
      </c>
      <c r="BH109">
        <v>9.8929153765272808</v>
      </c>
      <c r="BI109" s="107">
        <f>INDEX(Pipes_result_save_V1!$K$2:$K$206,MATCH(AX109,Pipes_result_save_V1!$I$2:$I$206,0)) *POWER(10,-3)</f>
        <v>-2.1272979676723481E-4</v>
      </c>
      <c r="BJ109" s="78">
        <v>5.124979025131907E-3</v>
      </c>
      <c r="BK109" s="106">
        <v>1.0396421582958061E-3</v>
      </c>
      <c r="BR109">
        <v>0</v>
      </c>
      <c r="BS109">
        <v>17</v>
      </c>
      <c r="BT109" t="s">
        <v>539</v>
      </c>
      <c r="BU109" t="s">
        <v>118</v>
      </c>
      <c r="BV109" s="106" t="str">
        <f>INDEX(Pipes_result_save_V1!$G$2:$G$206,MATCH(BU109,Pipes_result_save_V1!$I$2:$I$206,0))</f>
        <v>N67</v>
      </c>
      <c r="BW109" s="106" t="str">
        <f>INDEX(Pipes_result_save_V1!$H$2:$H$206,MATCH(BU109,Pipes_result_save_V1!$I$2:$I$206,0))</f>
        <v>N66</v>
      </c>
      <c r="BX109" s="106">
        <f t="shared" si="22"/>
        <v>2.3580796114934299E-2</v>
      </c>
      <c r="BY109">
        <v>250</v>
      </c>
      <c r="BZ109">
        <v>150</v>
      </c>
      <c r="CA109">
        <v>45</v>
      </c>
      <c r="CB109">
        <v>38.393376368369303</v>
      </c>
      <c r="CC109">
        <v>3.2837000000000005E-2</v>
      </c>
      <c r="CD109">
        <v>6.8637500234088572E-2</v>
      </c>
      <c r="CE109">
        <v>3.871140799510675</v>
      </c>
      <c r="CF109" s="107">
        <f>INDEX(Pipes_result_save_V1!$K$2:$K$206,MATCH(BU109,Pipes_result_save_V1!$I$2:$I$206,0)) *POWER(10,-3)</f>
        <v>-1.8314315795898442E-2</v>
      </c>
      <c r="CG109" s="78">
        <v>5.1194798104476809E-3</v>
      </c>
      <c r="CH109" s="106">
        <v>-1.0309929908539923E-2</v>
      </c>
      <c r="CN109">
        <v>0</v>
      </c>
      <c r="CO109">
        <v>17</v>
      </c>
      <c r="CP109" t="s">
        <v>539</v>
      </c>
      <c r="CQ109" t="s">
        <v>166</v>
      </c>
      <c r="CR109" s="106" t="str">
        <f>INDEX(Pipes_result_save_V1!$G$2:$G$206,MATCH(CQ109,Pipes_result_save_V1!$I$2:$I$206,0))</f>
        <v>N46</v>
      </c>
      <c r="CS109" s="106" t="str">
        <f>INDEX(Pipes_result_save_V1!$H$2:$H$206,MATCH(CQ109,Pipes_result_save_V1!$I$2:$I$206,0))</f>
        <v>N45</v>
      </c>
      <c r="CT109" s="106">
        <f t="shared" si="23"/>
        <v>0.15497564373451178</v>
      </c>
      <c r="CU109">
        <v>466</v>
      </c>
      <c r="CV109">
        <v>150</v>
      </c>
      <c r="CW109">
        <v>196</v>
      </c>
      <c r="CX109">
        <v>8.0530027222061502</v>
      </c>
      <c r="CY109">
        <v>0.16656000000000001</v>
      </c>
      <c r="CZ109">
        <v>0.29127741038746446</v>
      </c>
      <c r="DA109">
        <v>3.2387473825503372</v>
      </c>
      <c r="DB109" s="107">
        <f>INDEX(Pipes_result_save_V1!$K$2:$K$206,MATCH(CQ109,Pipes_result_save_V1!$I$2:$I$206,0)) *POWER(10,-3)</f>
        <v>-5.2624523162841795E-2</v>
      </c>
      <c r="DC109" s="78">
        <v>6.3249656174210094E-3</v>
      </c>
      <c r="DD109" s="106">
        <v>-4.2759345618777228E-2</v>
      </c>
      <c r="DL109">
        <v>0</v>
      </c>
      <c r="DM109">
        <v>17</v>
      </c>
      <c r="DN109" t="s">
        <v>539</v>
      </c>
      <c r="DO109" t="s">
        <v>398</v>
      </c>
      <c r="DP109" s="106" t="str">
        <f>INDEX(Pipes_result_save_V1!$G$2:$G$206,MATCH(DO109,Pipes_result_save_V1!$I$2:$I$206,0))</f>
        <v>N196</v>
      </c>
      <c r="DQ109" s="106" t="str">
        <f>INDEX(Pipes_result_save_V1!$H$2:$H$206,MATCH(DO109,Pipes_result_save_V1!$I$2:$I$206,0))</f>
        <v>N28</v>
      </c>
      <c r="DR109" s="106">
        <f t="shared" si="24"/>
        <v>0.16714548384202288</v>
      </c>
      <c r="DS109">
        <v>466</v>
      </c>
      <c r="DT109">
        <v>150</v>
      </c>
      <c r="DU109">
        <v>75</v>
      </c>
      <c r="DV109">
        <v>3.0815061437013331</v>
      </c>
      <c r="DW109">
        <v>0.16656000000000001</v>
      </c>
      <c r="DX109">
        <v>0.11145819275030529</v>
      </c>
      <c r="DY109">
        <v>1.2393166004656904</v>
      </c>
      <c r="DZ109" s="107">
        <f>INDEX(Pipes_result_save_V1!$K$2:$K$206,MATCH(DO109,Pipes_result_save_V1!$I$2:$I$206,0)) *POWER(10,-3)</f>
        <v>-0.198505126953125</v>
      </c>
      <c r="EA109" s="78">
        <v>5.1676600694270085E-3</v>
      </c>
      <c r="EB109" s="106">
        <v>-0.1910728416074102</v>
      </c>
      <c r="EI109">
        <v>0</v>
      </c>
      <c r="EJ109">
        <v>17</v>
      </c>
      <c r="EK109" t="s">
        <v>539</v>
      </c>
      <c r="EL109" t="s">
        <v>154</v>
      </c>
      <c r="EM109" s="106" t="str">
        <f>INDEX(Pipes_result_save_V1!$G$2:$G$206,MATCH(EL109,Pipes_result_save_V1!$I$2:$I$206,0))</f>
        <v>N16</v>
      </c>
      <c r="EN109" s="106" t="str">
        <f>INDEX(Pipes_result_save_V1!$H$2:$H$206,MATCH(EL109,Pipes_result_save_V1!$I$2:$I$206,0))</f>
        <v>N15</v>
      </c>
      <c r="EO109" s="106">
        <f t="shared" si="25"/>
        <v>4.5871775982907335E-2</v>
      </c>
      <c r="EP109">
        <v>350</v>
      </c>
      <c r="EQ109">
        <v>150</v>
      </c>
      <c r="ER109">
        <v>496</v>
      </c>
      <c r="ES109">
        <v>82.174261014300242</v>
      </c>
      <c r="ET109">
        <v>8.3280000000000007E-2</v>
      </c>
      <c r="EU109">
        <v>0.82333620664856744</v>
      </c>
      <c r="EV109">
        <v>18.30954196341435</v>
      </c>
      <c r="EW109" s="107">
        <f>INDEX(Pipes_result_save_V1!$K$2:$K$206,MATCH(EL109,Pipes_result_save_V1!$I$2:$I$206,0)) *POWER(10,-3)</f>
        <v>2.8707671165466308E-4</v>
      </c>
      <c r="EX109" s="78">
        <v>5.607299923040111E-3</v>
      </c>
      <c r="EY109" s="78">
        <v>-3.5928728627387593E-4</v>
      </c>
    </row>
    <row r="110" spans="2:155" ht="30" x14ac:dyDescent="0.25">
      <c r="B110" s="106">
        <v>18</v>
      </c>
      <c r="C110" s="106" t="s">
        <v>539</v>
      </c>
      <c r="D110" s="106" t="s">
        <v>211</v>
      </c>
      <c r="E110" s="106" t="str">
        <f>INDEX(Pipes_result_save_V1!$G$2:$G$206,MATCH(D110,Pipes_result_save_V1!$I$2:$I$206,0))</f>
        <v>N100</v>
      </c>
      <c r="F110" s="106" t="str">
        <f>INDEX(Pipes_result_save_V1!$H$2:$H$206,MATCH(D110,Pipes_result_save_V1!$I$2:$I$206,0))</f>
        <v>N99</v>
      </c>
      <c r="G110" s="106">
        <f t="shared" si="18"/>
        <v>0.2104030649238165</v>
      </c>
      <c r="H110" s="107">
        <v>700</v>
      </c>
      <c r="I110" s="107">
        <v>150</v>
      </c>
      <c r="J110" s="107">
        <v>289</v>
      </c>
      <c r="K110" s="107">
        <v>1.6361942593429444</v>
      </c>
      <c r="L110" s="107">
        <v>0.28899999999999998</v>
      </c>
      <c r="M110" s="107">
        <v>0.16421683189371203</v>
      </c>
      <c r="N110" s="107">
        <v>1.0523514625161059</v>
      </c>
      <c r="O110" s="107">
        <f t="shared" si="19"/>
        <v>0.2104030649238165</v>
      </c>
      <c r="P110" s="78">
        <v>5.7259074957591869E-3</v>
      </c>
      <c r="Q110" s="106">
        <v>3.8765909294889984E-3</v>
      </c>
      <c r="R110" s="78"/>
      <c r="S110" s="78"/>
      <c r="T110" s="78"/>
      <c r="U110" s="78"/>
      <c r="V110" s="78"/>
      <c r="W110" s="78">
        <v>0</v>
      </c>
      <c r="X110" s="78">
        <v>18</v>
      </c>
      <c r="Y110" s="78" t="s">
        <v>540</v>
      </c>
      <c r="Z110" s="78" t="s">
        <v>303</v>
      </c>
      <c r="AA110" s="106" t="str">
        <f>INDEX(Pipes_result_save_V1!$G$2:$G$206,MATCH(Z110,Pipes_result_save_V1!$I$2:$I$206,0))</f>
        <v>N139</v>
      </c>
      <c r="AB110" s="106" t="str">
        <f>INDEX(Pipes_result_save_V1!$H$2:$H$206,MATCH(Z110,Pipes_result_save_V1!$I$2:$I$206,0))</f>
        <v>N140</v>
      </c>
      <c r="AC110" s="106">
        <f t="shared" si="20"/>
        <v>3.5211178482065772E-2</v>
      </c>
      <c r="AD110" s="78">
        <v>300</v>
      </c>
      <c r="AE110" s="78">
        <v>150</v>
      </c>
      <c r="AF110" s="78">
        <v>180</v>
      </c>
      <c r="AG110" s="78">
        <v>63.186521581003028</v>
      </c>
      <c r="AH110" s="78">
        <v>-5.8057999999999998E-2</v>
      </c>
      <c r="AI110" s="78">
        <v>0</v>
      </c>
      <c r="AJ110" s="78">
        <v>0</v>
      </c>
      <c r="AK110" s="78">
        <v>-0.32456150136702949</v>
      </c>
      <c r="AL110">
        <v>10.353231260665867</v>
      </c>
      <c r="AM110" s="107">
        <f>INDEX(Pipes_result_save_V1!$K$2:$K$206,MATCH(Z110,Pipes_result_save_V1!$I$2:$I$206,0)) *POWER(10,-3)</f>
        <v>1.8898941040039058E-2</v>
      </c>
      <c r="AN110" s="78">
        <v>3.3091231072184331E-3</v>
      </c>
      <c r="AO110" s="106">
        <v>1.2806087753996305E-2</v>
      </c>
      <c r="AU110">
        <v>0</v>
      </c>
      <c r="AV110">
        <v>18</v>
      </c>
      <c r="AW110" t="s">
        <v>540</v>
      </c>
      <c r="AX110" t="s">
        <v>412</v>
      </c>
      <c r="AY110" s="106" t="str">
        <f>INDEX(Pipes_result_save_V1!$G$2:$G$206,MATCH(AX110,Pipes_result_save_V1!$I$2:$I$206,0))</f>
        <v>N195</v>
      </c>
      <c r="AZ110" s="106" t="str">
        <f>INDEX(Pipes_result_save_V1!$H$2:$H$206,MATCH(AX110,Pipes_result_save_V1!$I$2:$I$206,0))</f>
        <v>N116</v>
      </c>
      <c r="BA110" s="106">
        <f t="shared" si="21"/>
        <v>3.8250255700015404E-2</v>
      </c>
      <c r="BB110">
        <v>250</v>
      </c>
      <c r="BC110">
        <v>150</v>
      </c>
      <c r="BD110">
        <v>116</v>
      </c>
      <c r="BE110">
        <v>98.969592416240872</v>
      </c>
      <c r="BF110">
        <v>-3.2837000000000005E-2</v>
      </c>
      <c r="BG110">
        <v>-0.17693222282565055</v>
      </c>
      <c r="BH110">
        <v>9.978940727627517</v>
      </c>
      <c r="BI110" s="107">
        <f>INDEX(Pipes_result_save_V1!$K$2:$K$206,MATCH(AX110,Pipes_result_save_V1!$I$2:$I$206,0)) *POWER(10,-3)</f>
        <v>5.689303874969482E-4</v>
      </c>
      <c r="BJ110" s="78">
        <v>5.5553925534145045E-3</v>
      </c>
      <c r="BK110" s="106">
        <v>-1.0334684015313724E-3</v>
      </c>
      <c r="BR110">
        <v>0</v>
      </c>
      <c r="BS110">
        <v>18</v>
      </c>
      <c r="BT110" t="s">
        <v>539</v>
      </c>
      <c r="BU110" t="s">
        <v>117</v>
      </c>
      <c r="BV110" s="106" t="str">
        <f>INDEX(Pipes_result_save_V1!$G$2:$G$206,MATCH(BU110,Pipes_result_save_V1!$I$2:$I$206,0))</f>
        <v>N68</v>
      </c>
      <c r="BW110" s="106" t="str">
        <f>INDEX(Pipes_result_save_V1!$H$2:$H$206,MATCH(BU110,Pipes_result_save_V1!$I$2:$I$206,0))</f>
        <v>N67</v>
      </c>
      <c r="BX110" s="106">
        <f t="shared" si="22"/>
        <v>2.3580796114934299E-2</v>
      </c>
      <c r="BY110">
        <v>250</v>
      </c>
      <c r="BZ110">
        <v>150</v>
      </c>
      <c r="CA110">
        <v>100</v>
      </c>
      <c r="CB110">
        <v>85.318614151931783</v>
      </c>
      <c r="CC110">
        <v>3.2837000000000005E-2</v>
      </c>
      <c r="CD110">
        <v>0.15252777829797462</v>
      </c>
      <c r="CE110">
        <v>8.6025351100237213</v>
      </c>
      <c r="CF110" s="107">
        <f>INDEX(Pipes_result_save_V1!$K$2:$K$206,MATCH(BU110,Pipes_result_save_V1!$I$2:$I$206,0)) *POWER(10,-3)</f>
        <v>-1.748701095581055E-2</v>
      </c>
      <c r="CG110" s="78">
        <v>5.8473319003270099E-3</v>
      </c>
      <c r="CH110" s="106">
        <v>-6.9620384094925582E-3</v>
      </c>
      <c r="CN110">
        <v>0</v>
      </c>
      <c r="CO110">
        <v>18</v>
      </c>
      <c r="CP110" t="s">
        <v>539</v>
      </c>
      <c r="CQ110" t="s">
        <v>165</v>
      </c>
      <c r="CR110" s="106" t="str">
        <f>INDEX(Pipes_result_save_V1!$G$2:$G$206,MATCH(CQ110,Pipes_result_save_V1!$I$2:$I$206,0))</f>
        <v>N47</v>
      </c>
      <c r="CS110" s="106" t="str">
        <f>INDEX(Pipes_result_save_V1!$H$2:$H$206,MATCH(CQ110,Pipes_result_save_V1!$I$2:$I$206,0))</f>
        <v>N46</v>
      </c>
      <c r="CT110" s="106">
        <f t="shared" si="23"/>
        <v>0.15497564373451178</v>
      </c>
      <c r="CU110">
        <v>466</v>
      </c>
      <c r="CV110">
        <v>150</v>
      </c>
      <c r="CW110">
        <v>275</v>
      </c>
      <c r="CX110">
        <v>11.298855860238222</v>
      </c>
      <c r="CY110">
        <v>0.16656000000000001</v>
      </c>
      <c r="CZ110">
        <v>0.40868004008445274</v>
      </c>
      <c r="DA110">
        <v>4.5441608683741981</v>
      </c>
      <c r="DB110" s="107">
        <f>INDEX(Pipes_result_save_V1!$K$2:$K$206,MATCH(CQ110,Pipes_result_save_V1!$I$2:$I$206,0)) *POWER(10,-3)</f>
        <v>-4.9937206268310545E-2</v>
      </c>
      <c r="DC110" s="78">
        <v>5.0671622608914205E-3</v>
      </c>
      <c r="DD110" s="106">
        <v>-4.1812449955895378E-2</v>
      </c>
      <c r="DL110">
        <v>0</v>
      </c>
      <c r="DM110">
        <v>18</v>
      </c>
      <c r="DN110" t="s">
        <v>539</v>
      </c>
      <c r="DO110" t="s">
        <v>140</v>
      </c>
      <c r="DP110" s="106" t="str">
        <f>INDEX(Pipes_result_save_V1!$G$2:$G$206,MATCH(DO110,Pipes_result_save_V1!$I$2:$I$206,0))</f>
        <v>N30</v>
      </c>
      <c r="DQ110" s="106" t="str">
        <f>INDEX(Pipes_result_save_V1!$H$2:$H$206,MATCH(DO110,Pipes_result_save_V1!$I$2:$I$206,0))</f>
        <v>N29</v>
      </c>
      <c r="DR110" s="106">
        <f t="shared" si="24"/>
        <v>0.16714548384202288</v>
      </c>
      <c r="DS110">
        <v>466</v>
      </c>
      <c r="DT110">
        <v>150</v>
      </c>
      <c r="DU110">
        <v>76</v>
      </c>
      <c r="DV110">
        <v>3.1225928922840178</v>
      </c>
      <c r="DW110">
        <v>0.16656000000000001</v>
      </c>
      <c r="DX110">
        <v>0.11294430198697604</v>
      </c>
      <c r="DY110">
        <v>1.255840821805233</v>
      </c>
      <c r="DZ110" s="107">
        <f>INDEX(Pipes_result_save_V1!$K$2:$K$206,MATCH(DO110,Pipes_result_save_V1!$I$2:$I$206,0)) *POWER(10,-3)</f>
        <v>-0.19685621643066409</v>
      </c>
      <c r="EA110" s="78">
        <v>5.8515718255350326E-3</v>
      </c>
      <c r="EB110" s="106">
        <v>-0.18624103953981275</v>
      </c>
      <c r="EI110">
        <v>0</v>
      </c>
      <c r="EJ110">
        <v>18</v>
      </c>
      <c r="EK110" t="s">
        <v>539</v>
      </c>
      <c r="EL110" t="s">
        <v>153</v>
      </c>
      <c r="EM110" s="106" t="str">
        <f>INDEX(Pipes_result_save_V1!$G$2:$G$206,MATCH(EL110,Pipes_result_save_V1!$I$2:$I$206,0))</f>
        <v>N17</v>
      </c>
      <c r="EN110" s="106" t="str">
        <f>INDEX(Pipes_result_save_V1!$H$2:$H$206,MATCH(EL110,Pipes_result_save_V1!$I$2:$I$206,0))</f>
        <v>N16</v>
      </c>
      <c r="EO110" s="106">
        <f t="shared" si="25"/>
        <v>4.5871775982907335E-2</v>
      </c>
      <c r="EP110">
        <v>350</v>
      </c>
      <c r="EQ110">
        <v>150</v>
      </c>
      <c r="ER110">
        <v>414</v>
      </c>
      <c r="ES110">
        <v>68.589000120807043</v>
      </c>
      <c r="ET110">
        <v>8.3280000000000007E-2</v>
      </c>
      <c r="EU110">
        <v>0.68722014022682831</v>
      </c>
      <c r="EV110">
        <v>15.282561235591812</v>
      </c>
      <c r="EW110" s="107">
        <f>INDEX(Pipes_result_save_V1!$K$2:$K$206,MATCH(EL110,Pipes_result_save_V1!$I$2:$I$206,0)) *POWER(10,-3)</f>
        <v>5.4791264533996581E-3</v>
      </c>
      <c r="EX110" s="78">
        <v>5.6390464012246611E-3</v>
      </c>
      <c r="EY110" s="78">
        <v>2.384228132612591E-3</v>
      </c>
    </row>
    <row r="111" spans="2:155" ht="30" x14ac:dyDescent="0.25">
      <c r="B111" s="106">
        <v>19</v>
      </c>
      <c r="C111" s="106" t="s">
        <v>539</v>
      </c>
      <c r="D111" s="106" t="s">
        <v>209</v>
      </c>
      <c r="E111" s="106" t="str">
        <f>INDEX(Pipes_result_save_V1!$G$2:$G$206,MATCH(D111,Pipes_result_save_V1!$I$2:$I$206,0))</f>
        <v>N101</v>
      </c>
      <c r="F111" s="106" t="str">
        <f>INDEX(Pipes_result_save_V1!$H$2:$H$206,MATCH(D111,Pipes_result_save_V1!$I$2:$I$206,0))</f>
        <v>N100</v>
      </c>
      <c r="G111" s="106">
        <f t="shared" si="18"/>
        <v>7.44030649238165E-2</v>
      </c>
      <c r="H111" s="107">
        <v>466</v>
      </c>
      <c r="I111" s="107">
        <v>150</v>
      </c>
      <c r="J111" s="107">
        <v>153</v>
      </c>
      <c r="K111" s="107">
        <v>6.2862725331507194</v>
      </c>
      <c r="L111" s="107">
        <v>0.153</v>
      </c>
      <c r="M111" s="107">
        <v>0.19428610209258285</v>
      </c>
      <c r="N111" s="107">
        <v>2.3517507259834214</v>
      </c>
      <c r="O111" s="107">
        <f t="shared" si="19"/>
        <v>7.44030649238165E-2</v>
      </c>
      <c r="P111" s="78">
        <v>5.2890668299774395E-3</v>
      </c>
      <c r="Q111" s="106">
        <v>1.8038108048091897E-3</v>
      </c>
      <c r="R111" s="78"/>
      <c r="S111" s="78"/>
      <c r="T111" s="78"/>
      <c r="U111" s="78"/>
      <c r="V111" s="78"/>
      <c r="W111" s="78">
        <v>0</v>
      </c>
      <c r="X111" s="78">
        <v>19</v>
      </c>
      <c r="Y111" s="78" t="s">
        <v>540</v>
      </c>
      <c r="Z111" s="78" t="s">
        <v>304</v>
      </c>
      <c r="AA111" s="106" t="str">
        <f>INDEX(Pipes_result_save_V1!$G$2:$G$206,MATCH(Z111,Pipes_result_save_V1!$I$2:$I$206,0))</f>
        <v>N140</v>
      </c>
      <c r="AB111" s="106" t="str">
        <f>INDEX(Pipes_result_save_V1!$H$2:$H$206,MATCH(Z111,Pipes_result_save_V1!$I$2:$I$206,0))</f>
        <v>N141</v>
      </c>
      <c r="AC111" s="106">
        <f t="shared" si="20"/>
        <v>3.5211178482065772E-2</v>
      </c>
      <c r="AD111" s="78">
        <v>300</v>
      </c>
      <c r="AE111" s="78">
        <v>150</v>
      </c>
      <c r="AF111" s="78">
        <v>210</v>
      </c>
      <c r="AG111" s="78">
        <v>73.717608511170198</v>
      </c>
      <c r="AH111" s="78">
        <v>-5.8057999999999998E-2</v>
      </c>
      <c r="AI111" s="78">
        <v>0</v>
      </c>
      <c r="AJ111" s="78">
        <v>0</v>
      </c>
      <c r="AK111" s="78">
        <v>-0.37865508492820105</v>
      </c>
      <c r="AL111">
        <v>12.078769804110179</v>
      </c>
      <c r="AM111" s="107">
        <f>INDEX(Pipes_result_save_V1!$K$2:$K$206,MATCH(Z111,Pipes_result_save_V1!$I$2:$I$206,0)) *POWER(10,-3)</f>
        <v>1.6673776626586912E-2</v>
      </c>
      <c r="AN111" s="78">
        <v>4.5240166897609355E-3</v>
      </c>
      <c r="AO111" s="106">
        <v>8.2985054635136002E-3</v>
      </c>
      <c r="AU111">
        <v>0</v>
      </c>
      <c r="AV111">
        <v>19</v>
      </c>
      <c r="AW111" t="s">
        <v>540</v>
      </c>
      <c r="AX111" t="s">
        <v>308</v>
      </c>
      <c r="AY111" s="106" t="str">
        <f>INDEX(Pipes_result_save_V1!$G$2:$G$206,MATCH(AX111,Pipes_result_save_V1!$I$2:$I$206,0))</f>
        <v>N118</v>
      </c>
      <c r="AZ111" s="106" t="str">
        <f>INDEX(Pipes_result_save_V1!$H$2:$H$206,MATCH(AX111,Pipes_result_save_V1!$I$2:$I$206,0))</f>
        <v>N117</v>
      </c>
      <c r="BA111" s="106">
        <f t="shared" si="21"/>
        <v>3.8250255700015404E-2</v>
      </c>
      <c r="BB111">
        <v>250</v>
      </c>
      <c r="BC111">
        <v>150</v>
      </c>
      <c r="BD111">
        <v>117</v>
      </c>
      <c r="BE111">
        <v>99.822778557760188</v>
      </c>
      <c r="BF111">
        <v>-3.2837000000000005E-2</v>
      </c>
      <c r="BG111">
        <v>-0.1784575006086303</v>
      </c>
      <c r="BH111">
        <v>10.064966078727755</v>
      </c>
      <c r="BI111" s="107">
        <f>INDEX(Pipes_result_save_V1!$K$2:$K$206,MATCH(AX111,Pipes_result_save_V1!$I$2:$I$206,0)) *POWER(10,-3)</f>
        <v>3.5129935741424561E-3</v>
      </c>
      <c r="BJ111" s="78">
        <v>6.3566054759352413E-3</v>
      </c>
      <c r="BK111" s="106">
        <v>-1.2084227865242802E-3</v>
      </c>
      <c r="BR111">
        <v>0</v>
      </c>
      <c r="BS111">
        <v>19</v>
      </c>
      <c r="BT111" t="s">
        <v>539</v>
      </c>
      <c r="BU111" t="s">
        <v>116</v>
      </c>
      <c r="BV111" s="106" t="str">
        <f>INDEX(Pipes_result_save_V1!$G$2:$G$206,MATCH(BU111,Pipes_result_save_V1!$I$2:$I$206,0))</f>
        <v>N69</v>
      </c>
      <c r="BW111" s="106" t="str">
        <f>INDEX(Pipes_result_save_V1!$H$2:$H$206,MATCH(BU111,Pipes_result_save_V1!$I$2:$I$206,0))</f>
        <v>N68</v>
      </c>
      <c r="BX111" s="106">
        <f t="shared" si="22"/>
        <v>2.3579796114934291E-2</v>
      </c>
      <c r="BY111">
        <v>250</v>
      </c>
      <c r="BZ111">
        <v>150</v>
      </c>
      <c r="CA111">
        <v>202</v>
      </c>
      <c r="CB111">
        <v>172.3436005869022</v>
      </c>
      <c r="CC111">
        <v>3.2835999999999997E-2</v>
      </c>
      <c r="CD111">
        <v>0.308088735266423</v>
      </c>
      <c r="CE111">
        <v>17.376670048526481</v>
      </c>
      <c r="CF111" s="107">
        <f>INDEX(Pipes_result_save_V1!$K$2:$K$206,MATCH(BU111,Pipes_result_save_V1!$I$2:$I$206,0)) *POWER(10,-3)</f>
        <v>-1.5763935089111329E-2</v>
      </c>
      <c r="CG111" s="78">
        <v>6.4985723864827184E-3</v>
      </c>
      <c r="CH111" s="106">
        <v>-5.7611213652218269E-3</v>
      </c>
      <c r="CN111">
        <v>0</v>
      </c>
      <c r="CO111">
        <v>19</v>
      </c>
      <c r="CP111" t="s">
        <v>539</v>
      </c>
      <c r="CQ111" t="s">
        <v>164</v>
      </c>
      <c r="CR111" s="106" t="str">
        <f>INDEX(Pipes_result_save_V1!$G$2:$G$206,MATCH(CQ111,Pipes_result_save_V1!$I$2:$I$206,0))</f>
        <v>N48</v>
      </c>
      <c r="CS111" s="106" t="str">
        <f>INDEX(Pipes_result_save_V1!$H$2:$H$206,MATCH(CQ111,Pipes_result_save_V1!$I$2:$I$206,0))</f>
        <v>N47</v>
      </c>
      <c r="CT111" s="106">
        <f t="shared" si="23"/>
        <v>0.15497564373451178</v>
      </c>
      <c r="CU111">
        <v>466</v>
      </c>
      <c r="CV111">
        <v>150</v>
      </c>
      <c r="CW111">
        <v>407</v>
      </c>
      <c r="CX111">
        <v>16.722306673152566</v>
      </c>
      <c r="CY111">
        <v>0.16656000000000001</v>
      </c>
      <c r="CZ111">
        <v>0.60484645932499004</v>
      </c>
      <c r="DA111">
        <v>6.7253580851938128</v>
      </c>
      <c r="DB111" s="107">
        <f>INDEX(Pipes_result_save_V1!$K$2:$K$206,MATCH(CQ111,Pipes_result_save_V1!$I$2:$I$206,0)) *POWER(10,-3)</f>
        <v>-4.60460205078125E-2</v>
      </c>
      <c r="DC111" s="78">
        <v>6.1708428189658528E-3</v>
      </c>
      <c r="DD111" s="106">
        <v>-3.6281127607338044E-2</v>
      </c>
      <c r="DL111">
        <v>0</v>
      </c>
      <c r="DM111">
        <v>19</v>
      </c>
      <c r="DN111" t="s">
        <v>539</v>
      </c>
      <c r="DO111" t="s">
        <v>909</v>
      </c>
      <c r="DP111" s="106" t="str">
        <f>INDEX(Pipes_result_save_V1!$G$2:$G$206,MATCH(DO111,Pipes_result_save_V1!$I$2:$I$206,0))</f>
        <v>N29</v>
      </c>
      <c r="DQ111" s="106" t="str">
        <f>INDEX(Pipes_result_save_V1!$H$2:$H$206,MATCH(DO111,Pipes_result_save_V1!$I$2:$I$206,0))</f>
        <v>N196</v>
      </c>
      <c r="DR111" s="106">
        <f t="shared" si="24"/>
        <v>0.16714548384202288</v>
      </c>
      <c r="DS111">
        <v>466</v>
      </c>
      <c r="DT111">
        <v>150</v>
      </c>
      <c r="DU111">
        <v>69</v>
      </c>
      <c r="DV111">
        <v>2.8349856522052264</v>
      </c>
      <c r="DW111">
        <v>0.16656000000000001</v>
      </c>
      <c r="DX111">
        <v>0.10254153733028086</v>
      </c>
      <c r="DY111">
        <v>1.140171272428435</v>
      </c>
      <c r="DZ111" s="107">
        <f>INDEX(Pipes_result_save_V1!$K$2:$K$206,MATCH(DO111,Pipes_result_save_V1!$I$2:$I$206,0)) *POWER(10,-3)</f>
        <v>-0.19768353271484382</v>
      </c>
      <c r="EA111" s="78">
        <v>5.8017784347783241E-3</v>
      </c>
      <c r="EB111" s="106">
        <v>-0.18844450834090473</v>
      </c>
      <c r="EI111">
        <v>0</v>
      </c>
      <c r="EJ111">
        <v>19</v>
      </c>
      <c r="EK111" t="s">
        <v>540</v>
      </c>
      <c r="EL111" t="s">
        <v>404</v>
      </c>
      <c r="EM111" s="106" t="str">
        <f>INDEX(Pipes_result_save_V1!$G$2:$G$206,MATCH(EL111,Pipes_result_save_V1!$I$2:$I$206,0))</f>
        <v>N31</v>
      </c>
      <c r="EN111" s="106" t="str">
        <f>INDEX(Pipes_result_save_V1!$H$2:$H$206,MATCH(EL111,Pipes_result_save_V1!$I$2:$I$206,0))</f>
        <v>N17</v>
      </c>
      <c r="EO111" s="106">
        <f t="shared" si="25"/>
        <v>0.12915177598290734</v>
      </c>
      <c r="EP111">
        <v>466</v>
      </c>
      <c r="EQ111">
        <v>150</v>
      </c>
      <c r="ER111">
        <v>211</v>
      </c>
      <c r="ES111">
        <v>8.6693039509464178</v>
      </c>
      <c r="ET111">
        <v>-0.16656000000000001</v>
      </c>
      <c r="EU111">
        <v>-0.31356904893752557</v>
      </c>
      <c r="EV111">
        <v>3.4866107026434761</v>
      </c>
      <c r="EW111" s="107">
        <f>INDEX(Pipes_result_save_V1!$K$2:$K$206,MATCH(EL111,Pipes_result_save_V1!$I$2:$I$206,0)) *POWER(10,-3)</f>
        <v>7.1654319763183594E-2</v>
      </c>
      <c r="EX111" s="78">
        <v>6.4707009260980023E-3</v>
      </c>
      <c r="EY111" s="78">
        <v>6.3262624144627813E-2</v>
      </c>
    </row>
    <row r="112" spans="2:155" ht="30" x14ac:dyDescent="0.25">
      <c r="B112" s="106">
        <v>20</v>
      </c>
      <c r="C112" s="106" t="s">
        <v>539</v>
      </c>
      <c r="D112" s="106" t="s">
        <v>210</v>
      </c>
      <c r="E112" s="106" t="str">
        <f>INDEX(Pipes_result_save_V1!$G$2:$G$206,MATCH(D112,Pipes_result_save_V1!$I$2:$I$206,0))</f>
        <v>N102</v>
      </c>
      <c r="F112" s="106" t="str">
        <f>INDEX(Pipes_result_save_V1!$H$2:$H$206,MATCH(D112,Pipes_result_save_V1!$I$2:$I$206,0))</f>
        <v>N101</v>
      </c>
      <c r="G112" s="106">
        <f t="shared" si="18"/>
        <v>5.5969350761835013E-3</v>
      </c>
      <c r="H112" s="107">
        <v>350</v>
      </c>
      <c r="I112" s="107">
        <v>150</v>
      </c>
      <c r="J112" s="107">
        <v>73</v>
      </c>
      <c r="K112" s="107">
        <v>12.094195673475639</v>
      </c>
      <c r="L112" s="107">
        <v>7.2999999999999995E-2</v>
      </c>
      <c r="M112" s="107">
        <v>9.4940371718878883E-2</v>
      </c>
      <c r="N112" s="107">
        <v>2.4086242249775851</v>
      </c>
      <c r="O112" s="107">
        <f t="shared" si="19"/>
        <v>-5.5969350761835013E-3</v>
      </c>
      <c r="P112" s="78">
        <v>5.0199050443581169E-3</v>
      </c>
      <c r="Q112" s="106">
        <v>2.6965951542971883E-3</v>
      </c>
      <c r="R112" s="78"/>
      <c r="S112" s="78"/>
      <c r="T112" s="78"/>
      <c r="U112" s="78"/>
      <c r="V112" s="78"/>
      <c r="W112" s="78">
        <v>0</v>
      </c>
      <c r="X112" s="78">
        <v>20</v>
      </c>
      <c r="Y112" s="78" t="s">
        <v>540</v>
      </c>
      <c r="Z112" s="78" t="s">
        <v>435</v>
      </c>
      <c r="AA112" s="106" t="str">
        <f>INDEX(Pipes_result_save_V1!$G$2:$G$206,MATCH(Z112,Pipes_result_save_V1!$I$2:$I$206,0))</f>
        <v>N141</v>
      </c>
      <c r="AB112" s="106" t="str">
        <f>INDEX(Pipes_result_save_V1!$H$2:$H$206,MATCH(Z112,Pipes_result_save_V1!$I$2:$I$206,0))</f>
        <v>N142</v>
      </c>
      <c r="AC112" s="106">
        <f t="shared" si="20"/>
        <v>3.5211178482065772E-2</v>
      </c>
      <c r="AD112" s="78">
        <v>300</v>
      </c>
      <c r="AE112" s="78">
        <v>150</v>
      </c>
      <c r="AF112" s="78">
        <v>100</v>
      </c>
      <c r="AG112" s="78">
        <v>35.103623100557243</v>
      </c>
      <c r="AH112" s="78">
        <v>-5.8057999999999998E-2</v>
      </c>
      <c r="AI112" s="78">
        <v>0</v>
      </c>
      <c r="AJ112" s="78">
        <v>0</v>
      </c>
      <c r="AK112" s="78">
        <v>-0.18031194520390531</v>
      </c>
      <c r="AL112">
        <v>5.7517951448143707</v>
      </c>
      <c r="AM112" s="107">
        <f>INDEX(Pipes_result_save_V1!$K$2:$K$206,MATCH(Z112,Pipes_result_save_V1!$I$2:$I$206,0)) *POWER(10,-3)</f>
        <v>1.490505695343018E-2</v>
      </c>
      <c r="AN112" s="78">
        <v>3.1666859101101511E-3</v>
      </c>
      <c r="AO112" s="106">
        <v>9.7411631372155451E-3</v>
      </c>
      <c r="AU112">
        <v>0</v>
      </c>
      <c r="AV112">
        <v>20</v>
      </c>
      <c r="AW112" t="s">
        <v>540</v>
      </c>
      <c r="AX112" t="s">
        <v>411</v>
      </c>
      <c r="AY112" s="106" t="str">
        <f>INDEX(Pipes_result_save_V1!$G$2:$G$206,MATCH(AX112,Pipes_result_save_V1!$I$2:$I$206,0))</f>
        <v>N117</v>
      </c>
      <c r="AZ112" s="106" t="str">
        <f>INDEX(Pipes_result_save_V1!$H$2:$H$206,MATCH(AX112,Pipes_result_save_V1!$I$2:$I$206,0))</f>
        <v>N195</v>
      </c>
      <c r="BA112" s="106">
        <f t="shared" si="21"/>
        <v>3.8250255700015404E-2</v>
      </c>
      <c r="BB112">
        <v>250</v>
      </c>
      <c r="BC112">
        <v>150</v>
      </c>
      <c r="BD112">
        <v>117</v>
      </c>
      <c r="BE112">
        <v>99.822778557760188</v>
      </c>
      <c r="BF112">
        <v>-3.2837000000000005E-2</v>
      </c>
      <c r="BG112">
        <v>-0.1784575006086303</v>
      </c>
      <c r="BH112">
        <v>10.064966078727755</v>
      </c>
      <c r="BI112" s="107">
        <f>INDEX(Pipes_result_save_V1!$K$2:$K$206,MATCH(AX112,Pipes_result_save_V1!$I$2:$I$206,0)) *POWER(10,-3)</f>
        <v>1.881206631660461E-3</v>
      </c>
      <c r="BJ112" s="78">
        <v>6.4525918843725888E-3</v>
      </c>
      <c r="BK112" s="106">
        <v>1.2325585092079136E-3</v>
      </c>
      <c r="BR112">
        <v>0</v>
      </c>
      <c r="BS112">
        <v>20</v>
      </c>
      <c r="BT112" t="s">
        <v>539</v>
      </c>
      <c r="BU112" t="s">
        <v>115</v>
      </c>
      <c r="BV112" s="106" t="str">
        <f>INDEX(Pipes_result_save_V1!$G$2:$G$206,MATCH(BU112,Pipes_result_save_V1!$I$2:$I$206,0))</f>
        <v>N70</v>
      </c>
      <c r="BW112" s="106" t="str">
        <f>INDEX(Pipes_result_save_V1!$H$2:$H$206,MATCH(BU112,Pipes_result_save_V1!$I$2:$I$206,0))</f>
        <v>N69</v>
      </c>
      <c r="BX112" s="106">
        <f t="shared" si="22"/>
        <v>0.19013979611493428</v>
      </c>
      <c r="BY112">
        <v>565</v>
      </c>
      <c r="BZ112">
        <v>150</v>
      </c>
      <c r="CA112">
        <v>166</v>
      </c>
      <c r="CB112">
        <v>2.6686380466646789</v>
      </c>
      <c r="CC112">
        <v>0.19939599999999999</v>
      </c>
      <c r="CD112">
        <v>0.13469904721539741</v>
      </c>
      <c r="CE112">
        <v>1.2510914734644432</v>
      </c>
      <c r="CF112" s="107">
        <f>INDEX(Pipes_result_save_V1!$K$2:$K$206,MATCH(BU112,Pipes_result_save_V1!$I$2:$I$206,0)) *POWER(10,-3)</f>
        <v>-4.6855716705322271E-2</v>
      </c>
      <c r="CG112" s="78">
        <v>6.5772864277440666E-3</v>
      </c>
      <c r="CH112" s="106">
        <v>-3.9543671585467642E-2</v>
      </c>
      <c r="CN112">
        <v>0</v>
      </c>
      <c r="CO112">
        <v>20</v>
      </c>
      <c r="CP112" t="s">
        <v>539</v>
      </c>
      <c r="CQ112" t="s">
        <v>163</v>
      </c>
      <c r="CR112" s="106" t="str">
        <f>INDEX(Pipes_result_save_V1!$G$2:$G$206,MATCH(CQ112,Pipes_result_save_V1!$I$2:$I$206,0))</f>
        <v>N49</v>
      </c>
      <c r="CS112" s="106" t="str">
        <f>INDEX(Pipes_result_save_V1!$H$2:$H$206,MATCH(CQ112,Pipes_result_save_V1!$I$2:$I$206,0))</f>
        <v>N48</v>
      </c>
      <c r="CT112" s="106">
        <f t="shared" si="23"/>
        <v>0.15497564373451178</v>
      </c>
      <c r="CU112">
        <v>466</v>
      </c>
      <c r="CV112">
        <v>150</v>
      </c>
      <c r="CW112">
        <v>395</v>
      </c>
      <c r="CX112">
        <v>16.229265690160354</v>
      </c>
      <c r="CY112">
        <v>0.16656000000000001</v>
      </c>
      <c r="CZ112">
        <v>0.58701314848494113</v>
      </c>
      <c r="DA112">
        <v>6.5270674291193025</v>
      </c>
      <c r="DB112" s="107">
        <f>INDEX(Pipes_result_save_V1!$K$2:$K$206,MATCH(CQ112,Pipes_result_save_V1!$I$2:$I$206,0)) *POWER(10,-3)</f>
        <v>-4.1470172882080082E-2</v>
      </c>
      <c r="DC112" s="78">
        <v>5.4823274001327433E-3</v>
      </c>
      <c r="DD112" s="106">
        <v>-3.197047451025474E-2</v>
      </c>
      <c r="DL112">
        <v>0</v>
      </c>
      <c r="DM112">
        <v>20</v>
      </c>
      <c r="DN112" t="s">
        <v>539</v>
      </c>
      <c r="DO112" t="s">
        <v>139</v>
      </c>
      <c r="DP112" s="106" t="str">
        <f>INDEX(Pipes_result_save_V1!$G$2:$G$206,MATCH(DO112,Pipes_result_save_V1!$I$2:$I$206,0))</f>
        <v>N31</v>
      </c>
      <c r="DQ112" s="106" t="str">
        <f>INDEX(Pipes_result_save_V1!$H$2:$H$206,MATCH(DO112,Pipes_result_save_V1!$I$2:$I$206,0))</f>
        <v>N30</v>
      </c>
      <c r="DR112" s="106">
        <f t="shared" si="24"/>
        <v>0.16714548384202288</v>
      </c>
      <c r="DS112">
        <v>466</v>
      </c>
      <c r="DT112">
        <v>150</v>
      </c>
      <c r="DU112">
        <v>251</v>
      </c>
      <c r="DV112">
        <v>10.312773894253795</v>
      </c>
      <c r="DW112">
        <v>0.16656000000000001</v>
      </c>
      <c r="DX112">
        <v>0.37301341840435503</v>
      </c>
      <c r="DY112">
        <v>4.1475795562251774</v>
      </c>
      <c r="DZ112" s="107">
        <f>INDEX(Pipes_result_save_V1!$K$2:$K$206,MATCH(DO112,Pipes_result_save_V1!$I$2:$I$206,0)) *POWER(10,-3)</f>
        <v>-0.19499050903320311</v>
      </c>
      <c r="EA112" s="78">
        <v>5.7945520514642189E-3</v>
      </c>
      <c r="EB112" s="106">
        <v>-0.18557405946060448</v>
      </c>
      <c r="EI112">
        <v>7</v>
      </c>
      <c r="EJ112">
        <v>20</v>
      </c>
      <c r="EK112" t="s">
        <v>540</v>
      </c>
      <c r="EL112" t="s">
        <v>151</v>
      </c>
      <c r="EM112" s="106" t="str">
        <f>INDEX(Pipes_result_save_V1!$G$2:$G$206,MATCH(EL112,Pipes_result_save_V1!$I$2:$I$206,0))</f>
        <v>N19</v>
      </c>
      <c r="EN112" s="106" t="str">
        <f>INDEX(Pipes_result_save_V1!$H$2:$H$206,MATCH(EL112,Pipes_result_save_V1!$I$2:$I$206,0))</f>
        <v>N18</v>
      </c>
      <c r="EO112" s="106">
        <f t="shared" si="25"/>
        <v>3.8250255700015404E-2</v>
      </c>
      <c r="EP112">
        <v>466</v>
      </c>
      <c r="EQ112">
        <v>150</v>
      </c>
      <c r="ER112">
        <v>56</v>
      </c>
      <c r="ES112">
        <v>2.3008579206303286</v>
      </c>
      <c r="ET112">
        <v>-9.4864356265488253E-2</v>
      </c>
      <c r="EU112">
        <v>-2.9341659712503444E-2</v>
      </c>
      <c r="EV112">
        <v>0.57282583181693481</v>
      </c>
      <c r="EW112" s="107">
        <f>INDEX(Pipes_result_save_V1!$K$2:$K$206,MATCH(EL112,Pipes_result_save_V1!$I$2:$I$206,0)) *POWER(10,-3)</f>
        <v>-0.20831297302246091</v>
      </c>
      <c r="EX112" s="78">
        <v>6.5037300181306525E-3</v>
      </c>
      <c r="EY112" s="78">
        <v>-0.19832389366436998</v>
      </c>
    </row>
    <row r="113" spans="2:155" ht="30" x14ac:dyDescent="0.25">
      <c r="B113" s="106">
        <v>21</v>
      </c>
      <c r="C113" s="106" t="s">
        <v>539</v>
      </c>
      <c r="D113" s="106" t="s">
        <v>208</v>
      </c>
      <c r="E113" s="106" t="str">
        <f>INDEX(Pipes_result_save_V1!$G$2:$G$206,MATCH(D113,Pipes_result_save_V1!$I$2:$I$206,0))</f>
        <v>N103</v>
      </c>
      <c r="F113" s="106" t="str">
        <f>INDEX(Pipes_result_save_V1!$H$2:$H$206,MATCH(D113,Pipes_result_save_V1!$I$2:$I$206,0))</f>
        <v>N102</v>
      </c>
      <c r="G113" s="106">
        <f t="shared" si="18"/>
        <v>2.2596935076183496E-2</v>
      </c>
      <c r="H113" s="107">
        <v>300</v>
      </c>
      <c r="I113" s="107">
        <v>150</v>
      </c>
      <c r="J113" s="107">
        <v>56</v>
      </c>
      <c r="K113" s="107">
        <v>19.658028936312054</v>
      </c>
      <c r="L113" s="107">
        <v>5.6000000000000001E-2</v>
      </c>
      <c r="M113" s="107">
        <v>9.4446136293034055E-2</v>
      </c>
      <c r="N113" s="107">
        <v>3.1234686502624811</v>
      </c>
      <c r="O113" s="107">
        <f t="shared" si="19"/>
        <v>-2.2596935076183496E-2</v>
      </c>
      <c r="P113" s="78">
        <v>5.6469291829771987E-3</v>
      </c>
      <c r="Q113" s="106">
        <v>1.82158923402197E-3</v>
      </c>
      <c r="R113" s="78"/>
      <c r="S113" s="78"/>
      <c r="T113" s="78"/>
      <c r="U113" s="78"/>
      <c r="V113" s="78"/>
      <c r="W113" s="78">
        <v>0</v>
      </c>
      <c r="X113" s="78">
        <v>21</v>
      </c>
      <c r="Y113" s="78" t="s">
        <v>540</v>
      </c>
      <c r="Z113" s="78" t="s">
        <v>207</v>
      </c>
      <c r="AA113" s="106" t="str">
        <f>INDEX(Pipes_result_save_V1!$G$2:$G$206,MATCH(Z113,Pipes_result_save_V1!$I$2:$I$206,0))</f>
        <v>N142</v>
      </c>
      <c r="AB113" s="106" t="str">
        <f>INDEX(Pipes_result_save_V1!$H$2:$H$206,MATCH(Z113,Pipes_result_save_V1!$I$2:$I$206,0))</f>
        <v>N143</v>
      </c>
      <c r="AC113" s="106">
        <f t="shared" si="20"/>
        <v>3.5211178482065772E-2</v>
      </c>
      <c r="AD113" s="78">
        <v>300</v>
      </c>
      <c r="AE113" s="78">
        <v>150</v>
      </c>
      <c r="AF113" s="78">
        <v>427</v>
      </c>
      <c r="AG113" s="78">
        <v>149.89247063937941</v>
      </c>
      <c r="AH113" s="78">
        <v>-5.8057999999999998E-2</v>
      </c>
      <c r="AI113" s="78">
        <v>0</v>
      </c>
      <c r="AJ113" s="78">
        <v>0</v>
      </c>
      <c r="AK113" s="78">
        <v>-0.76993200602067557</v>
      </c>
      <c r="AL113">
        <v>24.560165268357366</v>
      </c>
      <c r="AM113" s="107">
        <f>INDEX(Pipes_result_save_V1!$K$2:$K$206,MATCH(Z113,Pipes_result_save_V1!$I$2:$I$206,0)) *POWER(10,-3)</f>
        <v>1.1898232460021972E-2</v>
      </c>
      <c r="AN113" s="78">
        <v>2.2711077312536948E-3</v>
      </c>
      <c r="AO113" s="106">
        <v>5.626880934946895E-3</v>
      </c>
      <c r="AU113">
        <v>0</v>
      </c>
      <c r="AV113">
        <v>21</v>
      </c>
      <c r="AW113" t="s">
        <v>540</v>
      </c>
      <c r="AX113" t="s">
        <v>309</v>
      </c>
      <c r="AY113" s="106" t="str">
        <f>INDEX(Pipes_result_save_V1!$G$2:$G$206,MATCH(AX113,Pipes_result_save_V1!$I$2:$I$206,0))</f>
        <v>N119</v>
      </c>
      <c r="AZ113" s="106" t="str">
        <f>INDEX(Pipes_result_save_V1!$H$2:$H$206,MATCH(AX113,Pipes_result_save_V1!$I$2:$I$206,0))</f>
        <v>N118</v>
      </c>
      <c r="BA113" s="106">
        <f t="shared" si="21"/>
        <v>3.8250255700015404E-2</v>
      </c>
      <c r="BB113">
        <v>250</v>
      </c>
      <c r="BC113">
        <v>150</v>
      </c>
      <c r="BD113">
        <v>118</v>
      </c>
      <c r="BE113">
        <v>100.6759646992795</v>
      </c>
      <c r="BF113">
        <v>-3.2837000000000005E-2</v>
      </c>
      <c r="BG113">
        <v>-0.17998277839161003</v>
      </c>
      <c r="BH113">
        <v>10.150991429827991</v>
      </c>
      <c r="BI113" s="107">
        <f>INDEX(Pipes_result_save_V1!$K$2:$K$206,MATCH(AX113,Pipes_result_save_V1!$I$2:$I$206,0)) *POWER(10,-3)</f>
        <v>5.4757027626037595E-3</v>
      </c>
      <c r="BJ113" s="78">
        <v>5.4062193935375024E-3</v>
      </c>
      <c r="BK113" s="106">
        <v>-1.0756482548242518E-3</v>
      </c>
      <c r="BR113">
        <v>0</v>
      </c>
      <c r="BS113">
        <v>21</v>
      </c>
      <c r="BT113" t="s">
        <v>539</v>
      </c>
      <c r="BU113" t="s">
        <v>424</v>
      </c>
      <c r="BV113" s="106" t="str">
        <f>INDEX(Pipes_result_save_V1!$G$2:$G$206,MATCH(BU113,Pipes_result_save_V1!$I$2:$I$206,0))</f>
        <v>N71</v>
      </c>
      <c r="BW113" s="106" t="str">
        <f>INDEX(Pipes_result_save_V1!$H$2:$H$206,MATCH(BU113,Pipes_result_save_V1!$I$2:$I$206,0))</f>
        <v>N70</v>
      </c>
      <c r="BX113" s="106">
        <f t="shared" si="22"/>
        <v>0.19013979611493428</v>
      </c>
      <c r="BY113">
        <v>565</v>
      </c>
      <c r="BZ113">
        <v>150</v>
      </c>
      <c r="CA113">
        <v>584</v>
      </c>
      <c r="CB113">
        <v>9.3884615617600762</v>
      </c>
      <c r="CC113">
        <v>0.19939599999999999</v>
      </c>
      <c r="CD113">
        <v>0.4738809853842898</v>
      </c>
      <c r="CE113">
        <v>4.4014302439953905</v>
      </c>
      <c r="CF113" s="107">
        <f>INDEX(Pipes_result_save_V1!$K$2:$K$206,MATCH(BU113,Pipes_result_save_V1!$I$2:$I$206,0)) *POWER(10,-3)</f>
        <v>-4.2576553344726563E-2</v>
      </c>
      <c r="CG113" s="78">
        <v>6.2289717613895172E-3</v>
      </c>
      <c r="CH113" s="106">
        <v>-3.2142218640514711E-2</v>
      </c>
      <c r="CN113">
        <v>0</v>
      </c>
      <c r="CO113">
        <v>21</v>
      </c>
      <c r="CP113" t="s">
        <v>539</v>
      </c>
      <c r="CQ113" t="s">
        <v>162</v>
      </c>
      <c r="CR113" s="106" t="str">
        <f>INDEX(Pipes_result_save_V1!$G$2:$G$206,MATCH(CQ113,Pipes_result_save_V1!$I$2:$I$206,0))</f>
        <v>N50</v>
      </c>
      <c r="CS113" s="106" t="str">
        <f>INDEX(Pipes_result_save_V1!$H$2:$H$206,MATCH(CQ113,Pipes_result_save_V1!$I$2:$I$206,0))</f>
        <v>N49</v>
      </c>
      <c r="CT113" s="106">
        <f t="shared" si="23"/>
        <v>0.15497564373451178</v>
      </c>
      <c r="CU113">
        <v>466</v>
      </c>
      <c r="CV113">
        <v>150</v>
      </c>
      <c r="CW113">
        <v>151</v>
      </c>
      <c r="CX113">
        <v>6.204099035985351</v>
      </c>
      <c r="CY113">
        <v>0.16656000000000001</v>
      </c>
      <c r="CZ113">
        <v>0.22440249473728133</v>
      </c>
      <c r="DA113">
        <v>2.4951574222709234</v>
      </c>
      <c r="DB113" s="107">
        <f>INDEX(Pipes_result_save_V1!$K$2:$K$206,MATCH(CQ113,Pipes_result_save_V1!$I$2:$I$206,0)) *POWER(10,-3)</f>
        <v>-3.8354942321777337E-2</v>
      </c>
      <c r="DC113" s="78">
        <v>6.1182236357745726E-3</v>
      </c>
      <c r="DD113" s="106">
        <v>-3.0900105121137698E-2</v>
      </c>
      <c r="DL113">
        <v>3</v>
      </c>
      <c r="DM113">
        <v>21</v>
      </c>
      <c r="DN113" t="s">
        <v>539</v>
      </c>
      <c r="DO113" t="s">
        <v>138</v>
      </c>
      <c r="DP113" s="106" t="str">
        <f>INDEX(Pipes_result_save_V1!$G$2:$G$206,MATCH(DO113,Pipes_result_save_V1!$I$2:$I$206,0))</f>
        <v>N32</v>
      </c>
      <c r="DQ113" s="106" t="str">
        <f>INDEX(Pipes_result_save_V1!$H$2:$H$206,MATCH(DO113,Pipes_result_save_V1!$I$2:$I$206,0))</f>
        <v>N31</v>
      </c>
      <c r="DR113" s="106">
        <f t="shared" si="24"/>
        <v>3.8250255700015404E-2</v>
      </c>
      <c r="DS113">
        <v>350</v>
      </c>
      <c r="DT113">
        <v>150</v>
      </c>
      <c r="DU113">
        <v>129</v>
      </c>
      <c r="DV113">
        <v>21.371934820251475</v>
      </c>
      <c r="DW113">
        <v>-9.4864356265488253E-2</v>
      </c>
      <c r="DX113">
        <v>-0.27254531158613615</v>
      </c>
      <c r="DY113">
        <v>5.3207963130526608</v>
      </c>
      <c r="DZ113" s="107">
        <f>INDEX(Pipes_result_save_V1!$K$2:$K$206,MATCH(DO113,Pipes_result_save_V1!$I$2:$I$206,0)) *POWER(10,-3)</f>
        <v>-0.11996421051025391</v>
      </c>
      <c r="EA113" s="78">
        <v>5.036829583133345E-3</v>
      </c>
      <c r="EB113" s="106">
        <v>-0.10934997859748401</v>
      </c>
      <c r="EI113">
        <v>8</v>
      </c>
      <c r="EJ113">
        <v>21</v>
      </c>
      <c r="EK113" t="s">
        <v>540</v>
      </c>
      <c r="EL113" t="s">
        <v>150</v>
      </c>
      <c r="EM113" s="106" t="str">
        <f>INDEX(Pipes_result_save_V1!$G$2:$G$206,MATCH(EL113,Pipes_result_save_V1!$I$2:$I$206,0))</f>
        <v>N20</v>
      </c>
      <c r="EN113" s="106" t="str">
        <f>INDEX(Pipes_result_save_V1!$H$2:$H$206,MATCH(EL113,Pipes_result_save_V1!$I$2:$I$206,0))</f>
        <v>N19</v>
      </c>
      <c r="EO113" s="106">
        <f t="shared" si="25"/>
        <v>3.8250255700015404E-2</v>
      </c>
      <c r="EP113">
        <v>466</v>
      </c>
      <c r="EQ113">
        <v>150</v>
      </c>
      <c r="ER113">
        <v>60</v>
      </c>
      <c r="ES113">
        <v>2.4652049149610664</v>
      </c>
      <c r="ET113">
        <v>-9.4864356265488253E-2</v>
      </c>
      <c r="EU113">
        <v>-3.1437492549110831E-2</v>
      </c>
      <c r="EV113">
        <v>0.61374196266100156</v>
      </c>
      <c r="EW113" s="107">
        <f>INDEX(Pipes_result_save_V1!$K$2:$K$206,MATCH(EL113,Pipes_result_save_V1!$I$2:$I$206,0)) *POWER(10,-3)</f>
        <v>-0.207651123046875</v>
      </c>
      <c r="EX113" s="78">
        <v>5.2568459135372853E-3</v>
      </c>
      <c r="EY113" s="78">
        <v>-0.19890919426423928</v>
      </c>
    </row>
    <row r="114" spans="2:155" ht="30" x14ac:dyDescent="0.25">
      <c r="B114" s="106">
        <v>22</v>
      </c>
      <c r="C114" s="106" t="s">
        <v>539</v>
      </c>
      <c r="D114" s="106" t="s">
        <v>229</v>
      </c>
      <c r="E114" s="106" t="str">
        <f>INDEX(Pipes_result_save_V1!$G$2:$G$206,MATCH(D114,Pipes_result_save_V1!$I$2:$I$206,0))</f>
        <v>N104</v>
      </c>
      <c r="F114" s="106" t="str">
        <f>INDEX(Pipes_result_save_V1!$H$2:$H$206,MATCH(D114,Pipes_result_save_V1!$I$2:$I$206,0))</f>
        <v>N103</v>
      </c>
      <c r="G114" s="106">
        <f t="shared" si="18"/>
        <v>5.6596935076183498E-2</v>
      </c>
      <c r="H114" s="107">
        <v>200</v>
      </c>
      <c r="I114" s="107">
        <v>150</v>
      </c>
      <c r="J114" s="107">
        <v>22</v>
      </c>
      <c r="K114" s="107">
        <v>55.656404494062755</v>
      </c>
      <c r="L114" s="107">
        <v>2.1999999999999999E-2</v>
      </c>
      <c r="M114" s="107">
        <v>4.7389480906776568E-2</v>
      </c>
      <c r="N114" s="107">
        <v>3.989332665425009</v>
      </c>
      <c r="O114" s="107">
        <f t="shared" si="19"/>
        <v>-5.6596935076183498E-2</v>
      </c>
      <c r="P114" s="78">
        <v>5.9833790741995064E-3</v>
      </c>
      <c r="Q114" s="106">
        <v>-9.5335053395536988E-4</v>
      </c>
      <c r="R114" s="78"/>
      <c r="S114" s="78"/>
      <c r="T114" s="78"/>
      <c r="U114" s="78"/>
      <c r="V114" s="78"/>
      <c r="W114" s="78">
        <v>0</v>
      </c>
      <c r="X114" s="78">
        <v>22</v>
      </c>
      <c r="Y114" s="78" t="s">
        <v>540</v>
      </c>
      <c r="Z114" s="78" t="s">
        <v>206</v>
      </c>
      <c r="AA114" s="106" t="str">
        <f>INDEX(Pipes_result_save_V1!$G$2:$G$206,MATCH(Z114,Pipes_result_save_V1!$I$2:$I$206,0))</f>
        <v>N143</v>
      </c>
      <c r="AB114" s="106" t="str">
        <f>INDEX(Pipes_result_save_V1!$H$2:$H$206,MATCH(Z114,Pipes_result_save_V1!$I$2:$I$206,0))</f>
        <v>N144</v>
      </c>
      <c r="AC114" s="106">
        <f t="shared" si="20"/>
        <v>3.5211178482065772E-2</v>
      </c>
      <c r="AD114" s="78">
        <v>300</v>
      </c>
      <c r="AE114" s="78">
        <v>150</v>
      </c>
      <c r="AF114" s="78">
        <v>87</v>
      </c>
      <c r="AG114" s="78">
        <v>30.540152097484796</v>
      </c>
      <c r="AH114" s="78">
        <v>-5.8057999999999998E-2</v>
      </c>
      <c r="AI114" s="78">
        <v>0</v>
      </c>
      <c r="AJ114" s="78">
        <v>0</v>
      </c>
      <c r="AK114" s="78">
        <v>-0.15687139232739758</v>
      </c>
      <c r="AL114">
        <v>5.004061775988502</v>
      </c>
      <c r="AM114" s="107">
        <f>INDEX(Pipes_result_save_V1!$K$2:$K$206,MATCH(Z114,Pipes_result_save_V1!$I$2:$I$206,0)) *POWER(10,-3)</f>
        <v>8.9655799865722662E-3</v>
      </c>
      <c r="AN114" s="78">
        <v>5.0495861250672309E-4</v>
      </c>
      <c r="AO114" s="106">
        <v>3.1103374779668409E-3</v>
      </c>
      <c r="AU114">
        <v>0</v>
      </c>
      <c r="AV114">
        <v>22</v>
      </c>
      <c r="AW114" t="s">
        <v>540</v>
      </c>
      <c r="AX114" t="s">
        <v>310</v>
      </c>
      <c r="AY114" s="106" t="str">
        <f>INDEX(Pipes_result_save_V1!$G$2:$G$206,MATCH(AX114,Pipes_result_save_V1!$I$2:$I$206,0))</f>
        <v>N120</v>
      </c>
      <c r="AZ114" s="106" t="str">
        <f>INDEX(Pipes_result_save_V1!$H$2:$H$206,MATCH(AX114,Pipes_result_save_V1!$I$2:$I$206,0))</f>
        <v>N119</v>
      </c>
      <c r="BA114" s="106">
        <f t="shared" si="21"/>
        <v>3.8250255700015404E-2</v>
      </c>
      <c r="BB114">
        <v>250</v>
      </c>
      <c r="BC114">
        <v>150</v>
      </c>
      <c r="BD114">
        <v>119</v>
      </c>
      <c r="BE114">
        <v>101.52915084079882</v>
      </c>
      <c r="BF114">
        <v>-3.2837000000000005E-2</v>
      </c>
      <c r="BG114">
        <v>-0.18150805617458979</v>
      </c>
      <c r="BH114">
        <v>10.237016780928229</v>
      </c>
      <c r="BI114" s="107">
        <f>INDEX(Pipes_result_save_V1!$K$2:$K$206,MATCH(AX114,Pipes_result_save_V1!$I$2:$I$206,0)) *POWER(10,-3)</f>
        <v>7.6723389625549315E-3</v>
      </c>
      <c r="BJ114" s="78">
        <v>6.2339393377526019E-3</v>
      </c>
      <c r="BK114" s="106">
        <v>-9.769773295488257E-4</v>
      </c>
      <c r="BR114">
        <v>0</v>
      </c>
      <c r="BS114">
        <v>22</v>
      </c>
      <c r="BT114" t="s">
        <v>539</v>
      </c>
      <c r="BU114" t="s">
        <v>428</v>
      </c>
      <c r="BV114" s="106" t="str">
        <f>INDEX(Pipes_result_save_V1!$G$2:$G$206,MATCH(BU114,Pipes_result_save_V1!$I$2:$I$206,0))</f>
        <v>N192</v>
      </c>
      <c r="BW114" s="106" t="str">
        <f>INDEX(Pipes_result_save_V1!$H$2:$H$206,MATCH(BU114,Pipes_result_save_V1!$I$2:$I$206,0))</f>
        <v>N71</v>
      </c>
      <c r="BX114" s="106">
        <f t="shared" si="22"/>
        <v>0.19013979611493428</v>
      </c>
      <c r="BY114">
        <v>565</v>
      </c>
      <c r="BZ114">
        <v>150</v>
      </c>
      <c r="CA114">
        <v>211</v>
      </c>
      <c r="CB114">
        <v>3.3920640231701644</v>
      </c>
      <c r="CC114">
        <v>0.19939599999999999</v>
      </c>
      <c r="CD114">
        <v>0.17121384917137866</v>
      </c>
      <c r="CE114">
        <v>1.5902427765120331</v>
      </c>
      <c r="CF114" s="107">
        <f>INDEX(Pipes_result_save_V1!$K$2:$K$206,MATCH(BU114,Pipes_result_save_V1!$I$2:$I$206,0)) *POWER(10,-3)</f>
        <v>-3.804064178466797E-2</v>
      </c>
      <c r="CG114" s="78">
        <v>6.5144624464881533E-3</v>
      </c>
      <c r="CH114" s="106">
        <v>-2.760627528088995E-2</v>
      </c>
      <c r="CN114">
        <v>0</v>
      </c>
      <c r="CO114">
        <v>22</v>
      </c>
      <c r="CP114" t="s">
        <v>539</v>
      </c>
      <c r="CQ114" t="s">
        <v>161</v>
      </c>
      <c r="CR114" s="106" t="str">
        <f>INDEX(Pipes_result_save_V1!$G$2:$G$206,MATCH(CQ114,Pipes_result_save_V1!$I$2:$I$206,0))</f>
        <v>N51</v>
      </c>
      <c r="CS114" s="106" t="str">
        <f>INDEX(Pipes_result_save_V1!$H$2:$H$206,MATCH(CQ114,Pipes_result_save_V1!$I$2:$I$206,0))</f>
        <v>N50</v>
      </c>
      <c r="CT114" s="106">
        <f t="shared" si="23"/>
        <v>0.15497564373451178</v>
      </c>
      <c r="CU114">
        <v>466</v>
      </c>
      <c r="CV114">
        <v>150</v>
      </c>
      <c r="CW114">
        <v>186</v>
      </c>
      <c r="CX114">
        <v>7.642135236379306</v>
      </c>
      <c r="CY114">
        <v>0.16656000000000001</v>
      </c>
      <c r="CZ114">
        <v>0.27641631802075711</v>
      </c>
      <c r="DA114">
        <v>3.0735051691549122</v>
      </c>
      <c r="DB114" s="107">
        <f>INDEX(Pipes_result_save_V1!$K$2:$K$206,MATCH(CQ114,Pipes_result_save_V1!$I$2:$I$206,0)) *POWER(10,-3)</f>
        <v>-3.6432170867919923E-2</v>
      </c>
      <c r="DC114" s="78">
        <v>6.3711449404504558E-3</v>
      </c>
      <c r="DD114" s="106">
        <v>-2.6596907448717216E-2</v>
      </c>
      <c r="DL114">
        <v>4</v>
      </c>
      <c r="DM114">
        <v>22</v>
      </c>
      <c r="DN114" t="s">
        <v>539</v>
      </c>
      <c r="DO114" t="s">
        <v>137</v>
      </c>
      <c r="DP114" s="106" t="str">
        <f>INDEX(Pipes_result_save_V1!$G$2:$G$206,MATCH(DO114,Pipes_result_save_V1!$I$2:$I$206,0))</f>
        <v>N33</v>
      </c>
      <c r="DQ114" s="106" t="str">
        <f>INDEX(Pipes_result_save_V1!$H$2:$H$206,MATCH(DO114,Pipes_result_save_V1!$I$2:$I$206,0))</f>
        <v>N32</v>
      </c>
      <c r="DR114" s="106">
        <f t="shared" si="24"/>
        <v>3.8250255700015404E-2</v>
      </c>
      <c r="DS114">
        <v>350</v>
      </c>
      <c r="DT114">
        <v>150</v>
      </c>
      <c r="DU114">
        <v>157</v>
      </c>
      <c r="DV114">
        <v>26.01080439363939</v>
      </c>
      <c r="DW114">
        <v>-9.4864356265488253E-2</v>
      </c>
      <c r="DX114">
        <v>-0.33170243348080136</v>
      </c>
      <c r="DY114">
        <v>6.4756978383664165</v>
      </c>
      <c r="DZ114" s="107">
        <f>INDEX(Pipes_result_save_V1!$K$2:$K$206,MATCH(DO114,Pipes_result_save_V1!$I$2:$I$206,0)) *POWER(10,-3)</f>
        <v>-0.1183324203491211</v>
      </c>
      <c r="EA114" s="78">
        <v>5.6735385612267479E-3</v>
      </c>
      <c r="EB114" s="106">
        <v>-0.11031551009767343</v>
      </c>
      <c r="EI114">
        <v>9</v>
      </c>
      <c r="EJ114">
        <v>22</v>
      </c>
      <c r="EK114" t="s">
        <v>540</v>
      </c>
      <c r="EL114" t="s">
        <v>149</v>
      </c>
      <c r="EM114" s="106" t="str">
        <f>INDEX(Pipes_result_save_V1!$G$2:$G$206,MATCH(EL114,Pipes_result_save_V1!$I$2:$I$206,0))</f>
        <v>N21</v>
      </c>
      <c r="EN114" s="106" t="str">
        <f>INDEX(Pipes_result_save_V1!$H$2:$H$206,MATCH(EL114,Pipes_result_save_V1!$I$2:$I$206,0))</f>
        <v>N20</v>
      </c>
      <c r="EO114" s="106">
        <f t="shared" si="25"/>
        <v>3.8250255700015404E-2</v>
      </c>
      <c r="EP114">
        <v>466</v>
      </c>
      <c r="EQ114">
        <v>150</v>
      </c>
      <c r="ER114">
        <v>67</v>
      </c>
      <c r="ES114">
        <v>2.7528121550398579</v>
      </c>
      <c r="ET114">
        <v>-9.4864356265488253E-2</v>
      </c>
      <c r="EU114">
        <v>-3.5105200013173771E-2</v>
      </c>
      <c r="EV114">
        <v>0.68534519163811858</v>
      </c>
      <c r="EW114" s="107">
        <f>INDEX(Pipes_result_save_V1!$K$2:$K$206,MATCH(EL114,Pipes_result_save_V1!$I$2:$I$206,0)) *POWER(10,-3)</f>
        <v>-0.20692651367187501</v>
      </c>
      <c r="EX114" s="78">
        <v>5.3009735387532127E-3</v>
      </c>
      <c r="EY114" s="78">
        <v>-0.19638140137781473</v>
      </c>
    </row>
    <row r="115" spans="2:155" ht="30" x14ac:dyDescent="0.25">
      <c r="B115" s="106">
        <v>23</v>
      </c>
      <c r="C115" s="106" t="s">
        <v>539</v>
      </c>
      <c r="D115" s="106" t="s">
        <v>265</v>
      </c>
      <c r="E115" s="106" t="str">
        <f>INDEX(Pipes_result_save_V1!$G$2:$G$206,MATCH(D115,Pipes_result_save_V1!$I$2:$I$206,0))</f>
        <v>N105</v>
      </c>
      <c r="F115" s="106" t="str">
        <f>INDEX(Pipes_result_save_V1!$H$2:$H$206,MATCH(D115,Pipes_result_save_V1!$I$2:$I$206,0))</f>
        <v>N104</v>
      </c>
      <c r="G115" s="106">
        <f t="shared" si="18"/>
        <v>2.4596935076183497E-2</v>
      </c>
      <c r="H115" s="107">
        <v>300</v>
      </c>
      <c r="I115" s="107">
        <v>150</v>
      </c>
      <c r="J115" s="107">
        <v>54</v>
      </c>
      <c r="K115" s="107">
        <v>18.955956474300912</v>
      </c>
      <c r="L115" s="107">
        <v>5.3999999999999999E-2</v>
      </c>
      <c r="M115" s="107">
        <v>8.5141039063695509E-2</v>
      </c>
      <c r="N115" s="107">
        <v>2.9200223027030376</v>
      </c>
      <c r="O115" s="107">
        <f t="shared" si="19"/>
        <v>-2.4596935076183497E-2</v>
      </c>
      <c r="P115" s="78">
        <v>5.8343797197853882E-3</v>
      </c>
      <c r="Q115" s="106">
        <v>4.724687955950187E-3</v>
      </c>
      <c r="R115" s="78"/>
      <c r="S115" s="78"/>
      <c r="T115" s="78"/>
      <c r="U115" s="78"/>
      <c r="V115" s="78"/>
      <c r="W115" s="78">
        <v>0</v>
      </c>
      <c r="X115" s="78">
        <v>23</v>
      </c>
      <c r="Y115" s="78" t="s">
        <v>540</v>
      </c>
      <c r="Z115" s="78" t="s">
        <v>205</v>
      </c>
      <c r="AA115" s="106" t="str">
        <f>INDEX(Pipes_result_save_V1!$G$2:$G$206,MATCH(Z115,Pipes_result_save_V1!$I$2:$I$206,0))</f>
        <v>N144</v>
      </c>
      <c r="AB115" s="106" t="str">
        <f>INDEX(Pipes_result_save_V1!$H$2:$H$206,MATCH(Z115,Pipes_result_save_V1!$I$2:$I$206,0))</f>
        <v>N145</v>
      </c>
      <c r="AC115" s="106">
        <f t="shared" si="20"/>
        <v>3.5211178482065772E-2</v>
      </c>
      <c r="AD115" s="78">
        <v>300</v>
      </c>
      <c r="AE115" s="78">
        <v>150</v>
      </c>
      <c r="AF115" s="78">
        <v>115</v>
      </c>
      <c r="AG115" s="78">
        <v>40.369166565640825</v>
      </c>
      <c r="AH115" s="78">
        <v>-5.8057999999999998E-2</v>
      </c>
      <c r="AI115" s="78">
        <v>0</v>
      </c>
      <c r="AJ115" s="78">
        <v>0</v>
      </c>
      <c r="AK115" s="78">
        <v>-0.20735873698449106</v>
      </c>
      <c r="AL115">
        <v>6.6145644165365267</v>
      </c>
      <c r="AM115" s="107">
        <f>INDEX(Pipes_result_save_V1!$K$2:$K$206,MATCH(Z115,Pipes_result_save_V1!$I$2:$I$206,0)) *POWER(10,-3)</f>
        <v>7.81305980682373E-3</v>
      </c>
      <c r="AN115" s="78">
        <v>1.096624649170189E-4</v>
      </c>
      <c r="AO115" s="106">
        <v>5.5188911862243282E-3</v>
      </c>
      <c r="AU115">
        <v>0</v>
      </c>
      <c r="AV115">
        <v>23</v>
      </c>
      <c r="AW115" t="s">
        <v>540</v>
      </c>
      <c r="AX115" t="s">
        <v>312</v>
      </c>
      <c r="AY115" s="106" t="str">
        <f>INDEX(Pipes_result_save_V1!$G$2:$G$206,MATCH(AX115,Pipes_result_save_V1!$I$2:$I$206,0))</f>
        <v>N121</v>
      </c>
      <c r="AZ115" s="106" t="str">
        <f>INDEX(Pipes_result_save_V1!$H$2:$H$206,MATCH(AX115,Pipes_result_save_V1!$I$2:$I$206,0))</f>
        <v>N120</v>
      </c>
      <c r="BA115" s="106">
        <f t="shared" si="21"/>
        <v>3.8249255700015396E-2</v>
      </c>
      <c r="BB115">
        <v>250</v>
      </c>
      <c r="BC115">
        <v>150</v>
      </c>
      <c r="BD115">
        <v>120</v>
      </c>
      <c r="BE115">
        <v>102.38233698231814</v>
      </c>
      <c r="BF115">
        <v>-3.2835999999999997E-2</v>
      </c>
      <c r="BG115">
        <v>-0.1830230110493602</v>
      </c>
      <c r="BH115">
        <v>10.322774286253356</v>
      </c>
      <c r="BI115" s="107">
        <f>INDEX(Pipes_result_save_V1!$K$2:$K$206,MATCH(AX115,Pipes_result_save_V1!$I$2:$I$206,0)) *POWER(10,-3)</f>
        <v>9.4182367324829111E-3</v>
      </c>
      <c r="BJ115" s="78">
        <v>6.0309927401435781E-3</v>
      </c>
      <c r="BK115" s="106">
        <v>2.4862864506943979E-3</v>
      </c>
      <c r="BR115">
        <v>3</v>
      </c>
      <c r="BS115">
        <v>23</v>
      </c>
      <c r="BT115" t="s">
        <v>540</v>
      </c>
      <c r="BU115" t="s">
        <v>181</v>
      </c>
      <c r="BV115" s="106" t="str">
        <f>INDEX(Pipes_result_save_V1!$G$2:$G$206,MATCH(BU115,Pipes_result_save_V1!$I$2:$I$206,0))</f>
        <v>N72</v>
      </c>
      <c r="BW115" s="106" t="str">
        <f>INDEX(Pipes_result_save_V1!$H$2:$H$206,MATCH(BU115,Pipes_result_save_V1!$I$2:$I$206,0))</f>
        <v>N73</v>
      </c>
      <c r="BX115" s="106">
        <f t="shared" si="22"/>
        <v>3.8250255700015404E-2</v>
      </c>
      <c r="BY115">
        <v>250</v>
      </c>
      <c r="BZ115">
        <v>150</v>
      </c>
      <c r="CA115">
        <v>80</v>
      </c>
      <c r="CB115">
        <v>68.254891321545429</v>
      </c>
      <c r="CC115">
        <v>3.8250255700015404E-2</v>
      </c>
      <c r="CD115">
        <v>0.16187231665420129</v>
      </c>
      <c r="CE115">
        <v>7.8375301016212582</v>
      </c>
      <c r="CF115" s="107">
        <f>INDEX(Pipes_result_save_V1!$K$2:$K$206,MATCH(BU115,Pipes_result_save_V1!$I$2:$I$206,0)) *POWER(10,-3)</f>
        <v>6.3329761505126952E-2</v>
      </c>
      <c r="CG115" s="78">
        <v>6.4036250195098083E-3</v>
      </c>
      <c r="CH115" s="106">
        <v>5.4609944457608597E-2</v>
      </c>
      <c r="CN115">
        <v>0</v>
      </c>
      <c r="CO115">
        <v>23</v>
      </c>
      <c r="CP115" t="s">
        <v>539</v>
      </c>
      <c r="CQ115" t="s">
        <v>415</v>
      </c>
      <c r="CR115" s="106" t="str">
        <f>INDEX(Pipes_result_save_V1!$G$2:$G$206,MATCH(CQ115,Pipes_result_save_V1!$I$2:$I$206,0))</f>
        <v>N69</v>
      </c>
      <c r="CS115" s="106" t="str">
        <f>INDEX(Pipes_result_save_V1!$H$2:$H$206,MATCH(CQ115,Pipes_result_save_V1!$I$2:$I$206,0))</f>
        <v>N51</v>
      </c>
      <c r="CT115" s="106">
        <f t="shared" si="23"/>
        <v>0.15497564373451178</v>
      </c>
      <c r="CU115">
        <v>466</v>
      </c>
      <c r="CV115">
        <v>150</v>
      </c>
      <c r="CW115">
        <v>191</v>
      </c>
      <c r="CX115">
        <v>7.8475689792927286</v>
      </c>
      <c r="CY115">
        <v>0.16656000000000001</v>
      </c>
      <c r="CZ115">
        <v>0.28384686420411082</v>
      </c>
      <c r="DA115">
        <v>3.1561262758526247</v>
      </c>
      <c r="DB115" s="107">
        <f>INDEX(Pipes_result_save_V1!$K$2:$K$206,MATCH(CQ115,Pipes_result_save_V1!$I$2:$I$206,0)) *POWER(10,-3)</f>
        <v>-3.4281181335449218E-2</v>
      </c>
      <c r="DC115" s="78">
        <v>5.3125067333407985E-3</v>
      </c>
      <c r="DD115" s="106">
        <v>-2.4388100507814939E-2</v>
      </c>
      <c r="DL115">
        <v>5</v>
      </c>
      <c r="DM115">
        <v>23</v>
      </c>
      <c r="DN115" t="s">
        <v>539</v>
      </c>
      <c r="DO115" t="s">
        <v>136</v>
      </c>
      <c r="DP115" s="106" t="str">
        <f>INDEX(Pipes_result_save_V1!$G$2:$G$206,MATCH(DO115,Pipes_result_save_V1!$I$2:$I$206,0))</f>
        <v>N34</v>
      </c>
      <c r="DQ115" s="106" t="str">
        <f>INDEX(Pipes_result_save_V1!$H$2:$H$206,MATCH(DO115,Pipes_result_save_V1!$I$2:$I$206,0))</f>
        <v>N33</v>
      </c>
      <c r="DR115" s="106">
        <f t="shared" si="24"/>
        <v>3.8250255700015404E-2</v>
      </c>
      <c r="DS115">
        <v>350</v>
      </c>
      <c r="DT115">
        <v>150</v>
      </c>
      <c r="DU115">
        <v>82</v>
      </c>
      <c r="DV115">
        <v>13.585260893493183</v>
      </c>
      <c r="DW115">
        <v>-9.4864356265488253E-2</v>
      </c>
      <c r="DX115">
        <v>-0.1732458569772338</v>
      </c>
      <c r="DY115">
        <v>3.3822116098474271</v>
      </c>
      <c r="DZ115" s="107">
        <f>INDEX(Pipes_result_save_V1!$K$2:$K$206,MATCH(DO115,Pipes_result_save_V1!$I$2:$I$206,0)) *POWER(10,-3)</f>
        <v>-0.11696879577636721</v>
      </c>
      <c r="EA115" s="78">
        <v>6.2447120673577794E-3</v>
      </c>
      <c r="EB115" s="106">
        <v>-0.10796968248847867</v>
      </c>
      <c r="EI115">
        <v>10</v>
      </c>
      <c r="EJ115">
        <v>23</v>
      </c>
      <c r="EK115" t="s">
        <v>540</v>
      </c>
      <c r="EL115" t="s">
        <v>148</v>
      </c>
      <c r="EM115" s="106" t="str">
        <f>INDEX(Pipes_result_save_V1!$G$2:$G$206,MATCH(EL115,Pipes_result_save_V1!$I$2:$I$206,0))</f>
        <v>N22</v>
      </c>
      <c r="EN115" s="106" t="str">
        <f>INDEX(Pipes_result_save_V1!$H$2:$H$206,MATCH(EL115,Pipes_result_save_V1!$I$2:$I$206,0))</f>
        <v>N21</v>
      </c>
      <c r="EO115" s="106">
        <f t="shared" si="25"/>
        <v>3.8250255700015404E-2</v>
      </c>
      <c r="EP115">
        <v>466</v>
      </c>
      <c r="EQ115">
        <v>150</v>
      </c>
      <c r="ER115">
        <v>194</v>
      </c>
      <c r="ES115">
        <v>7.9708292250407817</v>
      </c>
      <c r="ET115">
        <v>-9.4864356265488253E-2</v>
      </c>
      <c r="EU115">
        <v>-0.10164789257545837</v>
      </c>
      <c r="EV115">
        <v>1.9844323459372384</v>
      </c>
      <c r="EW115" s="107">
        <f>INDEX(Pipes_result_save_V1!$K$2:$K$206,MATCH(EL115,Pipes_result_save_V1!$I$2:$I$206,0)) *POWER(10,-3)</f>
        <v>-0.2054373626708984</v>
      </c>
      <c r="EX115" s="78">
        <v>5.0405793361785693E-3</v>
      </c>
      <c r="EY115" s="78">
        <v>-0.19401650420675814</v>
      </c>
    </row>
    <row r="116" spans="2:155" ht="30" x14ac:dyDescent="0.25">
      <c r="B116" s="106">
        <v>24</v>
      </c>
      <c r="C116" s="106" t="s">
        <v>539</v>
      </c>
      <c r="D116" s="106" t="s">
        <v>434</v>
      </c>
      <c r="E116" s="106" t="str">
        <f>INDEX(Pipes_result_save_V1!$G$2:$G$206,MATCH(D116,Pipes_result_save_V1!$I$2:$I$206,0))</f>
        <v>R1</v>
      </c>
      <c r="F116" s="106" t="str">
        <f>INDEX(Pipes_result_save_V1!$H$2:$H$206,MATCH(D116,Pipes_result_save_V1!$I$2:$I$206,0))</f>
        <v>N105</v>
      </c>
      <c r="G116" s="106">
        <f t="shared" si="18"/>
        <v>4.8596935076183498E-2</v>
      </c>
      <c r="H116" s="107">
        <v>200</v>
      </c>
      <c r="I116" s="107">
        <v>150</v>
      </c>
      <c r="J116" s="107">
        <v>30</v>
      </c>
      <c r="K116" s="107">
        <v>75.895097037358298</v>
      </c>
      <c r="L116" s="107">
        <v>0.03</v>
      </c>
      <c r="M116" s="107">
        <v>0.11477367408807007</v>
      </c>
      <c r="N116" s="107">
        <v>7.0853614803701932</v>
      </c>
      <c r="O116" s="107">
        <f t="shared" si="19"/>
        <v>-4.8596935076183498E-2</v>
      </c>
      <c r="P116" s="78">
        <v>5.4514441579846269E-3</v>
      </c>
      <c r="Q116" s="106">
        <v>4.8596935076183498E-2</v>
      </c>
      <c r="R116" s="78"/>
      <c r="S116" s="78"/>
      <c r="T116" s="78"/>
      <c r="U116" s="78"/>
      <c r="V116" s="78"/>
      <c r="W116" s="78">
        <v>0</v>
      </c>
      <c r="X116" s="78">
        <v>24</v>
      </c>
      <c r="Y116" s="78" t="s">
        <v>540</v>
      </c>
      <c r="Z116" s="78" t="s">
        <v>204</v>
      </c>
      <c r="AA116" s="106" t="str">
        <f>INDEX(Pipes_result_save_V1!$G$2:$G$206,MATCH(Z116,Pipes_result_save_V1!$I$2:$I$206,0))</f>
        <v>N145</v>
      </c>
      <c r="AB116" s="106" t="str">
        <f>INDEX(Pipes_result_save_V1!$H$2:$H$206,MATCH(Z116,Pipes_result_save_V1!$I$2:$I$206,0))</f>
        <v>N146</v>
      </c>
      <c r="AC116" s="106">
        <f t="shared" si="20"/>
        <v>3.5211178482065772E-2</v>
      </c>
      <c r="AD116" s="78">
        <v>300</v>
      </c>
      <c r="AE116" s="78">
        <v>150</v>
      </c>
      <c r="AF116" s="78">
        <v>168</v>
      </c>
      <c r="AG116" s="78">
        <v>58.974086808936164</v>
      </c>
      <c r="AH116" s="78">
        <v>-5.8057999999999998E-2</v>
      </c>
      <c r="AI116" s="78">
        <v>0</v>
      </c>
      <c r="AJ116" s="78">
        <v>0</v>
      </c>
      <c r="AK116" s="78">
        <v>-0.30292406794256088</v>
      </c>
      <c r="AL116">
        <v>9.663015843288143</v>
      </c>
      <c r="AM116" s="107">
        <f>INDEX(Pipes_result_save_V1!$K$2:$K$206,MATCH(Z116,Pipes_result_save_V1!$I$2:$I$206,0)) *POWER(10,-3)</f>
        <v>6.1983890533447265E-3</v>
      </c>
      <c r="AN116" s="78">
        <v>3.7382600759116426E-3</v>
      </c>
      <c r="AO116" s="106">
        <v>-2.7150840124114889E-3</v>
      </c>
      <c r="AU116">
        <v>0</v>
      </c>
      <c r="AV116">
        <v>24</v>
      </c>
      <c r="AW116" t="s">
        <v>540</v>
      </c>
      <c r="AX116" t="s">
        <v>311</v>
      </c>
      <c r="AY116" s="106" t="str">
        <f>INDEX(Pipes_result_save_V1!$G$2:$G$206,MATCH(AX116,Pipes_result_save_V1!$I$2:$I$206,0))</f>
        <v>N121</v>
      </c>
      <c r="AZ116" s="106" t="str">
        <f>INDEX(Pipes_result_save_V1!$H$2:$H$206,MATCH(AX116,Pipes_result_save_V1!$I$2:$I$206,0))</f>
        <v>N122</v>
      </c>
      <c r="BA116" s="106">
        <f t="shared" si="21"/>
        <v>0.1215292557000154</v>
      </c>
      <c r="BB116">
        <v>400</v>
      </c>
      <c r="BC116">
        <v>150</v>
      </c>
      <c r="BD116">
        <v>121</v>
      </c>
      <c r="BE116">
        <v>10.460699519593918</v>
      </c>
      <c r="BF116">
        <v>-0.116116</v>
      </c>
      <c r="BG116">
        <v>-0.19397279997750211</v>
      </c>
      <c r="BH116">
        <v>3.0937823000993316</v>
      </c>
      <c r="BI116" s="107">
        <f>INDEX(Pipes_result_save_V1!$K$2:$K$206,MATCH(AX116,Pipes_result_save_V1!$I$2:$I$206,0)) *POWER(10,-3)</f>
        <v>5.762615203857422E-2</v>
      </c>
      <c r="BJ116" s="78">
        <v>5.4222826737883928E-3</v>
      </c>
      <c r="BK116" s="106">
        <v>4.7964420289291494E-2</v>
      </c>
      <c r="BR116">
        <v>4</v>
      </c>
      <c r="BS116">
        <v>24</v>
      </c>
      <c r="BT116" t="s">
        <v>540</v>
      </c>
      <c r="BU116" t="s">
        <v>179</v>
      </c>
      <c r="BV116" s="106" t="str">
        <f>INDEX(Pipes_result_save_V1!$G$2:$G$206,MATCH(BU116,Pipes_result_save_V1!$I$2:$I$206,0))</f>
        <v>N73</v>
      </c>
      <c r="BW116" s="106" t="str">
        <f>INDEX(Pipes_result_save_V1!$H$2:$H$206,MATCH(BU116,Pipes_result_save_V1!$I$2:$I$206,0))</f>
        <v>N74</v>
      </c>
      <c r="BX116" s="106">
        <f t="shared" si="22"/>
        <v>3.8250255700015404E-2</v>
      </c>
      <c r="BY116">
        <v>250</v>
      </c>
      <c r="BZ116">
        <v>150</v>
      </c>
      <c r="CA116">
        <v>87</v>
      </c>
      <c r="CB116">
        <v>74.227194312180643</v>
      </c>
      <c r="CC116">
        <v>3.8250255700015404E-2</v>
      </c>
      <c r="CD116">
        <v>0.17603614436144388</v>
      </c>
      <c r="CE116">
        <v>8.5233139855131181</v>
      </c>
      <c r="CF116" s="107">
        <f>INDEX(Pipes_result_save_V1!$K$2:$K$206,MATCH(BU116,Pipes_result_save_V1!$I$2:$I$206,0)) *POWER(10,-3)</f>
        <v>6.2376930236816418E-2</v>
      </c>
      <c r="CG116" s="78">
        <v>5.3001981870944882E-3</v>
      </c>
      <c r="CH116" s="106">
        <v>5.6101186601409878E-2</v>
      </c>
      <c r="CN116">
        <v>3</v>
      </c>
      <c r="CO116">
        <v>24</v>
      </c>
      <c r="CP116" t="s">
        <v>539</v>
      </c>
      <c r="CQ116" t="s">
        <v>159</v>
      </c>
      <c r="CR116" s="106" t="str">
        <f>INDEX(Pipes_result_save_V1!$G$2:$G$206,MATCH(CQ116,Pipes_result_save_V1!$I$2:$I$206,0))</f>
        <v>N53</v>
      </c>
      <c r="CS116" s="106" t="str">
        <f>INDEX(Pipes_result_save_V1!$H$2:$H$206,MATCH(CQ116,Pipes_result_save_V1!$I$2:$I$206,0))</f>
        <v>N52</v>
      </c>
      <c r="CT116" s="106">
        <f t="shared" si="23"/>
        <v>3.8250255700015404E-2</v>
      </c>
      <c r="CU116">
        <v>250</v>
      </c>
      <c r="CV116">
        <v>150</v>
      </c>
      <c r="CW116">
        <v>94</v>
      </c>
      <c r="CX116">
        <v>80.199497302815871</v>
      </c>
      <c r="CY116">
        <v>2.3580796114934299E-2</v>
      </c>
      <c r="CZ116">
        <v>7.7651512635117478E-2</v>
      </c>
      <c r="DA116">
        <v>6.0986321538634876</v>
      </c>
      <c r="DB116" s="107">
        <f>INDEX(Pipes_result_save_V1!$K$2:$K$206,MATCH(CQ116,Pipes_result_save_V1!$I$2:$I$206,0)) *POWER(10,-3)</f>
        <v>-3.1705240249633788E-2</v>
      </c>
      <c r="DC116" s="78">
        <v>6.0291395850206372E-3</v>
      </c>
      <c r="DD116" s="106">
        <v>-1.9189755791658152E-2</v>
      </c>
      <c r="DL116">
        <v>6</v>
      </c>
      <c r="DM116">
        <v>24</v>
      </c>
      <c r="DN116" t="s">
        <v>539</v>
      </c>
      <c r="DO116" t="s">
        <v>134</v>
      </c>
      <c r="DP116" s="106" t="str">
        <f>INDEX(Pipes_result_save_V1!$G$2:$G$206,MATCH(DO116,Pipes_result_save_V1!$I$2:$I$206,0))</f>
        <v>N35</v>
      </c>
      <c r="DQ116" s="106" t="str">
        <f>INDEX(Pipes_result_save_V1!$H$2:$H$206,MATCH(DO116,Pipes_result_save_V1!$I$2:$I$206,0))</f>
        <v>N34</v>
      </c>
      <c r="DR116" s="106">
        <f t="shared" si="24"/>
        <v>3.8250255700015404E-2</v>
      </c>
      <c r="DS116">
        <v>350</v>
      </c>
      <c r="DT116">
        <v>150</v>
      </c>
      <c r="DU116">
        <v>69</v>
      </c>
      <c r="DV116">
        <v>11.431500020134509</v>
      </c>
      <c r="DW116">
        <v>-9.4864356265488253E-2</v>
      </c>
      <c r="DX116">
        <v>-0.14578005038328212</v>
      </c>
      <c r="DY116">
        <v>2.8460073302374695</v>
      </c>
      <c r="DZ116" s="107">
        <f>INDEX(Pipes_result_save_V1!$K$2:$K$206,MATCH(DO116,Pipes_result_save_V1!$I$2:$I$206,0)) *POWER(10,-3)</f>
        <v>-0.1161072616577148</v>
      </c>
      <c r="EA116" s="78">
        <v>6.359427932995646E-3</v>
      </c>
      <c r="EB116" s="106">
        <v>-0.10840620129374785</v>
      </c>
      <c r="EI116">
        <v>11</v>
      </c>
      <c r="EJ116">
        <v>24</v>
      </c>
      <c r="EK116" t="s">
        <v>540</v>
      </c>
      <c r="EL116" t="s">
        <v>147</v>
      </c>
      <c r="EM116" s="106" t="str">
        <f>INDEX(Pipes_result_save_V1!$G$2:$G$206,MATCH(EL116,Pipes_result_save_V1!$I$2:$I$206,0))</f>
        <v>N23</v>
      </c>
      <c r="EN116" s="106" t="str">
        <f>INDEX(Pipes_result_save_V1!$H$2:$H$206,MATCH(EL116,Pipes_result_save_V1!$I$2:$I$206,0))</f>
        <v>N22</v>
      </c>
      <c r="EO116" s="106">
        <f t="shared" si="25"/>
        <v>3.8249255700015396E-2</v>
      </c>
      <c r="EP116">
        <v>466</v>
      </c>
      <c r="EQ116">
        <v>150</v>
      </c>
      <c r="ER116">
        <v>74</v>
      </c>
      <c r="ES116">
        <v>3.0404193951186484</v>
      </c>
      <c r="ET116">
        <v>-9.4864356265488253E-2</v>
      </c>
      <c r="EU116">
        <v>-3.877290747723669E-2</v>
      </c>
      <c r="EV116">
        <v>0.75694842061523515</v>
      </c>
      <c r="EW116" s="107">
        <f>INDEX(Pipes_result_save_V1!$K$2:$K$206,MATCH(EL116,Pipes_result_save_V1!$I$2:$I$206,0)) *POWER(10,-3)</f>
        <v>-0.20390827941894532</v>
      </c>
      <c r="EX116" s="78">
        <v>6.2628404215481952E-3</v>
      </c>
      <c r="EY116" s="78">
        <v>-0.19356214461411125</v>
      </c>
    </row>
    <row r="117" spans="2:155" ht="30" x14ac:dyDescent="0.25">
      <c r="B117" s="106">
        <v>25</v>
      </c>
      <c r="C117" s="106" t="s">
        <v>539</v>
      </c>
      <c r="D117" s="106" t="s">
        <v>220</v>
      </c>
      <c r="E117" s="106" t="str">
        <f>INDEX(Pipes_result_save_V1!$G$2:$G$206,MATCH(D117,Pipes_result_save_V1!$I$2:$I$206,0))</f>
        <v>N148</v>
      </c>
      <c r="F117" s="106" t="str">
        <f>INDEX(Pipes_result_save_V1!$H$2:$H$206,MATCH(D117,Pipes_result_save_V1!$I$2:$I$206,0))</f>
        <v>N149</v>
      </c>
      <c r="G117" s="106">
        <f t="shared" si="18"/>
        <v>1.2403064923816501E-2</v>
      </c>
      <c r="H117" s="107">
        <v>350</v>
      </c>
      <c r="I117" s="107">
        <v>150</v>
      </c>
      <c r="J117" s="107">
        <v>91</v>
      </c>
      <c r="K117" s="107">
        <v>15.076326113510728</v>
      </c>
      <c r="L117" s="107">
        <v>9.0999999999999998E-2</v>
      </c>
      <c r="M117" s="107">
        <v>0.17800827088336596</v>
      </c>
      <c r="N117" s="107">
        <v>3.6227617327032307</v>
      </c>
      <c r="O117" s="107">
        <f t="shared" si="19"/>
        <v>1.2403064923816501E-2</v>
      </c>
      <c r="P117" s="78">
        <v>6.2005539232598845E-3</v>
      </c>
      <c r="Q117" s="106">
        <v>2.3297859753083914E-3</v>
      </c>
      <c r="R117" s="78"/>
      <c r="S117" s="78"/>
      <c r="T117" s="78"/>
      <c r="U117" s="78"/>
      <c r="V117" s="78"/>
      <c r="W117" s="78">
        <v>0</v>
      </c>
      <c r="X117" s="78">
        <v>25</v>
      </c>
      <c r="Y117" s="78" t="s">
        <v>540</v>
      </c>
      <c r="Z117" s="78" t="s">
        <v>218</v>
      </c>
      <c r="AA117" s="106" t="str">
        <f>INDEX(Pipes_result_save_V1!$G$2:$G$206,MATCH(Z117,Pipes_result_save_V1!$I$2:$I$206,0))</f>
        <v>N146</v>
      </c>
      <c r="AB117" s="106" t="str">
        <f>INDEX(Pipes_result_save_V1!$H$2:$H$206,MATCH(Z117,Pipes_result_save_V1!$I$2:$I$206,0))</f>
        <v>N147</v>
      </c>
      <c r="AC117" s="106">
        <f t="shared" si="20"/>
        <v>3.5211178482065772E-2</v>
      </c>
      <c r="AD117" s="78">
        <v>300</v>
      </c>
      <c r="AE117" s="78">
        <v>150</v>
      </c>
      <c r="AF117" s="78">
        <v>214</v>
      </c>
      <c r="AG117" s="78">
        <v>75.121753435192488</v>
      </c>
      <c r="AH117" s="78">
        <v>-5.8057999999999998E-2</v>
      </c>
      <c r="AI117" s="78">
        <v>0</v>
      </c>
      <c r="AJ117" s="78">
        <v>0</v>
      </c>
      <c r="AK117" s="78">
        <v>-0.38586756273635725</v>
      </c>
      <c r="AL117">
        <v>12.308841609902753</v>
      </c>
      <c r="AM117" s="107">
        <f>INDEX(Pipes_result_save_V1!$K$2:$K$206,MATCH(Z117,Pipes_result_save_V1!$I$2:$I$206,0)) *POWER(10,-3)</f>
        <v>4.0188694000244142E-3</v>
      </c>
      <c r="AN117" s="78">
        <v>2.0891597055770774E-3</v>
      </c>
      <c r="AO117" s="106">
        <v>-1.3140216916189117E-3</v>
      </c>
      <c r="AU117">
        <v>0</v>
      </c>
      <c r="AV117">
        <v>25</v>
      </c>
      <c r="AW117" t="s">
        <v>540</v>
      </c>
      <c r="AX117" t="s">
        <v>313</v>
      </c>
      <c r="AY117" s="106" t="str">
        <f>INDEX(Pipes_result_save_V1!$G$2:$G$206,MATCH(AX117,Pipes_result_save_V1!$I$2:$I$206,0))</f>
        <v>N122</v>
      </c>
      <c r="AZ117" s="106" t="str">
        <f>INDEX(Pipes_result_save_V1!$H$2:$H$206,MATCH(AX117,Pipes_result_save_V1!$I$2:$I$206,0))</f>
        <v>N123</v>
      </c>
      <c r="BA117" s="106">
        <f t="shared" si="21"/>
        <v>0.1215292557000154</v>
      </c>
      <c r="BB117">
        <v>400</v>
      </c>
      <c r="BC117">
        <v>150</v>
      </c>
      <c r="BD117">
        <v>122</v>
      </c>
      <c r="BE117">
        <v>10.547151581739321</v>
      </c>
      <c r="BF117">
        <v>-0.116116</v>
      </c>
      <c r="BG117">
        <v>-0.19557588096905171</v>
      </c>
      <c r="BH117">
        <v>3.1193507488604828</v>
      </c>
      <c r="BI117" s="107">
        <f>INDEX(Pipes_result_save_V1!$K$2:$K$206,MATCH(AX117,Pipes_result_save_V1!$I$2:$I$206,0)) *POWER(10,-3)</f>
        <v>5.6114177703857425E-2</v>
      </c>
      <c r="BJ117" s="78">
        <v>5.8321580512820433E-3</v>
      </c>
      <c r="BK117" s="106">
        <v>4.379850414980236E-2</v>
      </c>
      <c r="BR117">
        <v>5</v>
      </c>
      <c r="BS117">
        <v>25</v>
      </c>
      <c r="BT117" t="s">
        <v>540</v>
      </c>
      <c r="BU117" t="s">
        <v>180</v>
      </c>
      <c r="BV117" s="106" t="str">
        <f>INDEX(Pipes_result_save_V1!$G$2:$G$206,MATCH(BU117,Pipes_result_save_V1!$I$2:$I$206,0))</f>
        <v>N74</v>
      </c>
      <c r="BW117" s="106" t="str">
        <f>INDEX(Pipes_result_save_V1!$H$2:$H$206,MATCH(BU117,Pipes_result_save_V1!$I$2:$I$206,0))</f>
        <v>N75</v>
      </c>
      <c r="BX117" s="106">
        <f t="shared" si="22"/>
        <v>3.8250255700015404E-2</v>
      </c>
      <c r="BY117">
        <v>250</v>
      </c>
      <c r="BZ117">
        <v>150</v>
      </c>
      <c r="CA117">
        <v>89</v>
      </c>
      <c r="CB117">
        <v>75.93356659521929</v>
      </c>
      <c r="CC117">
        <v>3.8250255700015404E-2</v>
      </c>
      <c r="CD117">
        <v>0.18008295227779894</v>
      </c>
      <c r="CE117">
        <v>8.7192522380536506</v>
      </c>
      <c r="CF117" s="107">
        <f>INDEX(Pipes_result_save_V1!$K$2:$K$206,MATCH(BU117,Pipes_result_save_V1!$I$2:$I$206,0)) *POWER(10,-3)</f>
        <v>6.1372756958007813E-2</v>
      </c>
      <c r="CG117" s="78">
        <v>5.3829466780226098E-3</v>
      </c>
      <c r="CH117" s="106">
        <v>4.9609372096244261E-2</v>
      </c>
      <c r="CN117">
        <v>4</v>
      </c>
      <c r="CO117">
        <v>25</v>
      </c>
      <c r="CP117" t="s">
        <v>540</v>
      </c>
      <c r="CQ117" t="s">
        <v>158</v>
      </c>
      <c r="CR117" s="106" t="str">
        <f>INDEX(Pipes_result_save_V1!$G$2:$G$206,MATCH(CQ117,Pipes_result_save_V1!$I$2:$I$206,0))</f>
        <v>N54</v>
      </c>
      <c r="CS117" s="106" t="str">
        <f>INDEX(Pipes_result_save_V1!$H$2:$H$206,MATCH(CQ117,Pipes_result_save_V1!$I$2:$I$206,0))</f>
        <v>N53</v>
      </c>
      <c r="CT117" s="106">
        <f t="shared" si="23"/>
        <v>3.8250255700015404E-2</v>
      </c>
      <c r="CU117">
        <v>250</v>
      </c>
      <c r="CV117">
        <v>150</v>
      </c>
      <c r="CW117">
        <v>191</v>
      </c>
      <c r="CX117">
        <v>162.95855303018971</v>
      </c>
      <c r="CY117">
        <v>2.3580796114934299E-2</v>
      </c>
      <c r="CZ117">
        <v>0.15778126503518553</v>
      </c>
      <c r="DA117">
        <v>12.391901504126874</v>
      </c>
      <c r="DB117" s="107">
        <f>INDEX(Pipes_result_save_V1!$K$2:$K$206,MATCH(CQ117,Pipes_result_save_V1!$I$2:$I$206,0)) *POWER(10,-3)</f>
        <v>-3.0079156875610351E-2</v>
      </c>
      <c r="DC117" s="78">
        <v>5.8805783208500896E-3</v>
      </c>
      <c r="DD117" s="106">
        <v>-1.9347099765879085E-2</v>
      </c>
      <c r="DL117">
        <v>7</v>
      </c>
      <c r="DM117">
        <v>25</v>
      </c>
      <c r="DN117" t="s">
        <v>539</v>
      </c>
      <c r="DO117" t="s">
        <v>135</v>
      </c>
      <c r="DP117" s="106" t="str">
        <f>INDEX(Pipes_result_save_V1!$G$2:$G$206,MATCH(DO117,Pipes_result_save_V1!$I$2:$I$206,0))</f>
        <v>N36</v>
      </c>
      <c r="DQ117" s="106" t="str">
        <f>INDEX(Pipes_result_save_V1!$H$2:$H$206,MATCH(DO117,Pipes_result_save_V1!$I$2:$I$206,0))</f>
        <v>N35</v>
      </c>
      <c r="DR117" s="106">
        <f t="shared" si="24"/>
        <v>3.8250255700015404E-2</v>
      </c>
      <c r="DS117">
        <v>350</v>
      </c>
      <c r="DT117">
        <v>150</v>
      </c>
      <c r="DU117">
        <v>73</v>
      </c>
      <c r="DV117">
        <v>12.094195673475639</v>
      </c>
      <c r="DW117">
        <v>-9.4864356265488253E-2</v>
      </c>
      <c r="DX117">
        <v>-0.1542310677968057</v>
      </c>
      <c r="DY117">
        <v>3.0109932624251488</v>
      </c>
      <c r="DZ117" s="107">
        <f>INDEX(Pipes_result_save_V1!$K$2:$K$206,MATCH(DO117,Pipes_result_save_V1!$I$2:$I$206,0)) *POWER(10,-3)</f>
        <v>-0.1152970657348633</v>
      </c>
      <c r="EA117" s="78">
        <v>5.9580460369928643E-3</v>
      </c>
      <c r="EB117" s="106">
        <v>-0.10515970512373567</v>
      </c>
      <c r="EI117">
        <v>12</v>
      </c>
      <c r="EJ117">
        <v>25</v>
      </c>
      <c r="EK117" t="s">
        <v>540</v>
      </c>
      <c r="EL117" t="s">
        <v>146</v>
      </c>
      <c r="EM117" s="106" t="str">
        <f>INDEX(Pipes_result_save_V1!$G$2:$G$206,MATCH(EL117,Pipes_result_save_V1!$I$2:$I$206,0))</f>
        <v>N24</v>
      </c>
      <c r="EN117" s="106" t="str">
        <f>INDEX(Pipes_result_save_V1!$H$2:$H$206,MATCH(EL117,Pipes_result_save_V1!$I$2:$I$206,0))</f>
        <v>N23</v>
      </c>
      <c r="EO117" s="106">
        <f t="shared" si="25"/>
        <v>3.5211178482065772E-2</v>
      </c>
      <c r="EP117">
        <v>466</v>
      </c>
      <c r="EQ117">
        <v>150</v>
      </c>
      <c r="ER117">
        <v>92</v>
      </c>
      <c r="ES117">
        <v>3.7799808696069688</v>
      </c>
      <c r="ET117">
        <v>-9.4864356265488253E-2</v>
      </c>
      <c r="EU117">
        <v>-4.820415524196995E-2</v>
      </c>
      <c r="EV117">
        <v>0.94107100941353583</v>
      </c>
      <c r="EW117" s="107">
        <f>INDEX(Pipes_result_save_V1!$K$2:$K$206,MATCH(EL117,Pipes_result_save_V1!$I$2:$I$206,0)) *POWER(10,-3)</f>
        <v>-0.20296116638183592</v>
      </c>
      <c r="EX117" s="78">
        <v>5.1063428122639486E-3</v>
      </c>
      <c r="EY117" s="78">
        <v>-0.19348136286681875</v>
      </c>
    </row>
    <row r="118" spans="2:155" ht="30" x14ac:dyDescent="0.25">
      <c r="B118" s="106">
        <v>26</v>
      </c>
      <c r="C118" s="106" t="s">
        <v>540</v>
      </c>
      <c r="D118" s="106" t="s">
        <v>431</v>
      </c>
      <c r="E118" s="106" t="str">
        <f>INDEX(Pipes_result_save_V1!$G$2:$G$206,MATCH(D118,Pipes_result_save_V1!$I$2:$I$206,0))</f>
        <v>N148</v>
      </c>
      <c r="F118" s="106" t="str">
        <f>INDEX(Pipes_result_save_V1!$H$2:$H$206,MATCH(D118,Pipes_result_save_V1!$I$2:$I$206,0))</f>
        <v>N166</v>
      </c>
      <c r="G118" s="106">
        <f t="shared" si="18"/>
        <v>2.240306492381651E-2</v>
      </c>
      <c r="H118" s="107">
        <v>400</v>
      </c>
      <c r="I118" s="107">
        <v>150</v>
      </c>
      <c r="J118" s="107">
        <v>101</v>
      </c>
      <c r="K118" s="107">
        <v>8.7316582766858311</v>
      </c>
      <c r="L118" s="107">
        <v>-0.10100000000000001</v>
      </c>
      <c r="M118" s="107">
        <v>-0.12505467014160557</v>
      </c>
      <c r="N118" s="107">
        <v>2.2930816742797377</v>
      </c>
      <c r="O118" s="107">
        <f t="shared" si="19"/>
        <v>2.240306492381651E-2</v>
      </c>
      <c r="P118" s="78">
        <v>5.7612622064551729E-3</v>
      </c>
      <c r="Q118" s="106">
        <v>-1.7300223504682251E-5</v>
      </c>
      <c r="R118" s="78"/>
      <c r="S118" s="78"/>
      <c r="T118" s="78"/>
      <c r="U118" s="78"/>
      <c r="V118" s="78"/>
      <c r="W118" s="78">
        <v>0</v>
      </c>
      <c r="X118" s="78">
        <v>26</v>
      </c>
      <c r="Y118" s="78" t="s">
        <v>540</v>
      </c>
      <c r="Z118" s="78" t="s">
        <v>216</v>
      </c>
      <c r="AA118" s="106" t="str">
        <f>INDEX(Pipes_result_save_V1!$G$2:$G$206,MATCH(Z118,Pipes_result_save_V1!$I$2:$I$206,0))</f>
        <v>N147</v>
      </c>
      <c r="AB118" s="106" t="str">
        <f>INDEX(Pipes_result_save_V1!$H$2:$H$206,MATCH(Z118,Pipes_result_save_V1!$I$2:$I$206,0))</f>
        <v>N148</v>
      </c>
      <c r="AC118" s="106">
        <f t="shared" si="20"/>
        <v>3.5211178482065772E-2</v>
      </c>
      <c r="AD118" s="78">
        <v>300</v>
      </c>
      <c r="AE118" s="78">
        <v>150</v>
      </c>
      <c r="AF118" s="78">
        <v>70</v>
      </c>
      <c r="AG118" s="78">
        <v>24.572536170390066</v>
      </c>
      <c r="AH118" s="78">
        <v>-5.8057999999999998E-2</v>
      </c>
      <c r="AI118" s="78">
        <v>0</v>
      </c>
      <c r="AJ118" s="78">
        <v>0</v>
      </c>
      <c r="AK118" s="78">
        <v>-0.12621836164273367</v>
      </c>
      <c r="AL118">
        <v>4.0262566013700587</v>
      </c>
      <c r="AM118" s="107">
        <f>INDEX(Pipes_result_save_V1!$K$2:$K$206,MATCH(Z118,Pipes_result_save_V1!$I$2:$I$206,0)) *POWER(10,-3)</f>
        <v>2.398493528366089E-3</v>
      </c>
      <c r="AN118" s="78">
        <v>3.5218557640316313E-3</v>
      </c>
      <c r="AO118" s="106">
        <v>1.379559205234021E-3</v>
      </c>
      <c r="AU118">
        <v>0</v>
      </c>
      <c r="AV118">
        <v>26</v>
      </c>
      <c r="AW118" t="s">
        <v>540</v>
      </c>
      <c r="AX118" t="s">
        <v>314</v>
      </c>
      <c r="AY118" s="106" t="str">
        <f>INDEX(Pipes_result_save_V1!$G$2:$G$206,MATCH(AX118,Pipes_result_save_V1!$I$2:$I$206,0))</f>
        <v>N123</v>
      </c>
      <c r="AZ118" s="106" t="str">
        <f>INDEX(Pipes_result_save_V1!$H$2:$H$206,MATCH(AX118,Pipes_result_save_V1!$I$2:$I$206,0))</f>
        <v>N124</v>
      </c>
      <c r="BA118" s="106">
        <f t="shared" si="21"/>
        <v>0.1215292557000154</v>
      </c>
      <c r="BB118">
        <v>400</v>
      </c>
      <c r="BC118">
        <v>150</v>
      </c>
      <c r="BD118">
        <v>123</v>
      </c>
      <c r="BE118">
        <v>10.633603643884726</v>
      </c>
      <c r="BF118">
        <v>-0.116116</v>
      </c>
      <c r="BG118">
        <v>-0.19717896196060131</v>
      </c>
      <c r="BH118">
        <v>3.1449191976216344</v>
      </c>
      <c r="BI118" s="107">
        <f>INDEX(Pipes_result_save_V1!$K$2:$K$206,MATCH(AX118,Pipes_result_save_V1!$I$2:$I$206,0)) *POWER(10,-3)</f>
        <v>5.3786315917968751E-2</v>
      </c>
      <c r="BJ118" s="78">
        <v>6.0988140748011324E-3</v>
      </c>
      <c r="BK118" s="106">
        <v>4.1741454332255519E-2</v>
      </c>
      <c r="BR118">
        <v>6</v>
      </c>
      <c r="BS118">
        <v>26</v>
      </c>
      <c r="BT118" t="s">
        <v>540</v>
      </c>
      <c r="BU118" t="s">
        <v>178</v>
      </c>
      <c r="BV118" s="106" t="str">
        <f>INDEX(Pipes_result_save_V1!$G$2:$G$206,MATCH(BU118,Pipes_result_save_V1!$I$2:$I$206,0))</f>
        <v>N75</v>
      </c>
      <c r="BW118" s="106" t="str">
        <f>INDEX(Pipes_result_save_V1!$H$2:$H$206,MATCH(BU118,Pipes_result_save_V1!$I$2:$I$206,0))</f>
        <v>N76</v>
      </c>
      <c r="BX118" s="106">
        <f t="shared" si="22"/>
        <v>3.8250255700015404E-2</v>
      </c>
      <c r="BY118">
        <v>250</v>
      </c>
      <c r="BZ118">
        <v>150</v>
      </c>
      <c r="CA118">
        <v>88</v>
      </c>
      <c r="CB118">
        <v>75.080380453699973</v>
      </c>
      <c r="CC118">
        <v>3.8250255700015404E-2</v>
      </c>
      <c r="CD118">
        <v>0.17805954831962142</v>
      </c>
      <c r="CE118">
        <v>8.6212831117833844</v>
      </c>
      <c r="CF118" s="107">
        <f>INDEX(Pipes_result_save_V1!$K$2:$K$206,MATCH(BU118,Pipes_result_save_V1!$I$2:$I$206,0)) *POWER(10,-3)</f>
        <v>6.0362876892089835E-2</v>
      </c>
      <c r="CG118" s="78">
        <v>5.0370317120216196E-3</v>
      </c>
      <c r="CH118" s="106">
        <v>5.1672739316531116E-2</v>
      </c>
      <c r="CN118">
        <v>5</v>
      </c>
      <c r="CO118">
        <v>26</v>
      </c>
      <c r="CP118" t="s">
        <v>540</v>
      </c>
      <c r="CQ118" t="s">
        <v>130</v>
      </c>
      <c r="CR118" s="106" t="str">
        <f>INDEX(Pipes_result_save_V1!$G$2:$G$206,MATCH(CQ118,Pipes_result_save_V1!$I$2:$I$206,0))</f>
        <v>N55</v>
      </c>
      <c r="CS118" s="106" t="str">
        <f>INDEX(Pipes_result_save_V1!$H$2:$H$206,MATCH(CQ118,Pipes_result_save_V1!$I$2:$I$206,0))</f>
        <v>N54</v>
      </c>
      <c r="CT118" s="106">
        <f t="shared" si="23"/>
        <v>3.8250255700015404E-2</v>
      </c>
      <c r="CU118">
        <v>250</v>
      </c>
      <c r="CV118">
        <v>150</v>
      </c>
      <c r="CW118">
        <v>77</v>
      </c>
      <c r="CX118">
        <v>65.695332896987466</v>
      </c>
      <c r="CY118">
        <v>2.3580796114934299E-2</v>
      </c>
      <c r="CZ118">
        <v>6.3608153967064318E-2</v>
      </c>
      <c r="DA118">
        <v>4.9956880409307294</v>
      </c>
      <c r="DB118" s="107">
        <f>INDEX(Pipes_result_save_V1!$K$2:$K$206,MATCH(CQ118,Pipes_result_save_V1!$I$2:$I$206,0)) *POWER(10,-3)</f>
        <v>-2.8550071716308592E-2</v>
      </c>
      <c r="DC118" s="78">
        <v>5.931736364790087E-3</v>
      </c>
      <c r="DD118" s="106">
        <v>-1.9796960328362145E-2</v>
      </c>
      <c r="DL118">
        <v>8</v>
      </c>
      <c r="DM118">
        <v>26</v>
      </c>
      <c r="DN118" t="s">
        <v>539</v>
      </c>
      <c r="DO118" t="s">
        <v>133</v>
      </c>
      <c r="DP118" s="106" t="str">
        <f>INDEX(Pipes_result_save_V1!$G$2:$G$206,MATCH(DO118,Pipes_result_save_V1!$I$2:$I$206,0))</f>
        <v>N37</v>
      </c>
      <c r="DQ118" s="106" t="str">
        <f>INDEX(Pipes_result_save_V1!$H$2:$H$206,MATCH(DO118,Pipes_result_save_V1!$I$2:$I$206,0))</f>
        <v>N36</v>
      </c>
      <c r="DR118" s="106">
        <f t="shared" si="24"/>
        <v>3.8250255700015404E-2</v>
      </c>
      <c r="DS118">
        <v>350</v>
      </c>
      <c r="DT118">
        <v>150</v>
      </c>
      <c r="DU118">
        <v>81</v>
      </c>
      <c r="DV118">
        <v>13.419586980157902</v>
      </c>
      <c r="DW118">
        <v>-9.4864356265488253E-2</v>
      </c>
      <c r="DX118">
        <v>-0.17113310262385292</v>
      </c>
      <c r="DY118">
        <v>3.3409651268005076</v>
      </c>
      <c r="DZ118" s="107">
        <f>INDEX(Pipes_result_save_V1!$K$2:$K$206,MATCH(DO118,Pipes_result_save_V1!$I$2:$I$206,0)) *POWER(10,-3)</f>
        <v>-0.11441841125488281</v>
      </c>
      <c r="EA118" s="78">
        <v>5.6421909364428383E-3</v>
      </c>
      <c r="EB118" s="106">
        <v>-0.10603843925089894</v>
      </c>
      <c r="EI118">
        <v>13</v>
      </c>
      <c r="EJ118">
        <v>26</v>
      </c>
      <c r="EK118" t="s">
        <v>540</v>
      </c>
      <c r="EL118" t="s">
        <v>145</v>
      </c>
      <c r="EM118" s="106" t="str">
        <f>INDEX(Pipes_result_save_V1!$G$2:$G$206,MATCH(EL118,Pipes_result_save_V1!$I$2:$I$206,0))</f>
        <v>N25</v>
      </c>
      <c r="EN118" s="106" t="str">
        <f>INDEX(Pipes_result_save_V1!$H$2:$H$206,MATCH(EL118,Pipes_result_save_V1!$I$2:$I$206,0))</f>
        <v>N24</v>
      </c>
      <c r="EO118" s="106">
        <f t="shared" si="25"/>
        <v>3.8250255700015404E-2</v>
      </c>
      <c r="EP118">
        <v>466</v>
      </c>
      <c r="EQ118">
        <v>150</v>
      </c>
      <c r="ER118">
        <v>75</v>
      </c>
      <c r="ES118">
        <v>3.0815061437013331</v>
      </c>
      <c r="ET118">
        <v>-0.11009435626548825</v>
      </c>
      <c r="EU118">
        <v>-5.1774024209395142E-2</v>
      </c>
      <c r="EV118">
        <v>0.87093922057708129</v>
      </c>
      <c r="EW118" s="107">
        <f>INDEX(Pipes_result_save_V1!$K$2:$K$206,MATCH(EL118,Pipes_result_save_V1!$I$2:$I$206,0)) *POWER(10,-3)</f>
        <v>-0.20200834655761718</v>
      </c>
      <c r="EX118" s="78">
        <v>5.3541484551490031E-3</v>
      </c>
      <c r="EY118" s="78">
        <v>-0.19434220140296449</v>
      </c>
    </row>
    <row r="119" spans="2:155" ht="30" x14ac:dyDescent="0.25">
      <c r="B119" s="106">
        <v>27</v>
      </c>
      <c r="C119" s="106" t="s">
        <v>539</v>
      </c>
      <c r="D119" s="106" t="s">
        <v>219</v>
      </c>
      <c r="E119" s="106" t="str">
        <f>INDEX(Pipes_result_save_V1!$G$2:$G$206,MATCH(D119,Pipes_result_save_V1!$I$2:$I$206,0))</f>
        <v>N149</v>
      </c>
      <c r="F119" s="106" t="str">
        <f>INDEX(Pipes_result_save_V1!$H$2:$H$206,MATCH(D119,Pipes_result_save_V1!$I$2:$I$206,0))</f>
        <v>N150</v>
      </c>
      <c r="G119" s="106">
        <f t="shared" si="18"/>
        <v>4.8596935076183498E-2</v>
      </c>
      <c r="H119" s="107">
        <v>200</v>
      </c>
      <c r="I119" s="107">
        <v>150</v>
      </c>
      <c r="J119" s="107">
        <v>30</v>
      </c>
      <c r="K119" s="107">
        <v>75.895097037358298</v>
      </c>
      <c r="L119" s="107">
        <v>0.03</v>
      </c>
      <c r="M119" s="107">
        <v>0.11477367408807007</v>
      </c>
      <c r="N119" s="107">
        <v>7.0853614803701932</v>
      </c>
      <c r="O119" s="107">
        <f t="shared" si="19"/>
        <v>-4.8596935076183498E-2</v>
      </c>
      <c r="P119" s="78">
        <v>5.2595888376986517E-3</v>
      </c>
      <c r="Q119" s="106">
        <v>3.8800650493543433E-3</v>
      </c>
      <c r="R119" s="78"/>
      <c r="S119" s="78"/>
      <c r="T119" s="78"/>
      <c r="U119" s="78"/>
      <c r="V119" s="78"/>
      <c r="W119" s="78">
        <v>25</v>
      </c>
      <c r="X119" s="78">
        <v>27</v>
      </c>
      <c r="Y119" s="78" t="s">
        <v>540</v>
      </c>
      <c r="Z119" s="78" t="s">
        <v>220</v>
      </c>
      <c r="AA119" s="106" t="str">
        <f>INDEX(Pipes_result_save_V1!$G$2:$G$206,MATCH(Z119,Pipes_result_save_V1!$I$2:$I$206,0))</f>
        <v>N148</v>
      </c>
      <c r="AB119" s="106" t="str">
        <f>INDEX(Pipes_result_save_V1!$H$2:$H$206,MATCH(Z119,Pipes_result_save_V1!$I$2:$I$206,0))</f>
        <v>N149</v>
      </c>
      <c r="AC119" s="106">
        <f t="shared" si="20"/>
        <v>1.2403064923816501E-2</v>
      </c>
      <c r="AD119" s="78">
        <v>200</v>
      </c>
      <c r="AE119" s="78">
        <v>150</v>
      </c>
      <c r="AF119" s="78">
        <v>91</v>
      </c>
      <c r="AG119" s="78">
        <v>230.21512767998681</v>
      </c>
      <c r="AH119" s="78">
        <v>9.7596935076183555E-2</v>
      </c>
      <c r="AI119" s="78">
        <v>1</v>
      </c>
      <c r="AJ119" s="78">
        <v>-1</v>
      </c>
      <c r="AK119" s="78">
        <v>3.0943516202637942</v>
      </c>
      <c r="AL119">
        <v>58.718434100980403</v>
      </c>
      <c r="AM119" s="107">
        <f>INDEX(Pipes_result_save_V1!$K$2:$K$206,MATCH(Z119,Pipes_result_save_V1!$I$2:$I$206,0)) *POWER(10,-3)</f>
        <v>-1.2776296615600589E-2</v>
      </c>
      <c r="AN119" s="78">
        <v>4.6413242317751551E-3</v>
      </c>
      <c r="AO119" s="106">
        <v>-6.3897729684181219E-3</v>
      </c>
      <c r="AU119">
        <v>0</v>
      </c>
      <c r="AV119">
        <v>27</v>
      </c>
      <c r="AW119" t="s">
        <v>540</v>
      </c>
      <c r="AX119" t="s">
        <v>420</v>
      </c>
      <c r="AY119" s="106" t="str">
        <f>INDEX(Pipes_result_save_V1!$G$2:$G$206,MATCH(AX119,Pipes_result_save_V1!$I$2:$I$206,0))</f>
        <v>N124</v>
      </c>
      <c r="AZ119" s="106" t="str">
        <f>INDEX(Pipes_result_save_V1!$H$2:$H$206,MATCH(AX119,Pipes_result_save_V1!$I$2:$I$206,0))</f>
        <v>N125</v>
      </c>
      <c r="BA119" s="106">
        <f t="shared" si="21"/>
        <v>0.1215292557000154</v>
      </c>
      <c r="BB119">
        <v>400</v>
      </c>
      <c r="BC119">
        <v>150</v>
      </c>
      <c r="BD119">
        <v>124</v>
      </c>
      <c r="BE119">
        <v>10.720055706030131</v>
      </c>
      <c r="BF119">
        <v>-0.116116</v>
      </c>
      <c r="BG119">
        <v>-0.19878204295215093</v>
      </c>
      <c r="BH119">
        <v>3.170487646382786</v>
      </c>
      <c r="BI119" s="107">
        <f>INDEX(Pipes_result_save_V1!$K$2:$K$206,MATCH(AX119,Pipes_result_save_V1!$I$2:$I$206,0)) *POWER(10,-3)</f>
        <v>5.1424217224121091E-2</v>
      </c>
      <c r="BJ119" s="78">
        <v>6.0980594748508751E-3</v>
      </c>
      <c r="BK119" s="106">
        <v>4.0927998178015158E-2</v>
      </c>
      <c r="BR119">
        <v>7</v>
      </c>
      <c r="BS119">
        <v>27</v>
      </c>
      <c r="BT119" t="s">
        <v>540</v>
      </c>
      <c r="BU119" t="s">
        <v>189</v>
      </c>
      <c r="BV119" s="106" t="str">
        <f>INDEX(Pipes_result_save_V1!$G$2:$G$206,MATCH(BU119,Pipes_result_save_V1!$I$2:$I$206,0))</f>
        <v>N76</v>
      </c>
      <c r="BW119" s="106" t="str">
        <f>INDEX(Pipes_result_save_V1!$H$2:$H$206,MATCH(BU119,Pipes_result_save_V1!$I$2:$I$206,0))</f>
        <v>N77</v>
      </c>
      <c r="BX119" s="106">
        <f t="shared" si="22"/>
        <v>3.8250255700015404E-2</v>
      </c>
      <c r="BY119">
        <v>250</v>
      </c>
      <c r="BZ119">
        <v>150</v>
      </c>
      <c r="CA119">
        <v>76</v>
      </c>
      <c r="CB119">
        <v>64.84214675546815</v>
      </c>
      <c r="CC119">
        <v>3.8250255700015404E-2</v>
      </c>
      <c r="CD119">
        <v>0.1537787008214912</v>
      </c>
      <c r="CE119">
        <v>7.4456535965401951</v>
      </c>
      <c r="CF119" s="107">
        <f>INDEX(Pipes_result_save_V1!$K$2:$K$206,MATCH(BU119,Pipes_result_save_V1!$I$2:$I$206,0)) *POWER(10,-3)</f>
        <v>5.9427165985107423E-2</v>
      </c>
      <c r="CG119" s="78">
        <v>5.2836406684327718E-3</v>
      </c>
      <c r="CH119" s="106">
        <v>5.1177619231551265E-2</v>
      </c>
      <c r="CN119">
        <v>6</v>
      </c>
      <c r="CO119">
        <v>27</v>
      </c>
      <c r="CP119" t="s">
        <v>540</v>
      </c>
      <c r="CQ119" t="s">
        <v>129</v>
      </c>
      <c r="CR119" s="106" t="str">
        <f>INDEX(Pipes_result_save_V1!$G$2:$G$206,MATCH(CQ119,Pipes_result_save_V1!$I$2:$I$206,0))</f>
        <v>N56</v>
      </c>
      <c r="CS119" s="106" t="str">
        <f>INDEX(Pipes_result_save_V1!$H$2:$H$206,MATCH(CQ119,Pipes_result_save_V1!$I$2:$I$206,0))</f>
        <v>N55</v>
      </c>
      <c r="CT119" s="106">
        <f t="shared" si="23"/>
        <v>3.8250255700015404E-2</v>
      </c>
      <c r="CU119">
        <v>250</v>
      </c>
      <c r="CV119">
        <v>150</v>
      </c>
      <c r="CW119">
        <v>77</v>
      </c>
      <c r="CX119">
        <v>65.695332896987466</v>
      </c>
      <c r="CY119">
        <v>2.3580796114934299E-2</v>
      </c>
      <c r="CZ119">
        <v>6.3608153967064318E-2</v>
      </c>
      <c r="DA119">
        <v>4.9956880409307294</v>
      </c>
      <c r="DB119" s="107">
        <f>INDEX(Pipes_result_save_V1!$K$2:$K$206,MATCH(CQ119,Pipes_result_save_V1!$I$2:$I$206,0)) *POWER(10,-3)</f>
        <v>-2.7671417236328121E-2</v>
      </c>
      <c r="DC119" s="78">
        <v>5.062299104412759E-3</v>
      </c>
      <c r="DD119" s="106">
        <v>-2.0181104574918406E-2</v>
      </c>
      <c r="DL119">
        <v>9</v>
      </c>
      <c r="DM119">
        <v>27</v>
      </c>
      <c r="DN119" t="s">
        <v>539</v>
      </c>
      <c r="DO119" t="s">
        <v>132</v>
      </c>
      <c r="DP119" s="106" t="str">
        <f>INDEX(Pipes_result_save_V1!$G$2:$G$206,MATCH(DO119,Pipes_result_save_V1!$I$2:$I$206,0))</f>
        <v>N38</v>
      </c>
      <c r="DQ119" s="106" t="str">
        <f>INDEX(Pipes_result_save_V1!$H$2:$H$206,MATCH(DO119,Pipes_result_save_V1!$I$2:$I$206,0))</f>
        <v>N37</v>
      </c>
      <c r="DR119" s="106">
        <f t="shared" si="24"/>
        <v>3.8250255700015404E-2</v>
      </c>
      <c r="DS119">
        <v>350</v>
      </c>
      <c r="DT119">
        <v>150</v>
      </c>
      <c r="DU119">
        <v>101</v>
      </c>
      <c r="DV119">
        <v>16.733065246863553</v>
      </c>
      <c r="DW119">
        <v>-9.4864356265488253E-2</v>
      </c>
      <c r="DX119">
        <v>-0.21338818969147089</v>
      </c>
      <c r="DY119">
        <v>4.1658947877389041</v>
      </c>
      <c r="DZ119" s="107">
        <f>INDEX(Pipes_result_save_V1!$K$2:$K$206,MATCH(DO119,Pipes_result_save_V1!$I$2:$I$206,0)) *POWER(10,-3)</f>
        <v>-0.1133800048828125</v>
      </c>
      <c r="EA119" s="78">
        <v>6.4922119596177389E-3</v>
      </c>
      <c r="EB119" s="106">
        <v>-0.10533089359635989</v>
      </c>
      <c r="EI119">
        <v>14</v>
      </c>
      <c r="EJ119">
        <v>27</v>
      </c>
      <c r="EK119" t="s">
        <v>540</v>
      </c>
      <c r="EL119" t="s">
        <v>144</v>
      </c>
      <c r="EM119" s="106" t="str">
        <f>INDEX(Pipes_result_save_V1!$G$2:$G$206,MATCH(EL119,Pipes_result_save_V1!$I$2:$I$206,0))</f>
        <v>N26</v>
      </c>
      <c r="EN119" s="106" t="str">
        <f>INDEX(Pipes_result_save_V1!$H$2:$H$206,MATCH(EL119,Pipes_result_save_V1!$I$2:$I$206,0))</f>
        <v>N25</v>
      </c>
      <c r="EO119" s="106">
        <f t="shared" si="25"/>
        <v>3.8250255700015404E-2</v>
      </c>
      <c r="EP119">
        <v>466</v>
      </c>
      <c r="EQ119">
        <v>150</v>
      </c>
      <c r="ER119">
        <v>76</v>
      </c>
      <c r="ES119">
        <v>3.1225928922840178</v>
      </c>
      <c r="ET119">
        <v>1.1995439849446052E-2</v>
      </c>
      <c r="EU119">
        <v>8.6467584549903057E-4</v>
      </c>
      <c r="EV119">
        <v>0.13349903679756739</v>
      </c>
      <c r="EW119" s="107">
        <f>INDEX(Pipes_result_save_V1!$K$2:$K$206,MATCH(EL119,Pipes_result_save_V1!$I$2:$I$206,0)) *POWER(10,-3)</f>
        <v>-0.20114678955078119</v>
      </c>
      <c r="EX119" s="78">
        <v>5.4945029180460039E-3</v>
      </c>
      <c r="EY119" s="78">
        <v>-0.19316319259177056</v>
      </c>
    </row>
    <row r="120" spans="2:155" ht="30" x14ac:dyDescent="0.25">
      <c r="B120" s="106">
        <v>28</v>
      </c>
      <c r="C120" s="106" t="s">
        <v>539</v>
      </c>
      <c r="D120" s="106" t="s">
        <v>221</v>
      </c>
      <c r="E120" s="106" t="str">
        <f>INDEX(Pipes_result_save_V1!$G$2:$G$206,MATCH(D120,Pipes_result_save_V1!$I$2:$I$206,0))</f>
        <v>N150</v>
      </c>
      <c r="F120" s="106" t="str">
        <f>INDEX(Pipes_result_save_V1!$H$2:$H$206,MATCH(D120,Pipes_result_save_V1!$I$2:$I$206,0))</f>
        <v>N151</v>
      </c>
      <c r="G120" s="106">
        <f t="shared" si="18"/>
        <v>4.3596935076183493E-2</v>
      </c>
      <c r="H120" s="107">
        <v>250</v>
      </c>
      <c r="I120" s="107">
        <v>150</v>
      </c>
      <c r="J120" s="107">
        <v>35</v>
      </c>
      <c r="K120" s="107">
        <v>29.861514953176123</v>
      </c>
      <c r="L120" s="107">
        <v>3.5000000000000003E-2</v>
      </c>
      <c r="M120" s="107">
        <v>6.0079437098534257E-2</v>
      </c>
      <c r="N120" s="107">
        <v>3.1790605001852987</v>
      </c>
      <c r="O120" s="107">
        <f t="shared" si="19"/>
        <v>-4.3596935076183493E-2</v>
      </c>
      <c r="P120" s="78">
        <v>6.2636550694442038E-3</v>
      </c>
      <c r="Q120" s="106">
        <v>-3.6561618921322654E-3</v>
      </c>
      <c r="R120" s="78"/>
      <c r="S120" s="78"/>
      <c r="T120" s="78"/>
      <c r="U120" s="78"/>
      <c r="V120" s="78"/>
      <c r="W120" s="78">
        <v>27</v>
      </c>
      <c r="X120" s="78">
        <v>28</v>
      </c>
      <c r="Y120" s="78" t="s">
        <v>540</v>
      </c>
      <c r="Z120" s="78" t="s">
        <v>219</v>
      </c>
      <c r="AA120" s="106" t="str">
        <f>INDEX(Pipes_result_save_V1!$G$2:$G$206,MATCH(Z120,Pipes_result_save_V1!$I$2:$I$206,0))</f>
        <v>N149</v>
      </c>
      <c r="AB120" s="106" t="str">
        <f>INDEX(Pipes_result_save_V1!$H$2:$H$206,MATCH(Z120,Pipes_result_save_V1!$I$2:$I$206,0))</f>
        <v>N150</v>
      </c>
      <c r="AC120" s="106">
        <f t="shared" si="20"/>
        <v>4.8596935076183498E-2</v>
      </c>
      <c r="AD120" s="78">
        <v>200</v>
      </c>
      <c r="AE120" s="78">
        <v>150</v>
      </c>
      <c r="AF120" s="78">
        <v>30</v>
      </c>
      <c r="AG120" s="78">
        <v>75.895097037358298</v>
      </c>
      <c r="AH120" s="78">
        <v>3.6596935076183557E-2</v>
      </c>
      <c r="AI120" s="78">
        <v>1</v>
      </c>
      <c r="AJ120" s="78">
        <v>-1</v>
      </c>
      <c r="AK120" s="78">
        <v>0.16584918199856438</v>
      </c>
      <c r="AL120">
        <v>8.392852691678792</v>
      </c>
      <c r="AM120" s="107">
        <f>INDEX(Pipes_result_save_V1!$K$2:$K$206,MATCH(Z120,Pipes_result_save_V1!$I$2:$I$206,0)) *POWER(10,-3)</f>
        <v>-1.3466668128967291E-2</v>
      </c>
      <c r="AN120" s="78">
        <v>1.8270960762708306E-3</v>
      </c>
      <c r="AO120" s="106">
        <v>-8.3728805994768805E-3</v>
      </c>
      <c r="AU120">
        <v>0</v>
      </c>
      <c r="AV120">
        <v>28</v>
      </c>
      <c r="AW120" t="s">
        <v>540</v>
      </c>
      <c r="AX120" t="s">
        <v>288</v>
      </c>
      <c r="AY120" s="106" t="str">
        <f>INDEX(Pipes_result_save_V1!$G$2:$G$206,MATCH(AX120,Pipes_result_save_V1!$I$2:$I$206,0))</f>
        <v>N125</v>
      </c>
      <c r="AZ120" s="106" t="str">
        <f>INDEX(Pipes_result_save_V1!$H$2:$H$206,MATCH(AX120,Pipes_result_save_V1!$I$2:$I$206,0))</f>
        <v>N126</v>
      </c>
      <c r="BA120" s="106">
        <f t="shared" si="21"/>
        <v>0.1215292557000154</v>
      </c>
      <c r="BB120">
        <v>400</v>
      </c>
      <c r="BC120">
        <v>150</v>
      </c>
      <c r="BD120">
        <v>125</v>
      </c>
      <c r="BE120">
        <v>10.806507768175534</v>
      </c>
      <c r="BF120">
        <v>-0.116116</v>
      </c>
      <c r="BG120">
        <v>-0.2003851239437005</v>
      </c>
      <c r="BH120">
        <v>3.1960560951439372</v>
      </c>
      <c r="BI120" s="107">
        <f>INDEX(Pipes_result_save_V1!$K$2:$K$206,MATCH(AX120,Pipes_result_save_V1!$I$2:$I$206,0)) *POWER(10,-3)</f>
        <v>4.8223403930664065E-2</v>
      </c>
      <c r="BJ120" s="78">
        <v>6.2050964582661267E-3</v>
      </c>
      <c r="BK120" s="106">
        <v>4.0713571704403463E-2</v>
      </c>
      <c r="BR120">
        <v>8</v>
      </c>
      <c r="BS120">
        <v>28</v>
      </c>
      <c r="BT120" t="s">
        <v>540</v>
      </c>
      <c r="BU120" t="s">
        <v>188</v>
      </c>
      <c r="BV120" s="106" t="str">
        <f>INDEX(Pipes_result_save_V1!$G$2:$G$206,MATCH(BU120,Pipes_result_save_V1!$I$2:$I$206,0))</f>
        <v>N77</v>
      </c>
      <c r="BW120" s="106" t="str">
        <f>INDEX(Pipes_result_save_V1!$H$2:$H$206,MATCH(BU120,Pipes_result_save_V1!$I$2:$I$206,0))</f>
        <v>N78</v>
      </c>
      <c r="BX120" s="106">
        <f t="shared" si="22"/>
        <v>3.8250255700015404E-2</v>
      </c>
      <c r="BY120">
        <v>250</v>
      </c>
      <c r="BZ120">
        <v>150</v>
      </c>
      <c r="CA120">
        <v>80</v>
      </c>
      <c r="CB120">
        <v>68.254891321545429</v>
      </c>
      <c r="CC120">
        <v>3.8250255700015404E-2</v>
      </c>
      <c r="CD120">
        <v>0.16187231665420129</v>
      </c>
      <c r="CE120">
        <v>7.8375301016212582</v>
      </c>
      <c r="CF120" s="107">
        <f>INDEX(Pipes_result_save_V1!$K$2:$K$206,MATCH(BU120,Pipes_result_save_V1!$I$2:$I$206,0)) *POWER(10,-3)</f>
        <v>5.8537097930908201E-2</v>
      </c>
      <c r="CG120" s="78">
        <v>5.2488735653697808E-3</v>
      </c>
      <c r="CH120" s="106">
        <v>5.0298290403044552E-2</v>
      </c>
      <c r="CN120">
        <v>7</v>
      </c>
      <c r="CO120">
        <v>28</v>
      </c>
      <c r="CP120" t="s">
        <v>540</v>
      </c>
      <c r="CQ120" t="s">
        <v>128</v>
      </c>
      <c r="CR120" s="106" t="str">
        <f>INDEX(Pipes_result_save_V1!$G$2:$G$206,MATCH(CQ120,Pipes_result_save_V1!$I$2:$I$206,0))</f>
        <v>N57</v>
      </c>
      <c r="CS120" s="106" t="str">
        <f>INDEX(Pipes_result_save_V1!$H$2:$H$206,MATCH(CQ120,Pipes_result_save_V1!$I$2:$I$206,0))</f>
        <v>N56</v>
      </c>
      <c r="CT120" s="106">
        <f t="shared" si="23"/>
        <v>3.8250255700015404E-2</v>
      </c>
      <c r="CU120">
        <v>250</v>
      </c>
      <c r="CV120">
        <v>150</v>
      </c>
      <c r="CW120">
        <v>76</v>
      </c>
      <c r="CX120">
        <v>64.84214675546815</v>
      </c>
      <c r="CY120">
        <v>2.3580796114934299E-2</v>
      </c>
      <c r="CZ120">
        <v>6.2782074045414138E-2</v>
      </c>
      <c r="DA120">
        <v>4.930808975464096</v>
      </c>
      <c r="DB120" s="107">
        <f>INDEX(Pipes_result_save_V1!$K$2:$K$206,MATCH(CQ120,Pipes_result_save_V1!$I$2:$I$206,0)) *POWER(10,-3)</f>
        <v>-2.6798467636108398E-2</v>
      </c>
      <c r="DC120" s="78">
        <v>5.3714062733476991E-3</v>
      </c>
      <c r="DD120" s="106">
        <v>-1.9352841685969003E-2</v>
      </c>
      <c r="DL120">
        <v>10</v>
      </c>
      <c r="DM120">
        <v>28</v>
      </c>
      <c r="DN120" t="s">
        <v>539</v>
      </c>
      <c r="DO120" t="s">
        <v>408</v>
      </c>
      <c r="DP120" s="106" t="str">
        <f>INDEX(Pipes_result_save_V1!$G$2:$G$206,MATCH(DO120,Pipes_result_save_V1!$I$2:$I$206,0))</f>
        <v>N39</v>
      </c>
      <c r="DQ120" s="106" t="str">
        <f>INDEX(Pipes_result_save_V1!$H$2:$H$206,MATCH(DO120,Pipes_result_save_V1!$I$2:$I$206,0))</f>
        <v>N38</v>
      </c>
      <c r="DR120" s="106">
        <f t="shared" si="24"/>
        <v>3.8250255700015404E-2</v>
      </c>
      <c r="DS120">
        <v>350</v>
      </c>
      <c r="DT120">
        <v>150</v>
      </c>
      <c r="DU120">
        <v>91</v>
      </c>
      <c r="DV120">
        <v>15.076326113510728</v>
      </c>
      <c r="DW120">
        <v>-9.4864356265488253E-2</v>
      </c>
      <c r="DX120">
        <v>-0.19226064615766192</v>
      </c>
      <c r="DY120">
        <v>3.7534299572697059</v>
      </c>
      <c r="DZ120" s="107">
        <f>INDEX(Pipes_result_save_V1!$K$2:$K$206,MATCH(DO120,Pipes_result_save_V1!$I$2:$I$206,0)) *POWER(10,-3)</f>
        <v>-0.112284538269043</v>
      </c>
      <c r="EA120" s="78">
        <v>5.4277349348454363E-3</v>
      </c>
      <c r="EB120" s="106">
        <v>-0.10509449761539394</v>
      </c>
      <c r="EI120">
        <v>15</v>
      </c>
      <c r="EJ120">
        <v>28</v>
      </c>
      <c r="EK120" t="s">
        <v>540</v>
      </c>
      <c r="EL120" t="s">
        <v>142</v>
      </c>
      <c r="EM120" s="106" t="str">
        <f>INDEX(Pipes_result_save_V1!$G$2:$G$206,MATCH(EL120,Pipes_result_save_V1!$I$2:$I$206,0))</f>
        <v>N27</v>
      </c>
      <c r="EN120" s="106" t="str">
        <f>INDEX(Pipes_result_save_V1!$H$2:$H$206,MATCH(EL120,Pipes_result_save_V1!$I$2:$I$206,0))</f>
        <v>N26</v>
      </c>
      <c r="EO120" s="106">
        <f t="shared" si="25"/>
        <v>3.8250255700015404E-2</v>
      </c>
      <c r="EP120">
        <v>466</v>
      </c>
      <c r="EQ120">
        <v>150</v>
      </c>
      <c r="ER120">
        <v>76</v>
      </c>
      <c r="ES120">
        <v>3.1225928922840178</v>
      </c>
      <c r="ET120">
        <v>-0.17814435626548825</v>
      </c>
      <c r="EU120">
        <v>-0.1279219989031645</v>
      </c>
      <c r="EV120">
        <v>1.3298851949909192</v>
      </c>
      <c r="EW120" s="107">
        <f>INDEX(Pipes_result_save_V1!$K$2:$K$206,MATCH(EL120,Pipes_result_save_V1!$I$2:$I$206,0)) *POWER(10,-3)</f>
        <v>-0.2002795562744141</v>
      </c>
      <c r="EX120" s="78">
        <v>6.0250912181511705E-3</v>
      </c>
      <c r="EY120" s="78">
        <v>-0.1892810904984645</v>
      </c>
    </row>
    <row r="121" spans="2:155" ht="30" x14ac:dyDescent="0.25">
      <c r="B121" s="106">
        <v>29</v>
      </c>
      <c r="C121" s="106" t="s">
        <v>539</v>
      </c>
      <c r="D121" s="106" t="s">
        <v>222</v>
      </c>
      <c r="E121" s="106" t="str">
        <f>INDEX(Pipes_result_save_V1!$G$2:$G$206,MATCH(D121,Pipes_result_save_V1!$I$2:$I$206,0))</f>
        <v>N151</v>
      </c>
      <c r="F121" s="106" t="str">
        <f>INDEX(Pipes_result_save_V1!$H$2:$H$206,MATCH(D121,Pipes_result_save_V1!$I$2:$I$206,0))</f>
        <v>N152</v>
      </c>
      <c r="G121" s="106">
        <f t="shared" si="18"/>
        <v>2.9596935076183495E-2</v>
      </c>
      <c r="H121" s="107">
        <v>250</v>
      </c>
      <c r="I121" s="107">
        <v>150</v>
      </c>
      <c r="J121" s="107">
        <v>49</v>
      </c>
      <c r="K121" s="107">
        <v>41.806120934446568</v>
      </c>
      <c r="L121" s="107">
        <v>4.9000000000000002E-2</v>
      </c>
      <c r="M121" s="107">
        <v>0.15684945454255206</v>
      </c>
      <c r="N121" s="107">
        <v>5.9282691798531921</v>
      </c>
      <c r="O121" s="107">
        <f t="shared" si="19"/>
        <v>-2.9596935076183495E-2</v>
      </c>
      <c r="P121" s="78">
        <v>6.3015075509666851E-3</v>
      </c>
      <c r="Q121" s="106">
        <v>1.0848954383891685E-3</v>
      </c>
      <c r="R121" s="78"/>
      <c r="S121" s="78"/>
      <c r="T121" s="78"/>
      <c r="U121" s="78"/>
      <c r="V121" s="78"/>
      <c r="W121" s="78">
        <v>28</v>
      </c>
      <c r="X121" s="78">
        <v>29</v>
      </c>
      <c r="Y121" s="78" t="s">
        <v>540</v>
      </c>
      <c r="Z121" s="78" t="s">
        <v>221</v>
      </c>
      <c r="AA121" s="106" t="str">
        <f>INDEX(Pipes_result_save_V1!$G$2:$G$206,MATCH(Z121,Pipes_result_save_V1!$I$2:$I$206,0))</f>
        <v>N150</v>
      </c>
      <c r="AB121" s="106" t="str">
        <f>INDEX(Pipes_result_save_V1!$H$2:$H$206,MATCH(Z121,Pipes_result_save_V1!$I$2:$I$206,0))</f>
        <v>N151</v>
      </c>
      <c r="AC121" s="106">
        <f t="shared" si="20"/>
        <v>4.3596935076183493E-2</v>
      </c>
      <c r="AD121" s="78">
        <v>200</v>
      </c>
      <c r="AE121" s="78">
        <v>150</v>
      </c>
      <c r="AF121" s="78">
        <v>35</v>
      </c>
      <c r="AG121" s="78">
        <v>88.544279876918011</v>
      </c>
      <c r="AH121" s="78">
        <v>4.1596935076183561E-2</v>
      </c>
      <c r="AI121" s="78">
        <v>1</v>
      </c>
      <c r="AJ121" s="78">
        <v>-1</v>
      </c>
      <c r="AK121" s="78">
        <v>0.24527997752358771</v>
      </c>
      <c r="AL121">
        <v>10.920480500347525</v>
      </c>
      <c r="AM121" s="107">
        <f>INDEX(Pipes_result_save_V1!$K$2:$K$206,MATCH(Z121,Pipes_result_save_V1!$I$2:$I$206,0)) *POWER(10,-3)</f>
        <v>-1.3837529182434081E-2</v>
      </c>
      <c r="AN121" s="78">
        <v>2.3840699958634017E-3</v>
      </c>
      <c r="AO121" s="106">
        <v>-1.0260132054539746E-2</v>
      </c>
      <c r="AU121">
        <v>0</v>
      </c>
      <c r="AV121">
        <v>29</v>
      </c>
      <c r="AW121" t="s">
        <v>540</v>
      </c>
      <c r="AX121" t="s">
        <v>423</v>
      </c>
      <c r="AY121" s="106" t="str">
        <f>INDEX(Pipes_result_save_V1!$G$2:$G$206,MATCH(AX121,Pipes_result_save_V1!$I$2:$I$206,0))</f>
        <v>N126</v>
      </c>
      <c r="AZ121" s="106" t="str">
        <f>INDEX(Pipes_result_save_V1!$H$2:$H$206,MATCH(AX121,Pipes_result_save_V1!$I$2:$I$206,0))</f>
        <v>N127</v>
      </c>
      <c r="BA121" s="106">
        <f t="shared" si="21"/>
        <v>0.1215292557000154</v>
      </c>
      <c r="BB121">
        <v>400</v>
      </c>
      <c r="BC121">
        <v>150</v>
      </c>
      <c r="BD121">
        <v>126</v>
      </c>
      <c r="BE121">
        <v>10.892959830320939</v>
      </c>
      <c r="BF121">
        <v>-0.116116</v>
      </c>
      <c r="BG121">
        <v>-0.20198820493525013</v>
      </c>
      <c r="BH121">
        <v>3.2216245439050888</v>
      </c>
      <c r="BI121" s="107">
        <f>INDEX(Pipes_result_save_V1!$K$2:$K$206,MATCH(AX121,Pipes_result_save_V1!$I$2:$I$206,0)) *POWER(10,-3)</f>
        <v>4.4782958984375003E-2</v>
      </c>
      <c r="BJ121" s="78">
        <v>6.0282994137934916E-3</v>
      </c>
      <c r="BK121" s="106">
        <v>3.6942108789560085E-2</v>
      </c>
      <c r="BR121">
        <v>9</v>
      </c>
      <c r="BS121">
        <v>29</v>
      </c>
      <c r="BT121" t="s">
        <v>540</v>
      </c>
      <c r="BU121" t="s">
        <v>186</v>
      </c>
      <c r="BV121" s="106" t="str">
        <f>INDEX(Pipes_result_save_V1!$G$2:$G$206,MATCH(BU121,Pipes_result_save_V1!$I$2:$I$206,0))</f>
        <v>N78</v>
      </c>
      <c r="BW121" s="106" t="str">
        <f>INDEX(Pipes_result_save_V1!$H$2:$H$206,MATCH(BU121,Pipes_result_save_V1!$I$2:$I$206,0))</f>
        <v>N79</v>
      </c>
      <c r="BX121" s="106">
        <f t="shared" si="22"/>
        <v>3.8250255700015404E-2</v>
      </c>
      <c r="BY121">
        <v>250</v>
      </c>
      <c r="BZ121">
        <v>150</v>
      </c>
      <c r="CA121">
        <v>158</v>
      </c>
      <c r="CB121">
        <v>134.80341036005223</v>
      </c>
      <c r="CC121">
        <v>3.8250255700015404E-2</v>
      </c>
      <c r="CD121">
        <v>0.31969782539204755</v>
      </c>
      <c r="CE121">
        <v>15.479121950701986</v>
      </c>
      <c r="CF121" s="107">
        <f>INDEX(Pipes_result_save_V1!$K$2:$K$206,MATCH(BU121,Pipes_result_save_V1!$I$2:$I$206,0)) *POWER(10,-3)</f>
        <v>5.7179180145263672E-2</v>
      </c>
      <c r="CG121" s="78">
        <v>5.6124939788949543E-3</v>
      </c>
      <c r="CH121" s="106">
        <v>5.1011103941963523E-2</v>
      </c>
      <c r="CN121">
        <v>8</v>
      </c>
      <c r="CO121">
        <v>29</v>
      </c>
      <c r="CP121" t="s">
        <v>540</v>
      </c>
      <c r="CQ121" t="s">
        <v>127</v>
      </c>
      <c r="CR121" s="106" t="str">
        <f>INDEX(Pipes_result_save_V1!$G$2:$G$206,MATCH(CQ121,Pipes_result_save_V1!$I$2:$I$206,0))</f>
        <v>N58</v>
      </c>
      <c r="CS121" s="106" t="str">
        <f>INDEX(Pipes_result_save_V1!$H$2:$H$206,MATCH(CQ121,Pipes_result_save_V1!$I$2:$I$206,0))</f>
        <v>N57</v>
      </c>
      <c r="CT121" s="106">
        <f t="shared" si="23"/>
        <v>3.8250255700015404E-2</v>
      </c>
      <c r="CU121">
        <v>250</v>
      </c>
      <c r="CV121">
        <v>150</v>
      </c>
      <c r="CW121">
        <v>36</v>
      </c>
      <c r="CX121">
        <v>30.714701094695442</v>
      </c>
      <c r="CY121">
        <v>2.3580796114934299E-2</v>
      </c>
      <c r="CZ121">
        <v>2.9738877179406698E-2</v>
      </c>
      <c r="DA121">
        <v>2.3356463567987826</v>
      </c>
      <c r="DB121" s="107">
        <f>INDEX(Pipes_result_save_V1!$K$2:$K$206,MATCH(CQ121,Pipes_result_save_V1!$I$2:$I$206,0)) *POWER(10,-3)</f>
        <v>-2.6159444808959962E-2</v>
      </c>
      <c r="DC121" s="78">
        <v>5.7711082707646308E-3</v>
      </c>
      <c r="DD121" s="106">
        <v>-1.4437370294097857E-2</v>
      </c>
      <c r="DL121">
        <v>11</v>
      </c>
      <c r="DM121">
        <v>29</v>
      </c>
      <c r="DN121" t="s">
        <v>539</v>
      </c>
      <c r="DO121" t="s">
        <v>172</v>
      </c>
      <c r="DP121" s="106" t="str">
        <f>INDEX(Pipes_result_save_V1!$G$2:$G$206,MATCH(DO121,Pipes_result_save_V1!$I$2:$I$206,0))</f>
        <v>N40</v>
      </c>
      <c r="DQ121" s="106" t="str">
        <f>INDEX(Pipes_result_save_V1!$H$2:$H$206,MATCH(DO121,Pipes_result_save_V1!$I$2:$I$206,0))</f>
        <v>N39</v>
      </c>
      <c r="DR121" s="106">
        <f t="shared" si="24"/>
        <v>3.8249255700015396E-2</v>
      </c>
      <c r="DS121">
        <v>350</v>
      </c>
      <c r="DT121">
        <v>150</v>
      </c>
      <c r="DU121">
        <v>87</v>
      </c>
      <c r="DV121">
        <v>14.413630460169598</v>
      </c>
      <c r="DW121">
        <v>-9.4864356265488253E-2</v>
      </c>
      <c r="DX121">
        <v>-0.18380962874413831</v>
      </c>
      <c r="DY121">
        <v>3.5884440250820266</v>
      </c>
      <c r="DZ121" s="107">
        <f>INDEX(Pipes_result_save_V1!$K$2:$K$206,MATCH(DO121,Pipes_result_save_V1!$I$2:$I$206,0)) *POWER(10,-3)</f>
        <v>-0.1112689437866211</v>
      </c>
      <c r="EA121" s="78">
        <v>5.8751203523214196E-3</v>
      </c>
      <c r="EB121" s="106">
        <v>-0.10171598192724855</v>
      </c>
      <c r="EI121">
        <v>16</v>
      </c>
      <c r="EJ121">
        <v>29</v>
      </c>
      <c r="EK121" t="s">
        <v>540</v>
      </c>
      <c r="EL121" t="s">
        <v>143</v>
      </c>
      <c r="EM121" s="106" t="str">
        <f>INDEX(Pipes_result_save_V1!$G$2:$G$206,MATCH(EL121,Pipes_result_save_V1!$I$2:$I$206,0))</f>
        <v>N28</v>
      </c>
      <c r="EN121" s="106" t="str">
        <f>INDEX(Pipes_result_save_V1!$H$2:$H$206,MATCH(EL121,Pipes_result_save_V1!$I$2:$I$206,0))</f>
        <v>N27</v>
      </c>
      <c r="EO121" s="106">
        <f t="shared" si="25"/>
        <v>3.8250255700015404E-2</v>
      </c>
      <c r="EP121">
        <v>466</v>
      </c>
      <c r="EQ121">
        <v>150</v>
      </c>
      <c r="ER121">
        <v>80</v>
      </c>
      <c r="ES121">
        <v>3.2869398866147552</v>
      </c>
      <c r="ET121">
        <v>0.15497564373451178</v>
      </c>
      <c r="EU121">
        <v>0.1040302564442831</v>
      </c>
      <c r="EV121">
        <v>1.2431891250270548</v>
      </c>
      <c r="EW121" s="107">
        <f>INDEX(Pipes_result_save_V1!$K$2:$K$206,MATCH(EL121,Pipes_result_save_V1!$I$2:$I$206,0)) *POWER(10,-3)</f>
        <v>-0.19938948059082032</v>
      </c>
      <c r="EX121" s="78">
        <v>6.4190839034113153E-3</v>
      </c>
      <c r="EY121" s="78">
        <v>-0.18749754345472944</v>
      </c>
    </row>
    <row r="122" spans="2:155" ht="30" x14ac:dyDescent="0.25">
      <c r="B122" s="106">
        <v>30</v>
      </c>
      <c r="C122" s="106" t="s">
        <v>539</v>
      </c>
      <c r="D122" s="106" t="s">
        <v>223</v>
      </c>
      <c r="E122" s="106" t="str">
        <f>INDEX(Pipes_result_save_V1!$G$2:$G$206,MATCH(D122,Pipes_result_save_V1!$I$2:$I$206,0))</f>
        <v>N152</v>
      </c>
      <c r="F122" s="106" t="str">
        <f>INDEX(Pipes_result_save_V1!$H$2:$H$206,MATCH(D122,Pipes_result_save_V1!$I$2:$I$206,0))</f>
        <v>N153</v>
      </c>
      <c r="G122" s="106">
        <f t="shared" si="18"/>
        <v>1.0403064923816499E-2</v>
      </c>
      <c r="H122" s="107">
        <v>350</v>
      </c>
      <c r="I122" s="107">
        <v>150</v>
      </c>
      <c r="J122" s="107">
        <v>89</v>
      </c>
      <c r="K122" s="107">
        <v>14.744978286840164</v>
      </c>
      <c r="L122" s="107">
        <v>8.8999999999999996E-2</v>
      </c>
      <c r="M122" s="107">
        <v>0.16707613867720356</v>
      </c>
      <c r="N122" s="107">
        <v>3.4766854924739459</v>
      </c>
      <c r="O122" s="107">
        <f t="shared" si="19"/>
        <v>1.0403064923816499E-2</v>
      </c>
      <c r="P122" s="78">
        <v>5.2604005576389985E-3</v>
      </c>
      <c r="Q122" s="106">
        <v>-5.9681022591876161E-3</v>
      </c>
      <c r="R122" s="78"/>
      <c r="S122" s="78"/>
      <c r="T122" s="78"/>
      <c r="U122" s="78"/>
      <c r="V122" s="78"/>
      <c r="W122" s="78">
        <v>29</v>
      </c>
      <c r="X122" s="78">
        <v>30</v>
      </c>
      <c r="Y122" s="78" t="s">
        <v>540</v>
      </c>
      <c r="Z122" s="78" t="s">
        <v>222</v>
      </c>
      <c r="AA122" s="106" t="str">
        <f>INDEX(Pipes_result_save_V1!$G$2:$G$206,MATCH(Z122,Pipes_result_save_V1!$I$2:$I$206,0))</f>
        <v>N151</v>
      </c>
      <c r="AB122" s="106" t="str">
        <f>INDEX(Pipes_result_save_V1!$H$2:$H$206,MATCH(Z122,Pipes_result_save_V1!$I$2:$I$206,0))</f>
        <v>N152</v>
      </c>
      <c r="AC122" s="106">
        <f t="shared" si="20"/>
        <v>2.9596935076183495E-2</v>
      </c>
      <c r="AD122" s="78">
        <v>200</v>
      </c>
      <c r="AE122" s="78">
        <v>150</v>
      </c>
      <c r="AF122" s="78">
        <v>49</v>
      </c>
      <c r="AG122" s="78">
        <v>123.9619918276852</v>
      </c>
      <c r="AH122" s="78">
        <v>5.559693507618356E-2</v>
      </c>
      <c r="AI122" s="78">
        <v>1</v>
      </c>
      <c r="AJ122" s="78">
        <v>-1</v>
      </c>
      <c r="AK122" s="78">
        <v>0.5876553864915437</v>
      </c>
      <c r="AL122">
        <v>19.575499517932183</v>
      </c>
      <c r="AM122" s="107">
        <f>INDEX(Pipes_result_save_V1!$K$2:$K$206,MATCH(Z122,Pipes_result_save_V1!$I$2:$I$206,0)) *POWER(10,-3)</f>
        <v>-1.431679439544678E-2</v>
      </c>
      <c r="AN122" s="78">
        <v>3.2517551055962412E-3</v>
      </c>
      <c r="AO122" s="106">
        <v>-8.4964982639479762E-3</v>
      </c>
      <c r="AU122">
        <v>7</v>
      </c>
      <c r="AV122">
        <v>30</v>
      </c>
      <c r="AW122" t="s">
        <v>540</v>
      </c>
      <c r="AX122" t="s">
        <v>292</v>
      </c>
      <c r="AY122" s="106" t="str">
        <f>INDEX(Pipes_result_save_V1!$G$2:$G$206,MATCH(AX122,Pipes_result_save_V1!$I$2:$I$206,0))</f>
        <v>N128</v>
      </c>
      <c r="AZ122" s="106" t="str">
        <f>INDEX(Pipes_result_save_V1!$H$2:$H$206,MATCH(AX122,Pipes_result_save_V1!$I$2:$I$206,0))</f>
        <v>N127</v>
      </c>
      <c r="BA122" s="106">
        <f t="shared" si="21"/>
        <v>3.5211178482065772E-2</v>
      </c>
      <c r="BB122">
        <v>300</v>
      </c>
      <c r="BC122">
        <v>150</v>
      </c>
      <c r="BD122">
        <v>127</v>
      </c>
      <c r="BE122">
        <v>44.581601337707689</v>
      </c>
      <c r="BF122">
        <v>3.5211178482065772E-2</v>
      </c>
      <c r="BG122">
        <v>9.0700161921813224E-2</v>
      </c>
      <c r="BH122">
        <v>4.7705503513537426</v>
      </c>
      <c r="BI122" s="107">
        <f>INDEX(Pipes_result_save_V1!$K$2:$K$206,MATCH(AX122,Pipes_result_save_V1!$I$2:$I$206,0)) *POWER(10,-3)</f>
        <v>-9.0811767578125001E-3</v>
      </c>
      <c r="BJ122" s="78">
        <v>5.9779408338353681E-3</v>
      </c>
      <c r="BK122" s="106">
        <v>8.373733775964903E-4</v>
      </c>
      <c r="BR122">
        <v>10</v>
      </c>
      <c r="BS122">
        <v>30</v>
      </c>
      <c r="BT122" t="s">
        <v>540</v>
      </c>
      <c r="BU122" t="s">
        <v>187</v>
      </c>
      <c r="BV122" s="106" t="str">
        <f>INDEX(Pipes_result_save_V1!$G$2:$G$206,MATCH(BU122,Pipes_result_save_V1!$I$2:$I$206,0))</f>
        <v>N80</v>
      </c>
      <c r="BW122" s="106" t="str">
        <f>INDEX(Pipes_result_save_V1!$H$2:$H$206,MATCH(BU122,Pipes_result_save_V1!$I$2:$I$206,0))</f>
        <v>N79</v>
      </c>
      <c r="BX122" s="106">
        <f t="shared" si="22"/>
        <v>3.8250255700015404E-2</v>
      </c>
      <c r="BY122">
        <v>250</v>
      </c>
      <c r="BZ122">
        <v>150</v>
      </c>
      <c r="CA122">
        <v>70</v>
      </c>
      <c r="CB122">
        <v>59.723029906352245</v>
      </c>
      <c r="CC122">
        <v>3.8250255700015404E-2</v>
      </c>
      <c r="CD122">
        <v>0.1416382770724261</v>
      </c>
      <c r="CE122">
        <v>6.8578388389186014</v>
      </c>
      <c r="CF122" s="107">
        <f>INDEX(Pipes_result_save_V1!$K$2:$K$206,MATCH(BU122,Pipes_result_save_V1!$I$2:$I$206,0)) *POWER(10,-3)</f>
        <v>-5.5878314971923831E-2</v>
      </c>
      <c r="CG122" s="78">
        <v>5.1138449131267567E-3</v>
      </c>
      <c r="CH122" s="106">
        <v>-4.7020599573514871E-2</v>
      </c>
      <c r="CN122">
        <v>9</v>
      </c>
      <c r="CO122">
        <v>30</v>
      </c>
      <c r="CP122" t="s">
        <v>540</v>
      </c>
      <c r="CQ122" t="s">
        <v>126</v>
      </c>
      <c r="CR122" s="106" t="str">
        <f>INDEX(Pipes_result_save_V1!$G$2:$G$206,MATCH(CQ122,Pipes_result_save_V1!$I$2:$I$206,0))</f>
        <v>N59</v>
      </c>
      <c r="CS122" s="106" t="str">
        <f>INDEX(Pipes_result_save_V1!$H$2:$H$206,MATCH(CQ122,Pipes_result_save_V1!$I$2:$I$206,0))</f>
        <v>N58</v>
      </c>
      <c r="CT122" s="106">
        <f t="shared" si="23"/>
        <v>3.8250255700015404E-2</v>
      </c>
      <c r="CU122">
        <v>250</v>
      </c>
      <c r="CV122">
        <v>150</v>
      </c>
      <c r="CW122">
        <v>32</v>
      </c>
      <c r="CX122">
        <v>27.30195652861817</v>
      </c>
      <c r="CY122">
        <v>2.3580796114934299E-2</v>
      </c>
      <c r="CZ122">
        <v>2.6434557492805953E-2</v>
      </c>
      <c r="DA122">
        <v>2.076130094932251</v>
      </c>
      <c r="DB122" s="107">
        <f>INDEX(Pipes_result_save_V1!$K$2:$K$206,MATCH(CQ122,Pipes_result_save_V1!$I$2:$I$206,0)) *POWER(10,-3)</f>
        <v>-2.5771469116210942E-2</v>
      </c>
      <c r="DC122" s="78">
        <v>6.1748074876278054E-3</v>
      </c>
      <c r="DD122" s="106">
        <v>-1.5982695248365753E-2</v>
      </c>
      <c r="DL122">
        <v>12</v>
      </c>
      <c r="DM122">
        <v>30</v>
      </c>
      <c r="DN122" t="s">
        <v>539</v>
      </c>
      <c r="DO122" t="s">
        <v>170</v>
      </c>
      <c r="DP122" s="106" t="str">
        <f>INDEX(Pipes_result_save_V1!$G$2:$G$206,MATCH(DO122,Pipes_result_save_V1!$I$2:$I$206,0))</f>
        <v>N41</v>
      </c>
      <c r="DQ122" s="106" t="str">
        <f>INDEX(Pipes_result_save_V1!$H$2:$H$206,MATCH(DO122,Pipes_result_save_V1!$I$2:$I$206,0))</f>
        <v>N40</v>
      </c>
      <c r="DR122" s="106">
        <f t="shared" si="24"/>
        <v>3.5211178482065772E-2</v>
      </c>
      <c r="DS122">
        <v>350</v>
      </c>
      <c r="DT122">
        <v>150</v>
      </c>
      <c r="DU122">
        <v>94</v>
      </c>
      <c r="DV122">
        <v>15.573347853516577</v>
      </c>
      <c r="DW122">
        <v>-9.4864356265488253E-2</v>
      </c>
      <c r="DX122">
        <v>-0.19859890921780463</v>
      </c>
      <c r="DY122">
        <v>3.8771694064104656</v>
      </c>
      <c r="DZ122" s="107">
        <f>INDEX(Pipes_result_save_V1!$K$2:$K$206,MATCH(DO122,Pipes_result_save_V1!$I$2:$I$206,0)) *POWER(10,-3)</f>
        <v>-0.10984255981445309</v>
      </c>
      <c r="EA122" s="78">
        <v>5.9665416982164149E-3</v>
      </c>
      <c r="EB122" s="106">
        <v>-0.10123881059652005</v>
      </c>
      <c r="EI122">
        <v>17</v>
      </c>
      <c r="EJ122">
        <v>30</v>
      </c>
      <c r="EK122" t="s">
        <v>540</v>
      </c>
      <c r="EL122" t="s">
        <v>398</v>
      </c>
      <c r="EM122" s="106" t="str">
        <f>INDEX(Pipes_result_save_V1!$G$2:$G$206,MATCH(EL122,Pipes_result_save_V1!$I$2:$I$206,0))</f>
        <v>N196</v>
      </c>
      <c r="EN122" s="106" t="str">
        <f>INDEX(Pipes_result_save_V1!$H$2:$H$206,MATCH(EL122,Pipes_result_save_V1!$I$2:$I$206,0))</f>
        <v>N28</v>
      </c>
      <c r="EO122" s="106">
        <f t="shared" si="25"/>
        <v>3.8250255700015404E-2</v>
      </c>
      <c r="EP122">
        <v>466</v>
      </c>
      <c r="EQ122">
        <v>150</v>
      </c>
      <c r="ER122">
        <v>75</v>
      </c>
      <c r="ES122">
        <v>3.0815061437013331</v>
      </c>
      <c r="ET122">
        <v>0.15497564373451178</v>
      </c>
      <c r="EU122">
        <v>9.7528365416515397E-2</v>
      </c>
      <c r="EV122">
        <v>1.1654898047128639</v>
      </c>
      <c r="EW122" s="107">
        <f>INDEX(Pipes_result_save_V1!$K$2:$K$206,MATCH(EL122,Pipes_result_save_V1!$I$2:$I$206,0)) *POWER(10,-3)</f>
        <v>-0.198505126953125</v>
      </c>
      <c r="EX122" s="78">
        <v>5.1566542572117607E-3</v>
      </c>
      <c r="EY122" s="78">
        <v>-0.18703494873323204</v>
      </c>
    </row>
    <row r="123" spans="2:155" ht="30" x14ac:dyDescent="0.25">
      <c r="B123" s="106">
        <v>31</v>
      </c>
      <c r="C123" s="106" t="s">
        <v>539</v>
      </c>
      <c r="D123" s="106" t="s">
        <v>224</v>
      </c>
      <c r="E123" s="106" t="str">
        <f>INDEX(Pipes_result_save_V1!$G$2:$G$206,MATCH(D123,Pipes_result_save_V1!$I$2:$I$206,0))</f>
        <v>N153</v>
      </c>
      <c r="F123" s="106" t="str">
        <f>INDEX(Pipes_result_save_V1!$H$2:$H$206,MATCH(D123,Pipes_result_save_V1!$I$2:$I$206,0))</f>
        <v>N154</v>
      </c>
      <c r="G123" s="106">
        <f t="shared" si="18"/>
        <v>1.5969350761834977E-3</v>
      </c>
      <c r="H123" s="107">
        <v>350</v>
      </c>
      <c r="I123" s="107">
        <v>150</v>
      </c>
      <c r="J123" s="107">
        <v>77</v>
      </c>
      <c r="K123" s="107">
        <v>12.756891326816771</v>
      </c>
      <c r="L123" s="107">
        <v>7.6999999999999999E-2</v>
      </c>
      <c r="M123" s="107">
        <v>0.11054158283193545</v>
      </c>
      <c r="N123" s="107">
        <v>2.6587404078538244</v>
      </c>
      <c r="O123" s="107">
        <f t="shared" si="19"/>
        <v>-1.5969350761834977E-3</v>
      </c>
      <c r="P123" s="78">
        <v>5.6065416861803604E-3</v>
      </c>
      <c r="Q123" s="106">
        <v>2.812399133920263E-3</v>
      </c>
      <c r="R123" s="78"/>
      <c r="S123" s="78"/>
      <c r="T123" s="78"/>
      <c r="U123" s="78"/>
      <c r="V123" s="78"/>
      <c r="W123" s="78">
        <v>30</v>
      </c>
      <c r="X123" s="78">
        <v>31</v>
      </c>
      <c r="Y123" s="78" t="s">
        <v>540</v>
      </c>
      <c r="Z123" s="78" t="s">
        <v>223</v>
      </c>
      <c r="AA123" s="106" t="str">
        <f>INDEX(Pipes_result_save_V1!$G$2:$G$206,MATCH(Z123,Pipes_result_save_V1!$I$2:$I$206,0))</f>
        <v>N152</v>
      </c>
      <c r="AB123" s="106" t="str">
        <f>INDEX(Pipes_result_save_V1!$H$2:$H$206,MATCH(Z123,Pipes_result_save_V1!$I$2:$I$206,0))</f>
        <v>N153</v>
      </c>
      <c r="AC123" s="106">
        <f t="shared" si="20"/>
        <v>1.0403064923816499E-2</v>
      </c>
      <c r="AD123" s="78">
        <v>200</v>
      </c>
      <c r="AE123" s="78">
        <v>150</v>
      </c>
      <c r="AF123" s="78">
        <v>89</v>
      </c>
      <c r="AG123" s="78">
        <v>225.15545454416295</v>
      </c>
      <c r="AH123" s="78">
        <v>9.5596935076183553E-2</v>
      </c>
      <c r="AI123" s="78">
        <v>1</v>
      </c>
      <c r="AJ123" s="78">
        <v>-1</v>
      </c>
      <c r="AK123" s="78">
        <v>2.912491740352483</v>
      </c>
      <c r="AL123">
        <v>56.423720057910209</v>
      </c>
      <c r="AM123" s="107">
        <f>INDEX(Pipes_result_save_V1!$K$2:$K$206,MATCH(Z123,Pipes_result_save_V1!$I$2:$I$206,0)) *POWER(10,-3)</f>
        <v>-1.5104161262512211E-2</v>
      </c>
      <c r="AN123" s="78">
        <v>1.4341748582684982E-3</v>
      </c>
      <c r="AO123" s="106">
        <v>-1.2255022424471336E-2</v>
      </c>
      <c r="AU123">
        <v>8</v>
      </c>
      <c r="AV123">
        <v>31</v>
      </c>
      <c r="AW123" t="s">
        <v>540</v>
      </c>
      <c r="AX123" t="s">
        <v>291</v>
      </c>
      <c r="AY123" s="106" t="str">
        <f>INDEX(Pipes_result_save_V1!$G$2:$G$206,MATCH(AX123,Pipes_result_save_V1!$I$2:$I$206,0))</f>
        <v>N129</v>
      </c>
      <c r="AZ123" s="106" t="str">
        <f>INDEX(Pipes_result_save_V1!$H$2:$H$206,MATCH(AX123,Pipes_result_save_V1!$I$2:$I$206,0))</f>
        <v>N128</v>
      </c>
      <c r="BA123" s="106">
        <f t="shared" si="21"/>
        <v>3.5211178482065772E-2</v>
      </c>
      <c r="BB123">
        <v>300</v>
      </c>
      <c r="BC123">
        <v>150</v>
      </c>
      <c r="BD123">
        <v>128</v>
      </c>
      <c r="BE123">
        <v>44.932637568713268</v>
      </c>
      <c r="BF123">
        <v>3.5211178482065772E-2</v>
      </c>
      <c r="BG123">
        <v>9.1414336425134607E-2</v>
      </c>
      <c r="BH123">
        <v>4.8081137399470801</v>
      </c>
      <c r="BI123" s="107">
        <f>INDEX(Pipes_result_save_V1!$K$2:$K$206,MATCH(AX123,Pipes_result_save_V1!$I$2:$I$206,0)) *POWER(10,-3)</f>
        <v>-6.3425126075744628E-3</v>
      </c>
      <c r="BJ123" s="78">
        <v>5.7627212719798737E-3</v>
      </c>
      <c r="BK123" s="106">
        <v>2.6813256758136889E-3</v>
      </c>
      <c r="BR123">
        <v>11</v>
      </c>
      <c r="BS123">
        <v>31</v>
      </c>
      <c r="BT123" t="s">
        <v>540</v>
      </c>
      <c r="BU123" t="s">
        <v>185</v>
      </c>
      <c r="BV123" s="106" t="str">
        <f>INDEX(Pipes_result_save_V1!$G$2:$G$206,MATCH(BU123,Pipes_result_save_V1!$I$2:$I$206,0))</f>
        <v>N81</v>
      </c>
      <c r="BW123" s="106" t="str">
        <f>INDEX(Pipes_result_save_V1!$H$2:$H$206,MATCH(BU123,Pipes_result_save_V1!$I$2:$I$206,0))</f>
        <v>N80</v>
      </c>
      <c r="BX123" s="106">
        <f t="shared" si="22"/>
        <v>3.8249255700015396E-2</v>
      </c>
      <c r="BY123">
        <v>250</v>
      </c>
      <c r="BZ123">
        <v>150</v>
      </c>
      <c r="CA123">
        <v>80</v>
      </c>
      <c r="CB123">
        <v>68.254891321545429</v>
      </c>
      <c r="CC123">
        <v>3.8249255700015396E-2</v>
      </c>
      <c r="CD123">
        <v>0.16186447921138786</v>
      </c>
      <c r="CE123">
        <v>7.8373555253094676</v>
      </c>
      <c r="CF123" s="107">
        <f>INDEX(Pipes_result_save_V1!$K$2:$K$206,MATCH(BU123,Pipes_result_save_V1!$I$2:$I$206,0)) *POWER(10,-3)</f>
        <v>-5.5022480010986329E-2</v>
      </c>
      <c r="CG123" s="78">
        <v>6.4456821577140409E-3</v>
      </c>
      <c r="CH123" s="106">
        <v>-4.8075469137615179E-2</v>
      </c>
      <c r="CN123">
        <v>10</v>
      </c>
      <c r="CO123">
        <v>31</v>
      </c>
      <c r="CP123" t="s">
        <v>540</v>
      </c>
      <c r="CQ123" t="s">
        <v>125</v>
      </c>
      <c r="CR123" s="106" t="str">
        <f>INDEX(Pipes_result_save_V1!$G$2:$G$206,MATCH(CQ123,Pipes_result_save_V1!$I$2:$I$206,0))</f>
        <v>N60</v>
      </c>
      <c r="CS123" s="106" t="str">
        <f>INDEX(Pipes_result_save_V1!$H$2:$H$206,MATCH(CQ123,Pipes_result_save_V1!$I$2:$I$206,0))</f>
        <v>N59</v>
      </c>
      <c r="CT123" s="106">
        <f t="shared" si="23"/>
        <v>3.8250255700015404E-2</v>
      </c>
      <c r="CU123">
        <v>250</v>
      </c>
      <c r="CV123">
        <v>150</v>
      </c>
      <c r="CW123">
        <v>79</v>
      </c>
      <c r="CX123">
        <v>67.401705180026113</v>
      </c>
      <c r="CY123">
        <v>2.3580796114934299E-2</v>
      </c>
      <c r="CZ123">
        <v>6.5260313810364706E-2</v>
      </c>
      <c r="DA123">
        <v>5.1254461718639952</v>
      </c>
      <c r="DB123" s="107">
        <f>INDEX(Pipes_result_save_V1!$K$2:$K$206,MATCH(CQ123,Pipes_result_save_V1!$I$2:$I$206,0)) *POWER(10,-3)</f>
        <v>-2.5138153076171878E-2</v>
      </c>
      <c r="DC123" s="78">
        <v>5.5245864041679861E-3</v>
      </c>
      <c r="DD123" s="106">
        <v>-1.4376091724311804E-2</v>
      </c>
      <c r="DL123">
        <v>13</v>
      </c>
      <c r="DM123">
        <v>31</v>
      </c>
      <c r="DN123" t="s">
        <v>539</v>
      </c>
      <c r="DO123" t="s">
        <v>171</v>
      </c>
      <c r="DP123" s="106" t="str">
        <f>INDEX(Pipes_result_save_V1!$G$2:$G$206,MATCH(DO123,Pipes_result_save_V1!$I$2:$I$206,0))</f>
        <v>N41</v>
      </c>
      <c r="DQ123" s="106" t="str">
        <f>INDEX(Pipes_result_save_V1!$H$2:$H$206,MATCH(DO123,Pipes_result_save_V1!$I$2:$I$206,0))</f>
        <v>N42</v>
      </c>
      <c r="DR123" s="106">
        <f t="shared" si="24"/>
        <v>3.8250255700015404E-2</v>
      </c>
      <c r="DS123">
        <v>400</v>
      </c>
      <c r="DT123">
        <v>150</v>
      </c>
      <c r="DU123">
        <v>70</v>
      </c>
      <c r="DV123">
        <v>6.0516443501782993</v>
      </c>
      <c r="DW123">
        <v>-0.11009435626548825</v>
      </c>
      <c r="DX123">
        <v>-0.10167689645312228</v>
      </c>
      <c r="DY123">
        <v>1.7104020461965455</v>
      </c>
      <c r="DZ123" s="107">
        <f>INDEX(Pipes_result_save_V1!$K$2:$K$206,MATCH(DO123,Pipes_result_save_V1!$I$2:$I$206,0)) *POWER(10,-3)</f>
        <v>0.1084104309082031</v>
      </c>
      <c r="EA123" s="78">
        <v>6.4962339336872461E-3</v>
      </c>
      <c r="EB123" s="106">
        <v>9.6632903452523053E-2</v>
      </c>
      <c r="EI123">
        <v>18</v>
      </c>
      <c r="EJ123">
        <v>31</v>
      </c>
      <c r="EK123" t="s">
        <v>540</v>
      </c>
      <c r="EL123" t="s">
        <v>140</v>
      </c>
      <c r="EM123" s="106" t="str">
        <f>INDEX(Pipes_result_save_V1!$G$2:$G$206,MATCH(EL123,Pipes_result_save_V1!$I$2:$I$206,0))</f>
        <v>N30</v>
      </c>
      <c r="EN123" s="106" t="str">
        <f>INDEX(Pipes_result_save_V1!$H$2:$H$206,MATCH(EL123,Pipes_result_save_V1!$I$2:$I$206,0))</f>
        <v>N29</v>
      </c>
      <c r="EO123" s="106">
        <f t="shared" si="25"/>
        <v>3.8250255700015404E-2</v>
      </c>
      <c r="EP123">
        <v>466</v>
      </c>
      <c r="EQ123">
        <v>150</v>
      </c>
      <c r="ER123">
        <v>76</v>
      </c>
      <c r="ES123">
        <v>3.1225928922840178</v>
      </c>
      <c r="ET123">
        <v>0.15497564373451178</v>
      </c>
      <c r="EU123">
        <v>9.8828743622068949E-2</v>
      </c>
      <c r="EV123">
        <v>1.1810296687757023</v>
      </c>
      <c r="EW123" s="107">
        <f>INDEX(Pipes_result_save_V1!$K$2:$K$206,MATCH(EL123,Pipes_result_save_V1!$I$2:$I$206,0)) *POWER(10,-3)</f>
        <v>-0.19685621643066409</v>
      </c>
      <c r="EX123" s="78">
        <v>5.2115748229951296E-3</v>
      </c>
      <c r="EY123" s="78">
        <v>-0.1894049105032844</v>
      </c>
    </row>
    <row r="124" spans="2:155" ht="30" x14ac:dyDescent="0.25">
      <c r="B124" s="106">
        <v>32</v>
      </c>
      <c r="C124" s="106" t="s">
        <v>539</v>
      </c>
      <c r="D124" s="106" t="s">
        <v>225</v>
      </c>
      <c r="E124" s="106" t="str">
        <f>INDEX(Pipes_result_save_V1!$G$2:$G$206,MATCH(D124,Pipes_result_save_V1!$I$2:$I$206,0))</f>
        <v>N154</v>
      </c>
      <c r="F124" s="106" t="str">
        <f>INDEX(Pipes_result_save_V1!$H$2:$H$206,MATCH(D124,Pipes_result_save_V1!$I$2:$I$206,0))</f>
        <v>N155</v>
      </c>
      <c r="G124" s="106">
        <f t="shared" si="18"/>
        <v>4.1596935076183499E-2</v>
      </c>
      <c r="H124" s="107">
        <v>250</v>
      </c>
      <c r="I124" s="107">
        <v>150</v>
      </c>
      <c r="J124" s="107">
        <v>37</v>
      </c>
      <c r="K124" s="107">
        <v>31.567887236214759</v>
      </c>
      <c r="L124" s="107">
        <v>3.6999999999999998E-2</v>
      </c>
      <c r="M124" s="107">
        <v>7.0397155231682926E-2</v>
      </c>
      <c r="N124" s="107">
        <v>3.5236630132182909</v>
      </c>
      <c r="O124" s="107">
        <f t="shared" si="19"/>
        <v>-4.1596935076183499E-2</v>
      </c>
      <c r="P124" s="78">
        <v>5.1311064243581162E-3</v>
      </c>
      <c r="Q124" s="106">
        <v>-8.8190093060296028E-4</v>
      </c>
      <c r="R124" s="78"/>
      <c r="S124" s="78"/>
      <c r="T124" s="78"/>
      <c r="U124" s="78"/>
      <c r="V124" s="78"/>
      <c r="W124" s="78">
        <v>31</v>
      </c>
      <c r="X124" s="78">
        <v>32</v>
      </c>
      <c r="Y124" s="78" t="s">
        <v>540</v>
      </c>
      <c r="Z124" s="78" t="s">
        <v>224</v>
      </c>
      <c r="AA124" s="106" t="str">
        <f>INDEX(Pipes_result_save_V1!$G$2:$G$206,MATCH(Z124,Pipes_result_save_V1!$I$2:$I$206,0))</f>
        <v>N153</v>
      </c>
      <c r="AB124" s="106" t="str">
        <f>INDEX(Pipes_result_save_V1!$H$2:$H$206,MATCH(Z124,Pipes_result_save_V1!$I$2:$I$206,0))</f>
        <v>N154</v>
      </c>
      <c r="AC124" s="106">
        <f t="shared" si="20"/>
        <v>1.5969350761834977E-3</v>
      </c>
      <c r="AD124" s="78">
        <v>200</v>
      </c>
      <c r="AE124" s="78">
        <v>150</v>
      </c>
      <c r="AF124" s="78">
        <v>77</v>
      </c>
      <c r="AG124" s="78">
        <v>194.79741572921961</v>
      </c>
      <c r="AH124" s="78">
        <v>8.3596935076183557E-2</v>
      </c>
      <c r="AI124" s="78">
        <v>1</v>
      </c>
      <c r="AJ124" s="78">
        <v>-1</v>
      </c>
      <c r="AK124" s="78">
        <v>1.9655302348454322</v>
      </c>
      <c r="AL124">
        <v>43.544204002412165</v>
      </c>
      <c r="AM124" s="107">
        <f>INDEX(Pipes_result_save_V1!$K$2:$K$206,MATCH(Z124,Pipes_result_save_V1!$I$2:$I$206,0)) *POWER(10,-3)</f>
        <v>-1.6051282882690431E-2</v>
      </c>
      <c r="AN124" s="78">
        <v>6.3091178139753311E-5</v>
      </c>
      <c r="AO124" s="106">
        <v>-1.1972398019293033E-2</v>
      </c>
      <c r="AU124">
        <v>9</v>
      </c>
      <c r="AV124">
        <v>32</v>
      </c>
      <c r="AW124" t="s">
        <v>540</v>
      </c>
      <c r="AX124" t="s">
        <v>293</v>
      </c>
      <c r="AY124" s="106" t="str">
        <f>INDEX(Pipes_result_save_V1!$G$2:$G$206,MATCH(AX124,Pipes_result_save_V1!$I$2:$I$206,0))</f>
        <v>N130</v>
      </c>
      <c r="AZ124" s="106" t="str">
        <f>INDEX(Pipes_result_save_V1!$H$2:$H$206,MATCH(AX124,Pipes_result_save_V1!$I$2:$I$206,0))</f>
        <v>N129</v>
      </c>
      <c r="BA124" s="106">
        <f t="shared" si="21"/>
        <v>3.5211178482065772E-2</v>
      </c>
      <c r="BB124">
        <v>300</v>
      </c>
      <c r="BC124">
        <v>150</v>
      </c>
      <c r="BD124">
        <v>129</v>
      </c>
      <c r="BE124">
        <v>45.283673799718841</v>
      </c>
      <c r="BF124">
        <v>3.5211178482065772E-2</v>
      </c>
      <c r="BG124">
        <v>9.2128510928455962E-2</v>
      </c>
      <c r="BH124">
        <v>4.8456771285404168</v>
      </c>
      <c r="BI124" s="107">
        <f>INDEX(Pipes_result_save_V1!$K$2:$K$206,MATCH(AX124,Pipes_result_save_V1!$I$2:$I$206,0)) *POWER(10,-3)</f>
        <v>-4.2200489044189457E-3</v>
      </c>
      <c r="BJ124" s="78">
        <v>5.2374224709856761E-3</v>
      </c>
      <c r="BK124" s="106">
        <v>-1.9628006737929097E-3</v>
      </c>
      <c r="BR124">
        <v>0</v>
      </c>
      <c r="BS124">
        <v>32</v>
      </c>
      <c r="BT124" t="s">
        <v>540</v>
      </c>
      <c r="BU124" t="s">
        <v>184</v>
      </c>
      <c r="BV124" s="106" t="str">
        <f>INDEX(Pipes_result_save_V1!$G$2:$G$206,MATCH(BU124,Pipes_result_save_V1!$I$2:$I$206,0))</f>
        <v>N82</v>
      </c>
      <c r="BW124" s="106" t="str">
        <f>INDEX(Pipes_result_save_V1!$H$2:$H$206,MATCH(BU124,Pipes_result_save_V1!$I$2:$I$206,0))</f>
        <v>N81</v>
      </c>
      <c r="BX124" s="106">
        <f t="shared" si="22"/>
        <v>8.1637796114934297E-2</v>
      </c>
      <c r="BY124">
        <v>350</v>
      </c>
      <c r="BZ124">
        <v>150</v>
      </c>
      <c r="CA124">
        <v>68</v>
      </c>
      <c r="CB124">
        <v>11.265826106799226</v>
      </c>
      <c r="CC124">
        <v>-9.0894000000000003E-2</v>
      </c>
      <c r="CD124">
        <v>-0.13273035727434446</v>
      </c>
      <c r="CE124">
        <v>2.7044317740674404</v>
      </c>
      <c r="CF124" s="107">
        <f>INDEX(Pipes_result_save_V1!$K$2:$K$206,MATCH(BU124,Pipes_result_save_V1!$I$2:$I$206,0)) *POWER(10,-3)</f>
        <v>-5.1448749542236327E-2</v>
      </c>
      <c r="CG124" s="78">
        <v>6.2245582518286255E-3</v>
      </c>
      <c r="CH124" s="106">
        <v>-4.1550769333649699E-2</v>
      </c>
      <c r="CN124">
        <v>11</v>
      </c>
      <c r="CO124">
        <v>32</v>
      </c>
      <c r="CP124" t="s">
        <v>540</v>
      </c>
      <c r="CQ124" t="s">
        <v>124</v>
      </c>
      <c r="CR124" s="106" t="str">
        <f>INDEX(Pipes_result_save_V1!$G$2:$G$206,MATCH(CQ124,Pipes_result_save_V1!$I$2:$I$206,0))</f>
        <v>N61</v>
      </c>
      <c r="CS124" s="106" t="str">
        <f>INDEX(Pipes_result_save_V1!$H$2:$H$206,MATCH(CQ124,Pipes_result_save_V1!$I$2:$I$206,0))</f>
        <v>N60</v>
      </c>
      <c r="CT124" s="106">
        <f t="shared" si="23"/>
        <v>3.8249255700015396E-2</v>
      </c>
      <c r="CU124">
        <v>250</v>
      </c>
      <c r="CV124">
        <v>150</v>
      </c>
      <c r="CW124">
        <v>51</v>
      </c>
      <c r="CX124">
        <v>43.512493217485208</v>
      </c>
      <c r="CY124">
        <v>2.3580796114934299E-2</v>
      </c>
      <c r="CZ124">
        <v>4.2130076004159488E-2</v>
      </c>
      <c r="DA124">
        <v>3.3088323387982754</v>
      </c>
      <c r="DB124" s="107">
        <f>INDEX(Pipes_result_save_V1!$K$2:$K$206,MATCH(CQ124,Pipes_result_save_V1!$I$2:$I$206,0)) *POWER(10,-3)</f>
        <v>-2.439643096923828E-2</v>
      </c>
      <c r="DC124" s="78">
        <v>5.0495888253203908E-3</v>
      </c>
      <c r="DD124" s="106">
        <v>-1.4348888461156563E-2</v>
      </c>
      <c r="DL124">
        <v>0</v>
      </c>
      <c r="DM124">
        <v>32</v>
      </c>
      <c r="DN124" t="s">
        <v>539</v>
      </c>
      <c r="DO124" t="s">
        <v>413</v>
      </c>
      <c r="DP124" s="106" t="str">
        <f>INDEX(Pipes_result_save_V1!$G$2:$G$206,MATCH(DO124,Pipes_result_save_V1!$I$2:$I$206,0))</f>
        <v>N111</v>
      </c>
      <c r="DQ124" s="106" t="str">
        <f>INDEX(Pipes_result_save_V1!$H$2:$H$206,MATCH(DO124,Pipes_result_save_V1!$I$2:$I$206,0))</f>
        <v>N42</v>
      </c>
      <c r="DR124" s="106">
        <f t="shared" si="24"/>
        <v>3.342148384202287E-2</v>
      </c>
      <c r="DS124">
        <v>250</v>
      </c>
      <c r="DT124">
        <v>150</v>
      </c>
      <c r="DU124">
        <v>59</v>
      </c>
      <c r="DV124">
        <v>50.337982349639752</v>
      </c>
      <c r="DW124">
        <v>3.2835999999999997E-2</v>
      </c>
      <c r="DX124">
        <v>8.9986313765935425E-2</v>
      </c>
      <c r="DY124">
        <v>5.0753640240745668</v>
      </c>
      <c r="DZ124" s="107">
        <f>INDEX(Pipes_result_save_V1!$K$2:$K$206,MATCH(DO124,Pipes_result_save_V1!$I$2:$I$206,0)) *POWER(10,-3)</f>
        <v>-8.0635652542114262E-3</v>
      </c>
      <c r="EA124" s="78">
        <v>6.0840025087572185E-3</v>
      </c>
      <c r="EB124" s="106">
        <v>1.1424956421477346E-3</v>
      </c>
      <c r="EI124">
        <v>19</v>
      </c>
      <c r="EJ124">
        <v>32</v>
      </c>
      <c r="EK124" t="s">
        <v>540</v>
      </c>
      <c r="EL124" t="s">
        <v>909</v>
      </c>
      <c r="EM124" s="106" t="str">
        <f>INDEX(Pipes_result_save_V1!$G$2:$G$206,MATCH(EL124,Pipes_result_save_V1!$I$2:$I$206,0))</f>
        <v>N29</v>
      </c>
      <c r="EN124" s="106" t="str">
        <f>INDEX(Pipes_result_save_V1!$H$2:$H$206,MATCH(EL124,Pipes_result_save_V1!$I$2:$I$206,0))</f>
        <v>N196</v>
      </c>
      <c r="EO124" s="106">
        <f t="shared" si="25"/>
        <v>3.8250255700015404E-2</v>
      </c>
      <c r="EP124">
        <v>466</v>
      </c>
      <c r="EQ124">
        <v>150</v>
      </c>
      <c r="ER124">
        <v>69</v>
      </c>
      <c r="ES124">
        <v>2.8349856522052264</v>
      </c>
      <c r="ET124">
        <v>0.15497564373451178</v>
      </c>
      <c r="EU124">
        <v>8.9726096183194159E-2</v>
      </c>
      <c r="EV124">
        <v>1.0722506203358348</v>
      </c>
      <c r="EW124" s="107">
        <f>INDEX(Pipes_result_save_V1!$K$2:$K$206,MATCH(EL124,Pipes_result_save_V1!$I$2:$I$206,0)) *POWER(10,-3)</f>
        <v>-0.19768353271484382</v>
      </c>
      <c r="EX124" s="78">
        <v>5.7368121714550975E-3</v>
      </c>
      <c r="EY124" s="78">
        <v>-0.18765519608070916</v>
      </c>
    </row>
    <row r="125" spans="2:155" ht="30" x14ac:dyDescent="0.25">
      <c r="B125" s="106">
        <v>33</v>
      </c>
      <c r="C125" s="106" t="s">
        <v>539</v>
      </c>
      <c r="D125" s="106" t="s">
        <v>226</v>
      </c>
      <c r="E125" s="106" t="str">
        <f>INDEX(Pipes_result_save_V1!$G$2:$G$206,MATCH(D125,Pipes_result_save_V1!$I$2:$I$206,0))</f>
        <v>N155</v>
      </c>
      <c r="F125" s="106" t="str">
        <f>INDEX(Pipes_result_save_V1!$H$2:$H$206,MATCH(D125,Pipes_result_save_V1!$I$2:$I$206,0))</f>
        <v>N156</v>
      </c>
      <c r="G125" s="106">
        <f t="shared" si="18"/>
        <v>5.0403064923816507E-2</v>
      </c>
      <c r="H125" s="107">
        <v>421</v>
      </c>
      <c r="I125" s="107">
        <v>150</v>
      </c>
      <c r="J125" s="107">
        <v>129</v>
      </c>
      <c r="K125" s="107">
        <v>8.6920295923619637</v>
      </c>
      <c r="L125" s="107">
        <v>0.129</v>
      </c>
      <c r="M125" s="107">
        <v>0.19585440315176539</v>
      </c>
      <c r="N125" s="107">
        <v>2.8118011987369731</v>
      </c>
      <c r="O125" s="107">
        <f t="shared" si="19"/>
        <v>5.0403064923816507E-2</v>
      </c>
      <c r="P125" s="78">
        <v>5.5686394034904756E-3</v>
      </c>
      <c r="Q125" s="106">
        <v>1.1786586050762113E-3</v>
      </c>
      <c r="R125" s="78"/>
      <c r="S125" s="78"/>
      <c r="T125" s="78"/>
      <c r="U125" s="78"/>
      <c r="V125" s="78"/>
      <c r="W125" s="78">
        <v>32</v>
      </c>
      <c r="X125" s="78">
        <v>33</v>
      </c>
      <c r="Y125" s="78" t="s">
        <v>540</v>
      </c>
      <c r="Z125" s="78" t="s">
        <v>225</v>
      </c>
      <c r="AA125" s="106" t="str">
        <f>INDEX(Pipes_result_save_V1!$G$2:$G$206,MATCH(Z125,Pipes_result_save_V1!$I$2:$I$206,0))</f>
        <v>N154</v>
      </c>
      <c r="AB125" s="106" t="str">
        <f>INDEX(Pipes_result_save_V1!$H$2:$H$206,MATCH(Z125,Pipes_result_save_V1!$I$2:$I$206,0))</f>
        <v>N155</v>
      </c>
      <c r="AC125" s="106">
        <f t="shared" si="20"/>
        <v>4.1596935076183499E-2</v>
      </c>
      <c r="AD125" s="78">
        <v>200</v>
      </c>
      <c r="AE125" s="78">
        <v>150</v>
      </c>
      <c r="AF125" s="78">
        <v>37</v>
      </c>
      <c r="AG125" s="78">
        <v>93.603953012741897</v>
      </c>
      <c r="AH125" s="78">
        <v>4.3596935076183549E-2</v>
      </c>
      <c r="AI125" s="78">
        <v>1</v>
      </c>
      <c r="AJ125" s="78">
        <v>-1</v>
      </c>
      <c r="AK125" s="78">
        <v>0.28285680122909845</v>
      </c>
      <c r="AL125">
        <v>12.015771176595017</v>
      </c>
      <c r="AM125" s="107">
        <f>INDEX(Pipes_result_save_V1!$K$2:$K$206,MATCH(Z125,Pipes_result_save_V1!$I$2:$I$206,0)) *POWER(10,-3)</f>
        <v>-1.6701713562011718E-2</v>
      </c>
      <c r="AN125" s="78">
        <v>3.1214282543314542E-3</v>
      </c>
      <c r="AO125" s="106">
        <v>-1.0273219555557465E-2</v>
      </c>
      <c r="AU125">
        <v>10</v>
      </c>
      <c r="AV125">
        <v>33</v>
      </c>
      <c r="AW125" t="s">
        <v>540</v>
      </c>
      <c r="AX125" t="s">
        <v>294</v>
      </c>
      <c r="AY125" s="106" t="str">
        <f>INDEX(Pipes_result_save_V1!$G$2:$G$206,MATCH(AX125,Pipes_result_save_V1!$I$2:$I$206,0))</f>
        <v>N131</v>
      </c>
      <c r="AZ125" s="106" t="str">
        <f>INDEX(Pipes_result_save_V1!$H$2:$H$206,MATCH(AX125,Pipes_result_save_V1!$I$2:$I$206,0))</f>
        <v>N130</v>
      </c>
      <c r="BA125" s="106">
        <f t="shared" si="21"/>
        <v>3.5211178482065772E-2</v>
      </c>
      <c r="BB125">
        <v>300</v>
      </c>
      <c r="BC125">
        <v>150</v>
      </c>
      <c r="BD125">
        <v>130</v>
      </c>
      <c r="BE125">
        <v>45.634710030724406</v>
      </c>
      <c r="BF125">
        <v>3.5211178482065772E-2</v>
      </c>
      <c r="BG125">
        <v>9.2842685431777316E-2</v>
      </c>
      <c r="BH125">
        <v>4.8832405171337525</v>
      </c>
      <c r="BI125" s="107">
        <f>INDEX(Pipes_result_save_V1!$K$2:$K$206,MATCH(AX125,Pipes_result_save_V1!$I$2:$I$206,0)) *POWER(10,-3)</f>
        <v>-3.3242774009704591E-3</v>
      </c>
      <c r="BJ125" s="78">
        <v>5.0974508447499747E-3</v>
      </c>
      <c r="BK125" s="106">
        <v>3.8345006761912148E-4</v>
      </c>
      <c r="BR125">
        <v>0</v>
      </c>
      <c r="BS125">
        <v>33</v>
      </c>
      <c r="BT125" t="s">
        <v>540</v>
      </c>
      <c r="BU125" t="s">
        <v>200</v>
      </c>
      <c r="BV125" s="106" t="str">
        <f>INDEX(Pipes_result_save_V1!$G$2:$G$206,MATCH(BU125,Pipes_result_save_V1!$I$2:$I$206,0))</f>
        <v>N83</v>
      </c>
      <c r="BW125" s="106" t="str">
        <f>INDEX(Pipes_result_save_V1!$H$2:$H$206,MATCH(BU125,Pipes_result_save_V1!$I$2:$I$206,0))</f>
        <v>N82</v>
      </c>
      <c r="BX125" s="106">
        <f t="shared" si="22"/>
        <v>8.1637796114934297E-2</v>
      </c>
      <c r="BY125">
        <v>350</v>
      </c>
      <c r="BZ125">
        <v>150</v>
      </c>
      <c r="CA125">
        <v>152</v>
      </c>
      <c r="CB125">
        <v>25.182434826962975</v>
      </c>
      <c r="CC125">
        <v>-9.0894000000000003E-2</v>
      </c>
      <c r="CD125">
        <v>-0.29669138684853463</v>
      </c>
      <c r="CE125">
        <v>6.0452004361507479</v>
      </c>
      <c r="CF125" s="107">
        <f>INDEX(Pipes_result_save_V1!$K$2:$K$206,MATCH(BU125,Pipes_result_save_V1!$I$2:$I$206,0)) *POWER(10,-3)</f>
        <v>-5.0193531036376957E-2</v>
      </c>
      <c r="CG125" s="78">
        <v>5.7179486826130169E-3</v>
      </c>
      <c r="CH125" s="106">
        <v>-4.1488592102456361E-2</v>
      </c>
      <c r="CN125">
        <v>12</v>
      </c>
      <c r="CO125">
        <v>33</v>
      </c>
      <c r="CP125" t="s">
        <v>540</v>
      </c>
      <c r="CQ125" t="s">
        <v>123</v>
      </c>
      <c r="CR125" s="106" t="str">
        <f>INDEX(Pipes_result_save_V1!$G$2:$G$206,MATCH(CQ125,Pipes_result_save_V1!$I$2:$I$206,0))</f>
        <v>N62</v>
      </c>
      <c r="CS125" s="106" t="str">
        <f>INDEX(Pipes_result_save_V1!$H$2:$H$206,MATCH(CQ125,Pipes_result_save_V1!$I$2:$I$206,0))</f>
        <v>N61</v>
      </c>
      <c r="CT125" s="106">
        <f t="shared" si="23"/>
        <v>3.5211178482065772E-2</v>
      </c>
      <c r="CU125">
        <v>250</v>
      </c>
      <c r="CV125">
        <v>150</v>
      </c>
      <c r="CW125">
        <v>73</v>
      </c>
      <c r="CX125">
        <v>62.282588330910201</v>
      </c>
      <c r="CY125">
        <v>2.3580796114934299E-2</v>
      </c>
      <c r="CZ125">
        <v>6.0303834280463577E-2</v>
      </c>
      <c r="DA125">
        <v>4.7361717790641977</v>
      </c>
      <c r="DB125" s="107">
        <f>INDEX(Pipes_result_save_V1!$K$2:$K$206,MATCH(CQ125,Pipes_result_save_V1!$I$2:$I$206,0)) *POWER(10,-3)</f>
        <v>-2.3688943862915039E-2</v>
      </c>
      <c r="DC125" s="78">
        <v>5.7345845707195949E-3</v>
      </c>
      <c r="DD125" s="106">
        <v>-1.5616660380401097E-2</v>
      </c>
      <c r="DL125">
        <v>0</v>
      </c>
      <c r="DM125">
        <v>33</v>
      </c>
      <c r="DN125" t="s">
        <v>540</v>
      </c>
      <c r="DO125" t="s">
        <v>258</v>
      </c>
      <c r="DP125" s="106" t="str">
        <f>INDEX(Pipes_result_save_V1!$G$2:$G$206,MATCH(DO125,Pipes_result_save_V1!$I$2:$I$206,0))</f>
        <v>N106</v>
      </c>
      <c r="DQ125" s="106" t="str">
        <f>INDEX(Pipes_result_save_V1!$H$2:$H$206,MATCH(DO125,Pipes_result_save_V1!$I$2:$I$206,0))</f>
        <v>N107</v>
      </c>
      <c r="DR125" s="106">
        <f t="shared" si="24"/>
        <v>8.3865483842022887E-2</v>
      </c>
      <c r="DS125">
        <v>350</v>
      </c>
      <c r="DT125">
        <v>150</v>
      </c>
      <c r="DU125">
        <v>218</v>
      </c>
      <c r="DV125">
        <v>36.116913107091634</v>
      </c>
      <c r="DW125">
        <v>-8.3280000000000007E-2</v>
      </c>
      <c r="DX125">
        <v>-0.36186954243828162</v>
      </c>
      <c r="DY125">
        <v>8.0473390081135623</v>
      </c>
      <c r="DZ125" s="107">
        <f>INDEX(Pipes_result_save_V1!$K$2:$K$206,MATCH(DO125,Pipes_result_save_V1!$I$2:$I$206,0)) *POWER(10,-3)</f>
        <v>7.6201789855957033E-2</v>
      </c>
      <c r="EA125" s="78">
        <v>6.0680267644292844E-3</v>
      </c>
      <c r="EB125" s="106">
        <v>6.8077124404800848E-2</v>
      </c>
      <c r="EI125">
        <v>20</v>
      </c>
      <c r="EJ125">
        <v>33</v>
      </c>
      <c r="EK125" t="s">
        <v>540</v>
      </c>
      <c r="EL125" t="s">
        <v>139</v>
      </c>
      <c r="EM125" s="106" t="str">
        <f>INDEX(Pipes_result_save_V1!$G$2:$G$206,MATCH(EL125,Pipes_result_save_V1!$I$2:$I$206,0))</f>
        <v>N31</v>
      </c>
      <c r="EN125" s="106" t="str">
        <f>INDEX(Pipes_result_save_V1!$H$2:$H$206,MATCH(EL125,Pipes_result_save_V1!$I$2:$I$206,0))</f>
        <v>N30</v>
      </c>
      <c r="EO125" s="106">
        <f t="shared" si="25"/>
        <v>3.8250255700015404E-2</v>
      </c>
      <c r="EP125">
        <v>466</v>
      </c>
      <c r="EQ125">
        <v>150</v>
      </c>
      <c r="ER125">
        <v>251</v>
      </c>
      <c r="ES125">
        <v>10.312773894253795</v>
      </c>
      <c r="ET125">
        <v>0.15497564373451178</v>
      </c>
      <c r="EU125">
        <v>0.32639492959393818</v>
      </c>
      <c r="EV125">
        <v>3.9005058797723851</v>
      </c>
      <c r="EW125" s="107">
        <f>INDEX(Pipes_result_save_V1!$K$2:$K$206,MATCH(EL125,Pipes_result_save_V1!$I$2:$I$206,0)) *POWER(10,-3)</f>
        <v>-0.19499050903320311</v>
      </c>
      <c r="EX125" s="78">
        <v>5.7979094211488783E-3</v>
      </c>
      <c r="EY125" s="78">
        <v>-0.1859269421591519</v>
      </c>
    </row>
    <row r="126" spans="2:155" ht="30" x14ac:dyDescent="0.25">
      <c r="B126" s="106">
        <v>34</v>
      </c>
      <c r="C126" s="106" t="s">
        <v>539</v>
      </c>
      <c r="D126" s="106" t="s">
        <v>228</v>
      </c>
      <c r="E126" s="106" t="str">
        <f>INDEX(Pipes_result_save_V1!$G$2:$G$206,MATCH(D126,Pipes_result_save_V1!$I$2:$I$206,0))</f>
        <v>N156</v>
      </c>
      <c r="F126" s="106" t="str">
        <f>INDEX(Pipes_result_save_V1!$H$2:$H$206,MATCH(D126,Pipes_result_save_V1!$I$2:$I$206,0))</f>
        <v>N157</v>
      </c>
      <c r="G126" s="106">
        <f t="shared" si="18"/>
        <v>6.4030649238165094E-3</v>
      </c>
      <c r="H126" s="107">
        <v>350</v>
      </c>
      <c r="I126" s="107">
        <v>150</v>
      </c>
      <c r="J126" s="107">
        <v>85</v>
      </c>
      <c r="K126" s="107">
        <v>14.082282633499032</v>
      </c>
      <c r="L126" s="107">
        <v>8.5000000000000006E-2</v>
      </c>
      <c r="M126" s="107">
        <v>0.14654024282313405</v>
      </c>
      <c r="N126" s="107">
        <v>3.1928532906875779</v>
      </c>
      <c r="O126" s="107">
        <f t="shared" si="19"/>
        <v>6.4030649238165094E-3</v>
      </c>
      <c r="P126" s="78">
        <v>5.4293279142659211E-3</v>
      </c>
      <c r="Q126" s="106">
        <v>-6.0500131416196933E-3</v>
      </c>
      <c r="R126" s="78"/>
      <c r="S126" s="78"/>
      <c r="T126" s="78"/>
      <c r="U126" s="78"/>
      <c r="V126" s="78"/>
      <c r="W126" s="78">
        <v>33</v>
      </c>
      <c r="X126" s="78">
        <v>34</v>
      </c>
      <c r="Y126" s="78" t="s">
        <v>540</v>
      </c>
      <c r="Z126" s="78" t="s">
        <v>226</v>
      </c>
      <c r="AA126" s="106" t="str">
        <f>INDEX(Pipes_result_save_V1!$G$2:$G$206,MATCH(Z126,Pipes_result_save_V1!$I$2:$I$206,0))</f>
        <v>N155</v>
      </c>
      <c r="AB126" s="106" t="str">
        <f>INDEX(Pipes_result_save_V1!$H$2:$H$206,MATCH(Z126,Pipes_result_save_V1!$I$2:$I$206,0))</f>
        <v>N156</v>
      </c>
      <c r="AC126" s="106">
        <f t="shared" si="20"/>
        <v>5.0403064923816507E-2</v>
      </c>
      <c r="AD126" s="78">
        <v>200</v>
      </c>
      <c r="AE126" s="78">
        <v>150</v>
      </c>
      <c r="AF126" s="78">
        <v>129</v>
      </c>
      <c r="AG126" s="78">
        <v>326.34891726064069</v>
      </c>
      <c r="AH126" s="78">
        <v>0.13559693507618356</v>
      </c>
      <c r="AI126" s="78">
        <v>1</v>
      </c>
      <c r="AJ126" s="78">
        <v>-1</v>
      </c>
      <c r="AK126" s="78">
        <v>8.0650848595285289</v>
      </c>
      <c r="AL126">
        <v>110.15394375584465</v>
      </c>
      <c r="AM126" s="107">
        <f>INDEX(Pipes_result_save_V1!$K$2:$K$206,MATCH(Z126,Pipes_result_save_V1!$I$2:$I$206,0)) *POWER(10,-3)</f>
        <v>-1.7648836135864262E-2</v>
      </c>
      <c r="AN126" s="78">
        <v>3.0377401053966386E-3</v>
      </c>
      <c r="AO126" s="106">
        <v>-1.0643885565989313E-2</v>
      </c>
      <c r="AU126">
        <v>11</v>
      </c>
      <c r="AV126">
        <v>34</v>
      </c>
      <c r="AW126" t="s">
        <v>540</v>
      </c>
      <c r="AX126" t="s">
        <v>295</v>
      </c>
      <c r="AY126" s="106" t="str">
        <f>INDEX(Pipes_result_save_V1!$G$2:$G$206,MATCH(AX126,Pipes_result_save_V1!$I$2:$I$206,0))</f>
        <v>N132</v>
      </c>
      <c r="AZ126" s="106" t="str">
        <f>INDEX(Pipes_result_save_V1!$H$2:$H$206,MATCH(AX126,Pipes_result_save_V1!$I$2:$I$206,0))</f>
        <v>N131</v>
      </c>
      <c r="BA126" s="106">
        <f t="shared" si="21"/>
        <v>3.5211178482065772E-2</v>
      </c>
      <c r="BB126">
        <v>300</v>
      </c>
      <c r="BC126">
        <v>150</v>
      </c>
      <c r="BD126">
        <v>131</v>
      </c>
      <c r="BE126">
        <v>45.985746261729986</v>
      </c>
      <c r="BF126">
        <v>3.5211178482065772E-2</v>
      </c>
      <c r="BG126">
        <v>9.3556859935098699E-2</v>
      </c>
      <c r="BH126">
        <v>4.92080390572709</v>
      </c>
      <c r="BI126" s="107">
        <f>INDEX(Pipes_result_save_V1!$K$2:$K$206,MATCH(AX126,Pipes_result_save_V1!$I$2:$I$206,0)) *POWER(10,-3)</f>
        <v>-2.2801618576049803E-3</v>
      </c>
      <c r="BJ126" s="78">
        <v>6.4665696020147385E-3</v>
      </c>
      <c r="BK126" s="106">
        <v>-1.4882688540673672E-3</v>
      </c>
      <c r="BR126">
        <v>0</v>
      </c>
      <c r="BS126">
        <v>34</v>
      </c>
      <c r="BT126" t="s">
        <v>540</v>
      </c>
      <c r="BU126" t="s">
        <v>202</v>
      </c>
      <c r="BV126" s="106" t="str">
        <f>INDEX(Pipes_result_save_V1!$G$2:$G$206,MATCH(BU126,Pipes_result_save_V1!$I$2:$I$206,0))</f>
        <v>N84</v>
      </c>
      <c r="BW126" s="106" t="str">
        <f>INDEX(Pipes_result_save_V1!$H$2:$H$206,MATCH(BU126,Pipes_result_save_V1!$I$2:$I$206,0))</f>
        <v>N83</v>
      </c>
      <c r="BX126" s="106">
        <f t="shared" si="22"/>
        <v>8.1637796114934297E-2</v>
      </c>
      <c r="BY126">
        <v>350</v>
      </c>
      <c r="BZ126">
        <v>150</v>
      </c>
      <c r="CA126">
        <v>75</v>
      </c>
      <c r="CB126">
        <v>12.425543500146206</v>
      </c>
      <c r="CC126">
        <v>-9.0894000000000003E-2</v>
      </c>
      <c r="CD126">
        <v>-0.14639377640552698</v>
      </c>
      <c r="CE126">
        <v>2.982829162574383</v>
      </c>
      <c r="CF126" s="107">
        <f>INDEX(Pipes_result_save_V1!$K$2:$K$206,MATCH(BU126,Pipes_result_save_V1!$I$2:$I$206,0)) *POWER(10,-3)</f>
        <v>-4.8898372650146481E-2</v>
      </c>
      <c r="CG126" s="78">
        <v>5.1004257933387814E-3</v>
      </c>
      <c r="CH126" s="106">
        <v>-3.9120946966339637E-2</v>
      </c>
      <c r="CN126">
        <v>13</v>
      </c>
      <c r="CO126">
        <v>34</v>
      </c>
      <c r="CP126" t="s">
        <v>540</v>
      </c>
      <c r="CQ126" t="s">
        <v>122</v>
      </c>
      <c r="CR126" s="106" t="str">
        <f>INDEX(Pipes_result_save_V1!$G$2:$G$206,MATCH(CQ126,Pipes_result_save_V1!$I$2:$I$206,0))</f>
        <v>N63</v>
      </c>
      <c r="CS126" s="106" t="str">
        <f>INDEX(Pipes_result_save_V1!$H$2:$H$206,MATCH(CQ126,Pipes_result_save_V1!$I$2:$I$206,0))</f>
        <v>N62</v>
      </c>
      <c r="CT126" s="106">
        <f t="shared" si="23"/>
        <v>3.8250255700015404E-2</v>
      </c>
      <c r="CU126">
        <v>250</v>
      </c>
      <c r="CV126">
        <v>150</v>
      </c>
      <c r="CW126">
        <v>58</v>
      </c>
      <c r="CX126">
        <v>49.484796208120436</v>
      </c>
      <c r="CY126">
        <v>2.3580796114934299E-2</v>
      </c>
      <c r="CZ126">
        <v>4.7912635455710791E-2</v>
      </c>
      <c r="DA126">
        <v>3.7629857970647054</v>
      </c>
      <c r="DB126" s="107">
        <f>INDEX(Pipes_result_save_V1!$K$2:$K$206,MATCH(CQ126,Pipes_result_save_V1!$I$2:$I$206,0)) *POWER(10,-3)</f>
        <v>-2.2941516876220699E-2</v>
      </c>
      <c r="DC126" s="78">
        <v>5.1233106297051663E-3</v>
      </c>
      <c r="DD126" s="106">
        <v>-1.6618537105270559E-2</v>
      </c>
      <c r="DL126">
        <v>0</v>
      </c>
      <c r="DM126">
        <v>34</v>
      </c>
      <c r="DN126" t="s">
        <v>540</v>
      </c>
      <c r="DO126" t="s">
        <v>259</v>
      </c>
      <c r="DP126" s="106" t="str">
        <f>INDEX(Pipes_result_save_V1!$G$2:$G$206,MATCH(DO126,Pipes_result_save_V1!$I$2:$I$206,0))</f>
        <v>N107</v>
      </c>
      <c r="DQ126" s="106" t="str">
        <f>INDEX(Pipes_result_save_V1!$H$2:$H$206,MATCH(DO126,Pipes_result_save_V1!$I$2:$I$206,0))</f>
        <v>N108</v>
      </c>
      <c r="DR126" s="106">
        <f t="shared" si="24"/>
        <v>8.3865483842022887E-2</v>
      </c>
      <c r="DS126">
        <v>350</v>
      </c>
      <c r="DT126">
        <v>150</v>
      </c>
      <c r="DU126">
        <v>101</v>
      </c>
      <c r="DV126">
        <v>16.733065246863553</v>
      </c>
      <c r="DW126">
        <v>-8.3280000000000007E-2</v>
      </c>
      <c r="DX126">
        <v>-0.16765515498287359</v>
      </c>
      <c r="DY126">
        <v>3.7283543110984856</v>
      </c>
      <c r="DZ126" s="107">
        <f>INDEX(Pipes_result_save_V1!$K$2:$K$206,MATCH(DO126,Pipes_result_save_V1!$I$2:$I$206,0)) *POWER(10,-3)</f>
        <v>7.4381721496582037E-2</v>
      </c>
      <c r="EA126" s="78">
        <v>6.5728772994273228E-3</v>
      </c>
      <c r="EB126" s="106">
        <v>6.4796491517653418E-2</v>
      </c>
      <c r="EL126" t="s">
        <v>380</v>
      </c>
      <c r="EU126">
        <v>5.9017424167719028</v>
      </c>
      <c r="EV126">
        <v>157.76590768049459</v>
      </c>
    </row>
    <row r="127" spans="2:155" ht="30" x14ac:dyDescent="0.25">
      <c r="B127" s="106">
        <v>35</v>
      </c>
      <c r="C127" s="106" t="s">
        <v>539</v>
      </c>
      <c r="D127" s="106" t="s">
        <v>227</v>
      </c>
      <c r="E127" s="106" t="str">
        <f>INDEX(Pipes_result_save_V1!$G$2:$G$206,MATCH(D127,Pipes_result_save_V1!$I$2:$I$206,0))</f>
        <v>N157</v>
      </c>
      <c r="F127" s="106" t="str">
        <f>INDEX(Pipes_result_save_V1!$H$2:$H$206,MATCH(D127,Pipes_result_save_V1!$I$2:$I$206,0))</f>
        <v>N158</v>
      </c>
      <c r="G127" s="106">
        <f t="shared" si="18"/>
        <v>3.5969350761834995E-3</v>
      </c>
      <c r="H127" s="107">
        <v>350</v>
      </c>
      <c r="I127" s="107">
        <v>150</v>
      </c>
      <c r="J127" s="107">
        <v>75</v>
      </c>
      <c r="K127" s="107">
        <v>12.425543500146206</v>
      </c>
      <c r="L127" s="107">
        <v>7.4999999999999997E-2</v>
      </c>
      <c r="M127" s="107">
        <v>0.10254839177742346</v>
      </c>
      <c r="N127" s="107">
        <v>2.5322616209571787</v>
      </c>
      <c r="O127" s="107">
        <f t="shared" si="19"/>
        <v>-3.5969350761834995E-3</v>
      </c>
      <c r="P127" s="78">
        <v>6.2309036161130888E-3</v>
      </c>
      <c r="Q127" s="106">
        <v>2.8710848742821513E-3</v>
      </c>
      <c r="R127" s="78"/>
      <c r="S127" s="78"/>
      <c r="T127" s="78"/>
      <c r="U127" s="78"/>
      <c r="V127" s="78"/>
      <c r="W127" s="78">
        <v>34</v>
      </c>
      <c r="X127" s="78">
        <v>35</v>
      </c>
      <c r="Y127" s="78" t="s">
        <v>540</v>
      </c>
      <c r="Z127" s="78" t="s">
        <v>228</v>
      </c>
      <c r="AA127" s="106" t="str">
        <f>INDEX(Pipes_result_save_V1!$G$2:$G$206,MATCH(Z127,Pipes_result_save_V1!$I$2:$I$206,0))</f>
        <v>N156</v>
      </c>
      <c r="AB127" s="106" t="str">
        <f>INDEX(Pipes_result_save_V1!$H$2:$H$206,MATCH(Z127,Pipes_result_save_V1!$I$2:$I$206,0))</f>
        <v>N157</v>
      </c>
      <c r="AC127" s="106">
        <f t="shared" si="20"/>
        <v>6.4030649238165094E-3</v>
      </c>
      <c r="AD127" s="78">
        <v>200</v>
      </c>
      <c r="AE127" s="78">
        <v>150</v>
      </c>
      <c r="AF127" s="78">
        <v>85</v>
      </c>
      <c r="AG127" s="78">
        <v>215.03610827251518</v>
      </c>
      <c r="AH127" s="78">
        <v>9.1596935076183564E-2</v>
      </c>
      <c r="AI127" s="78">
        <v>1</v>
      </c>
      <c r="AJ127" s="78">
        <v>-1</v>
      </c>
      <c r="AK127" s="78">
        <v>2.5698921402347308</v>
      </c>
      <c r="AL127">
        <v>51.960693223590631</v>
      </c>
      <c r="AM127" s="107">
        <f>INDEX(Pipes_result_save_V1!$K$2:$K$206,MATCH(Z127,Pipes_result_save_V1!$I$2:$I$206,0)) *POWER(10,-3)</f>
        <v>-1.886982345581055E-2</v>
      </c>
      <c r="AN127" s="78">
        <v>1.7063509188828007E-3</v>
      </c>
      <c r="AO127" s="106">
        <v>-1.3398721376304008E-2</v>
      </c>
      <c r="AU127">
        <v>12</v>
      </c>
      <c r="AV127">
        <v>35</v>
      </c>
      <c r="AW127" t="s">
        <v>540</v>
      </c>
      <c r="AX127" t="s">
        <v>296</v>
      </c>
      <c r="AY127" s="106" t="str">
        <f>INDEX(Pipes_result_save_V1!$G$2:$G$206,MATCH(AX127,Pipes_result_save_V1!$I$2:$I$206,0))</f>
        <v>N133</v>
      </c>
      <c r="AZ127" s="106" t="str">
        <f>INDEX(Pipes_result_save_V1!$H$2:$H$206,MATCH(AX127,Pipes_result_save_V1!$I$2:$I$206,0))</f>
        <v>N132</v>
      </c>
      <c r="BA127" s="106">
        <f t="shared" si="21"/>
        <v>3.5211178482065772E-2</v>
      </c>
      <c r="BB127">
        <v>300</v>
      </c>
      <c r="BC127">
        <v>150</v>
      </c>
      <c r="BD127">
        <v>132</v>
      </c>
      <c r="BE127">
        <v>46.336782492735551</v>
      </c>
      <c r="BF127">
        <v>3.5211178482065772E-2</v>
      </c>
      <c r="BG127">
        <v>9.4271034438420054E-2</v>
      </c>
      <c r="BH127">
        <v>4.9583672943204258</v>
      </c>
      <c r="BI127" s="107">
        <f>INDEX(Pipes_result_save_V1!$K$2:$K$206,MATCH(AX127,Pipes_result_save_V1!$I$2:$I$206,0)) *POWER(10,-3)</f>
        <v>-8.0813032388687132E-4</v>
      </c>
      <c r="BJ127" s="78">
        <v>5.7369006507098433E-3</v>
      </c>
      <c r="BK127" s="106">
        <v>-7.6175364067715239E-4</v>
      </c>
      <c r="BR127">
        <v>0</v>
      </c>
      <c r="BS127">
        <v>35</v>
      </c>
      <c r="BT127" t="s">
        <v>540</v>
      </c>
      <c r="BU127" t="s">
        <v>201</v>
      </c>
      <c r="BV127" s="106" t="str">
        <f>INDEX(Pipes_result_save_V1!$G$2:$G$206,MATCH(BU127,Pipes_result_save_V1!$I$2:$I$206,0))</f>
        <v>N84</v>
      </c>
      <c r="BW127" s="106" t="str">
        <f>INDEX(Pipes_result_save_V1!$H$2:$H$206,MATCH(BU127,Pipes_result_save_V1!$I$2:$I$206,0))</f>
        <v>N85</v>
      </c>
      <c r="BX127" s="106">
        <f t="shared" si="22"/>
        <v>0.1106667961149343</v>
      </c>
      <c r="BY127">
        <v>400</v>
      </c>
      <c r="BZ127">
        <v>150</v>
      </c>
      <c r="CA127">
        <v>95</v>
      </c>
      <c r="CB127">
        <v>8.2129459038134058</v>
      </c>
      <c r="CC127">
        <v>-0.119923</v>
      </c>
      <c r="CD127">
        <v>-0.16166885526910485</v>
      </c>
      <c r="CE127">
        <v>2.4966913766198493</v>
      </c>
      <c r="CF127" s="107">
        <f>INDEX(Pipes_result_save_V1!$K$2:$K$206,MATCH(BU127,Pipes_result_save_V1!$I$2:$I$206,0)) *POWER(10,-3)</f>
        <v>2.0083776473999022E-2</v>
      </c>
      <c r="CG127" s="78">
        <v>5.0835109302906677E-3</v>
      </c>
      <c r="CH127" s="106">
        <v>8.8012712449724948E-3</v>
      </c>
      <c r="CN127">
        <v>14</v>
      </c>
      <c r="CO127">
        <v>35</v>
      </c>
      <c r="CP127" t="s">
        <v>540</v>
      </c>
      <c r="CQ127" t="s">
        <v>121</v>
      </c>
      <c r="CR127" s="106" t="str">
        <f>INDEX(Pipes_result_save_V1!$G$2:$G$206,MATCH(CQ127,Pipes_result_save_V1!$I$2:$I$206,0))</f>
        <v>N64</v>
      </c>
      <c r="CS127" s="106" t="str">
        <f>INDEX(Pipes_result_save_V1!$H$2:$H$206,MATCH(CQ127,Pipes_result_save_V1!$I$2:$I$206,0))</f>
        <v>N63</v>
      </c>
      <c r="CT127" s="106">
        <f t="shared" si="23"/>
        <v>3.8250255700015404E-2</v>
      </c>
      <c r="CU127">
        <v>250</v>
      </c>
      <c r="CV127">
        <v>150</v>
      </c>
      <c r="CW127">
        <v>216</v>
      </c>
      <c r="CX127">
        <v>184.28820656817265</v>
      </c>
      <c r="CY127">
        <v>2.3580796114934299E-2</v>
      </c>
      <c r="CZ127">
        <v>0.1784332630764402</v>
      </c>
      <c r="DA127">
        <v>14.013878140792695</v>
      </c>
      <c r="DB127" s="107">
        <f>INDEX(Pipes_result_save_V1!$K$2:$K$206,MATCH(CQ127,Pipes_result_save_V1!$I$2:$I$206,0)) *POWER(10,-3)</f>
        <v>-2.1378194808959961E-2</v>
      </c>
      <c r="DC127" s="78">
        <v>5.6284866141425791E-3</v>
      </c>
      <c r="DD127" s="106">
        <v>-1.0996206079319582E-2</v>
      </c>
      <c r="DL127">
        <v>0</v>
      </c>
      <c r="DM127">
        <v>35</v>
      </c>
      <c r="DN127" t="s">
        <v>540</v>
      </c>
      <c r="DO127" t="s">
        <v>261</v>
      </c>
      <c r="DP127" s="106" t="str">
        <f>INDEX(Pipes_result_save_V1!$G$2:$G$206,MATCH(DO127,Pipes_result_save_V1!$I$2:$I$206,0))</f>
        <v>N108</v>
      </c>
      <c r="DQ127" s="106" t="str">
        <f>INDEX(Pipes_result_save_V1!$H$2:$H$206,MATCH(DO127,Pipes_result_save_V1!$I$2:$I$206,0))</f>
        <v>N109</v>
      </c>
      <c r="DR127" s="106">
        <f t="shared" si="24"/>
        <v>8.3865483842022887E-2</v>
      </c>
      <c r="DS127">
        <v>350</v>
      </c>
      <c r="DT127">
        <v>150</v>
      </c>
      <c r="DU127">
        <v>149</v>
      </c>
      <c r="DV127">
        <v>24.685413086957126</v>
      </c>
      <c r="DW127">
        <v>-8.3280000000000007E-2</v>
      </c>
      <c r="DX127">
        <v>-0.24733285240047689</v>
      </c>
      <c r="DY127">
        <v>5.5002454688482612</v>
      </c>
      <c r="DZ127" s="107">
        <f>INDEX(Pipes_result_save_V1!$K$2:$K$206,MATCH(DO127,Pipes_result_save_V1!$I$2:$I$206,0)) *POWER(10,-3)</f>
        <v>7.295532989501953E-2</v>
      </c>
      <c r="EA127" s="78">
        <v>6.2694249887128095E-3</v>
      </c>
      <c r="EB127" s="106">
        <v>6.1482504223788384E-2</v>
      </c>
      <c r="EL127" t="s">
        <v>381</v>
      </c>
      <c r="EO127">
        <v>-3.7408224017092671E-2</v>
      </c>
    </row>
    <row r="128" spans="2:155" ht="30" x14ac:dyDescent="0.25">
      <c r="B128" s="106">
        <v>36</v>
      </c>
      <c r="C128" s="106" t="s">
        <v>539</v>
      </c>
      <c r="D128" s="106" t="s">
        <v>429</v>
      </c>
      <c r="E128" s="106" t="str">
        <f>INDEX(Pipes_result_save_V1!$G$2:$G$206,MATCH(D128,Pipes_result_save_V1!$I$2:$I$206,0))</f>
        <v>N158</v>
      </c>
      <c r="F128" s="106" t="str">
        <f>INDEX(Pipes_result_save_V1!$H$2:$H$206,MATCH(D128,Pipes_result_save_V1!$I$2:$I$206,0))</f>
        <v>N159</v>
      </c>
      <c r="G128" s="106">
        <f t="shared" si="18"/>
        <v>4.4030649238165076E-3</v>
      </c>
      <c r="H128" s="107">
        <v>350</v>
      </c>
      <c r="I128" s="107">
        <v>150</v>
      </c>
      <c r="J128" s="107">
        <v>83</v>
      </c>
      <c r="K128" s="107">
        <v>13.750934806828466</v>
      </c>
      <c r="L128" s="107">
        <v>8.3000000000000004E-2</v>
      </c>
      <c r="M128" s="107">
        <v>0.13691935675646288</v>
      </c>
      <c r="N128" s="107">
        <v>3.0551162495538478</v>
      </c>
      <c r="O128" s="107">
        <f t="shared" si="19"/>
        <v>4.4030649238165076E-3</v>
      </c>
      <c r="P128" s="78">
        <v>5.5030844016331062E-3</v>
      </c>
      <c r="Q128" s="106">
        <v>-5.874093910898933E-3</v>
      </c>
      <c r="R128" s="78"/>
      <c r="S128" s="78"/>
      <c r="T128" s="78"/>
      <c r="U128" s="78"/>
      <c r="V128" s="78"/>
      <c r="W128" s="78">
        <v>35</v>
      </c>
      <c r="X128" s="78">
        <v>36</v>
      </c>
      <c r="Y128" s="78" t="s">
        <v>540</v>
      </c>
      <c r="Z128" s="78" t="s">
        <v>227</v>
      </c>
      <c r="AA128" s="106" t="str">
        <f>INDEX(Pipes_result_save_V1!$G$2:$G$206,MATCH(Z128,Pipes_result_save_V1!$I$2:$I$206,0))</f>
        <v>N157</v>
      </c>
      <c r="AB128" s="106" t="str">
        <f>INDEX(Pipes_result_save_V1!$H$2:$H$206,MATCH(Z128,Pipes_result_save_V1!$I$2:$I$206,0))</f>
        <v>N158</v>
      </c>
      <c r="AC128" s="106">
        <f t="shared" si="20"/>
        <v>3.5969350761834995E-3</v>
      </c>
      <c r="AD128" s="78">
        <v>200</v>
      </c>
      <c r="AE128" s="78">
        <v>150</v>
      </c>
      <c r="AF128" s="78">
        <v>75</v>
      </c>
      <c r="AG128" s="78">
        <v>189.73774259339575</v>
      </c>
      <c r="AH128" s="78">
        <v>8.1596935076183555E-2</v>
      </c>
      <c r="AI128" s="78">
        <v>1</v>
      </c>
      <c r="AJ128" s="78">
        <v>-1</v>
      </c>
      <c r="AK128" s="78">
        <v>1.8305166876164278</v>
      </c>
      <c r="AL128">
        <v>41.547110835724631</v>
      </c>
      <c r="AM128" s="107">
        <f>INDEX(Pipes_result_save_V1!$K$2:$K$206,MATCH(Z128,Pipes_result_save_V1!$I$2:$I$206,0)) *POWER(10,-3)</f>
        <v>-1.9782709121704101E-2</v>
      </c>
      <c r="AN128" s="78">
        <v>4.0315823443348416E-3</v>
      </c>
      <c r="AO128" s="106">
        <v>-1.2200085846767166E-2</v>
      </c>
      <c r="AU128">
        <v>13</v>
      </c>
      <c r="AV128">
        <v>36</v>
      </c>
      <c r="AW128" t="s">
        <v>540</v>
      </c>
      <c r="AX128" t="s">
        <v>297</v>
      </c>
      <c r="AY128" s="106" t="str">
        <f>INDEX(Pipes_result_save_V1!$G$2:$G$206,MATCH(AX128,Pipes_result_save_V1!$I$2:$I$206,0))</f>
        <v>N134</v>
      </c>
      <c r="AZ128" s="106" t="str">
        <f>INDEX(Pipes_result_save_V1!$H$2:$H$206,MATCH(AX128,Pipes_result_save_V1!$I$2:$I$206,0))</f>
        <v>N133</v>
      </c>
      <c r="BA128" s="106">
        <f t="shared" si="21"/>
        <v>3.5211178482065772E-2</v>
      </c>
      <c r="BB128">
        <v>300</v>
      </c>
      <c r="BC128">
        <v>150</v>
      </c>
      <c r="BD128">
        <v>133</v>
      </c>
      <c r="BE128">
        <v>46.687818723741124</v>
      </c>
      <c r="BF128">
        <v>3.5211178482065772E-2</v>
      </c>
      <c r="BG128">
        <v>9.4985208941741409E-2</v>
      </c>
      <c r="BH128">
        <v>4.9959306829137624</v>
      </c>
      <c r="BI128" s="107">
        <f>INDEX(Pipes_result_save_V1!$K$2:$K$206,MATCH(AX128,Pipes_result_save_V1!$I$2:$I$206,0)) *POWER(10,-3)</f>
        <v>3.558016419410706E-4</v>
      </c>
      <c r="BJ128" s="78">
        <v>5.8762851799060364E-3</v>
      </c>
      <c r="BK128" s="106">
        <v>1.2779109625727508E-4</v>
      </c>
      <c r="BR128">
        <v>0</v>
      </c>
      <c r="BS128">
        <v>36</v>
      </c>
      <c r="BT128" t="s">
        <v>540</v>
      </c>
      <c r="BU128" t="s">
        <v>199</v>
      </c>
      <c r="BV128" s="106" t="str">
        <f>INDEX(Pipes_result_save_V1!$G$2:$G$206,MATCH(BU128,Pipes_result_save_V1!$I$2:$I$206,0))</f>
        <v>N85</v>
      </c>
      <c r="BW128" s="106" t="str">
        <f>INDEX(Pipes_result_save_V1!$H$2:$H$206,MATCH(BU128,Pipes_result_save_V1!$I$2:$I$206,0))</f>
        <v>N86</v>
      </c>
      <c r="BX128" s="106">
        <f t="shared" si="22"/>
        <v>0.1106667961149343</v>
      </c>
      <c r="BY128">
        <v>400</v>
      </c>
      <c r="BZ128">
        <v>150</v>
      </c>
      <c r="CA128">
        <v>73</v>
      </c>
      <c r="CB128">
        <v>6.3110005366145119</v>
      </c>
      <c r="CC128">
        <v>-0.119923</v>
      </c>
      <c r="CD128">
        <v>-0.12422975194362795</v>
      </c>
      <c r="CE128">
        <v>1.9185102157184104</v>
      </c>
      <c r="CF128" s="107">
        <f>INDEX(Pipes_result_save_V1!$K$2:$K$206,MATCH(BU128,Pipes_result_save_V1!$I$2:$I$206,0)) *POWER(10,-3)</f>
        <v>1.9125244140625001E-2</v>
      </c>
      <c r="CG128" s="78">
        <v>6.12665318303862E-3</v>
      </c>
      <c r="CH128" s="106">
        <v>7.7970670219312029E-3</v>
      </c>
      <c r="CN128">
        <v>15</v>
      </c>
      <c r="CO128">
        <v>36</v>
      </c>
      <c r="CP128" t="s">
        <v>540</v>
      </c>
      <c r="CQ128" t="s">
        <v>119</v>
      </c>
      <c r="CR128" s="106" t="str">
        <f>INDEX(Pipes_result_save_V1!$G$2:$G$206,MATCH(CQ128,Pipes_result_save_V1!$I$2:$I$206,0))</f>
        <v>N65</v>
      </c>
      <c r="CS128" s="106" t="str">
        <f>INDEX(Pipes_result_save_V1!$H$2:$H$206,MATCH(CQ128,Pipes_result_save_V1!$I$2:$I$206,0))</f>
        <v>N64</v>
      </c>
      <c r="CT128" s="106">
        <f t="shared" si="23"/>
        <v>3.8250255700015404E-2</v>
      </c>
      <c r="CU128">
        <v>250</v>
      </c>
      <c r="CV128">
        <v>150</v>
      </c>
      <c r="CW128">
        <v>73</v>
      </c>
      <c r="CX128">
        <v>62.282588330910201</v>
      </c>
      <c r="CY128">
        <v>2.3580796114934299E-2</v>
      </c>
      <c r="CZ128">
        <v>6.0303834280463577E-2</v>
      </c>
      <c r="DA128">
        <v>4.7361717790641977</v>
      </c>
      <c r="DB128" s="107">
        <f>INDEX(Pipes_result_save_V1!$K$2:$K$206,MATCH(CQ128,Pipes_result_save_V1!$I$2:$I$206,0)) *POWER(10,-3)</f>
        <v>-1.9729291915893551E-2</v>
      </c>
      <c r="DC128" s="78">
        <v>5.4144210163477183E-3</v>
      </c>
      <c r="DD128" s="106">
        <v>-1.1244200044908184E-2</v>
      </c>
      <c r="DL128">
        <v>0</v>
      </c>
      <c r="DM128">
        <v>36</v>
      </c>
      <c r="DN128" t="s">
        <v>540</v>
      </c>
      <c r="DO128" t="s">
        <v>260</v>
      </c>
      <c r="DP128" s="106" t="str">
        <f>INDEX(Pipes_result_save_V1!$G$2:$G$206,MATCH(DO128,Pipes_result_save_V1!$I$2:$I$206,0))</f>
        <v>N109</v>
      </c>
      <c r="DQ128" s="106" t="str">
        <f>INDEX(Pipes_result_save_V1!$H$2:$H$206,MATCH(DO128,Pipes_result_save_V1!$I$2:$I$206,0))</f>
        <v>N110</v>
      </c>
      <c r="DR128" s="106">
        <f t="shared" si="24"/>
        <v>8.3865483842022887E-2</v>
      </c>
      <c r="DS128">
        <v>350</v>
      </c>
      <c r="DT128">
        <v>150</v>
      </c>
      <c r="DU128">
        <v>260</v>
      </c>
      <c r="DV128">
        <v>43.075217467173509</v>
      </c>
      <c r="DW128">
        <v>-8.3280000000000007E-2</v>
      </c>
      <c r="DX128">
        <v>-0.43158752767868452</v>
      </c>
      <c r="DY128">
        <v>9.5977437711446161</v>
      </c>
      <c r="DZ128" s="107">
        <f>INDEX(Pipes_result_save_V1!$K$2:$K$206,MATCH(DO128,Pipes_result_save_V1!$I$2:$I$206,0)) *POWER(10,-3)</f>
        <v>7.062176513671875E-2</v>
      </c>
      <c r="EA128" s="78">
        <v>6.4094585841618628E-3</v>
      </c>
      <c r="EB128" s="106">
        <v>6.1557235818182801E-2</v>
      </c>
    </row>
    <row r="129" spans="2:132" ht="30" x14ac:dyDescent="0.25">
      <c r="B129" s="106">
        <v>37</v>
      </c>
      <c r="C129" s="106" t="s">
        <v>539</v>
      </c>
      <c r="D129" s="106" t="s">
        <v>285</v>
      </c>
      <c r="E129" s="106" t="str">
        <f>INDEX(Pipes_result_save_V1!$G$2:$G$206,MATCH(D129,Pipes_result_save_V1!$I$2:$I$206,0))</f>
        <v>N159</v>
      </c>
      <c r="F129" s="106" t="str">
        <f>INDEX(Pipes_result_save_V1!$H$2:$H$206,MATCH(D129,Pipes_result_save_V1!$I$2:$I$206,0))</f>
        <v>N160</v>
      </c>
      <c r="G129" s="106">
        <f t="shared" si="18"/>
        <v>5.4030649238165085E-3</v>
      </c>
      <c r="H129" s="107">
        <v>350</v>
      </c>
      <c r="I129" s="107">
        <v>150</v>
      </c>
      <c r="J129" s="107">
        <v>84</v>
      </c>
      <c r="K129" s="107">
        <v>13.916608720163751</v>
      </c>
      <c r="L129" s="107">
        <v>8.4000000000000005E-2</v>
      </c>
      <c r="M129" s="107">
        <v>0.14167677243743118</v>
      </c>
      <c r="N129" s="107">
        <v>3.1236355065966972</v>
      </c>
      <c r="O129" s="107">
        <f t="shared" si="19"/>
        <v>5.4030649238165085E-3</v>
      </c>
      <c r="P129" s="78">
        <v>5.9838715727968542E-3</v>
      </c>
      <c r="Q129" s="106">
        <v>-4.11390659501123E-3</v>
      </c>
      <c r="R129" s="78"/>
      <c r="S129" s="78"/>
      <c r="T129" s="78"/>
      <c r="U129" s="78"/>
      <c r="V129" s="78"/>
      <c r="W129" s="78">
        <v>36</v>
      </c>
      <c r="X129" s="78">
        <v>37</v>
      </c>
      <c r="Y129" s="78" t="s">
        <v>540</v>
      </c>
      <c r="Z129" s="78" t="s">
        <v>429</v>
      </c>
      <c r="AA129" s="106" t="str">
        <f>INDEX(Pipes_result_save_V1!$G$2:$G$206,MATCH(Z129,Pipes_result_save_V1!$I$2:$I$206,0))</f>
        <v>N158</v>
      </c>
      <c r="AB129" s="106" t="str">
        <f>INDEX(Pipes_result_save_V1!$H$2:$H$206,MATCH(Z129,Pipes_result_save_V1!$I$2:$I$206,0))</f>
        <v>N159</v>
      </c>
      <c r="AC129" s="106">
        <f t="shared" si="20"/>
        <v>4.4030649238165076E-3</v>
      </c>
      <c r="AD129" s="78">
        <v>200</v>
      </c>
      <c r="AE129" s="78">
        <v>150</v>
      </c>
      <c r="AF129" s="78">
        <v>83</v>
      </c>
      <c r="AG129" s="78">
        <v>209.97643513669126</v>
      </c>
      <c r="AH129" s="78">
        <v>8.9596935076183562E-2</v>
      </c>
      <c r="AI129" s="78">
        <v>1</v>
      </c>
      <c r="AJ129" s="78">
        <v>-1</v>
      </c>
      <c r="AK129" s="78">
        <v>2.4088928286696114</v>
      </c>
      <c r="AL129">
        <v>49.792657694180491</v>
      </c>
      <c r="AM129" s="107">
        <f>INDEX(Pipes_result_save_V1!$K$2:$K$206,MATCH(Z129,Pipes_result_save_V1!$I$2:$I$206,0)) *POWER(10,-3)</f>
        <v>-2.06841869354248E-2</v>
      </c>
      <c r="AN129" s="78">
        <v>2.814923854076108E-3</v>
      </c>
      <c r="AO129" s="106">
        <v>-1.6112122485635583E-2</v>
      </c>
      <c r="AU129">
        <v>14</v>
      </c>
      <c r="AV129">
        <v>37</v>
      </c>
      <c r="AW129" t="s">
        <v>540</v>
      </c>
      <c r="AX129" t="s">
        <v>298</v>
      </c>
      <c r="AY129" s="106" t="str">
        <f>INDEX(Pipes_result_save_V1!$G$2:$G$206,MATCH(AX129,Pipes_result_save_V1!$I$2:$I$206,0))</f>
        <v>N135</v>
      </c>
      <c r="AZ129" s="106" t="str">
        <f>INDEX(Pipes_result_save_V1!$H$2:$H$206,MATCH(AX129,Pipes_result_save_V1!$I$2:$I$206,0))</f>
        <v>N134</v>
      </c>
      <c r="BA129" s="106">
        <f t="shared" si="21"/>
        <v>3.5211178482065772E-2</v>
      </c>
      <c r="BB129">
        <v>300</v>
      </c>
      <c r="BC129">
        <v>150</v>
      </c>
      <c r="BD129">
        <v>134</v>
      </c>
      <c r="BE129">
        <v>47.038854954746704</v>
      </c>
      <c r="BF129">
        <v>3.5211178482065772E-2</v>
      </c>
      <c r="BG129">
        <v>9.5699383445062791E-2</v>
      </c>
      <c r="BH129">
        <v>5.0334940715070999</v>
      </c>
      <c r="BI129" s="107">
        <f>INDEX(Pipes_result_save_V1!$K$2:$K$206,MATCH(AX129,Pipes_result_save_V1!$I$2:$I$206,0)) *POWER(10,-3)</f>
        <v>1.194517374038696E-3</v>
      </c>
      <c r="BJ129" s="78">
        <v>5.8390557936610311E-3</v>
      </c>
      <c r="BK129" s="106">
        <v>-3.5322898625659177E-3</v>
      </c>
      <c r="BR129">
        <v>0</v>
      </c>
      <c r="BS129">
        <v>37</v>
      </c>
      <c r="BT129" t="s">
        <v>540</v>
      </c>
      <c r="BU129" t="s">
        <v>198</v>
      </c>
      <c r="BV129" s="106" t="str">
        <f>INDEX(Pipes_result_save_V1!$G$2:$G$206,MATCH(BU129,Pipes_result_save_V1!$I$2:$I$206,0))</f>
        <v>N86</v>
      </c>
      <c r="BW129" s="106" t="str">
        <f>INDEX(Pipes_result_save_V1!$H$2:$H$206,MATCH(BU129,Pipes_result_save_V1!$I$2:$I$206,0))</f>
        <v>N87</v>
      </c>
      <c r="BX129" s="106">
        <f t="shared" si="22"/>
        <v>0.1106667961149343</v>
      </c>
      <c r="BY129">
        <v>400</v>
      </c>
      <c r="BZ129">
        <v>150</v>
      </c>
      <c r="CA129">
        <v>77</v>
      </c>
      <c r="CB129">
        <v>6.6568087851961293</v>
      </c>
      <c r="CC129">
        <v>-0.119923</v>
      </c>
      <c r="CD129">
        <v>-0.13103686163916922</v>
      </c>
      <c r="CE129">
        <v>2.0236340631550358</v>
      </c>
      <c r="CF129" s="107">
        <f>INDEX(Pipes_result_save_V1!$K$2:$K$206,MATCH(BU129,Pipes_result_save_V1!$I$2:$I$206,0)) *POWER(10,-3)</f>
        <v>1.8269411087036131E-2</v>
      </c>
      <c r="CG129" s="78">
        <v>5.4780433752761645E-3</v>
      </c>
      <c r="CH129" s="106">
        <v>6.9973070209547825E-3</v>
      </c>
      <c r="CN129">
        <v>16</v>
      </c>
      <c r="CO129">
        <v>37</v>
      </c>
      <c r="CP129" t="s">
        <v>540</v>
      </c>
      <c r="CQ129" t="s">
        <v>120</v>
      </c>
      <c r="CR129" s="106" t="str">
        <f>INDEX(Pipes_result_save_V1!$G$2:$G$206,MATCH(CQ129,Pipes_result_save_V1!$I$2:$I$206,0))</f>
        <v>N66</v>
      </c>
      <c r="CS129" s="106" t="str">
        <f>INDEX(Pipes_result_save_V1!$H$2:$H$206,MATCH(CQ129,Pipes_result_save_V1!$I$2:$I$206,0))</f>
        <v>N65</v>
      </c>
      <c r="CT129" s="106">
        <f t="shared" si="23"/>
        <v>3.8250255700015404E-2</v>
      </c>
      <c r="CU129">
        <v>250</v>
      </c>
      <c r="CV129">
        <v>150</v>
      </c>
      <c r="CW129">
        <v>65</v>
      </c>
      <c r="CX129">
        <v>55.457099198755657</v>
      </c>
      <c r="CY129">
        <v>2.3580796114934299E-2</v>
      </c>
      <c r="CZ129">
        <v>5.3695194907262093E-2</v>
      </c>
      <c r="DA129">
        <v>4.2171392553311353</v>
      </c>
      <c r="DB129" s="107">
        <f>INDEX(Pipes_result_save_V1!$K$2:$K$206,MATCH(CQ129,Pipes_result_save_V1!$I$2:$I$206,0)) *POWER(10,-3)</f>
        <v>-1.8941926956176761E-2</v>
      </c>
      <c r="DC129" s="78">
        <v>5.8905627993842656E-3</v>
      </c>
      <c r="DD129" s="106">
        <v>-1.0854391405838555E-2</v>
      </c>
      <c r="DL129">
        <v>0</v>
      </c>
      <c r="DM129">
        <v>37</v>
      </c>
      <c r="DN129" t="s">
        <v>540</v>
      </c>
      <c r="DO129" t="s">
        <v>410</v>
      </c>
      <c r="DP129" s="106" t="str">
        <f>INDEX(Pipes_result_save_V1!$G$2:$G$206,MATCH(DO129,Pipes_result_save_V1!$I$2:$I$206,0))</f>
        <v>N110</v>
      </c>
      <c r="DQ129" s="106" t="str">
        <f>INDEX(Pipes_result_save_V1!$H$2:$H$206,MATCH(DO129,Pipes_result_save_V1!$I$2:$I$206,0))</f>
        <v>N121</v>
      </c>
      <c r="DR129" s="106">
        <f t="shared" si="24"/>
        <v>8.3865483842022887E-2</v>
      </c>
      <c r="DS129">
        <v>350</v>
      </c>
      <c r="DT129">
        <v>150</v>
      </c>
      <c r="DU129">
        <v>81</v>
      </c>
      <c r="DV129">
        <v>13.419586980157902</v>
      </c>
      <c r="DW129">
        <v>-8.3280000000000007E-2</v>
      </c>
      <c r="DX129">
        <v>-0.13445611439220556</v>
      </c>
      <c r="DY129">
        <v>2.9900663287027465</v>
      </c>
      <c r="DZ129" s="107">
        <f>INDEX(Pipes_result_save_V1!$K$2:$K$206,MATCH(DO129,Pipes_result_save_V1!$I$2:$I$206,0)) *POWER(10,-3)</f>
        <v>6.8676170349121102E-2</v>
      </c>
      <c r="EA129" s="78">
        <v>6.5900998131799863E-3</v>
      </c>
      <c r="EB129" s="106">
        <v>5.5805420826983101E-2</v>
      </c>
    </row>
    <row r="130" spans="2:132" ht="30" x14ac:dyDescent="0.25">
      <c r="B130" s="106">
        <v>38</v>
      </c>
      <c r="C130" s="106" t="s">
        <v>539</v>
      </c>
      <c r="D130" s="106" t="s">
        <v>284</v>
      </c>
      <c r="E130" s="106" t="str">
        <f>INDEX(Pipes_result_save_V1!$G$2:$G$206,MATCH(D130,Pipes_result_save_V1!$I$2:$I$206,0))</f>
        <v>N160</v>
      </c>
      <c r="F130" s="106" t="str">
        <f>INDEX(Pipes_result_save_V1!$H$2:$H$206,MATCH(D130,Pipes_result_save_V1!$I$2:$I$206,0))</f>
        <v>N161</v>
      </c>
      <c r="G130" s="106">
        <f t="shared" si="18"/>
        <v>5.9693507618349684E-4</v>
      </c>
      <c r="H130" s="107">
        <v>350</v>
      </c>
      <c r="I130" s="107">
        <v>150</v>
      </c>
      <c r="J130" s="107">
        <v>78</v>
      </c>
      <c r="K130" s="107">
        <v>12.922565240152053</v>
      </c>
      <c r="L130" s="107">
        <v>7.8E-2</v>
      </c>
      <c r="M130" s="107">
        <v>0.11468534822271816</v>
      </c>
      <c r="N130" s="107">
        <v>2.7230418578009496</v>
      </c>
      <c r="O130" s="107">
        <f t="shared" si="19"/>
        <v>-5.9693507618349684E-4</v>
      </c>
      <c r="P130" s="78">
        <v>6.1283395102213912E-3</v>
      </c>
      <c r="Q130" s="106">
        <v>-2.7476875827474601E-3</v>
      </c>
      <c r="R130" s="78"/>
      <c r="S130" s="78"/>
      <c r="T130" s="78"/>
      <c r="U130" s="78"/>
      <c r="V130" s="78"/>
      <c r="W130" s="78">
        <v>37</v>
      </c>
      <c r="X130" s="78">
        <v>38</v>
      </c>
      <c r="Y130" s="78" t="s">
        <v>540</v>
      </c>
      <c r="Z130" s="78" t="s">
        <v>285</v>
      </c>
      <c r="AA130" s="106" t="str">
        <f>INDEX(Pipes_result_save_V1!$G$2:$G$206,MATCH(Z130,Pipes_result_save_V1!$I$2:$I$206,0))</f>
        <v>N159</v>
      </c>
      <c r="AB130" s="106" t="str">
        <f>INDEX(Pipes_result_save_V1!$H$2:$H$206,MATCH(Z130,Pipes_result_save_V1!$I$2:$I$206,0))</f>
        <v>N160</v>
      </c>
      <c r="AC130" s="106">
        <f t="shared" si="20"/>
        <v>5.4030649238165085E-3</v>
      </c>
      <c r="AD130" s="78">
        <v>200</v>
      </c>
      <c r="AE130" s="78">
        <v>150</v>
      </c>
      <c r="AF130" s="78">
        <v>84</v>
      </c>
      <c r="AG130" s="78">
        <v>212.50627170460322</v>
      </c>
      <c r="AH130" s="78">
        <v>9.0596935076183563E-2</v>
      </c>
      <c r="AI130" s="78">
        <v>1</v>
      </c>
      <c r="AJ130" s="78">
        <v>-1</v>
      </c>
      <c r="AK130" s="78">
        <v>2.4885476694281339</v>
      </c>
      <c r="AL130">
        <v>50.871370868179383</v>
      </c>
      <c r="AM130" s="107">
        <f>INDEX(Pipes_result_save_V1!$K$2:$K$206,MATCH(Z130,Pipes_result_save_V1!$I$2:$I$206,0)) *POWER(10,-3)</f>
        <v>-2.1637012481689449E-2</v>
      </c>
      <c r="AN130" s="78">
        <v>4.1937443302070467E-3</v>
      </c>
      <c r="AO130" s="106">
        <v>-1.2589199694397009E-2</v>
      </c>
      <c r="AX130" t="s">
        <v>380</v>
      </c>
      <c r="AY130" s="233"/>
      <c r="AZ130" s="233"/>
      <c r="BA130" s="233"/>
      <c r="BB130" s="233"/>
      <c r="BC130" s="233"/>
      <c r="BD130" s="233"/>
      <c r="BE130" s="233"/>
      <c r="BF130" s="233"/>
      <c r="BG130">
        <v>-1.2812965939244099</v>
      </c>
      <c r="BH130">
        <v>236.69611504233305</v>
      </c>
      <c r="BR130">
        <v>0</v>
      </c>
      <c r="BS130">
        <v>38</v>
      </c>
      <c r="BT130" t="s">
        <v>540</v>
      </c>
      <c r="BU130" t="s">
        <v>197</v>
      </c>
      <c r="BV130" s="106" t="str">
        <f>INDEX(Pipes_result_save_V1!$G$2:$G$206,MATCH(BU130,Pipes_result_save_V1!$I$2:$I$206,0))</f>
        <v>N87</v>
      </c>
      <c r="BW130" s="106" t="str">
        <f>INDEX(Pipes_result_save_V1!$H$2:$H$206,MATCH(BU130,Pipes_result_save_V1!$I$2:$I$206,0))</f>
        <v>N88</v>
      </c>
      <c r="BX130" s="106">
        <f t="shared" si="22"/>
        <v>0.1106667961149343</v>
      </c>
      <c r="BY130">
        <v>400</v>
      </c>
      <c r="BZ130">
        <v>150</v>
      </c>
      <c r="CA130">
        <v>250</v>
      </c>
      <c r="CB130">
        <v>21.613015536351067</v>
      </c>
      <c r="CC130">
        <v>-0.119923</v>
      </c>
      <c r="CD130">
        <v>-0.42544435597132857</v>
      </c>
      <c r="CE130">
        <v>6.5702404647890766</v>
      </c>
      <c r="CF130" s="107">
        <f>INDEX(Pipes_result_save_V1!$K$2:$K$206,MATCH(BU130,Pipes_result_save_V1!$I$2:$I$206,0)) *POWER(10,-3)</f>
        <v>1.6403696060180661E-2</v>
      </c>
      <c r="CG130" s="78">
        <v>6.0888720627317316E-3</v>
      </c>
      <c r="CH130" s="106">
        <v>8.3325347248910803E-3</v>
      </c>
      <c r="CN130">
        <v>17</v>
      </c>
      <c r="CO130">
        <v>38</v>
      </c>
      <c r="CP130" t="s">
        <v>540</v>
      </c>
      <c r="CQ130" t="s">
        <v>118</v>
      </c>
      <c r="CR130" s="106" t="str">
        <f>INDEX(Pipes_result_save_V1!$G$2:$G$206,MATCH(CQ130,Pipes_result_save_V1!$I$2:$I$206,0))</f>
        <v>N67</v>
      </c>
      <c r="CS130" s="106" t="str">
        <f>INDEX(Pipes_result_save_V1!$H$2:$H$206,MATCH(CQ130,Pipes_result_save_V1!$I$2:$I$206,0))</f>
        <v>N66</v>
      </c>
      <c r="CT130" s="106">
        <f t="shared" si="23"/>
        <v>3.8250255700015404E-2</v>
      </c>
      <c r="CU130">
        <v>250</v>
      </c>
      <c r="CV130">
        <v>150</v>
      </c>
      <c r="CW130">
        <v>45</v>
      </c>
      <c r="CX130">
        <v>38.393376368369303</v>
      </c>
      <c r="CY130">
        <v>2.3580796114934299E-2</v>
      </c>
      <c r="CZ130">
        <v>3.7173596474258372E-2</v>
      </c>
      <c r="DA130">
        <v>2.9195579459984784</v>
      </c>
      <c r="DB130" s="107">
        <f>INDEX(Pipes_result_save_V1!$K$2:$K$206,MATCH(CQ130,Pipes_result_save_V1!$I$2:$I$206,0)) *POWER(10,-3)</f>
        <v>-1.8314315795898442E-2</v>
      </c>
      <c r="DC130" s="78">
        <v>6.5811502898759523E-3</v>
      </c>
      <c r="DD130" s="106">
        <v>-6.1716577514044184E-3</v>
      </c>
      <c r="DL130">
        <v>0</v>
      </c>
      <c r="DM130">
        <v>38</v>
      </c>
      <c r="DN130" t="s">
        <v>539</v>
      </c>
      <c r="DO130" t="s">
        <v>263</v>
      </c>
      <c r="DP130" s="106" t="str">
        <f>INDEX(Pipes_result_save_V1!$G$2:$G$206,MATCH(DO130,Pipes_result_save_V1!$I$2:$I$206,0))</f>
        <v>N112</v>
      </c>
      <c r="DQ130" s="106" t="str">
        <f>INDEX(Pipes_result_save_V1!$H$2:$H$206,MATCH(DO130,Pipes_result_save_V1!$I$2:$I$206,0))</f>
        <v>N111</v>
      </c>
      <c r="DR130" s="106">
        <f t="shared" si="24"/>
        <v>3.3422483842022878E-2</v>
      </c>
      <c r="DS130">
        <v>250</v>
      </c>
      <c r="DT130">
        <v>150</v>
      </c>
      <c r="DU130">
        <v>234</v>
      </c>
      <c r="DV130">
        <v>199.64555711552038</v>
      </c>
      <c r="DW130">
        <v>3.2837000000000005E-2</v>
      </c>
      <c r="DX130">
        <v>0.35691500121726061</v>
      </c>
      <c r="DY130">
        <v>20.12993215745551</v>
      </c>
      <c r="DZ130" s="107">
        <f>INDEX(Pipes_result_save_V1!$K$2:$K$206,MATCH(DO130,Pipes_result_save_V1!$I$2:$I$206,0)) *POWER(10,-3)</f>
        <v>-6.3918390274047849E-3</v>
      </c>
      <c r="EA130" s="78">
        <v>5.6339332133300106E-3</v>
      </c>
      <c r="EB130" s="106">
        <v>2.5927165947977919E-3</v>
      </c>
    </row>
    <row r="131" spans="2:132" ht="30" x14ac:dyDescent="0.25">
      <c r="B131" s="106">
        <v>39</v>
      </c>
      <c r="C131" s="106" t="s">
        <v>539</v>
      </c>
      <c r="D131" s="106" t="s">
        <v>283</v>
      </c>
      <c r="E131" s="106" t="str">
        <f>INDEX(Pipes_result_save_V1!$G$2:$G$206,MATCH(D131,Pipes_result_save_V1!$I$2:$I$206,0))</f>
        <v>N161</v>
      </c>
      <c r="F131" s="106" t="str">
        <f>INDEX(Pipes_result_save_V1!$H$2:$H$206,MATCH(D131,Pipes_result_save_V1!$I$2:$I$206,0))</f>
        <v>N162</v>
      </c>
      <c r="G131" s="106">
        <f t="shared" si="18"/>
        <v>7.2403064923816499E-2</v>
      </c>
      <c r="H131" s="107">
        <v>466</v>
      </c>
      <c r="I131" s="107">
        <v>150</v>
      </c>
      <c r="J131" s="107">
        <v>151</v>
      </c>
      <c r="K131" s="107">
        <v>6.204099035985351</v>
      </c>
      <c r="L131" s="107">
        <v>0.151</v>
      </c>
      <c r="M131" s="107">
        <v>0.18713026311110245</v>
      </c>
      <c r="N131" s="107">
        <v>2.2951340879586879</v>
      </c>
      <c r="O131" s="107">
        <f t="shared" si="19"/>
        <v>7.2403064923816499E-2</v>
      </c>
      <c r="P131" s="78">
        <v>6.5314458135635354E-3</v>
      </c>
      <c r="Q131" s="106">
        <v>-2.4049893589310409E-3</v>
      </c>
      <c r="R131" s="78"/>
      <c r="S131" s="78"/>
      <c r="T131" s="78"/>
      <c r="U131" s="78"/>
      <c r="V131" s="78"/>
      <c r="W131" s="78">
        <v>38</v>
      </c>
      <c r="X131" s="78">
        <v>39</v>
      </c>
      <c r="Y131" s="78" t="s">
        <v>540</v>
      </c>
      <c r="Z131" s="78" t="s">
        <v>284</v>
      </c>
      <c r="AA131" s="106" t="str">
        <f>INDEX(Pipes_result_save_V1!$G$2:$G$206,MATCH(Z131,Pipes_result_save_V1!$I$2:$I$206,0))</f>
        <v>N160</v>
      </c>
      <c r="AB131" s="106" t="str">
        <f>INDEX(Pipes_result_save_V1!$H$2:$H$206,MATCH(Z131,Pipes_result_save_V1!$I$2:$I$206,0))</f>
        <v>N161</v>
      </c>
      <c r="AC131" s="106">
        <f t="shared" si="20"/>
        <v>5.9693507618349684E-4</v>
      </c>
      <c r="AD131" s="78">
        <v>200</v>
      </c>
      <c r="AE131" s="78">
        <v>150</v>
      </c>
      <c r="AF131" s="78">
        <v>78</v>
      </c>
      <c r="AG131" s="78">
        <v>197.32725229713157</v>
      </c>
      <c r="AH131" s="78">
        <v>8.4596935076183558E-2</v>
      </c>
      <c r="AI131" s="78">
        <v>1</v>
      </c>
      <c r="AJ131" s="78">
        <v>-1</v>
      </c>
      <c r="AK131" s="78">
        <v>2.0353909603128959</v>
      </c>
      <c r="AL131">
        <v>44.558872671980723</v>
      </c>
      <c r="AM131" s="107">
        <f>INDEX(Pipes_result_save_V1!$K$2:$K$206,MATCH(Z131,Pipes_result_save_V1!$I$2:$I$206,0)) *POWER(10,-3)</f>
        <v>-2.2561313629150391E-2</v>
      </c>
      <c r="AN131" s="78">
        <v>5.5915740305501321E-4</v>
      </c>
      <c r="AO131" s="106">
        <v>-1.736603009755798E-2</v>
      </c>
      <c r="AX131" t="s">
        <v>381</v>
      </c>
      <c r="AY131" s="233">
        <v>5.4132557000153986E-3</v>
      </c>
      <c r="AZ131" s="233"/>
      <c r="BA131" s="233"/>
      <c r="BB131" s="233"/>
      <c r="BC131" s="233"/>
      <c r="BD131" s="233"/>
      <c r="BE131" s="233"/>
      <c r="BF131" s="233"/>
      <c r="BG131" s="233"/>
      <c r="BH131" s="233"/>
      <c r="BR131">
        <v>0</v>
      </c>
      <c r="BS131">
        <v>39</v>
      </c>
      <c r="BT131" t="s">
        <v>540</v>
      </c>
      <c r="BU131" t="s">
        <v>196</v>
      </c>
      <c r="BV131" s="106" t="str">
        <f>INDEX(Pipes_result_save_V1!$G$2:$G$206,MATCH(BU131,Pipes_result_save_V1!$I$2:$I$206,0))</f>
        <v>N88</v>
      </c>
      <c r="BW131" s="106" t="str">
        <f>INDEX(Pipes_result_save_V1!$H$2:$H$206,MATCH(BU131,Pipes_result_save_V1!$I$2:$I$206,0))</f>
        <v>N89</v>
      </c>
      <c r="BX131" s="106">
        <f t="shared" si="22"/>
        <v>0.1106667961149343</v>
      </c>
      <c r="BY131">
        <v>400</v>
      </c>
      <c r="BZ131">
        <v>150</v>
      </c>
      <c r="CA131">
        <v>63</v>
      </c>
      <c r="CB131">
        <v>5.4464799151604693</v>
      </c>
      <c r="CC131">
        <v>-0.119923</v>
      </c>
      <c r="CD131">
        <v>-0.10721197770477481</v>
      </c>
      <c r="CE131">
        <v>1.6557005971268473</v>
      </c>
      <c r="CF131" s="107">
        <f>INDEX(Pipes_result_save_V1!$K$2:$K$206,MATCH(BU131,Pipes_result_save_V1!$I$2:$I$206,0)) *POWER(10,-3)</f>
        <v>1.461785984039307E-2</v>
      </c>
      <c r="CG131" s="78">
        <v>5.6274837406080575E-3</v>
      </c>
      <c r="CH131" s="106">
        <v>5.9643328863446541E-3</v>
      </c>
      <c r="CN131">
        <v>18</v>
      </c>
      <c r="CO131">
        <v>39</v>
      </c>
      <c r="CP131" t="s">
        <v>540</v>
      </c>
      <c r="CQ131" t="s">
        <v>117</v>
      </c>
      <c r="CR131" s="106" t="str">
        <f>INDEX(Pipes_result_save_V1!$G$2:$G$206,MATCH(CQ131,Pipes_result_save_V1!$I$2:$I$206,0))</f>
        <v>N68</v>
      </c>
      <c r="CS131" s="106" t="str">
        <f>INDEX(Pipes_result_save_V1!$H$2:$H$206,MATCH(CQ131,Pipes_result_save_V1!$I$2:$I$206,0))</f>
        <v>N67</v>
      </c>
      <c r="CT131" s="106">
        <f t="shared" si="23"/>
        <v>3.8250255700015404E-2</v>
      </c>
      <c r="CU131">
        <v>250</v>
      </c>
      <c r="CV131">
        <v>150</v>
      </c>
      <c r="CW131">
        <v>100</v>
      </c>
      <c r="CX131">
        <v>85.318614151931783</v>
      </c>
      <c r="CY131">
        <v>2.3580796114934299E-2</v>
      </c>
      <c r="CZ131">
        <v>8.2607992165018601E-2</v>
      </c>
      <c r="DA131">
        <v>6.487906546663285</v>
      </c>
      <c r="DB131" s="107">
        <f>INDEX(Pipes_result_save_V1!$K$2:$K$206,MATCH(CQ131,Pipes_result_save_V1!$I$2:$I$206,0)) *POWER(10,-3)</f>
        <v>-1.748701095581055E-2</v>
      </c>
      <c r="DC131" s="78">
        <v>6.1188648398937239E-3</v>
      </c>
      <c r="DD131" s="106">
        <v>-7.9626094337517453E-3</v>
      </c>
      <c r="DL131">
        <v>0</v>
      </c>
      <c r="DM131">
        <v>39</v>
      </c>
      <c r="DN131" t="s">
        <v>539</v>
      </c>
      <c r="DO131" t="s">
        <v>264</v>
      </c>
      <c r="DP131" s="106" t="str">
        <f>INDEX(Pipes_result_save_V1!$G$2:$G$206,MATCH(DO131,Pipes_result_save_V1!$I$2:$I$206,0))</f>
        <v>N113</v>
      </c>
      <c r="DQ131" s="106" t="str">
        <f>INDEX(Pipes_result_save_V1!$H$2:$H$206,MATCH(DO131,Pipes_result_save_V1!$I$2:$I$206,0))</f>
        <v>N112</v>
      </c>
      <c r="DR131" s="106">
        <f t="shared" si="24"/>
        <v>3.3422483842022878E-2</v>
      </c>
      <c r="DS131">
        <v>250</v>
      </c>
      <c r="DT131">
        <v>150</v>
      </c>
      <c r="DU131">
        <v>74</v>
      </c>
      <c r="DV131">
        <v>63.135774472429517</v>
      </c>
      <c r="DW131">
        <v>3.2837000000000005E-2</v>
      </c>
      <c r="DX131">
        <v>0.1128705559405012</v>
      </c>
      <c r="DY131">
        <v>6.3658759814175534</v>
      </c>
      <c r="DZ131" s="107">
        <f>INDEX(Pipes_result_save_V1!$K$2:$K$206,MATCH(DO131,Pipes_result_save_V1!$I$2:$I$206,0)) *POWER(10,-3)</f>
        <v>-4.6345300674438478E-3</v>
      </c>
      <c r="EA131" s="78">
        <v>6.322056607243034E-3</v>
      </c>
      <c r="EB131" s="106">
        <v>-2.026191610472208E-3</v>
      </c>
    </row>
    <row r="132" spans="2:132" ht="30" x14ac:dyDescent="0.25">
      <c r="B132" s="106">
        <v>40</v>
      </c>
      <c r="C132" s="106" t="s">
        <v>539</v>
      </c>
      <c r="D132" s="106" t="s">
        <v>280</v>
      </c>
      <c r="E132" s="106" t="str">
        <f>INDEX(Pipes_result_save_V1!$G$2:$G$206,MATCH(D132,Pipes_result_save_V1!$I$2:$I$206,0))</f>
        <v>N162</v>
      </c>
      <c r="F132" s="106" t="str">
        <f>INDEX(Pipes_result_save_V1!$H$2:$H$206,MATCH(D132,Pipes_result_save_V1!$I$2:$I$206,0))</f>
        <v>N163</v>
      </c>
      <c r="G132" s="106">
        <f t="shared" si="18"/>
        <v>2.4596935076183497E-2</v>
      </c>
      <c r="H132" s="107">
        <v>300</v>
      </c>
      <c r="I132" s="107">
        <v>150</v>
      </c>
      <c r="J132" s="107">
        <v>54</v>
      </c>
      <c r="K132" s="107">
        <v>18.955956474300912</v>
      </c>
      <c r="L132" s="107">
        <v>5.3999999999999999E-2</v>
      </c>
      <c r="M132" s="107">
        <v>8.5141039063695509E-2</v>
      </c>
      <c r="N132" s="107">
        <v>2.9200223027030376</v>
      </c>
      <c r="O132" s="107">
        <f t="shared" si="19"/>
        <v>-2.4596935076183497E-2</v>
      </c>
      <c r="P132" s="78">
        <v>5.4713251562226988E-3</v>
      </c>
      <c r="Q132" s="106">
        <v>-2.4007604242235366E-3</v>
      </c>
      <c r="R132" s="78"/>
      <c r="S132" s="78"/>
      <c r="T132" s="78"/>
      <c r="U132" s="78"/>
      <c r="V132" s="78"/>
      <c r="W132" s="78">
        <v>39</v>
      </c>
      <c r="X132" s="78">
        <v>40</v>
      </c>
      <c r="Y132" s="78" t="s">
        <v>540</v>
      </c>
      <c r="Z132" s="78" t="s">
        <v>283</v>
      </c>
      <c r="AA132" s="106" t="str">
        <f>INDEX(Pipes_result_save_V1!$G$2:$G$206,MATCH(Z132,Pipes_result_save_V1!$I$2:$I$206,0))</f>
        <v>N161</v>
      </c>
      <c r="AB132" s="106" t="str">
        <f>INDEX(Pipes_result_save_V1!$H$2:$H$206,MATCH(Z132,Pipes_result_save_V1!$I$2:$I$206,0))</f>
        <v>N162</v>
      </c>
      <c r="AC132" s="106">
        <f t="shared" si="20"/>
        <v>7.2403064923816499E-2</v>
      </c>
      <c r="AD132" s="78">
        <v>200</v>
      </c>
      <c r="AE132" s="78">
        <v>150</v>
      </c>
      <c r="AF132" s="78">
        <v>151</v>
      </c>
      <c r="AG132" s="78">
        <v>382.0053217547034</v>
      </c>
      <c r="AH132" s="78">
        <v>0.15759693507618355</v>
      </c>
      <c r="AI132" s="78">
        <v>1</v>
      </c>
      <c r="AJ132" s="78">
        <v>-1</v>
      </c>
      <c r="AK132" s="78">
        <v>12.471763818331654</v>
      </c>
      <c r="AL132">
        <v>146.56190223740467</v>
      </c>
      <c r="AM132" s="107">
        <f>INDEX(Pipes_result_save_V1!$K$2:$K$206,MATCH(Z132,Pipes_result_save_V1!$I$2:$I$206,0)) *POWER(10,-3)</f>
        <v>-2.3867883682250981E-2</v>
      </c>
      <c r="AN132" s="78">
        <v>2.4399633518748689E-3</v>
      </c>
      <c r="AO132" s="106">
        <v>-1.9434954817451989E-2</v>
      </c>
      <c r="BR132">
        <v>0</v>
      </c>
      <c r="BS132">
        <v>40</v>
      </c>
      <c r="BT132" t="s">
        <v>540</v>
      </c>
      <c r="BU132" t="s">
        <v>195</v>
      </c>
      <c r="BV132" s="106" t="str">
        <f>INDEX(Pipes_result_save_V1!$G$2:$G$206,MATCH(BU132,Pipes_result_save_V1!$I$2:$I$206,0))</f>
        <v>N89</v>
      </c>
      <c r="BW132" s="106" t="str">
        <f>INDEX(Pipes_result_save_V1!$H$2:$H$206,MATCH(BU132,Pipes_result_save_V1!$I$2:$I$206,0))</f>
        <v>N90</v>
      </c>
      <c r="BX132" s="106">
        <f t="shared" si="22"/>
        <v>0.1106667961149343</v>
      </c>
      <c r="BY132">
        <v>400</v>
      </c>
      <c r="BZ132">
        <v>150</v>
      </c>
      <c r="CA132">
        <v>41</v>
      </c>
      <c r="CB132">
        <v>3.5445345479615753</v>
      </c>
      <c r="CC132">
        <v>-0.119923</v>
      </c>
      <c r="CD132">
        <v>-6.9772874379297897E-2</v>
      </c>
      <c r="CE132">
        <v>1.0775194362254086</v>
      </c>
      <c r="CF132" s="107">
        <f>INDEX(Pipes_result_save_V1!$K$2:$K$206,MATCH(BU132,Pipes_result_save_V1!$I$2:$I$206,0)) *POWER(10,-3)</f>
        <v>1.402448272705078E-2</v>
      </c>
      <c r="CG132" s="78">
        <v>5.8155244189792895E-3</v>
      </c>
      <c r="CH132" s="106">
        <v>3.4836224920138693E-3</v>
      </c>
      <c r="CN132">
        <v>19</v>
      </c>
      <c r="CO132">
        <v>40</v>
      </c>
      <c r="CP132" t="s">
        <v>540</v>
      </c>
      <c r="CQ132" t="s">
        <v>116</v>
      </c>
      <c r="CR132" s="106" t="str">
        <f>INDEX(Pipes_result_save_V1!$G$2:$G$206,MATCH(CQ132,Pipes_result_save_V1!$I$2:$I$206,0))</f>
        <v>N69</v>
      </c>
      <c r="CS132" s="106" t="str">
        <f>INDEX(Pipes_result_save_V1!$H$2:$H$206,MATCH(CQ132,Pipes_result_save_V1!$I$2:$I$206,0))</f>
        <v>N68</v>
      </c>
      <c r="CT132" s="106">
        <f t="shared" si="23"/>
        <v>3.8250255700015404E-2</v>
      </c>
      <c r="CU132">
        <v>250</v>
      </c>
      <c r="CV132">
        <v>150</v>
      </c>
      <c r="CW132">
        <v>202</v>
      </c>
      <c r="CX132">
        <v>172.3436005869022</v>
      </c>
      <c r="CY132">
        <v>2.3579796114934291E-2</v>
      </c>
      <c r="CZ132">
        <v>0.1668550388388729</v>
      </c>
      <c r="DA132">
        <v>13.105097704126349</v>
      </c>
      <c r="DB132" s="107">
        <f>INDEX(Pipes_result_save_V1!$K$2:$K$206,MATCH(CQ132,Pipes_result_save_V1!$I$2:$I$206,0)) *POWER(10,-3)</f>
        <v>-1.5763935089111329E-2</v>
      </c>
      <c r="DC132" s="78">
        <v>6.1704841590305539E-3</v>
      </c>
      <c r="DD132" s="106">
        <v>-3.456732258007857E-3</v>
      </c>
      <c r="DL132">
        <v>0</v>
      </c>
      <c r="DM132">
        <v>40</v>
      </c>
      <c r="DN132" t="s">
        <v>539</v>
      </c>
      <c r="DO132" t="s">
        <v>266</v>
      </c>
      <c r="DP132" s="106" t="str">
        <f>INDEX(Pipes_result_save_V1!$G$2:$G$206,MATCH(DO132,Pipes_result_save_V1!$I$2:$I$206,0))</f>
        <v>N114</v>
      </c>
      <c r="DQ132" s="106" t="str">
        <f>INDEX(Pipes_result_save_V1!$H$2:$H$206,MATCH(DO132,Pipes_result_save_V1!$I$2:$I$206,0))</f>
        <v>N113</v>
      </c>
      <c r="DR132" s="106">
        <f t="shared" si="24"/>
        <v>3.3422483842022878E-2</v>
      </c>
      <c r="DS132">
        <v>250</v>
      </c>
      <c r="DT132">
        <v>150</v>
      </c>
      <c r="DU132">
        <v>79</v>
      </c>
      <c r="DV132">
        <v>67.401705180026113</v>
      </c>
      <c r="DW132">
        <v>3.2837000000000005E-2</v>
      </c>
      <c r="DX132">
        <v>0.12049694485539995</v>
      </c>
      <c r="DY132">
        <v>6.7960027369187399</v>
      </c>
      <c r="DZ132" s="107">
        <f>INDEX(Pipes_result_save_V1!$K$2:$K$206,MATCH(DO132,Pipes_result_save_V1!$I$2:$I$206,0)) *POWER(10,-3)</f>
        <v>-3.761581182479858E-3</v>
      </c>
      <c r="EA132" s="78">
        <v>5.3573692531348055E-3</v>
      </c>
      <c r="EB132" s="106">
        <v>-2.6785960308894703E-3</v>
      </c>
    </row>
    <row r="133" spans="2:132" ht="30" x14ac:dyDescent="0.25">
      <c r="B133" s="106">
        <v>41</v>
      </c>
      <c r="C133" s="106" t="s">
        <v>539</v>
      </c>
      <c r="D133" s="106" t="s">
        <v>282</v>
      </c>
      <c r="E133" s="106" t="str">
        <f>INDEX(Pipes_result_save_V1!$G$2:$G$206,MATCH(D133,Pipes_result_save_V1!$I$2:$I$206,0))</f>
        <v>N163</v>
      </c>
      <c r="F133" s="106" t="str">
        <f>INDEX(Pipes_result_save_V1!$H$2:$H$206,MATCH(D133,Pipes_result_save_V1!$I$2:$I$206,0))</f>
        <v>N164</v>
      </c>
      <c r="G133" s="106">
        <f t="shared" si="18"/>
        <v>4.3596935076183493E-2</v>
      </c>
      <c r="H133" s="107">
        <v>250</v>
      </c>
      <c r="I133" s="107">
        <v>150</v>
      </c>
      <c r="J133" s="107">
        <v>35</v>
      </c>
      <c r="K133" s="107">
        <v>29.861514953176123</v>
      </c>
      <c r="L133" s="107">
        <v>3.5000000000000003E-2</v>
      </c>
      <c r="M133" s="107">
        <v>6.0079437098534257E-2</v>
      </c>
      <c r="N133" s="107">
        <v>3.1790605001852987</v>
      </c>
      <c r="O133" s="107">
        <f t="shared" si="19"/>
        <v>-4.3596935076183493E-2</v>
      </c>
      <c r="P133" s="78">
        <v>5.8142214698149782E-3</v>
      </c>
      <c r="Q133" s="106">
        <v>-4.2083971090502133E-3</v>
      </c>
      <c r="R133" s="78"/>
      <c r="S133" s="78"/>
      <c r="T133" s="78"/>
      <c r="U133" s="78"/>
      <c r="V133" s="78"/>
      <c r="W133" s="78">
        <v>40</v>
      </c>
      <c r="X133" s="78">
        <v>41</v>
      </c>
      <c r="Y133" s="78" t="s">
        <v>540</v>
      </c>
      <c r="Z133" s="78" t="s">
        <v>280</v>
      </c>
      <c r="AA133" s="106" t="str">
        <f>INDEX(Pipes_result_save_V1!$G$2:$G$206,MATCH(Z133,Pipes_result_save_V1!$I$2:$I$206,0))</f>
        <v>N162</v>
      </c>
      <c r="AB133" s="106" t="str">
        <f>INDEX(Pipes_result_save_V1!$H$2:$H$206,MATCH(Z133,Pipes_result_save_V1!$I$2:$I$206,0))</f>
        <v>N163</v>
      </c>
      <c r="AC133" s="106">
        <f t="shared" si="20"/>
        <v>2.4596935076183497E-2</v>
      </c>
      <c r="AD133" s="78">
        <v>200</v>
      </c>
      <c r="AE133" s="78">
        <v>150</v>
      </c>
      <c r="AF133" s="78">
        <v>54</v>
      </c>
      <c r="AG133" s="78">
        <v>136.61117466724494</v>
      </c>
      <c r="AH133" s="78">
        <v>6.059693507618355E-2</v>
      </c>
      <c r="AI133" s="78">
        <v>1</v>
      </c>
      <c r="AJ133" s="78">
        <v>-1</v>
      </c>
      <c r="AK133" s="78">
        <v>0.75959980646985081</v>
      </c>
      <c r="AL133">
        <v>23.215346449676638</v>
      </c>
      <c r="AM133" s="107">
        <f>INDEX(Pipes_result_save_V1!$K$2:$K$206,MATCH(Z133,Pipes_result_save_V1!$I$2:$I$206,0)) *POWER(10,-3)</f>
        <v>-2.5037521362304693E-2</v>
      </c>
      <c r="AN133" s="78">
        <v>2.1572128217552228E-3</v>
      </c>
      <c r="AO133" s="106">
        <v>-2.0299806896320896E-2</v>
      </c>
      <c r="BR133">
        <v>0</v>
      </c>
      <c r="BS133">
        <v>41</v>
      </c>
      <c r="BT133" t="s">
        <v>540</v>
      </c>
      <c r="BU133" t="s">
        <v>194</v>
      </c>
      <c r="BV133" s="106" t="str">
        <f>INDEX(Pipes_result_save_V1!$G$2:$G$206,MATCH(BU133,Pipes_result_save_V1!$I$2:$I$206,0))</f>
        <v>N90</v>
      </c>
      <c r="BW133" s="106" t="str">
        <f>INDEX(Pipes_result_save_V1!$H$2:$H$206,MATCH(BU133,Pipes_result_save_V1!$I$2:$I$206,0))</f>
        <v>N91</v>
      </c>
      <c r="BX133" s="106">
        <f t="shared" si="22"/>
        <v>0.1106667961149343</v>
      </c>
      <c r="BY133">
        <v>400</v>
      </c>
      <c r="BZ133">
        <v>150</v>
      </c>
      <c r="CA133">
        <v>201</v>
      </c>
      <c r="CB133">
        <v>17.376864491226261</v>
      </c>
      <c r="CC133">
        <v>-0.119923</v>
      </c>
      <c r="CD133">
        <v>-0.34205726220094823</v>
      </c>
      <c r="CE133">
        <v>5.2824733336904179</v>
      </c>
      <c r="CF133" s="107">
        <f>INDEX(Pipes_result_save_V1!$K$2:$K$206,MATCH(BU133,Pipes_result_save_V1!$I$2:$I$206,0)) *POWER(10,-3)</f>
        <v>1.264373970031738E-2</v>
      </c>
      <c r="CG133" s="78">
        <v>5.4720869442523943E-3</v>
      </c>
      <c r="CH133" s="106">
        <v>2.4069547139543637E-3</v>
      </c>
      <c r="CN133">
        <v>0</v>
      </c>
      <c r="CO133">
        <v>41</v>
      </c>
      <c r="CP133" t="s">
        <v>539</v>
      </c>
      <c r="CQ133" t="s">
        <v>417</v>
      </c>
      <c r="CR133" s="106" t="str">
        <f>INDEX(Pipes_result_save_V1!$G$2:$G$206,MATCH(CQ133,Pipes_result_save_V1!$I$2:$I$206,0))</f>
        <v>R2</v>
      </c>
      <c r="CS133" s="106" t="str">
        <f>INDEX(Pipes_result_save_V1!$H$2:$H$206,MATCH(CQ133,Pipes_result_save_V1!$I$2:$I$206,0))</f>
        <v>N41</v>
      </c>
      <c r="CT133" s="106">
        <f t="shared" si="23"/>
        <v>8.6925643734511754E-2</v>
      </c>
      <c r="CU133">
        <v>400</v>
      </c>
      <c r="CV133">
        <v>150</v>
      </c>
      <c r="CW133">
        <v>9</v>
      </c>
      <c r="CX133">
        <v>0.7780685593086385</v>
      </c>
      <c r="CY133">
        <v>9.851E-2</v>
      </c>
      <c r="CZ133">
        <v>1.0640043839006231E-2</v>
      </c>
      <c r="DA133">
        <v>0.20003412029072726</v>
      </c>
      <c r="DB133" s="107">
        <v>8.6925643734511754E-2</v>
      </c>
      <c r="DC133" s="78">
        <v>6.5493759904765017E-3</v>
      </c>
      <c r="DD133" s="107">
        <v>8.6925643734511754E-2</v>
      </c>
      <c r="DL133">
        <v>0</v>
      </c>
      <c r="DM133">
        <v>41</v>
      </c>
      <c r="DN133" t="s">
        <v>539</v>
      </c>
      <c r="DO133" t="s">
        <v>276</v>
      </c>
      <c r="DP133" s="106" t="str">
        <f>INDEX(Pipes_result_save_V1!$G$2:$G$206,MATCH(DO133,Pipes_result_save_V1!$I$2:$I$206,0))</f>
        <v>N115</v>
      </c>
      <c r="DQ133" s="106" t="str">
        <f>INDEX(Pipes_result_save_V1!$H$2:$H$206,MATCH(DO133,Pipes_result_save_V1!$I$2:$I$206,0))</f>
        <v>N114</v>
      </c>
      <c r="DR133" s="106">
        <f t="shared" si="24"/>
        <v>3.3422483842022878E-2</v>
      </c>
      <c r="DS133">
        <v>250</v>
      </c>
      <c r="DT133">
        <v>150</v>
      </c>
      <c r="DU133">
        <v>241</v>
      </c>
      <c r="DV133">
        <v>205.6178601061556</v>
      </c>
      <c r="DW133">
        <v>3.2837000000000005E-2</v>
      </c>
      <c r="DX133">
        <v>0.36759194569811882</v>
      </c>
      <c r="DY133">
        <v>20.732109615157171</v>
      </c>
      <c r="DZ133" s="107">
        <f>INDEX(Pipes_result_save_V1!$K$2:$K$206,MATCH(DO133,Pipes_result_save_V1!$I$2:$I$206,0)) *POWER(10,-3)</f>
        <v>-1.935805678367615E-3</v>
      </c>
      <c r="EA133" s="78">
        <v>5.8139980983665986E-3</v>
      </c>
      <c r="EB133" s="106">
        <v>1.2449295073102503E-3</v>
      </c>
    </row>
    <row r="134" spans="2:132" ht="30" x14ac:dyDescent="0.25">
      <c r="B134" s="106">
        <v>42</v>
      </c>
      <c r="C134" s="106" t="s">
        <v>539</v>
      </c>
      <c r="D134" s="106" t="s">
        <v>430</v>
      </c>
      <c r="E134" s="106" t="str">
        <f>INDEX(Pipes_result_save_V1!$G$2:$G$206,MATCH(D134,Pipes_result_save_V1!$I$2:$I$206,0))</f>
        <v>N164</v>
      </c>
      <c r="F134" s="106" t="str">
        <f>INDEX(Pipes_result_save_V1!$H$2:$H$206,MATCH(D134,Pipes_result_save_V1!$I$2:$I$206,0))</f>
        <v>N165</v>
      </c>
      <c r="G134" s="106">
        <f t="shared" si="18"/>
        <v>9.4030649238164982E-3</v>
      </c>
      <c r="H134" s="107">
        <v>350</v>
      </c>
      <c r="I134" s="107">
        <v>150</v>
      </c>
      <c r="J134" s="107">
        <v>88</v>
      </c>
      <c r="K134" s="107">
        <v>14.579304373504881</v>
      </c>
      <c r="L134" s="107">
        <v>8.7999999999999995E-2</v>
      </c>
      <c r="M134" s="107">
        <v>0.16177772046556005</v>
      </c>
      <c r="N134" s="107">
        <v>3.4046856625251967</v>
      </c>
      <c r="O134" s="107">
        <f t="shared" si="19"/>
        <v>9.4030649238164982E-3</v>
      </c>
      <c r="P134" s="78">
        <v>5.1295262473634706E-3</v>
      </c>
      <c r="Q134" s="106">
        <v>-7.6131039060826191E-3</v>
      </c>
      <c r="R134" s="78"/>
      <c r="S134" s="78"/>
      <c r="T134" s="78"/>
      <c r="U134" s="78"/>
      <c r="V134" s="78"/>
      <c r="W134" s="78">
        <v>41</v>
      </c>
      <c r="X134" s="78">
        <v>42</v>
      </c>
      <c r="Y134" s="78" t="s">
        <v>540</v>
      </c>
      <c r="Z134" s="78" t="s">
        <v>282</v>
      </c>
      <c r="AA134" s="106" t="str">
        <f>INDEX(Pipes_result_save_V1!$G$2:$G$206,MATCH(Z134,Pipes_result_save_V1!$I$2:$I$206,0))</f>
        <v>N163</v>
      </c>
      <c r="AB134" s="106" t="str">
        <f>INDEX(Pipes_result_save_V1!$H$2:$H$206,MATCH(Z134,Pipes_result_save_V1!$I$2:$I$206,0))</f>
        <v>N164</v>
      </c>
      <c r="AC134" s="106">
        <f t="shared" si="20"/>
        <v>4.3596935076183493E-2</v>
      </c>
      <c r="AD134" s="78">
        <v>200</v>
      </c>
      <c r="AE134" s="78">
        <v>150</v>
      </c>
      <c r="AF134" s="78">
        <v>35</v>
      </c>
      <c r="AG134" s="78">
        <v>88.544279876918011</v>
      </c>
      <c r="AH134" s="78">
        <v>4.1596935076183561E-2</v>
      </c>
      <c r="AI134" s="78">
        <v>1</v>
      </c>
      <c r="AJ134" s="78">
        <v>-1</v>
      </c>
      <c r="AK134" s="78">
        <v>0.24527997752358771</v>
      </c>
      <c r="AL134">
        <v>10.920480500347525</v>
      </c>
      <c r="AM134" s="107">
        <f>INDEX(Pipes_result_save_V1!$K$2:$K$206,MATCH(Z134,Pipes_result_save_V1!$I$2:$I$206,0)) *POWER(10,-3)</f>
        <v>-2.5545314788818361E-2</v>
      </c>
      <c r="AN134" s="78">
        <v>4.4473267180016995E-3</v>
      </c>
      <c r="AO134" s="106">
        <v>-1.4737859875302411E-2</v>
      </c>
      <c r="BR134">
        <v>0</v>
      </c>
      <c r="BS134">
        <v>42</v>
      </c>
      <c r="BT134" t="s">
        <v>540</v>
      </c>
      <c r="BU134" t="s">
        <v>425</v>
      </c>
      <c r="BV134" s="106" t="str">
        <f>INDEX(Pipes_result_save_V1!$G$2:$G$206,MATCH(BU134,Pipes_result_save_V1!$I$2:$I$206,0))</f>
        <v>N91</v>
      </c>
      <c r="BW134" s="106" t="str">
        <f>INDEX(Pipes_result_save_V1!$H$2:$H$206,MATCH(BU134,Pipes_result_save_V1!$I$2:$I$206,0))</f>
        <v>N92</v>
      </c>
      <c r="BX134" s="106">
        <f t="shared" si="22"/>
        <v>0.1106667961149343</v>
      </c>
      <c r="BY134">
        <v>400</v>
      </c>
      <c r="BZ134">
        <v>150</v>
      </c>
      <c r="CA134">
        <v>129</v>
      </c>
      <c r="CB134">
        <v>11.152316016757153</v>
      </c>
      <c r="CC134">
        <v>-0.119923</v>
      </c>
      <c r="CD134">
        <v>-0.21952928768120558</v>
      </c>
      <c r="CE134">
        <v>3.3902440798311639</v>
      </c>
      <c r="CF134" s="107">
        <f>INDEX(Pipes_result_save_V1!$K$2:$K$206,MATCH(BU134,Pipes_result_save_V1!$I$2:$I$206,0)) *POWER(10,-3)</f>
        <v>1.0760909080505369E-2</v>
      </c>
      <c r="CG134" s="78">
        <v>6.3134524301300537E-3</v>
      </c>
      <c r="CH134" s="106">
        <v>2.2673251344828373E-3</v>
      </c>
      <c r="CQ134" t="s">
        <v>380</v>
      </c>
      <c r="CZ134">
        <v>2.2952384014795748</v>
      </c>
      <c r="DA134">
        <v>198.13258060074335</v>
      </c>
      <c r="DL134">
        <v>0</v>
      </c>
      <c r="DM134">
        <v>42</v>
      </c>
      <c r="DN134" t="s">
        <v>539</v>
      </c>
      <c r="DO134" t="s">
        <v>316</v>
      </c>
      <c r="DP134" s="106" t="str">
        <f>INDEX(Pipes_result_save_V1!$G$2:$G$206,MATCH(DO134,Pipes_result_save_V1!$I$2:$I$206,0))</f>
        <v>N116</v>
      </c>
      <c r="DQ134" s="106" t="str">
        <f>INDEX(Pipes_result_save_V1!$H$2:$H$206,MATCH(DO134,Pipes_result_save_V1!$I$2:$I$206,0))</f>
        <v>N115</v>
      </c>
      <c r="DR134" s="106">
        <f t="shared" si="24"/>
        <v>3.3422483842022878E-2</v>
      </c>
      <c r="DS134">
        <v>250</v>
      </c>
      <c r="DT134">
        <v>150</v>
      </c>
      <c r="DU134">
        <v>61</v>
      </c>
      <c r="DV134">
        <v>52.044354632678385</v>
      </c>
      <c r="DW134">
        <v>3.2837000000000005E-2</v>
      </c>
      <c r="DX134">
        <v>9.30419447617645E-2</v>
      </c>
      <c r="DY134">
        <v>5.2475464171144699</v>
      </c>
      <c r="DZ134" s="107">
        <f>INDEX(Pipes_result_save_V1!$K$2:$K$206,MATCH(DO134,Pipes_result_save_V1!$I$2:$I$206,0)) *POWER(10,-3)</f>
        <v>-2.1272979676723481E-4</v>
      </c>
      <c r="EA134" s="78">
        <v>6.5067774447843396E-3</v>
      </c>
      <c r="EB134" s="106">
        <v>-1.0234489265332092E-4</v>
      </c>
    </row>
    <row r="135" spans="2:132" ht="30" x14ac:dyDescent="0.25">
      <c r="B135" s="106">
        <v>43</v>
      </c>
      <c r="C135" s="106" t="s">
        <v>540</v>
      </c>
      <c r="D135" s="106" t="s">
        <v>252</v>
      </c>
      <c r="E135" s="106" t="str">
        <f>INDEX(Pipes_result_save_V1!$G$2:$G$206,MATCH(D135,Pipes_result_save_V1!$I$2:$I$206,0))</f>
        <v>N166</v>
      </c>
      <c r="F135" s="106" t="str">
        <f>INDEX(Pipes_result_save_V1!$H$2:$H$206,MATCH(D135,Pipes_result_save_V1!$I$2:$I$206,0))</f>
        <v>N167</v>
      </c>
      <c r="G135" s="106">
        <f t="shared" si="18"/>
        <v>0.1514030649238165</v>
      </c>
      <c r="H135" s="107">
        <v>565</v>
      </c>
      <c r="I135" s="107">
        <v>150</v>
      </c>
      <c r="J135" s="107">
        <v>230</v>
      </c>
      <c r="K135" s="107">
        <v>3.6975105465835916</v>
      </c>
      <c r="L135" s="107">
        <v>-0.23</v>
      </c>
      <c r="M135" s="107">
        <v>-0.24312486288101076</v>
      </c>
      <c r="N135" s="107">
        <v>1.9576836785027469</v>
      </c>
      <c r="O135" s="107">
        <f t="shared" si="19"/>
        <v>0.1514030649238165</v>
      </c>
      <c r="P135" s="78">
        <v>6.070937579094801E-3</v>
      </c>
      <c r="Q135" s="106">
        <v>-3.045157985819091E-3</v>
      </c>
      <c r="R135" s="78"/>
      <c r="S135" s="78"/>
      <c r="T135" s="78"/>
      <c r="U135" s="78"/>
      <c r="V135" s="78"/>
      <c r="W135" s="78">
        <v>42</v>
      </c>
      <c r="X135" s="78">
        <v>43</v>
      </c>
      <c r="Y135" s="78" t="s">
        <v>540</v>
      </c>
      <c r="Z135" s="78" t="s">
        <v>430</v>
      </c>
      <c r="AA135" s="106" t="str">
        <f>INDEX(Pipes_result_save_V1!$G$2:$G$206,MATCH(Z135,Pipes_result_save_V1!$I$2:$I$206,0))</f>
        <v>N164</v>
      </c>
      <c r="AB135" s="106" t="str">
        <f>INDEX(Pipes_result_save_V1!$H$2:$H$206,MATCH(Z135,Pipes_result_save_V1!$I$2:$I$206,0))</f>
        <v>N165</v>
      </c>
      <c r="AC135" s="106">
        <f t="shared" si="20"/>
        <v>9.4030649238164982E-3</v>
      </c>
      <c r="AD135" s="78">
        <v>200</v>
      </c>
      <c r="AE135" s="78">
        <v>150</v>
      </c>
      <c r="AF135" s="78">
        <v>88</v>
      </c>
      <c r="AG135" s="78">
        <v>222.62561797625102</v>
      </c>
      <c r="AH135" s="78">
        <v>9.4596935076183553E-2</v>
      </c>
      <c r="AI135" s="78">
        <v>1</v>
      </c>
      <c r="AJ135" s="78">
        <v>-1</v>
      </c>
      <c r="AK135" s="78">
        <v>2.8242261078771005</v>
      </c>
      <c r="AL135">
        <v>55.29213761075917</v>
      </c>
      <c r="AM135" s="107">
        <f>INDEX(Pipes_result_save_V1!$K$2:$K$206,MATCH(Z135,Pipes_result_save_V1!$I$2:$I$206,0)) *POWER(10,-3)</f>
        <v>-2.624709701538086E-2</v>
      </c>
      <c r="AN135" s="78">
        <v>2.9347842678458646E-3</v>
      </c>
      <c r="AO135" s="106">
        <v>-1.9337176701296178E-2</v>
      </c>
      <c r="BR135">
        <v>0</v>
      </c>
      <c r="BS135">
        <v>43</v>
      </c>
      <c r="BT135" t="s">
        <v>540</v>
      </c>
      <c r="BU135" t="s">
        <v>183</v>
      </c>
      <c r="BV135" s="106" t="str">
        <f>INDEX(Pipes_result_save_V1!$G$2:$G$206,MATCH(BU135,Pipes_result_save_V1!$I$2:$I$206,0))</f>
        <v>N92</v>
      </c>
      <c r="BW135" s="106" t="str">
        <f>INDEX(Pipes_result_save_V1!$H$2:$H$206,MATCH(BU135,Pipes_result_save_V1!$I$2:$I$206,0))</f>
        <v>N93</v>
      </c>
      <c r="BX135" s="106">
        <f t="shared" si="22"/>
        <v>0.1106667961149343</v>
      </c>
      <c r="BY135">
        <v>400</v>
      </c>
      <c r="BZ135">
        <v>150</v>
      </c>
      <c r="CA135">
        <v>111</v>
      </c>
      <c r="CB135">
        <v>9.5961788981398755</v>
      </c>
      <c r="CC135">
        <v>-0.119923</v>
      </c>
      <c r="CD135">
        <v>-0.18889729405126993</v>
      </c>
      <c r="CE135">
        <v>2.9171867663663504</v>
      </c>
      <c r="CF135" s="107">
        <f>INDEX(Pipes_result_save_V1!$K$2:$K$206,MATCH(BU135,Pipes_result_save_V1!$I$2:$I$206,0)) *POWER(10,-3)</f>
        <v>9.3915777206420893E-3</v>
      </c>
      <c r="CG135" s="78">
        <v>5.1921217048708466E-3</v>
      </c>
      <c r="CH135" s="106">
        <v>3.0429470161628122E-3</v>
      </c>
      <c r="CQ135" t="s">
        <v>381</v>
      </c>
      <c r="CT135">
        <v>-1.158435626548824E-2</v>
      </c>
      <c r="DL135">
        <v>0</v>
      </c>
      <c r="DM135">
        <v>43</v>
      </c>
      <c r="DN135" t="s">
        <v>539</v>
      </c>
      <c r="DO135" t="s">
        <v>412</v>
      </c>
      <c r="DP135" s="106" t="str">
        <f>INDEX(Pipes_result_save_V1!$G$2:$G$206,MATCH(DO135,Pipes_result_save_V1!$I$2:$I$206,0))</f>
        <v>N195</v>
      </c>
      <c r="DQ135" s="106" t="str">
        <f>INDEX(Pipes_result_save_V1!$H$2:$H$206,MATCH(DO135,Pipes_result_save_V1!$I$2:$I$206,0))</f>
        <v>N116</v>
      </c>
      <c r="DR135" s="106">
        <f t="shared" si="24"/>
        <v>3.3422483842022878E-2</v>
      </c>
      <c r="DS135">
        <v>250</v>
      </c>
      <c r="DT135">
        <v>150</v>
      </c>
      <c r="DU135">
        <v>76</v>
      </c>
      <c r="DV135">
        <v>64.84214675546815</v>
      </c>
      <c r="DW135">
        <v>3.2837000000000005E-2</v>
      </c>
      <c r="DX135">
        <v>0.1159211115064607</v>
      </c>
      <c r="DY135">
        <v>6.5379266836180276</v>
      </c>
      <c r="DZ135" s="107">
        <f>INDEX(Pipes_result_save_V1!$K$2:$K$206,MATCH(DO135,Pipes_result_save_V1!$I$2:$I$206,0)) *POWER(10,-3)</f>
        <v>5.689303874969482E-4</v>
      </c>
      <c r="EA135" s="78">
        <v>5.3893487469222137E-3</v>
      </c>
      <c r="EB135" s="106">
        <v>-4.0181475949918272E-3</v>
      </c>
    </row>
    <row r="136" spans="2:132" ht="30" x14ac:dyDescent="0.25">
      <c r="B136" s="106">
        <v>44</v>
      </c>
      <c r="C136" s="106" t="s">
        <v>540</v>
      </c>
      <c r="D136" s="106" t="s">
        <v>253</v>
      </c>
      <c r="E136" s="106" t="str">
        <f>INDEX(Pipes_result_save_V1!$G$2:$G$206,MATCH(D136,Pipes_result_save_V1!$I$2:$I$206,0))</f>
        <v>N167</v>
      </c>
      <c r="F136" s="106" t="str">
        <f>INDEX(Pipes_result_save_V1!$H$2:$H$206,MATCH(D136,Pipes_result_save_V1!$I$2:$I$206,0))</f>
        <v>N168</v>
      </c>
      <c r="G136" s="106">
        <f t="shared" si="18"/>
        <v>4.9567935076183497E-2</v>
      </c>
      <c r="H136" s="107">
        <v>200</v>
      </c>
      <c r="I136" s="107">
        <v>150</v>
      </c>
      <c r="J136" s="107">
        <v>145</v>
      </c>
      <c r="K136" s="107">
        <v>366.82630234723172</v>
      </c>
      <c r="L136" s="107">
        <v>-2.9028999999999999E-2</v>
      </c>
      <c r="M136" s="107">
        <v>-0.52194587745420518</v>
      </c>
      <c r="N136" s="107">
        <v>33.299244377870004</v>
      </c>
      <c r="O136" s="107">
        <f t="shared" si="19"/>
        <v>-4.9567935076183497E-2</v>
      </c>
      <c r="P136" s="78">
        <v>6.235923230736783E-3</v>
      </c>
      <c r="Q136" s="106">
        <v>-2.8267532485382763E-3</v>
      </c>
      <c r="R136" s="78"/>
      <c r="S136" s="78"/>
      <c r="T136" s="78"/>
      <c r="U136" s="78"/>
      <c r="V136" s="78"/>
      <c r="W136" s="78">
        <v>44</v>
      </c>
      <c r="X136" s="78">
        <v>44</v>
      </c>
      <c r="Y136" s="78" t="s">
        <v>540</v>
      </c>
      <c r="Z136" s="78" t="s">
        <v>253</v>
      </c>
      <c r="AA136" s="106" t="str">
        <f>INDEX(Pipes_result_save_V1!$G$2:$G$206,MATCH(Z136,Pipes_result_save_V1!$I$2:$I$206,0))</f>
        <v>N167</v>
      </c>
      <c r="AB136" s="106" t="str">
        <f>INDEX(Pipes_result_save_V1!$H$2:$H$206,MATCH(Z136,Pipes_result_save_V1!$I$2:$I$206,0))</f>
        <v>N168</v>
      </c>
      <c r="AC136" s="106">
        <f t="shared" si="20"/>
        <v>4.9567935076183497E-2</v>
      </c>
      <c r="AD136" s="78">
        <v>200</v>
      </c>
      <c r="AE136" s="78">
        <v>150</v>
      </c>
      <c r="AF136" s="78">
        <v>145</v>
      </c>
      <c r="AG136" s="78">
        <v>366.82630234723172</v>
      </c>
      <c r="AH136" s="78">
        <v>-2.2432064923816445E-2</v>
      </c>
      <c r="AI136" s="78">
        <v>-1</v>
      </c>
      <c r="AJ136" s="78">
        <v>-1</v>
      </c>
      <c r="AK136" s="78">
        <v>-0.3237951393825354</v>
      </c>
      <c r="AL136">
        <v>26.732652574475175</v>
      </c>
      <c r="AM136" s="107">
        <f>INDEX(Pipes_result_save_V1!$K$2:$K$206,MATCH(Z136,Pipes_result_save_V1!$I$2:$I$206,0)) *POWER(10,-3)</f>
        <v>9.6518192291259776E-3</v>
      </c>
      <c r="AN136" s="78">
        <v>3.934008477086714E-3</v>
      </c>
      <c r="AO136" s="106">
        <v>2.0384987317278768E-3</v>
      </c>
      <c r="BR136">
        <v>0</v>
      </c>
      <c r="BS136">
        <v>44</v>
      </c>
      <c r="BT136" t="s">
        <v>540</v>
      </c>
      <c r="BU136" t="s">
        <v>192</v>
      </c>
      <c r="BV136" s="106" t="str">
        <f>INDEX(Pipes_result_save_V1!$G$2:$G$206,MATCH(BU136,Pipes_result_save_V1!$I$2:$I$206,0))</f>
        <v>N93</v>
      </c>
      <c r="BW136" s="106" t="str">
        <f>INDEX(Pipes_result_save_V1!$H$2:$H$206,MATCH(BU136,Pipes_result_save_V1!$I$2:$I$206,0))</f>
        <v>N94</v>
      </c>
      <c r="BX136" s="106">
        <f t="shared" si="22"/>
        <v>0.13574379611493428</v>
      </c>
      <c r="BY136">
        <v>466</v>
      </c>
      <c r="BZ136">
        <v>150</v>
      </c>
      <c r="CA136">
        <v>88</v>
      </c>
      <c r="CB136">
        <v>3.6156338752762309</v>
      </c>
      <c r="CC136">
        <v>-0.14499999999999999</v>
      </c>
      <c r="CD136">
        <v>-0.10116679388747182</v>
      </c>
      <c r="CE136">
        <v>1.2921441536523988</v>
      </c>
      <c r="CF136" s="107">
        <f>INDEX(Pipes_result_save_V1!$K$2:$K$206,MATCH(BU136,Pipes_result_save_V1!$I$2:$I$206,0)) *POWER(10,-3)</f>
        <v>8.256173133850098E-3</v>
      </c>
      <c r="CG136" s="78">
        <v>5.8606262622185722E-3</v>
      </c>
      <c r="CH136" s="106">
        <v>1.349156718550449E-4</v>
      </c>
      <c r="DL136">
        <v>0</v>
      </c>
      <c r="DM136">
        <v>44</v>
      </c>
      <c r="DN136" t="s">
        <v>539</v>
      </c>
      <c r="DO136" t="s">
        <v>308</v>
      </c>
      <c r="DP136" s="106" t="str">
        <f>INDEX(Pipes_result_save_V1!$G$2:$G$206,MATCH(DO136,Pipes_result_save_V1!$I$2:$I$206,0))</f>
        <v>N118</v>
      </c>
      <c r="DQ136" s="106" t="str">
        <f>INDEX(Pipes_result_save_V1!$H$2:$H$206,MATCH(DO136,Pipes_result_save_V1!$I$2:$I$206,0))</f>
        <v>N117</v>
      </c>
      <c r="DR136" s="106">
        <f t="shared" si="24"/>
        <v>3.3422483842022878E-2</v>
      </c>
      <c r="DS136">
        <v>250</v>
      </c>
      <c r="DT136">
        <v>150</v>
      </c>
      <c r="DU136">
        <v>132</v>
      </c>
      <c r="DV136">
        <v>112.62057068054995</v>
      </c>
      <c r="DW136">
        <v>3.2837000000000005E-2</v>
      </c>
      <c r="DX136">
        <v>0.20133666735332648</v>
      </c>
      <c r="DY136">
        <v>11.355346345231313</v>
      </c>
      <c r="DZ136" s="107">
        <f>INDEX(Pipes_result_save_V1!$K$2:$K$206,MATCH(DO136,Pipes_result_save_V1!$I$2:$I$206,0)) *POWER(10,-3)</f>
        <v>3.5129935741424561E-3</v>
      </c>
      <c r="EA136" s="78">
        <v>6.3061611368338856E-3</v>
      </c>
      <c r="EB136" s="106">
        <v>2.8158947069306345E-3</v>
      </c>
    </row>
    <row r="137" spans="2:132" ht="30" x14ac:dyDescent="0.25">
      <c r="B137" s="106">
        <v>45</v>
      </c>
      <c r="C137" s="106" t="s">
        <v>540</v>
      </c>
      <c r="D137" s="106" t="s">
        <v>235</v>
      </c>
      <c r="E137" s="106" t="str">
        <f>INDEX(Pipes_result_save_V1!$G$2:$G$206,MATCH(D137,Pipes_result_save_V1!$I$2:$I$206,0))</f>
        <v>N168</v>
      </c>
      <c r="F137" s="106" t="str">
        <f>INDEX(Pipes_result_save_V1!$H$2:$H$206,MATCH(D137,Pipes_result_save_V1!$I$2:$I$206,0))</f>
        <v>N169</v>
      </c>
      <c r="G137" s="106">
        <f t="shared" si="18"/>
        <v>4.9567935076183497E-2</v>
      </c>
      <c r="H137" s="107">
        <v>200</v>
      </c>
      <c r="I137" s="107">
        <v>150</v>
      </c>
      <c r="J137" s="107">
        <v>129</v>
      </c>
      <c r="K137" s="107">
        <v>326.34891726064069</v>
      </c>
      <c r="L137" s="107">
        <v>-2.9028999999999999E-2</v>
      </c>
      <c r="M137" s="107">
        <v>-0.46435184959718945</v>
      </c>
      <c r="N137" s="107">
        <v>29.624844998242978</v>
      </c>
      <c r="O137" s="107">
        <f t="shared" si="19"/>
        <v>-4.9567935076183497E-2</v>
      </c>
      <c r="P137" s="78">
        <v>5.240119024098237E-3</v>
      </c>
      <c r="Q137" s="106">
        <v>1.1909206307665777E-3</v>
      </c>
      <c r="R137" s="78"/>
      <c r="S137" s="78"/>
      <c r="T137" s="78"/>
      <c r="U137" s="78"/>
      <c r="V137" s="78"/>
      <c r="W137" s="78">
        <v>45</v>
      </c>
      <c r="X137" s="78">
        <v>45</v>
      </c>
      <c r="Y137" s="78" t="s">
        <v>540</v>
      </c>
      <c r="Z137" s="78" t="s">
        <v>235</v>
      </c>
      <c r="AA137" s="106" t="str">
        <f>INDEX(Pipes_result_save_V1!$G$2:$G$206,MATCH(Z137,Pipes_result_save_V1!$I$2:$I$206,0))</f>
        <v>N168</v>
      </c>
      <c r="AB137" s="106" t="str">
        <f>INDEX(Pipes_result_save_V1!$H$2:$H$206,MATCH(Z137,Pipes_result_save_V1!$I$2:$I$206,0))</f>
        <v>N169</v>
      </c>
      <c r="AC137" s="106">
        <f t="shared" si="20"/>
        <v>4.9567935076183497E-2</v>
      </c>
      <c r="AD137" s="78">
        <v>200</v>
      </c>
      <c r="AE137" s="78">
        <v>150</v>
      </c>
      <c r="AF137" s="78">
        <v>129</v>
      </c>
      <c r="AG137" s="78">
        <v>326.34891726064069</v>
      </c>
      <c r="AH137" s="78">
        <v>-2.2432064923816445E-2</v>
      </c>
      <c r="AI137" s="78">
        <v>-1</v>
      </c>
      <c r="AJ137" s="78">
        <v>-1</v>
      </c>
      <c r="AK137" s="78">
        <v>-0.28806602055411779</v>
      </c>
      <c r="AL137">
        <v>23.782842635222746</v>
      </c>
      <c r="AM137" s="107">
        <f>INDEX(Pipes_result_save_V1!$K$2:$K$206,MATCH(Z137,Pipes_result_save_V1!$I$2:$I$206,0)) *POWER(10,-3)</f>
        <v>8.0884981155395514E-3</v>
      </c>
      <c r="AN137" s="78">
        <v>6.8805551372415254E-4</v>
      </c>
      <c r="AO137" s="106">
        <v>4.4389639463412256E-3</v>
      </c>
      <c r="BR137">
        <v>0</v>
      </c>
      <c r="BS137">
        <v>45</v>
      </c>
      <c r="BT137" t="s">
        <v>540</v>
      </c>
      <c r="BU137" t="s">
        <v>230</v>
      </c>
      <c r="BV137" s="106" t="str">
        <f>INDEX(Pipes_result_save_V1!$G$2:$G$206,MATCH(BU137,Pipes_result_save_V1!$I$2:$I$206,0))</f>
        <v>N94</v>
      </c>
      <c r="BW137" s="106" t="str">
        <f>INDEX(Pipes_result_save_V1!$H$2:$H$206,MATCH(BU137,Pipes_result_save_V1!$I$2:$I$206,0))</f>
        <v>N95</v>
      </c>
      <c r="BX137" s="106">
        <f t="shared" si="22"/>
        <v>0.1197437961149343</v>
      </c>
      <c r="BY137">
        <v>421</v>
      </c>
      <c r="BZ137">
        <v>150</v>
      </c>
      <c r="CA137">
        <v>74</v>
      </c>
      <c r="CB137">
        <v>4.9861255025952351</v>
      </c>
      <c r="CC137">
        <v>-0.129</v>
      </c>
      <c r="CD137">
        <v>-0.11235058785450108</v>
      </c>
      <c r="CE137">
        <v>1.6129712302832246</v>
      </c>
      <c r="CF137" s="107">
        <f>INDEX(Pipes_result_save_V1!$K$2:$K$206,MATCH(BU137,Pipes_result_save_V1!$I$2:$I$206,0)) *POWER(10,-3)</f>
        <v>7.3318743705749513E-3</v>
      </c>
      <c r="CG137" s="78">
        <v>5.8083044804732907E-3</v>
      </c>
      <c r="CH137" s="106">
        <v>-4.5614753673898058E-4</v>
      </c>
      <c r="DL137">
        <v>0</v>
      </c>
      <c r="DM137">
        <v>45</v>
      </c>
      <c r="DN137" t="s">
        <v>539</v>
      </c>
      <c r="DO137" t="s">
        <v>411</v>
      </c>
      <c r="DP137" s="106" t="str">
        <f>INDEX(Pipes_result_save_V1!$G$2:$G$206,MATCH(DO137,Pipes_result_save_V1!$I$2:$I$206,0))</f>
        <v>N117</v>
      </c>
      <c r="DQ137" s="106" t="str">
        <f>INDEX(Pipes_result_save_V1!$H$2:$H$206,MATCH(DO137,Pipes_result_save_V1!$I$2:$I$206,0))</f>
        <v>N195</v>
      </c>
      <c r="DR137" s="106">
        <f t="shared" si="24"/>
        <v>3.3422483842022878E-2</v>
      </c>
      <c r="DS137">
        <v>250</v>
      </c>
      <c r="DT137">
        <v>150</v>
      </c>
      <c r="DU137">
        <v>154</v>
      </c>
      <c r="DV137">
        <v>131.39066579397493</v>
      </c>
      <c r="DW137">
        <v>3.2837000000000005E-2</v>
      </c>
      <c r="DX137">
        <v>0.23489277857888088</v>
      </c>
      <c r="DY137">
        <v>13.24790406943653</v>
      </c>
      <c r="DZ137" s="107">
        <f>INDEX(Pipes_result_save_V1!$K$2:$K$206,MATCH(DO137,Pipes_result_save_V1!$I$2:$I$206,0)) *POWER(10,-3)</f>
        <v>1.881206631660461E-3</v>
      </c>
      <c r="EA137" s="78">
        <v>5.6025911367785083E-3</v>
      </c>
      <c r="EB137" s="106">
        <v>-9.1472639257886377E-4</v>
      </c>
    </row>
    <row r="138" spans="2:132" ht="30" x14ac:dyDescent="0.25">
      <c r="B138" s="106">
        <v>46</v>
      </c>
      <c r="C138" s="106" t="s">
        <v>540</v>
      </c>
      <c r="D138" s="106" t="s">
        <v>236</v>
      </c>
      <c r="E138" s="106" t="str">
        <f>INDEX(Pipes_result_save_V1!$G$2:$G$206,MATCH(D138,Pipes_result_save_V1!$I$2:$I$206,0))</f>
        <v>N169</v>
      </c>
      <c r="F138" s="106" t="str">
        <f>INDEX(Pipes_result_save_V1!$H$2:$H$206,MATCH(D138,Pipes_result_save_V1!$I$2:$I$206,0))</f>
        <v>N170</v>
      </c>
      <c r="G138" s="106">
        <f t="shared" si="18"/>
        <v>4.9567935076183497E-2</v>
      </c>
      <c r="H138" s="107">
        <v>200</v>
      </c>
      <c r="I138" s="107">
        <v>150</v>
      </c>
      <c r="J138" s="107">
        <v>104</v>
      </c>
      <c r="K138" s="107">
        <v>263.10300306284211</v>
      </c>
      <c r="L138" s="107">
        <v>-2.9028999999999999E-2</v>
      </c>
      <c r="M138" s="107">
        <v>-0.37436118107060234</v>
      </c>
      <c r="N138" s="107">
        <v>23.883595967575733</v>
      </c>
      <c r="O138" s="107">
        <f t="shared" si="19"/>
        <v>-4.9567935076183497E-2</v>
      </c>
      <c r="P138" s="78">
        <v>5.9338494150622065E-3</v>
      </c>
      <c r="Q138" s="106">
        <v>-6.8021459484144797E-4</v>
      </c>
      <c r="R138" s="78"/>
      <c r="S138" s="78"/>
      <c r="T138" s="78"/>
      <c r="U138" s="78"/>
      <c r="V138" s="78"/>
      <c r="W138" s="78">
        <v>46</v>
      </c>
      <c r="X138" s="78">
        <v>46</v>
      </c>
      <c r="Y138" s="78" t="s">
        <v>540</v>
      </c>
      <c r="Z138" s="78" t="s">
        <v>236</v>
      </c>
      <c r="AA138" s="106" t="str">
        <f>INDEX(Pipes_result_save_V1!$G$2:$G$206,MATCH(Z138,Pipes_result_save_V1!$I$2:$I$206,0))</f>
        <v>N169</v>
      </c>
      <c r="AB138" s="106" t="str">
        <f>INDEX(Pipes_result_save_V1!$H$2:$H$206,MATCH(Z138,Pipes_result_save_V1!$I$2:$I$206,0))</f>
        <v>N170</v>
      </c>
      <c r="AC138" s="106">
        <f t="shared" si="20"/>
        <v>4.9567935076183497E-2</v>
      </c>
      <c r="AD138" s="78">
        <v>200</v>
      </c>
      <c r="AE138" s="78">
        <v>150</v>
      </c>
      <c r="AF138" s="78">
        <v>104</v>
      </c>
      <c r="AG138" s="78">
        <v>263.10300306284211</v>
      </c>
      <c r="AH138" s="78">
        <v>-2.2432064923816445E-2</v>
      </c>
      <c r="AI138" s="78">
        <v>-1</v>
      </c>
      <c r="AJ138" s="78">
        <v>-1</v>
      </c>
      <c r="AK138" s="78">
        <v>-0.23223927238471509</v>
      </c>
      <c r="AL138">
        <v>19.173764605140818</v>
      </c>
      <c r="AM138" s="107">
        <f>INDEX(Pipes_result_save_V1!$K$2:$K$206,MATCH(Z138,Pipes_result_save_V1!$I$2:$I$206,0)) *POWER(10,-3)</f>
        <v>6.7591056823730466E-3</v>
      </c>
      <c r="AN138" s="78">
        <v>4.0140195111003389E-3</v>
      </c>
      <c r="AO138" s="106">
        <v>-6.6259324836269885E-4</v>
      </c>
      <c r="BR138">
        <v>0</v>
      </c>
      <c r="BS138">
        <v>46</v>
      </c>
      <c r="BT138" t="s">
        <v>540</v>
      </c>
      <c r="BU138" t="s">
        <v>215</v>
      </c>
      <c r="BV138" s="106" t="str">
        <f>INDEX(Pipes_result_save_V1!$G$2:$G$206,MATCH(BU138,Pipes_result_save_V1!$I$2:$I$206,0))</f>
        <v>N95</v>
      </c>
      <c r="BW138" s="106" t="str">
        <f>INDEX(Pipes_result_save_V1!$H$2:$H$206,MATCH(BU138,Pipes_result_save_V1!$I$2:$I$206,0))</f>
        <v>N96</v>
      </c>
      <c r="BX138" s="106">
        <f t="shared" si="22"/>
        <v>9.4743796114934289E-2</v>
      </c>
      <c r="BY138">
        <v>400</v>
      </c>
      <c r="BZ138">
        <v>150</v>
      </c>
      <c r="CA138">
        <v>248</v>
      </c>
      <c r="CB138">
        <v>21.440111412060261</v>
      </c>
      <c r="CC138">
        <v>-0.104</v>
      </c>
      <c r="CD138">
        <v>-0.32416997102445538</v>
      </c>
      <c r="CE138">
        <v>5.7727190993970323</v>
      </c>
      <c r="CF138" s="107">
        <f>INDEX(Pipes_result_save_V1!$K$2:$K$206,MATCH(BU138,Pipes_result_save_V1!$I$2:$I$206,0)) *POWER(10,-3)</f>
        <v>5.4946870803833005E-3</v>
      </c>
      <c r="CG138" s="78">
        <v>6.0099784626388474E-3</v>
      </c>
      <c r="CH138" s="106">
        <v>1.6837360474489835E-4</v>
      </c>
      <c r="DL138">
        <v>0</v>
      </c>
      <c r="DM138">
        <v>46</v>
      </c>
      <c r="DN138" t="s">
        <v>539</v>
      </c>
      <c r="DO138" t="s">
        <v>309</v>
      </c>
      <c r="DP138" s="106" t="str">
        <f>INDEX(Pipes_result_save_V1!$G$2:$G$206,MATCH(DO138,Pipes_result_save_V1!$I$2:$I$206,0))</f>
        <v>N119</v>
      </c>
      <c r="DQ138" s="106" t="str">
        <f>INDEX(Pipes_result_save_V1!$H$2:$H$206,MATCH(DO138,Pipes_result_save_V1!$I$2:$I$206,0))</f>
        <v>N118</v>
      </c>
      <c r="DR138" s="106">
        <f t="shared" si="24"/>
        <v>3.3422483842022878E-2</v>
      </c>
      <c r="DS138">
        <v>250</v>
      </c>
      <c r="DT138">
        <v>150</v>
      </c>
      <c r="DU138">
        <v>212</v>
      </c>
      <c r="DV138">
        <v>180.87546200209536</v>
      </c>
      <c r="DW138">
        <v>3.2837000000000005E-2</v>
      </c>
      <c r="DX138">
        <v>0.32335888999170614</v>
      </c>
      <c r="DY138">
        <v>18.237374433250288</v>
      </c>
      <c r="DZ138" s="107">
        <f>INDEX(Pipes_result_save_V1!$K$2:$K$206,MATCH(DO138,Pipes_result_save_V1!$I$2:$I$206,0)) *POWER(10,-3)</f>
        <v>5.4757027626037595E-3</v>
      </c>
      <c r="EA138" s="78">
        <v>5.4766907074032777E-3</v>
      </c>
      <c r="EB138" s="106">
        <v>2.8354702269232581E-3</v>
      </c>
    </row>
    <row r="139" spans="2:132" ht="30" x14ac:dyDescent="0.25">
      <c r="B139" s="106">
        <v>47</v>
      </c>
      <c r="C139" s="106" t="s">
        <v>540</v>
      </c>
      <c r="D139" s="106" t="s">
        <v>237</v>
      </c>
      <c r="E139" s="106" t="str">
        <f>INDEX(Pipes_result_save_V1!$G$2:$G$206,MATCH(D139,Pipes_result_save_V1!$I$2:$I$206,0))</f>
        <v>N170</v>
      </c>
      <c r="F139" s="106" t="str">
        <f>INDEX(Pipes_result_save_V1!$H$2:$H$206,MATCH(D139,Pipes_result_save_V1!$I$2:$I$206,0))</f>
        <v>N171</v>
      </c>
      <c r="G139" s="106">
        <f t="shared" si="18"/>
        <v>4.9567935076183497E-2</v>
      </c>
      <c r="H139" s="107">
        <v>200</v>
      </c>
      <c r="I139" s="107">
        <v>150</v>
      </c>
      <c r="J139" s="107">
        <v>79</v>
      </c>
      <c r="K139" s="107">
        <v>199.85708886504352</v>
      </c>
      <c r="L139" s="107">
        <v>-2.9028999999999999E-2</v>
      </c>
      <c r="M139" s="107">
        <v>-0.28437051254401524</v>
      </c>
      <c r="N139" s="107">
        <v>18.142346936908488</v>
      </c>
      <c r="O139" s="107">
        <f t="shared" si="19"/>
        <v>-4.9567935076183497E-2</v>
      </c>
      <c r="P139" s="78">
        <v>5.1643131572267926E-3</v>
      </c>
      <c r="Q139" s="106">
        <v>-1.4541668274179373E-3</v>
      </c>
      <c r="R139" s="78"/>
      <c r="S139" s="78"/>
      <c r="T139" s="78"/>
      <c r="U139" s="78"/>
      <c r="V139" s="78"/>
      <c r="W139" s="78">
        <v>47</v>
      </c>
      <c r="X139" s="78">
        <v>47</v>
      </c>
      <c r="Y139" s="78" t="s">
        <v>540</v>
      </c>
      <c r="Z139" s="78" t="s">
        <v>237</v>
      </c>
      <c r="AA139" s="106" t="str">
        <f>INDEX(Pipes_result_save_V1!$G$2:$G$206,MATCH(Z139,Pipes_result_save_V1!$I$2:$I$206,0))</f>
        <v>N170</v>
      </c>
      <c r="AB139" s="106" t="str">
        <f>INDEX(Pipes_result_save_V1!$H$2:$H$206,MATCH(Z139,Pipes_result_save_V1!$I$2:$I$206,0))</f>
        <v>N171</v>
      </c>
      <c r="AC139" s="106">
        <f t="shared" si="20"/>
        <v>4.9567935076183497E-2</v>
      </c>
      <c r="AD139" s="78">
        <v>200</v>
      </c>
      <c r="AE139" s="78">
        <v>150</v>
      </c>
      <c r="AF139" s="78">
        <v>79</v>
      </c>
      <c r="AG139" s="78">
        <v>199.85708886504352</v>
      </c>
      <c r="AH139" s="78">
        <v>-2.2432064923816445E-2</v>
      </c>
      <c r="AI139" s="78">
        <v>-1</v>
      </c>
      <c r="AJ139" s="78">
        <v>-1</v>
      </c>
      <c r="AK139" s="78">
        <v>-0.17641252421531242</v>
      </c>
      <c r="AL139">
        <v>14.564686575058891</v>
      </c>
      <c r="AM139" s="107">
        <f>INDEX(Pipes_result_save_V1!$K$2:$K$206,MATCH(Z139,Pipes_result_save_V1!$I$2:$I$206,0)) *POWER(10,-3)</f>
        <v>5.7149901390075681E-3</v>
      </c>
      <c r="AN139" s="78">
        <v>1.2265447451526544E-3</v>
      </c>
      <c r="AO139" s="106">
        <v>-1.5154713795662517E-3</v>
      </c>
      <c r="BR139">
        <v>0</v>
      </c>
      <c r="BS139">
        <v>47</v>
      </c>
      <c r="BT139" t="s">
        <v>540</v>
      </c>
      <c r="BU139" t="s">
        <v>214</v>
      </c>
      <c r="BV139" s="106" t="str">
        <f>INDEX(Pipes_result_save_V1!$G$2:$G$206,MATCH(BU139,Pipes_result_save_V1!$I$2:$I$206,0))</f>
        <v>N96</v>
      </c>
      <c r="BW139" s="106" t="str">
        <f>INDEX(Pipes_result_save_V1!$H$2:$H$206,MATCH(BU139,Pipes_result_save_V1!$I$2:$I$206,0))</f>
        <v>N97</v>
      </c>
      <c r="BX139" s="106">
        <f t="shared" si="22"/>
        <v>6.9743796114934295E-2</v>
      </c>
      <c r="BY139">
        <v>350</v>
      </c>
      <c r="BZ139">
        <v>150</v>
      </c>
      <c r="CA139">
        <v>116</v>
      </c>
      <c r="CB139">
        <v>19.218173946892797</v>
      </c>
      <c r="CC139">
        <v>-7.9000000000000001E-2</v>
      </c>
      <c r="CD139">
        <v>-0.17462945274308583</v>
      </c>
      <c r="CE139">
        <v>4.0938448921543662</v>
      </c>
      <c r="CF139" s="107">
        <f>INDEX(Pipes_result_save_V1!$K$2:$K$206,MATCH(BU139,Pipes_result_save_V1!$I$2:$I$206,0)) *POWER(10,-3)</f>
        <v>3.417867422103882E-3</v>
      </c>
      <c r="CG139" s="78">
        <v>6.2132982275733047E-3</v>
      </c>
      <c r="CH139" s="106">
        <v>-5.9331364775120927E-4</v>
      </c>
      <c r="DL139">
        <v>0</v>
      </c>
      <c r="DM139">
        <v>47</v>
      </c>
      <c r="DN139" t="s">
        <v>539</v>
      </c>
      <c r="DO139" t="s">
        <v>310</v>
      </c>
      <c r="DP139" s="106" t="str">
        <f>INDEX(Pipes_result_save_V1!$G$2:$G$206,MATCH(DO139,Pipes_result_save_V1!$I$2:$I$206,0))</f>
        <v>N120</v>
      </c>
      <c r="DQ139" s="106" t="str">
        <f>INDEX(Pipes_result_save_V1!$H$2:$H$206,MATCH(DO139,Pipes_result_save_V1!$I$2:$I$206,0))</f>
        <v>N119</v>
      </c>
      <c r="DR139" s="106">
        <f t="shared" si="24"/>
        <v>3.3422483842022878E-2</v>
      </c>
      <c r="DS139">
        <v>250</v>
      </c>
      <c r="DT139">
        <v>150</v>
      </c>
      <c r="DU139">
        <v>173</v>
      </c>
      <c r="DV139">
        <v>147.60120248284198</v>
      </c>
      <c r="DW139">
        <v>3.2837000000000005E-2</v>
      </c>
      <c r="DX139">
        <v>0.26387305645549608</v>
      </c>
      <c r="DY139">
        <v>14.882385740341039</v>
      </c>
      <c r="DZ139" s="107">
        <f>INDEX(Pipes_result_save_V1!$K$2:$K$206,MATCH(DO139,Pipes_result_save_V1!$I$2:$I$206,0)) *POWER(10,-3)</f>
        <v>7.6723389625549315E-3</v>
      </c>
      <c r="EA139" s="78">
        <v>5.3526500938305393E-3</v>
      </c>
      <c r="EB139" s="106">
        <v>-2.3246750615600236E-3</v>
      </c>
    </row>
    <row r="140" spans="2:132" ht="30" x14ac:dyDescent="0.25">
      <c r="B140" s="106">
        <v>48</v>
      </c>
      <c r="C140" s="106" t="s">
        <v>540</v>
      </c>
      <c r="D140" s="106" t="s">
        <v>238</v>
      </c>
      <c r="E140" s="106" t="str">
        <f>INDEX(Pipes_result_save_V1!$G$2:$G$206,MATCH(D140,Pipes_result_save_V1!$I$2:$I$206,0))</f>
        <v>N171</v>
      </c>
      <c r="F140" s="106" t="str">
        <f>INDEX(Pipes_result_save_V1!$H$2:$H$206,MATCH(D140,Pipes_result_save_V1!$I$2:$I$206,0))</f>
        <v>N172</v>
      </c>
      <c r="G140" s="106">
        <f t="shared" si="18"/>
        <v>4.9567935076183497E-2</v>
      </c>
      <c r="H140" s="107">
        <v>200</v>
      </c>
      <c r="I140" s="107">
        <v>150</v>
      </c>
      <c r="J140" s="107">
        <v>89</v>
      </c>
      <c r="K140" s="107">
        <v>225.15545454416295</v>
      </c>
      <c r="L140" s="107">
        <v>-2.9028999999999999E-2</v>
      </c>
      <c r="M140" s="107">
        <v>-0.32036677995465007</v>
      </c>
      <c r="N140" s="107">
        <v>20.438846549175388</v>
      </c>
      <c r="O140" s="107">
        <f t="shared" si="19"/>
        <v>-4.9567935076183497E-2</v>
      </c>
      <c r="P140" s="78">
        <v>5.7854335335074678E-3</v>
      </c>
      <c r="Q140" s="106">
        <v>-4.047579439717129E-3</v>
      </c>
      <c r="R140" s="78"/>
      <c r="S140" s="78"/>
      <c r="T140" s="78"/>
      <c r="U140" s="78"/>
      <c r="V140" s="78"/>
      <c r="W140" s="78">
        <v>48</v>
      </c>
      <c r="X140" s="78">
        <v>48</v>
      </c>
      <c r="Y140" s="78" t="s">
        <v>540</v>
      </c>
      <c r="Z140" s="78" t="s">
        <v>238</v>
      </c>
      <c r="AA140" s="106" t="str">
        <f>INDEX(Pipes_result_save_V1!$G$2:$G$206,MATCH(Z140,Pipes_result_save_V1!$I$2:$I$206,0))</f>
        <v>N171</v>
      </c>
      <c r="AB140" s="106" t="str">
        <f>INDEX(Pipes_result_save_V1!$H$2:$H$206,MATCH(Z140,Pipes_result_save_V1!$I$2:$I$206,0))</f>
        <v>N172</v>
      </c>
      <c r="AC140" s="106">
        <f t="shared" si="20"/>
        <v>4.9567935076183497E-2</v>
      </c>
      <c r="AD140" s="78">
        <v>200</v>
      </c>
      <c r="AE140" s="78">
        <v>150</v>
      </c>
      <c r="AF140" s="78">
        <v>89</v>
      </c>
      <c r="AG140" s="78">
        <v>225.15545454416295</v>
      </c>
      <c r="AH140" s="78">
        <v>-2.2432064923816445E-2</v>
      </c>
      <c r="AI140" s="78">
        <v>-1</v>
      </c>
      <c r="AJ140" s="78">
        <v>-1</v>
      </c>
      <c r="AK140" s="78">
        <v>-0.19874322348307349</v>
      </c>
      <c r="AL140">
        <v>16.408317787091661</v>
      </c>
      <c r="AM140" s="107">
        <f>INDEX(Pipes_result_save_V1!$K$2:$K$206,MATCH(Z140,Pipes_result_save_V1!$I$2:$I$206,0)) *POWER(10,-3)</f>
        <v>4.7564578056335446E-3</v>
      </c>
      <c r="AN140" s="78">
        <v>2.3783616915485427E-3</v>
      </c>
      <c r="AO140" s="106">
        <v>-3.3953557789144716E-3</v>
      </c>
      <c r="BR140">
        <v>0</v>
      </c>
      <c r="BS140">
        <v>48</v>
      </c>
      <c r="BT140" t="s">
        <v>540</v>
      </c>
      <c r="BU140" t="s">
        <v>213</v>
      </c>
      <c r="BV140" s="106" t="str">
        <f>INDEX(Pipes_result_save_V1!$G$2:$G$206,MATCH(BU140,Pipes_result_save_V1!$I$2:$I$206,0))</f>
        <v>N97</v>
      </c>
      <c r="BW140" s="106" t="str">
        <f>INDEX(Pipes_result_save_V1!$H$2:$H$206,MATCH(BU140,Pipes_result_save_V1!$I$2:$I$206,0))</f>
        <v>N98</v>
      </c>
      <c r="BX140" s="106">
        <f t="shared" si="22"/>
        <v>7.974379611493429E-2</v>
      </c>
      <c r="BY140">
        <v>350</v>
      </c>
      <c r="BZ140">
        <v>150</v>
      </c>
      <c r="CA140">
        <v>128</v>
      </c>
      <c r="CB140">
        <v>21.206260906916189</v>
      </c>
      <c r="CC140">
        <v>-8.8999999999999996E-2</v>
      </c>
      <c r="CD140">
        <v>-0.24028927809755118</v>
      </c>
      <c r="CE140">
        <v>5.0001768880524162</v>
      </c>
      <c r="CF140" s="107">
        <f>INDEX(Pipes_result_save_V1!$K$2:$K$206,MATCH(BU140,Pipes_result_save_V1!$I$2:$I$206,0)) *POWER(10,-3)</f>
        <v>2.0257134437561041E-3</v>
      </c>
      <c r="CG140" s="78">
        <v>6.2974204989752151E-3</v>
      </c>
      <c r="CH140" s="106">
        <v>1.7117630911833654E-3</v>
      </c>
      <c r="DL140">
        <v>0</v>
      </c>
      <c r="DM140">
        <v>48</v>
      </c>
      <c r="DN140" t="s">
        <v>539</v>
      </c>
      <c r="DO140" t="s">
        <v>312</v>
      </c>
      <c r="DP140" s="106" t="str">
        <f>INDEX(Pipes_result_save_V1!$G$2:$G$206,MATCH(DO140,Pipes_result_save_V1!$I$2:$I$206,0))</f>
        <v>N121</v>
      </c>
      <c r="DQ140" s="106" t="str">
        <f>INDEX(Pipes_result_save_V1!$H$2:$H$206,MATCH(DO140,Pipes_result_save_V1!$I$2:$I$206,0))</f>
        <v>N120</v>
      </c>
      <c r="DR140" s="106">
        <f t="shared" si="24"/>
        <v>3.342148384202287E-2</v>
      </c>
      <c r="DS140">
        <v>250</v>
      </c>
      <c r="DT140">
        <v>150</v>
      </c>
      <c r="DU140">
        <v>133</v>
      </c>
      <c r="DV140">
        <v>113.47375682206928</v>
      </c>
      <c r="DW140">
        <v>3.2835999999999997E-2</v>
      </c>
      <c r="DX140">
        <v>0.20285050391304088</v>
      </c>
      <c r="DY140">
        <v>11.441074833930802</v>
      </c>
      <c r="DZ140" s="107">
        <f>INDEX(Pipes_result_save_V1!$K$2:$K$206,MATCH(DO140,Pipes_result_save_V1!$I$2:$I$206,0)) *POWER(10,-3)</f>
        <v>9.4182367324829111E-3</v>
      </c>
      <c r="EA140" s="78">
        <v>5.2040221950044206E-3</v>
      </c>
      <c r="EB140" s="106">
        <v>6.9133674068575651E-4</v>
      </c>
    </row>
    <row r="141" spans="2:132" ht="30" x14ac:dyDescent="0.25">
      <c r="B141" s="106">
        <v>49</v>
      </c>
      <c r="C141" s="106" t="s">
        <v>540</v>
      </c>
      <c r="D141" s="106" t="s">
        <v>239</v>
      </c>
      <c r="E141" s="106" t="str">
        <f>INDEX(Pipes_result_save_V1!$G$2:$G$206,MATCH(D141,Pipes_result_save_V1!$I$2:$I$206,0))</f>
        <v>N172</v>
      </c>
      <c r="F141" s="106" t="str">
        <f>INDEX(Pipes_result_save_V1!$H$2:$H$206,MATCH(D141,Pipes_result_save_V1!$I$2:$I$206,0))</f>
        <v>N173</v>
      </c>
      <c r="G141" s="106">
        <f t="shared" si="18"/>
        <v>4.9567935076183497E-2</v>
      </c>
      <c r="H141" s="107">
        <v>200</v>
      </c>
      <c r="I141" s="107">
        <v>150</v>
      </c>
      <c r="J141" s="107">
        <v>89</v>
      </c>
      <c r="K141" s="107">
        <v>225.15545454416295</v>
      </c>
      <c r="L141" s="107">
        <v>-2.9028999999999999E-2</v>
      </c>
      <c r="M141" s="107">
        <v>-0.32036677995465007</v>
      </c>
      <c r="N141" s="107">
        <v>20.438846549175388</v>
      </c>
      <c r="O141" s="107">
        <f t="shared" si="19"/>
        <v>-4.9567935076183497E-2</v>
      </c>
      <c r="P141" s="78">
        <v>5.5641596830456157E-3</v>
      </c>
      <c r="Q141" s="106">
        <v>-1.7953981118051248E-3</v>
      </c>
      <c r="R141" s="78"/>
      <c r="S141" s="78"/>
      <c r="T141" s="78"/>
      <c r="U141" s="78"/>
      <c r="V141" s="78"/>
      <c r="W141" s="78">
        <v>49</v>
      </c>
      <c r="X141" s="78">
        <v>49</v>
      </c>
      <c r="Y141" s="78" t="s">
        <v>540</v>
      </c>
      <c r="Z141" s="78" t="s">
        <v>239</v>
      </c>
      <c r="AA141" s="106" t="str">
        <f>INDEX(Pipes_result_save_V1!$G$2:$G$206,MATCH(Z141,Pipes_result_save_V1!$I$2:$I$206,0))</f>
        <v>N172</v>
      </c>
      <c r="AB141" s="106" t="str">
        <f>INDEX(Pipes_result_save_V1!$H$2:$H$206,MATCH(Z141,Pipes_result_save_V1!$I$2:$I$206,0))</f>
        <v>N173</v>
      </c>
      <c r="AC141" s="106">
        <f t="shared" si="20"/>
        <v>4.9567935076183497E-2</v>
      </c>
      <c r="AD141" s="78">
        <v>200</v>
      </c>
      <c r="AE141" s="78">
        <v>150</v>
      </c>
      <c r="AF141" s="78">
        <v>89</v>
      </c>
      <c r="AG141" s="78">
        <v>225.15545454416295</v>
      </c>
      <c r="AH141" s="78">
        <v>-2.2432064923816445E-2</v>
      </c>
      <c r="AI141" s="78">
        <v>-1</v>
      </c>
      <c r="AJ141" s="78">
        <v>-1</v>
      </c>
      <c r="AK141" s="78">
        <v>-0.19874322348307349</v>
      </c>
      <c r="AL141">
        <v>16.408317787091661</v>
      </c>
      <c r="AM141" s="107">
        <f>INDEX(Pipes_result_save_V1!$K$2:$K$206,MATCH(Z141,Pipes_result_save_V1!$I$2:$I$206,0)) *POWER(10,-3)</f>
        <v>3.7408702373504638E-3</v>
      </c>
      <c r="AN141" s="78">
        <v>4.256461127399404E-3</v>
      </c>
      <c r="AO141" s="106">
        <v>2.7476208083010165E-3</v>
      </c>
      <c r="BR141">
        <v>0</v>
      </c>
      <c r="BS141">
        <v>49</v>
      </c>
      <c r="BT141" t="s">
        <v>540</v>
      </c>
      <c r="BU141" t="s">
        <v>212</v>
      </c>
      <c r="BV141" s="106" t="str">
        <f>INDEX(Pipes_result_save_V1!$G$2:$G$206,MATCH(BU141,Pipes_result_save_V1!$I$2:$I$206,0))</f>
        <v>N98</v>
      </c>
      <c r="BW141" s="106" t="str">
        <f>INDEX(Pipes_result_save_V1!$H$2:$H$206,MATCH(BU141,Pipes_result_save_V1!$I$2:$I$206,0))</f>
        <v>N99</v>
      </c>
      <c r="BX141" s="106">
        <f t="shared" si="22"/>
        <v>7.974379611493429E-2</v>
      </c>
      <c r="BY141">
        <v>350</v>
      </c>
      <c r="BZ141">
        <v>150</v>
      </c>
      <c r="CA141">
        <v>138</v>
      </c>
      <c r="CB141">
        <v>22.863000040269018</v>
      </c>
      <c r="CC141">
        <v>-8.8999999999999996E-2</v>
      </c>
      <c r="CD141">
        <v>-0.25906187794892238</v>
      </c>
      <c r="CE141">
        <v>5.3908157074315115</v>
      </c>
      <c r="CF141" s="107">
        <f>INDEX(Pipes_result_save_V1!$K$2:$K$206,MATCH(BU141,Pipes_result_save_V1!$I$2:$I$206,0)) *POWER(10,-3)</f>
        <v>5.0803762674331667E-4</v>
      </c>
      <c r="CG141" s="78">
        <v>5.3655740583200611E-3</v>
      </c>
      <c r="CH141" s="106">
        <v>-1.1671950922991004E-3</v>
      </c>
      <c r="DO141" t="s">
        <v>380</v>
      </c>
      <c r="DP141" s="233"/>
      <c r="DQ141" s="233"/>
      <c r="DR141" s="233"/>
      <c r="DS141" s="233"/>
      <c r="DT141" s="233"/>
      <c r="DU141" s="233"/>
      <c r="DV141" s="233"/>
      <c r="DW141" s="233"/>
      <c r="DX141">
        <v>-0.1490744251362402</v>
      </c>
      <c r="DY141">
        <v>254.61748802696457</v>
      </c>
    </row>
    <row r="142" spans="2:132" ht="30" x14ac:dyDescent="0.25">
      <c r="B142" s="106">
        <v>50</v>
      </c>
      <c r="C142" s="106" t="s">
        <v>540</v>
      </c>
      <c r="D142" s="106" t="s">
        <v>240</v>
      </c>
      <c r="E142" s="106" t="str">
        <f>INDEX(Pipes_result_save_V1!$G$2:$G$206,MATCH(D142,Pipes_result_save_V1!$I$2:$I$206,0))</f>
        <v>N173</v>
      </c>
      <c r="F142" s="106" t="str">
        <f>INDEX(Pipes_result_save_V1!$H$2:$H$206,MATCH(D142,Pipes_result_save_V1!$I$2:$I$206,0))</f>
        <v>N174</v>
      </c>
      <c r="G142" s="106">
        <f t="shared" si="18"/>
        <v>4.9567935076183497E-2</v>
      </c>
      <c r="H142" s="107">
        <v>200</v>
      </c>
      <c r="I142" s="107">
        <v>150</v>
      </c>
      <c r="J142" s="107">
        <v>45</v>
      </c>
      <c r="K142" s="107">
        <v>113.84264555603744</v>
      </c>
      <c r="L142" s="107">
        <v>-2.9028999999999999E-2</v>
      </c>
      <c r="M142" s="107">
        <v>-0.16198320334785676</v>
      </c>
      <c r="N142" s="107">
        <v>10.334248255201038</v>
      </c>
      <c r="O142" s="107">
        <f t="shared" si="19"/>
        <v>-4.9567935076183497E-2</v>
      </c>
      <c r="P142" s="78">
        <v>5.7300114287608473E-3</v>
      </c>
      <c r="Q142" s="106">
        <v>2.6103958519658648E-3</v>
      </c>
      <c r="R142" s="78"/>
      <c r="S142" s="78"/>
      <c r="T142" s="78"/>
      <c r="U142" s="78"/>
      <c r="V142" s="78"/>
      <c r="W142" s="78">
        <v>50</v>
      </c>
      <c r="X142" s="78">
        <v>50</v>
      </c>
      <c r="Y142" s="78" t="s">
        <v>540</v>
      </c>
      <c r="Z142" s="78" t="s">
        <v>240</v>
      </c>
      <c r="AA142" s="106" t="str">
        <f>INDEX(Pipes_result_save_V1!$G$2:$G$206,MATCH(Z142,Pipes_result_save_V1!$I$2:$I$206,0))</f>
        <v>N173</v>
      </c>
      <c r="AB142" s="106" t="str">
        <f>INDEX(Pipes_result_save_V1!$H$2:$H$206,MATCH(Z142,Pipes_result_save_V1!$I$2:$I$206,0))</f>
        <v>N174</v>
      </c>
      <c r="AC142" s="106">
        <f t="shared" si="20"/>
        <v>4.9567935076183497E-2</v>
      </c>
      <c r="AD142" s="78">
        <v>200</v>
      </c>
      <c r="AE142" s="78">
        <v>150</v>
      </c>
      <c r="AF142" s="78">
        <v>45</v>
      </c>
      <c r="AG142" s="78">
        <v>113.84264555603744</v>
      </c>
      <c r="AH142" s="78">
        <v>-2.2432064923816445E-2</v>
      </c>
      <c r="AI142" s="78">
        <v>-1</v>
      </c>
      <c r="AJ142" s="78">
        <v>-1</v>
      </c>
      <c r="AK142" s="78">
        <v>-0.10048814670492479</v>
      </c>
      <c r="AL142">
        <v>8.2963404541474688</v>
      </c>
      <c r="AM142" s="107">
        <f>INDEX(Pipes_result_save_V1!$K$2:$K$206,MATCH(Z142,Pipes_result_save_V1!$I$2:$I$206,0)) *POWER(10,-3)</f>
        <v>2.9763264656066891E-3</v>
      </c>
      <c r="AN142" s="78">
        <v>4.8710106639339645E-3</v>
      </c>
      <c r="AO142" s="106">
        <v>4.4252182421567563E-3</v>
      </c>
      <c r="BR142">
        <v>0</v>
      </c>
      <c r="BS142">
        <v>50</v>
      </c>
      <c r="BT142" t="s">
        <v>539</v>
      </c>
      <c r="BU142" t="s">
        <v>426</v>
      </c>
      <c r="BV142" s="106" t="str">
        <f>INDEX(Pipes_result_save_V1!$G$2:$G$206,MATCH(BU142,Pipes_result_save_V1!$I$2:$I$206,0))</f>
        <v>N99</v>
      </c>
      <c r="BW142" s="106" t="str">
        <f>INDEX(Pipes_result_save_V1!$H$2:$H$206,MATCH(BU142,Pipes_result_save_V1!$I$2:$I$206,0))</f>
        <v>N194</v>
      </c>
      <c r="BX142" s="106">
        <f t="shared" si="22"/>
        <v>3.5743796114934293E-2</v>
      </c>
      <c r="BY142">
        <v>250</v>
      </c>
      <c r="BZ142">
        <v>150</v>
      </c>
      <c r="CA142">
        <v>184</v>
      </c>
      <c r="CB142">
        <v>156.98625003955448</v>
      </c>
      <c r="CC142">
        <v>4.4999999999999998E-2</v>
      </c>
      <c r="CD142">
        <v>0.50305004365010741</v>
      </c>
      <c r="CE142">
        <v>20.703304018666632</v>
      </c>
      <c r="CF142" s="107">
        <f>INDEX(Pipes_result_save_V1!$K$2:$K$206,MATCH(BU142,Pipes_result_save_V1!$I$2:$I$206,0)) *POWER(10,-3)</f>
        <v>-9.0544853210449226E-3</v>
      </c>
      <c r="CG142" s="78">
        <v>5.081636239368993E-3</v>
      </c>
      <c r="CH142" s="106">
        <v>2.4323030254390374E-3</v>
      </c>
      <c r="DO142" t="s">
        <v>381</v>
      </c>
      <c r="DP142" s="233">
        <v>5.8548384202287344E-4</v>
      </c>
      <c r="DQ142" s="233"/>
      <c r="DR142" s="233"/>
      <c r="DS142" s="233"/>
      <c r="DT142" s="233"/>
      <c r="DU142" s="233"/>
      <c r="DV142" s="233"/>
      <c r="DW142" s="233"/>
      <c r="DX142" s="233"/>
      <c r="DY142" s="233"/>
    </row>
    <row r="143" spans="2:132" ht="30" x14ac:dyDescent="0.25">
      <c r="B143" s="106">
        <v>51</v>
      </c>
      <c r="C143" s="106" t="s">
        <v>540</v>
      </c>
      <c r="D143" s="106" t="s">
        <v>241</v>
      </c>
      <c r="E143" s="106" t="str">
        <f>INDEX(Pipes_result_save_V1!$G$2:$G$206,MATCH(D143,Pipes_result_save_V1!$I$2:$I$206,0))</f>
        <v>N174</v>
      </c>
      <c r="F143" s="106" t="str">
        <f>INDEX(Pipes_result_save_V1!$H$2:$H$206,MATCH(D143,Pipes_result_save_V1!$I$2:$I$206,0))</f>
        <v>N175</v>
      </c>
      <c r="G143" s="106">
        <f t="shared" si="18"/>
        <v>4.9567935076183497E-2</v>
      </c>
      <c r="H143" s="107">
        <v>200</v>
      </c>
      <c r="I143" s="107">
        <v>150</v>
      </c>
      <c r="J143" s="107">
        <v>43</v>
      </c>
      <c r="K143" s="107">
        <v>108.78297242021355</v>
      </c>
      <c r="L143" s="107">
        <v>-2.9028999999999999E-2</v>
      </c>
      <c r="M143" s="107">
        <v>-0.1547839498657298</v>
      </c>
      <c r="N143" s="107">
        <v>9.8749483327476586</v>
      </c>
      <c r="O143" s="107">
        <f t="shared" si="19"/>
        <v>-4.9567935076183497E-2</v>
      </c>
      <c r="P143" s="78">
        <v>5.1530817219391841E-3</v>
      </c>
      <c r="Q143" s="106">
        <v>-1.9520698198551903E-3</v>
      </c>
      <c r="R143" s="78"/>
      <c r="S143" s="78"/>
      <c r="T143" s="78"/>
      <c r="U143" s="78"/>
      <c r="V143" s="78"/>
      <c r="W143" s="78">
        <v>51</v>
      </c>
      <c r="X143" s="78">
        <v>51</v>
      </c>
      <c r="Y143" s="78" t="s">
        <v>540</v>
      </c>
      <c r="Z143" s="78" t="s">
        <v>241</v>
      </c>
      <c r="AA143" s="106" t="str">
        <f>INDEX(Pipes_result_save_V1!$G$2:$G$206,MATCH(Z143,Pipes_result_save_V1!$I$2:$I$206,0))</f>
        <v>N174</v>
      </c>
      <c r="AB143" s="106" t="str">
        <f>INDEX(Pipes_result_save_V1!$H$2:$H$206,MATCH(Z143,Pipes_result_save_V1!$I$2:$I$206,0))</f>
        <v>N175</v>
      </c>
      <c r="AC143" s="106">
        <f t="shared" si="20"/>
        <v>4.9567935076183497E-2</v>
      </c>
      <c r="AD143" s="78">
        <v>200</v>
      </c>
      <c r="AE143" s="78">
        <v>150</v>
      </c>
      <c r="AF143" s="78">
        <v>43</v>
      </c>
      <c r="AG143" s="78">
        <v>108.78297242021355</v>
      </c>
      <c r="AH143" s="78">
        <v>-2.2432064923816445E-2</v>
      </c>
      <c r="AI143" s="78">
        <v>-1</v>
      </c>
      <c r="AJ143" s="78">
        <v>-1</v>
      </c>
      <c r="AK143" s="78">
        <v>-9.6022006851372577E-2</v>
      </c>
      <c r="AL143">
        <v>7.9276142117409147</v>
      </c>
      <c r="AM143" s="107">
        <f>INDEX(Pipes_result_save_V1!$K$2:$K$206,MATCH(Z143,Pipes_result_save_V1!$I$2:$I$206,0)) *POWER(10,-3)</f>
        <v>2.4742381572723389E-3</v>
      </c>
      <c r="AN143" s="78">
        <v>8.7321639315801267E-4</v>
      </c>
      <c r="AO143" s="106">
        <v>6.5496260507279247E-4</v>
      </c>
      <c r="BR143">
        <v>0</v>
      </c>
      <c r="BS143">
        <v>51</v>
      </c>
      <c r="BT143" t="s">
        <v>539</v>
      </c>
      <c r="BU143" t="s">
        <v>277</v>
      </c>
      <c r="BV143" s="106" t="str">
        <f>INDEX(Pipes_result_save_V1!$G$2:$G$206,MATCH(BU143,Pipes_result_save_V1!$I$2:$I$206,0))</f>
        <v>N193</v>
      </c>
      <c r="BW143" s="106" t="str">
        <f>INDEX(Pipes_result_save_V1!$H$2:$H$206,MATCH(BU143,Pipes_result_save_V1!$I$2:$I$206,0))</f>
        <v>N192</v>
      </c>
      <c r="BX143" s="106">
        <f t="shared" si="22"/>
        <v>3.3743796114934291E-2</v>
      </c>
      <c r="BY143">
        <v>250</v>
      </c>
      <c r="BZ143">
        <v>150</v>
      </c>
      <c r="CA143">
        <v>351</v>
      </c>
      <c r="CB143">
        <v>299.46833567328059</v>
      </c>
      <c r="CC143">
        <v>4.2999999999999997E-2</v>
      </c>
      <c r="CD143">
        <v>0.8821338523934692</v>
      </c>
      <c r="CE143">
        <v>37.993299875179169</v>
      </c>
      <c r="CF143" s="107">
        <f>INDEX(Pipes_result_save_V1!$K$2:$K$206,MATCH(BU143,Pipes_result_save_V1!$I$2:$I$206,0)) *POWER(10,-3)</f>
        <v>-1.403542900085449E-2</v>
      </c>
      <c r="CG143" s="78">
        <v>5.0636829601094606E-3</v>
      </c>
      <c r="CH143" s="106">
        <v>-8.4085155500291386E-3</v>
      </c>
    </row>
    <row r="144" spans="2:132" ht="30" x14ac:dyDescent="0.25">
      <c r="B144" s="106">
        <v>52</v>
      </c>
      <c r="C144" s="106" t="s">
        <v>540</v>
      </c>
      <c r="D144" s="106" t="s">
        <v>243</v>
      </c>
      <c r="E144" s="106" t="str">
        <f>INDEX(Pipes_result_save_V1!$G$2:$G$206,MATCH(D144,Pipes_result_save_V1!$I$2:$I$206,0))</f>
        <v>N175</v>
      </c>
      <c r="F144" s="106" t="str">
        <f>INDEX(Pipes_result_save_V1!$H$2:$H$206,MATCH(D144,Pipes_result_save_V1!$I$2:$I$206,0))</f>
        <v>N176</v>
      </c>
      <c r="G144" s="106">
        <f t="shared" si="18"/>
        <v>4.9567935076183497E-2</v>
      </c>
      <c r="H144" s="107">
        <v>200</v>
      </c>
      <c r="I144" s="107">
        <v>150</v>
      </c>
      <c r="J144" s="107">
        <v>66</v>
      </c>
      <c r="K144" s="107">
        <v>166.96921348218822</v>
      </c>
      <c r="L144" s="107">
        <v>-2.9028999999999999E-2</v>
      </c>
      <c r="M144" s="107">
        <v>-0.23757536491018991</v>
      </c>
      <c r="N144" s="107">
        <v>15.156897440961519</v>
      </c>
      <c r="O144" s="107">
        <f t="shared" si="19"/>
        <v>-4.9567935076183497E-2</v>
      </c>
      <c r="P144" s="78">
        <v>6.0043545941770591E-3</v>
      </c>
      <c r="Q144" s="106">
        <v>-2.7474861494907084E-3</v>
      </c>
      <c r="R144" s="78"/>
      <c r="S144" s="78"/>
      <c r="T144" s="78"/>
      <c r="U144" s="78"/>
      <c r="V144" s="78"/>
      <c r="W144" s="78">
        <v>52</v>
      </c>
      <c r="X144" s="78">
        <v>52</v>
      </c>
      <c r="Y144" s="78" t="s">
        <v>540</v>
      </c>
      <c r="Z144" s="78" t="s">
        <v>243</v>
      </c>
      <c r="AA144" s="106" t="str">
        <f>INDEX(Pipes_result_save_V1!$G$2:$G$206,MATCH(Z144,Pipes_result_save_V1!$I$2:$I$206,0))</f>
        <v>N175</v>
      </c>
      <c r="AB144" s="106" t="str">
        <f>INDEX(Pipes_result_save_V1!$H$2:$H$206,MATCH(Z144,Pipes_result_save_V1!$I$2:$I$206,0))</f>
        <v>N176</v>
      </c>
      <c r="AC144" s="106">
        <f t="shared" si="20"/>
        <v>4.9567935076183497E-2</v>
      </c>
      <c r="AD144" s="78">
        <v>200</v>
      </c>
      <c r="AE144" s="78">
        <v>150</v>
      </c>
      <c r="AF144" s="78">
        <v>66</v>
      </c>
      <c r="AG144" s="78">
        <v>166.96921348218822</v>
      </c>
      <c r="AH144" s="78">
        <v>-2.2432064923816445E-2</v>
      </c>
      <c r="AI144" s="78">
        <v>-1</v>
      </c>
      <c r="AJ144" s="78">
        <v>-1</v>
      </c>
      <c r="AK144" s="78">
        <v>-0.14738261516722301</v>
      </c>
      <c r="AL144">
        <v>12.167965999416285</v>
      </c>
      <c r="AM144" s="107">
        <f>INDEX(Pipes_result_save_V1!$K$2:$K$206,MATCH(Z144,Pipes_result_save_V1!$I$2:$I$206,0)) *POWER(10,-3)</f>
        <v>1.8523334264755249E-3</v>
      </c>
      <c r="AN144" s="78">
        <v>3.265057225500943E-3</v>
      </c>
      <c r="AO144" s="106">
        <v>1.9507675900151907E-3</v>
      </c>
      <c r="BR144">
        <v>0</v>
      </c>
      <c r="BS144">
        <v>52</v>
      </c>
      <c r="BT144" t="s">
        <v>539</v>
      </c>
      <c r="BU144" t="s">
        <v>427</v>
      </c>
      <c r="BV144" s="106" t="str">
        <f>INDEX(Pipes_result_save_V1!$G$2:$G$206,MATCH(BU144,Pipes_result_save_V1!$I$2:$I$206,0))</f>
        <v>N194</v>
      </c>
      <c r="BW144" s="106" t="str">
        <f>INDEX(Pipes_result_save_V1!$H$2:$H$206,MATCH(BU144,Pipes_result_save_V1!$I$2:$I$206,0))</f>
        <v>N193</v>
      </c>
      <c r="BX144" s="106">
        <f t="shared" si="22"/>
        <v>5.6743796114934297E-2</v>
      </c>
      <c r="BY144">
        <v>300</v>
      </c>
      <c r="BZ144">
        <v>150</v>
      </c>
      <c r="CA144">
        <v>169</v>
      </c>
      <c r="CB144">
        <v>59.32512303994173</v>
      </c>
      <c r="CC144">
        <v>6.6000000000000003E-2</v>
      </c>
      <c r="CD144">
        <v>0.38639724054184493</v>
      </c>
      <c r="CE144">
        <v>10.84254074974996</v>
      </c>
      <c r="CF144" s="107">
        <f>INDEX(Pipes_result_save_V1!$K$2:$K$206,MATCH(BU144,Pipes_result_save_V1!$I$2:$I$206,0)) *POWER(10,-3)</f>
        <v>-1.1068543434143071E-2</v>
      </c>
      <c r="CG144" s="78">
        <v>5.4817377810355205E-3</v>
      </c>
      <c r="CH144" s="106">
        <v>-2.1187282652259608E-3</v>
      </c>
    </row>
    <row r="145" spans="2:83" ht="30" x14ac:dyDescent="0.25">
      <c r="B145" s="106">
        <v>53</v>
      </c>
      <c r="C145" s="106" t="s">
        <v>540</v>
      </c>
      <c r="D145" s="106" t="s">
        <v>242</v>
      </c>
      <c r="E145" s="106" t="str">
        <f>INDEX(Pipes_result_save_V1!$G$2:$G$206,MATCH(D145,Pipes_result_save_V1!$I$2:$I$206,0))</f>
        <v>N176</v>
      </c>
      <c r="F145" s="106" t="str">
        <f>INDEX(Pipes_result_save_V1!$H$2:$H$206,MATCH(D145,Pipes_result_save_V1!$I$2:$I$206,0))</f>
        <v>N177</v>
      </c>
      <c r="G145" s="106">
        <f t="shared" si="18"/>
        <v>4.9567935076183497E-2</v>
      </c>
      <c r="H145" s="107">
        <v>200</v>
      </c>
      <c r="I145" s="107">
        <v>150</v>
      </c>
      <c r="J145" s="107">
        <v>48</v>
      </c>
      <c r="K145" s="107">
        <v>121.43215525977327</v>
      </c>
      <c r="L145" s="107">
        <v>-2.9028999999999999E-2</v>
      </c>
      <c r="M145" s="107">
        <v>-0.17278208357104724</v>
      </c>
      <c r="N145" s="107">
        <v>11.023198138881106</v>
      </c>
      <c r="O145" s="107">
        <f t="shared" si="19"/>
        <v>-4.9567935076183497E-2</v>
      </c>
      <c r="P145" s="78">
        <v>5.8491628632978574E-3</v>
      </c>
      <c r="Q145" s="106">
        <v>-3.4223826044557631E-3</v>
      </c>
      <c r="R145" s="78"/>
      <c r="S145" s="78"/>
      <c r="T145" s="78"/>
      <c r="U145" s="78"/>
      <c r="V145" s="78"/>
      <c r="W145" s="78">
        <v>53</v>
      </c>
      <c r="X145" s="78">
        <v>53</v>
      </c>
      <c r="Y145" s="78" t="s">
        <v>540</v>
      </c>
      <c r="Z145" s="78" t="s">
        <v>242</v>
      </c>
      <c r="AA145" s="106" t="str">
        <f>INDEX(Pipes_result_save_V1!$G$2:$G$206,MATCH(Z145,Pipes_result_save_V1!$I$2:$I$206,0))</f>
        <v>N176</v>
      </c>
      <c r="AB145" s="106" t="str">
        <f>INDEX(Pipes_result_save_V1!$H$2:$H$206,MATCH(Z145,Pipes_result_save_V1!$I$2:$I$206,0))</f>
        <v>N177</v>
      </c>
      <c r="AC145" s="106">
        <f t="shared" si="20"/>
        <v>4.9567935076183497E-2</v>
      </c>
      <c r="AD145" s="78">
        <v>200</v>
      </c>
      <c r="AE145" s="78">
        <v>150</v>
      </c>
      <c r="AF145" s="78">
        <v>48</v>
      </c>
      <c r="AG145" s="78">
        <v>121.43215525977327</v>
      </c>
      <c r="AH145" s="78">
        <v>-2.2432064923816445E-2</v>
      </c>
      <c r="AI145" s="78">
        <v>-1</v>
      </c>
      <c r="AJ145" s="78">
        <v>-1</v>
      </c>
      <c r="AK145" s="78">
        <v>-0.10718735648525311</v>
      </c>
      <c r="AL145">
        <v>8.8494298177573008</v>
      </c>
      <c r="AM145" s="107">
        <f>INDEX(Pipes_result_save_V1!$K$2:$K$206,MATCH(Z145,Pipes_result_save_V1!$I$2:$I$206,0)) *POWER(10,-3)</f>
        <v>1.201900839805603E-3</v>
      </c>
      <c r="AN145" s="78">
        <v>1.708222169463907E-5</v>
      </c>
      <c r="AO145" s="106">
        <v>-4.6662086665303793E-3</v>
      </c>
      <c r="BR145">
        <v>10</v>
      </c>
      <c r="BU145" t="s">
        <v>380</v>
      </c>
      <c r="CD145">
        <v>3.5097209813072223</v>
      </c>
      <c r="CE145">
        <v>379.17498629972198</v>
      </c>
    </row>
    <row r="146" spans="2:83" ht="30" x14ac:dyDescent="0.25">
      <c r="B146" s="106">
        <v>54</v>
      </c>
      <c r="C146" s="106" t="s">
        <v>540</v>
      </c>
      <c r="D146" s="106" t="s">
        <v>244</v>
      </c>
      <c r="E146" s="106" t="str">
        <f>INDEX(Pipes_result_save_V1!$G$2:$G$206,MATCH(D146,Pipes_result_save_V1!$I$2:$I$206,0))</f>
        <v>N177</v>
      </c>
      <c r="F146" s="106" t="str">
        <f>INDEX(Pipes_result_save_V1!$H$2:$H$206,MATCH(D146,Pipes_result_save_V1!$I$2:$I$206,0))</f>
        <v>N178</v>
      </c>
      <c r="G146" s="106">
        <f t="shared" si="18"/>
        <v>4.9567935076183497E-2</v>
      </c>
      <c r="H146" s="107">
        <v>200</v>
      </c>
      <c r="I146" s="107">
        <v>150</v>
      </c>
      <c r="J146" s="107">
        <v>19</v>
      </c>
      <c r="K146" s="107">
        <v>48.06689479032692</v>
      </c>
      <c r="L146" s="107">
        <v>-2.9028999999999999E-2</v>
      </c>
      <c r="M146" s="107">
        <v>-6.8392908080206191E-2</v>
      </c>
      <c r="N146" s="107">
        <v>4.3633492633071045</v>
      </c>
      <c r="O146" s="107">
        <f t="shared" si="19"/>
        <v>-4.9567935076183497E-2</v>
      </c>
      <c r="P146" s="78">
        <v>6.3476425359372778E-3</v>
      </c>
      <c r="Q146" s="106">
        <v>1.9144098744790661E-4</v>
      </c>
      <c r="R146" s="78"/>
      <c r="S146" s="78"/>
      <c r="T146" s="78"/>
      <c r="U146" s="78"/>
      <c r="V146" s="78"/>
      <c r="W146" s="78">
        <v>54</v>
      </c>
      <c r="X146" s="78">
        <v>54</v>
      </c>
      <c r="Y146" s="78" t="s">
        <v>540</v>
      </c>
      <c r="Z146" s="78" t="s">
        <v>244</v>
      </c>
      <c r="AA146" s="106" t="str">
        <f>INDEX(Pipes_result_save_V1!$G$2:$G$206,MATCH(Z146,Pipes_result_save_V1!$I$2:$I$206,0))</f>
        <v>N177</v>
      </c>
      <c r="AB146" s="106" t="str">
        <f>INDEX(Pipes_result_save_V1!$H$2:$H$206,MATCH(Z146,Pipes_result_save_V1!$I$2:$I$206,0))</f>
        <v>N178</v>
      </c>
      <c r="AC146" s="106">
        <f t="shared" si="20"/>
        <v>4.9567935076183497E-2</v>
      </c>
      <c r="AD146" s="78">
        <v>200</v>
      </c>
      <c r="AE146" s="78">
        <v>150</v>
      </c>
      <c r="AF146" s="78">
        <v>19</v>
      </c>
      <c r="AG146" s="78">
        <v>48.06689479032692</v>
      </c>
      <c r="AH146" s="78">
        <v>-2.2432064923816445E-2</v>
      </c>
      <c r="AI146" s="78">
        <v>-1</v>
      </c>
      <c r="AJ146" s="78">
        <v>-1</v>
      </c>
      <c r="AK146" s="78">
        <v>-4.2428328608746027E-2</v>
      </c>
      <c r="AL146">
        <v>3.5028993028622648</v>
      </c>
      <c r="AM146" s="107">
        <f>INDEX(Pipes_result_save_V1!$K$2:$K$206,MATCH(Z146,Pipes_result_save_V1!$I$2:$I$206,0)) *POWER(10,-3)</f>
        <v>8.1962907314300543E-4</v>
      </c>
      <c r="AN146" s="78">
        <v>8.4633980498589369E-4</v>
      </c>
      <c r="AO146" s="106">
        <v>3.0905576539124249E-3</v>
      </c>
      <c r="BU146" t="s">
        <v>381</v>
      </c>
      <c r="BX146">
        <v>-9.2562038850657058E-3</v>
      </c>
    </row>
    <row r="147" spans="2:83" ht="30" x14ac:dyDescent="0.25">
      <c r="B147" s="106">
        <v>55</v>
      </c>
      <c r="C147" s="106" t="s">
        <v>540</v>
      </c>
      <c r="D147" s="106" t="s">
        <v>245</v>
      </c>
      <c r="E147" s="106" t="str">
        <f>INDEX(Pipes_result_save_V1!$G$2:$G$206,MATCH(D147,Pipes_result_save_V1!$I$2:$I$206,0))</f>
        <v>N178</v>
      </c>
      <c r="F147" s="106" t="str">
        <f>INDEX(Pipes_result_save_V1!$H$2:$H$206,MATCH(D147,Pipes_result_save_V1!$I$2:$I$206,0))</f>
        <v>N179</v>
      </c>
      <c r="G147" s="106">
        <f t="shared" si="18"/>
        <v>4.9567935076183497E-2</v>
      </c>
      <c r="H147" s="107">
        <v>200</v>
      </c>
      <c r="I147" s="107">
        <v>150</v>
      </c>
      <c r="J147" s="107">
        <v>58</v>
      </c>
      <c r="K147" s="107">
        <v>146.73052093889271</v>
      </c>
      <c r="L147" s="107">
        <v>-2.9028999999999999E-2</v>
      </c>
      <c r="M147" s="107">
        <v>-0.20877835098168207</v>
      </c>
      <c r="N147" s="107">
        <v>13.319697751148006</v>
      </c>
      <c r="O147" s="107">
        <f t="shared" si="19"/>
        <v>-4.9567935076183497E-2</v>
      </c>
      <c r="P147" s="78">
        <v>5.8926216561321926E-3</v>
      </c>
      <c r="Q147" s="106">
        <v>4.8388767384940348E-3</v>
      </c>
      <c r="R147" s="78"/>
      <c r="S147" s="78"/>
      <c r="T147" s="78"/>
      <c r="U147" s="78"/>
      <c r="V147" s="78"/>
      <c r="W147" s="78">
        <v>55</v>
      </c>
      <c r="X147" s="78">
        <v>55</v>
      </c>
      <c r="Y147" s="78" t="s">
        <v>540</v>
      </c>
      <c r="Z147" s="78" t="s">
        <v>245</v>
      </c>
      <c r="AA147" s="106" t="str">
        <f>INDEX(Pipes_result_save_V1!$G$2:$G$206,MATCH(Z147,Pipes_result_save_V1!$I$2:$I$206,0))</f>
        <v>N178</v>
      </c>
      <c r="AB147" s="106" t="str">
        <f>INDEX(Pipes_result_save_V1!$H$2:$H$206,MATCH(Z147,Pipes_result_save_V1!$I$2:$I$206,0))</f>
        <v>N179</v>
      </c>
      <c r="AC147" s="106">
        <f t="shared" si="20"/>
        <v>4.9567935076183497E-2</v>
      </c>
      <c r="AD147" s="78">
        <v>200</v>
      </c>
      <c r="AE147" s="78">
        <v>150</v>
      </c>
      <c r="AF147" s="78">
        <v>58</v>
      </c>
      <c r="AG147" s="78">
        <v>146.73052093889271</v>
      </c>
      <c r="AH147" s="78">
        <v>-2.2432064923816445E-2</v>
      </c>
      <c r="AI147" s="78">
        <v>-1</v>
      </c>
      <c r="AJ147" s="78">
        <v>-1</v>
      </c>
      <c r="AK147" s="78">
        <v>-0.12951805575301417</v>
      </c>
      <c r="AL147">
        <v>10.693061029790073</v>
      </c>
      <c r="AM147" s="107">
        <f>INDEX(Pipes_result_save_V1!$K$2:$K$206,MATCH(Z147,Pipes_result_save_V1!$I$2:$I$206,0)) *POWER(10,-3)</f>
        <v>3.803018033504486E-4</v>
      </c>
      <c r="AN147" s="78">
        <v>3.6039700558807442E-3</v>
      </c>
      <c r="AO147" s="106">
        <v>1.9473424399826544E-3</v>
      </c>
    </row>
    <row r="148" spans="2:83" ht="30" x14ac:dyDescent="0.25">
      <c r="B148" s="106">
        <v>56</v>
      </c>
      <c r="C148" s="106" t="s">
        <v>540</v>
      </c>
      <c r="D148" s="106" t="s">
        <v>246</v>
      </c>
      <c r="E148" s="106" t="str">
        <f>INDEX(Pipes_result_save_V1!$G$2:$G$206,MATCH(D148,Pipes_result_save_V1!$I$2:$I$206,0))</f>
        <v>N179</v>
      </c>
      <c r="F148" s="106" t="str">
        <f>INDEX(Pipes_result_save_V1!$H$2:$H$206,MATCH(D148,Pipes_result_save_V1!$I$2:$I$206,0))</f>
        <v>N180</v>
      </c>
      <c r="G148" s="106">
        <f t="shared" si="18"/>
        <v>4.9567935076183497E-2</v>
      </c>
      <c r="H148" s="107">
        <v>200</v>
      </c>
      <c r="I148" s="107">
        <v>150</v>
      </c>
      <c r="J148" s="107">
        <v>84</v>
      </c>
      <c r="K148" s="107">
        <v>212.50627170460322</v>
      </c>
      <c r="L148" s="107">
        <v>-2.9028999999999999E-2</v>
      </c>
      <c r="M148" s="107">
        <v>-0.30236864624933263</v>
      </c>
      <c r="N148" s="107">
        <v>19.290596743041935</v>
      </c>
      <c r="O148" s="107">
        <f t="shared" si="19"/>
        <v>-4.9567935076183497E-2</v>
      </c>
      <c r="P148" s="78">
        <v>5.2392112794422485E-3</v>
      </c>
      <c r="Q148" s="106">
        <v>-7.9468029316258001E-4</v>
      </c>
      <c r="R148" s="78"/>
      <c r="S148" s="78"/>
      <c r="T148" s="78"/>
      <c r="U148" s="78"/>
      <c r="V148" s="78"/>
      <c r="W148" s="78">
        <v>56</v>
      </c>
      <c r="X148" s="78">
        <v>56</v>
      </c>
      <c r="Y148" s="78" t="s">
        <v>540</v>
      </c>
      <c r="Z148" s="78" t="s">
        <v>246</v>
      </c>
      <c r="AA148" s="106" t="str">
        <f>INDEX(Pipes_result_save_V1!$G$2:$G$206,MATCH(Z148,Pipes_result_save_V1!$I$2:$I$206,0))</f>
        <v>N179</v>
      </c>
      <c r="AB148" s="106" t="str">
        <f>INDEX(Pipes_result_save_V1!$H$2:$H$206,MATCH(Z148,Pipes_result_save_V1!$I$2:$I$206,0))</f>
        <v>N180</v>
      </c>
      <c r="AC148" s="106">
        <f t="shared" si="20"/>
        <v>4.9567935076183497E-2</v>
      </c>
      <c r="AD148" s="78">
        <v>200</v>
      </c>
      <c r="AE148" s="78">
        <v>150</v>
      </c>
      <c r="AF148" s="78">
        <v>84</v>
      </c>
      <c r="AG148" s="78">
        <v>212.50627170460322</v>
      </c>
      <c r="AH148" s="78">
        <v>-2.2432064923816445E-2</v>
      </c>
      <c r="AI148" s="78">
        <v>-1</v>
      </c>
      <c r="AJ148" s="78">
        <v>-1</v>
      </c>
      <c r="AK148" s="78">
        <v>-0.18757787384919294</v>
      </c>
      <c r="AL148">
        <v>15.486502181075274</v>
      </c>
      <c r="AM148" s="107">
        <f>INDEX(Pipes_result_save_V1!$K$2:$K$206,MATCH(Z148,Pipes_result_save_V1!$I$2:$I$206,0)) *POWER(10,-3)</f>
        <v>-4.2988613247871402E-4</v>
      </c>
      <c r="AN148" s="78">
        <v>3.4680174907045789E-3</v>
      </c>
      <c r="AO148" s="106">
        <v>-3.1328527360362742E-3</v>
      </c>
    </row>
    <row r="149" spans="2:83" ht="30" x14ac:dyDescent="0.25">
      <c r="B149" s="106">
        <v>57</v>
      </c>
      <c r="C149" s="106" t="s">
        <v>540</v>
      </c>
      <c r="D149" s="106" t="s">
        <v>247</v>
      </c>
      <c r="E149" s="106" t="str">
        <f>INDEX(Pipes_result_save_V1!$G$2:$G$206,MATCH(D149,Pipes_result_save_V1!$I$2:$I$206,0))</f>
        <v>N180</v>
      </c>
      <c r="F149" s="106" t="str">
        <f>INDEX(Pipes_result_save_V1!$H$2:$H$206,MATCH(D149,Pipes_result_save_V1!$I$2:$I$206,0))</f>
        <v>N181</v>
      </c>
      <c r="G149" s="106">
        <f t="shared" si="18"/>
        <v>4.9567935076183497E-2</v>
      </c>
      <c r="H149" s="107">
        <v>200</v>
      </c>
      <c r="I149" s="107">
        <v>150</v>
      </c>
      <c r="J149" s="107">
        <v>105</v>
      </c>
      <c r="K149" s="107">
        <v>265.63283963075406</v>
      </c>
      <c r="L149" s="107">
        <v>-2.9028999999999999E-2</v>
      </c>
      <c r="M149" s="107">
        <v>-0.37796080781166586</v>
      </c>
      <c r="N149" s="107">
        <v>24.113245928802424</v>
      </c>
      <c r="O149" s="107">
        <f t="shared" si="19"/>
        <v>-4.9567935076183497E-2</v>
      </c>
      <c r="P149" s="78">
        <v>6.2975312084214384E-3</v>
      </c>
      <c r="Q149" s="106">
        <v>4.9104447667653317E-3</v>
      </c>
      <c r="R149" s="78"/>
      <c r="S149" s="78"/>
      <c r="T149" s="78"/>
      <c r="U149" s="78"/>
      <c r="V149" s="78"/>
      <c r="W149" s="78">
        <v>57</v>
      </c>
      <c r="X149" s="78">
        <v>57</v>
      </c>
      <c r="Y149" s="78" t="s">
        <v>540</v>
      </c>
      <c r="Z149" s="78" t="s">
        <v>247</v>
      </c>
      <c r="AA149" s="106" t="str">
        <f>INDEX(Pipes_result_save_V1!$G$2:$G$206,MATCH(Z149,Pipes_result_save_V1!$I$2:$I$206,0))</f>
        <v>N180</v>
      </c>
      <c r="AB149" s="106" t="str">
        <f>INDEX(Pipes_result_save_V1!$H$2:$H$206,MATCH(Z149,Pipes_result_save_V1!$I$2:$I$206,0))</f>
        <v>N181</v>
      </c>
      <c r="AC149" s="106">
        <f t="shared" si="20"/>
        <v>4.9567935076183497E-2</v>
      </c>
      <c r="AD149" s="78">
        <v>200</v>
      </c>
      <c r="AE149" s="78">
        <v>150</v>
      </c>
      <c r="AF149" s="78">
        <v>105</v>
      </c>
      <c r="AG149" s="78">
        <v>265.63283963075406</v>
      </c>
      <c r="AH149" s="78">
        <v>-2.2432064923816445E-2</v>
      </c>
      <c r="AI149" s="78">
        <v>-1</v>
      </c>
      <c r="AJ149" s="78">
        <v>-1</v>
      </c>
      <c r="AK149" s="78">
        <v>-0.23447234231149122</v>
      </c>
      <c r="AL149">
        <v>19.358127726344097</v>
      </c>
      <c r="AM149" s="107">
        <f>INDEX(Pipes_result_save_V1!$K$2:$K$206,MATCH(Z149,Pipes_result_save_V1!$I$2:$I$206,0)) *POWER(10,-3)</f>
        <v>-1.508234858512878E-3</v>
      </c>
      <c r="AN149" s="78">
        <v>7.6235847886750672E-4</v>
      </c>
      <c r="AO149" s="106">
        <v>3.319546782394745E-3</v>
      </c>
    </row>
    <row r="150" spans="2:83" ht="30" x14ac:dyDescent="0.25">
      <c r="B150" s="106">
        <v>58</v>
      </c>
      <c r="C150" s="106" t="s">
        <v>540</v>
      </c>
      <c r="D150" s="106" t="s">
        <v>248</v>
      </c>
      <c r="E150" s="106" t="str">
        <f>INDEX(Pipes_result_save_V1!$G$2:$G$206,MATCH(D150,Pipes_result_save_V1!$I$2:$I$206,0))</f>
        <v>N181</v>
      </c>
      <c r="F150" s="106" t="str">
        <f>INDEX(Pipes_result_save_V1!$H$2:$H$206,MATCH(D150,Pipes_result_save_V1!$I$2:$I$206,0))</f>
        <v>N182</v>
      </c>
      <c r="G150" s="106">
        <f t="shared" si="18"/>
        <v>4.9567935076183497E-2</v>
      </c>
      <c r="H150" s="107">
        <v>200</v>
      </c>
      <c r="I150" s="107">
        <v>150</v>
      </c>
      <c r="J150" s="107">
        <v>90</v>
      </c>
      <c r="K150" s="107">
        <v>227.68529111207488</v>
      </c>
      <c r="L150" s="107">
        <v>-2.9028999999999999E-2</v>
      </c>
      <c r="M150" s="107">
        <v>-0.32396640669571353</v>
      </c>
      <c r="N150" s="107">
        <v>20.668496510402075</v>
      </c>
      <c r="O150" s="107">
        <f t="shared" si="19"/>
        <v>-4.9567935076183497E-2</v>
      </c>
      <c r="P150" s="78">
        <v>5.1389322853683129E-3</v>
      </c>
      <c r="Q150" s="106">
        <v>2.0177435038929042E-3</v>
      </c>
      <c r="R150" s="78"/>
      <c r="S150" s="78"/>
      <c r="T150" s="78"/>
      <c r="U150" s="78"/>
      <c r="V150" s="78"/>
      <c r="W150" s="78">
        <v>58</v>
      </c>
      <c r="X150" s="78">
        <v>58</v>
      </c>
      <c r="Y150" s="78" t="s">
        <v>540</v>
      </c>
      <c r="Z150" s="78" t="s">
        <v>248</v>
      </c>
      <c r="AA150" s="106" t="str">
        <f>INDEX(Pipes_result_save_V1!$G$2:$G$206,MATCH(Z150,Pipes_result_save_V1!$I$2:$I$206,0))</f>
        <v>N181</v>
      </c>
      <c r="AB150" s="106" t="str">
        <f>INDEX(Pipes_result_save_V1!$H$2:$H$206,MATCH(Z150,Pipes_result_save_V1!$I$2:$I$206,0))</f>
        <v>N182</v>
      </c>
      <c r="AC150" s="106">
        <f t="shared" si="20"/>
        <v>4.9567935076183497E-2</v>
      </c>
      <c r="AD150" s="78">
        <v>200</v>
      </c>
      <c r="AE150" s="78">
        <v>150</v>
      </c>
      <c r="AF150" s="78">
        <v>90</v>
      </c>
      <c r="AG150" s="78">
        <v>227.68529111207488</v>
      </c>
      <c r="AH150" s="78">
        <v>-2.2432064923816445E-2</v>
      </c>
      <c r="AI150" s="78">
        <v>-1</v>
      </c>
      <c r="AJ150" s="78">
        <v>-1</v>
      </c>
      <c r="AK150" s="78">
        <v>-0.20097629340984957</v>
      </c>
      <c r="AL150">
        <v>16.592680908294938</v>
      </c>
      <c r="AM150" s="107">
        <f>INDEX(Pipes_result_save_V1!$K$2:$K$206,MATCH(Z150,Pipes_result_save_V1!$I$2:$I$206,0)) *POWER(10,-3)</f>
        <v>-2.6208169460296632E-3</v>
      </c>
      <c r="AN150" s="78">
        <v>2.9165432198665188E-3</v>
      </c>
      <c r="AO150" s="106">
        <v>-4.9866314601069929E-4</v>
      </c>
    </row>
    <row r="151" spans="2:83" ht="30" x14ac:dyDescent="0.25">
      <c r="B151" s="106">
        <v>59</v>
      </c>
      <c r="C151" s="106" t="s">
        <v>540</v>
      </c>
      <c r="D151" s="106" t="s">
        <v>249</v>
      </c>
      <c r="E151" s="106" t="str">
        <f>INDEX(Pipes_result_save_V1!$G$2:$G$206,MATCH(D151,Pipes_result_save_V1!$I$2:$I$206,0))</f>
        <v>N182</v>
      </c>
      <c r="F151" s="106" t="str">
        <f>INDEX(Pipes_result_save_V1!$H$2:$H$206,MATCH(D151,Pipes_result_save_V1!$I$2:$I$206,0))</f>
        <v>N183</v>
      </c>
      <c r="G151" s="106">
        <f t="shared" si="18"/>
        <v>4.9567935076183497E-2</v>
      </c>
      <c r="H151" s="107">
        <v>200</v>
      </c>
      <c r="I151" s="107">
        <v>150</v>
      </c>
      <c r="J151" s="107">
        <v>78</v>
      </c>
      <c r="K151" s="107">
        <v>197.32725229713157</v>
      </c>
      <c r="L151" s="107">
        <v>-2.9028999999999999E-2</v>
      </c>
      <c r="M151" s="107">
        <v>-0.28077088580295173</v>
      </c>
      <c r="N151" s="107">
        <v>17.912696975681797</v>
      </c>
      <c r="O151" s="107">
        <f t="shared" si="19"/>
        <v>-4.9567935076183497E-2</v>
      </c>
      <c r="P151" s="78">
        <v>6.2953095200519232E-3</v>
      </c>
      <c r="Q151" s="106">
        <v>3.9889666081056301E-3</v>
      </c>
      <c r="R151" s="78"/>
      <c r="S151" s="78"/>
      <c r="T151" s="78"/>
      <c r="U151" s="78"/>
      <c r="V151" s="78"/>
      <c r="W151" s="78">
        <v>59</v>
      </c>
      <c r="X151" s="78">
        <v>59</v>
      </c>
      <c r="Y151" s="78" t="s">
        <v>540</v>
      </c>
      <c r="Z151" s="78" t="s">
        <v>249</v>
      </c>
      <c r="AA151" s="106" t="str">
        <f>INDEX(Pipes_result_save_V1!$G$2:$G$206,MATCH(Z151,Pipes_result_save_V1!$I$2:$I$206,0))</f>
        <v>N182</v>
      </c>
      <c r="AB151" s="106" t="str">
        <f>INDEX(Pipes_result_save_V1!$H$2:$H$206,MATCH(Z151,Pipes_result_save_V1!$I$2:$I$206,0))</f>
        <v>N183</v>
      </c>
      <c r="AC151" s="106">
        <f t="shared" si="20"/>
        <v>4.9567935076183497E-2</v>
      </c>
      <c r="AD151" s="78">
        <v>200</v>
      </c>
      <c r="AE151" s="78">
        <v>150</v>
      </c>
      <c r="AF151" s="78">
        <v>78</v>
      </c>
      <c r="AG151" s="78">
        <v>197.32725229713157</v>
      </c>
      <c r="AH151" s="78">
        <v>-2.2432064923816445E-2</v>
      </c>
      <c r="AI151" s="78">
        <v>-1</v>
      </c>
      <c r="AJ151" s="78">
        <v>-1</v>
      </c>
      <c r="AK151" s="78">
        <v>-0.17417945428853632</v>
      </c>
      <c r="AL151">
        <v>14.380323453855612</v>
      </c>
      <c r="AM151" s="107">
        <f>INDEX(Pipes_result_save_V1!$K$2:$K$206,MATCH(Z151,Pipes_result_save_V1!$I$2:$I$206,0)) *POWER(10,-3)</f>
        <v>-3.5793492794036872E-3</v>
      </c>
      <c r="AN151" s="78">
        <v>6.3839606588319935E-5</v>
      </c>
      <c r="AO151" s="106">
        <v>-1.9119825354786666E-3</v>
      </c>
    </row>
    <row r="152" spans="2:83" ht="30" x14ac:dyDescent="0.25">
      <c r="B152" s="106">
        <v>60</v>
      </c>
      <c r="C152" s="106" t="s">
        <v>540</v>
      </c>
      <c r="D152" s="106" t="s">
        <v>250</v>
      </c>
      <c r="E152" s="106" t="str">
        <f>INDEX(Pipes_result_save_V1!$G$2:$G$206,MATCH(D152,Pipes_result_save_V1!$I$2:$I$206,0))</f>
        <v>N183</v>
      </c>
      <c r="F152" s="106" t="str">
        <f>INDEX(Pipes_result_save_V1!$H$2:$H$206,MATCH(D152,Pipes_result_save_V1!$I$2:$I$206,0))</f>
        <v>N184</v>
      </c>
      <c r="G152" s="106">
        <f t="shared" si="18"/>
        <v>4.9567935076183497E-2</v>
      </c>
      <c r="H152" s="107">
        <v>200</v>
      </c>
      <c r="I152" s="107">
        <v>150</v>
      </c>
      <c r="J152" s="107">
        <v>83</v>
      </c>
      <c r="K152" s="107">
        <v>209.97643513669126</v>
      </c>
      <c r="L152" s="107">
        <v>-2.9028999999999999E-2</v>
      </c>
      <c r="M152" s="107">
        <v>-0.29876901950826917</v>
      </c>
      <c r="N152" s="107">
        <v>19.060946781815247</v>
      </c>
      <c r="O152" s="107">
        <f t="shared" si="19"/>
        <v>-4.9567935076183497E-2</v>
      </c>
      <c r="P152" s="78">
        <v>5.4572649696420011E-3</v>
      </c>
      <c r="Q152" s="106">
        <v>-4.3645450107522576E-3</v>
      </c>
      <c r="R152" s="78"/>
      <c r="S152" s="78"/>
      <c r="T152" s="78"/>
      <c r="U152" s="78"/>
      <c r="V152" s="78"/>
      <c r="W152" s="78">
        <v>60</v>
      </c>
      <c r="X152" s="78">
        <v>60</v>
      </c>
      <c r="Y152" s="78" t="s">
        <v>540</v>
      </c>
      <c r="Z152" s="78" t="s">
        <v>250</v>
      </c>
      <c r="AA152" s="106" t="str">
        <f>INDEX(Pipes_result_save_V1!$G$2:$G$206,MATCH(Z152,Pipes_result_save_V1!$I$2:$I$206,0))</f>
        <v>N183</v>
      </c>
      <c r="AB152" s="106" t="str">
        <f>INDEX(Pipes_result_save_V1!$H$2:$H$206,MATCH(Z152,Pipes_result_save_V1!$I$2:$I$206,0))</f>
        <v>N184</v>
      </c>
      <c r="AC152" s="106">
        <f t="shared" si="20"/>
        <v>4.9567935076183497E-2</v>
      </c>
      <c r="AD152" s="78">
        <v>200</v>
      </c>
      <c r="AE152" s="78">
        <v>150</v>
      </c>
      <c r="AF152" s="78">
        <v>83</v>
      </c>
      <c r="AG152" s="78">
        <v>209.97643513669126</v>
      </c>
      <c r="AH152" s="78">
        <v>-2.2432064923816445E-2</v>
      </c>
      <c r="AI152" s="78">
        <v>-1</v>
      </c>
      <c r="AJ152" s="78">
        <v>-1</v>
      </c>
      <c r="AK152" s="78">
        <v>-0.18534480392241684</v>
      </c>
      <c r="AL152">
        <v>15.302139059871998</v>
      </c>
      <c r="AM152" s="107">
        <f>INDEX(Pipes_result_save_V1!$K$2:$K$206,MATCH(Z152,Pipes_result_save_V1!$I$2:$I$206,0)) *POWER(10,-3)</f>
        <v>-4.4979424476623547E-3</v>
      </c>
      <c r="AN152" s="78">
        <v>2.6362514008356499E-3</v>
      </c>
      <c r="AO152" s="106">
        <v>4.0884278932521098E-3</v>
      </c>
    </row>
    <row r="153" spans="2:83" ht="30" x14ac:dyDescent="0.25">
      <c r="B153" s="106">
        <v>61</v>
      </c>
      <c r="C153" s="106" t="s">
        <v>540</v>
      </c>
      <c r="D153" s="106" t="s">
        <v>432</v>
      </c>
      <c r="E153" s="106" t="str">
        <f>INDEX(Pipes_result_save_V1!$G$2:$G$206,MATCH(D153,Pipes_result_save_V1!$I$2:$I$206,0))</f>
        <v>N184</v>
      </c>
      <c r="F153" s="106" t="str">
        <f>INDEX(Pipes_result_save_V1!$H$2:$H$206,MATCH(D153,Pipes_result_save_V1!$I$2:$I$206,0))</f>
        <v>N185</v>
      </c>
      <c r="G153" s="106">
        <f t="shared" si="18"/>
        <v>4.9567935076183497E-2</v>
      </c>
      <c r="H153" s="107">
        <v>200</v>
      </c>
      <c r="I153" s="107">
        <v>150</v>
      </c>
      <c r="J153" s="107">
        <v>175</v>
      </c>
      <c r="K153" s="107">
        <v>442.72139938459003</v>
      </c>
      <c r="L153" s="107">
        <v>-2.9028999999999999E-2</v>
      </c>
      <c r="M153" s="107">
        <v>-0.62993467968610972</v>
      </c>
      <c r="N153" s="107">
        <v>40.188743214670701</v>
      </c>
      <c r="O153" s="107">
        <f t="shared" si="19"/>
        <v>-4.9567935076183497E-2</v>
      </c>
      <c r="P153" s="78">
        <v>6.4293583862618693E-3</v>
      </c>
      <c r="Q153" s="106">
        <v>-8.2493675152566122E-5</v>
      </c>
      <c r="R153" s="78"/>
      <c r="S153" s="78"/>
      <c r="T153" s="78"/>
      <c r="U153" s="78"/>
      <c r="V153" s="78"/>
      <c r="W153" s="78">
        <v>61</v>
      </c>
      <c r="X153" s="78">
        <v>61</v>
      </c>
      <c r="Y153" s="78" t="s">
        <v>540</v>
      </c>
      <c r="Z153" s="78" t="s">
        <v>432</v>
      </c>
      <c r="AA153" s="106" t="str">
        <f>INDEX(Pipes_result_save_V1!$G$2:$G$206,MATCH(Z153,Pipes_result_save_V1!$I$2:$I$206,0))</f>
        <v>N184</v>
      </c>
      <c r="AB153" s="106" t="str">
        <f>INDEX(Pipes_result_save_V1!$H$2:$H$206,MATCH(Z153,Pipes_result_save_V1!$I$2:$I$206,0))</f>
        <v>N185</v>
      </c>
      <c r="AC153" s="106">
        <f t="shared" si="20"/>
        <v>4.9567935076183497E-2</v>
      </c>
      <c r="AD153" s="78">
        <v>200</v>
      </c>
      <c r="AE153" s="78">
        <v>150</v>
      </c>
      <c r="AF153" s="78">
        <v>175</v>
      </c>
      <c r="AG153" s="78">
        <v>442.72139938459003</v>
      </c>
      <c r="AH153" s="78">
        <v>-2.2432064923816445E-2</v>
      </c>
      <c r="AI153" s="78">
        <v>-1</v>
      </c>
      <c r="AJ153" s="78">
        <v>-1</v>
      </c>
      <c r="AK153" s="78">
        <v>-0.39078723718581865</v>
      </c>
      <c r="AL153">
        <v>32.263546210573487</v>
      </c>
      <c r="AM153" s="107">
        <f>INDEX(Pipes_result_save_V1!$K$2:$K$206,MATCH(Z153,Pipes_result_save_V1!$I$2:$I$206,0)) *POWER(10,-3)</f>
        <v>-5.969974040985108E-3</v>
      </c>
      <c r="AN153" s="78">
        <v>1.1151632808153651E-3</v>
      </c>
      <c r="AO153" s="106">
        <v>-3.5924766559819474E-3</v>
      </c>
    </row>
    <row r="154" spans="2:83" ht="30" x14ac:dyDescent="0.25">
      <c r="B154" s="106">
        <v>62</v>
      </c>
      <c r="C154" s="106" t="s">
        <v>540</v>
      </c>
      <c r="D154" s="106" t="s">
        <v>269</v>
      </c>
      <c r="E154" s="106" t="str">
        <f>INDEX(Pipes_result_save_V1!$G$2:$G$206,MATCH(D154,Pipes_result_save_V1!$I$2:$I$206,0))</f>
        <v>N185</v>
      </c>
      <c r="F154" s="106" t="str">
        <f>INDEX(Pipes_result_save_V1!$H$2:$H$206,MATCH(D154,Pipes_result_save_V1!$I$2:$I$206,0))</f>
        <v>N186</v>
      </c>
      <c r="G154" s="106">
        <f t="shared" si="18"/>
        <v>4.9567935076183497E-2</v>
      </c>
      <c r="H154" s="107">
        <v>200</v>
      </c>
      <c r="I154" s="107">
        <v>150</v>
      </c>
      <c r="J154" s="107">
        <v>169</v>
      </c>
      <c r="K154" s="107">
        <v>427.5423799771184</v>
      </c>
      <c r="L154" s="107">
        <v>-2.9028999999999999E-2</v>
      </c>
      <c r="M154" s="107">
        <v>-0.60833691923972877</v>
      </c>
      <c r="N154" s="107">
        <v>38.81084344731056</v>
      </c>
      <c r="O154" s="107">
        <f t="shared" si="19"/>
        <v>-4.9567935076183497E-2</v>
      </c>
      <c r="P154" s="78">
        <v>5.7088382822617165E-3</v>
      </c>
      <c r="Q154" s="106">
        <v>-8.7804134964231985E-4</v>
      </c>
      <c r="R154" s="78"/>
      <c r="S154" s="78"/>
      <c r="T154" s="78"/>
      <c r="U154" s="78"/>
      <c r="V154" s="78"/>
      <c r="W154" s="78">
        <v>62</v>
      </c>
      <c r="X154" s="78">
        <v>62</v>
      </c>
      <c r="Y154" s="78" t="s">
        <v>540</v>
      </c>
      <c r="Z154" s="78" t="s">
        <v>269</v>
      </c>
      <c r="AA154" s="106" t="str">
        <f>INDEX(Pipes_result_save_V1!$G$2:$G$206,MATCH(Z154,Pipes_result_save_V1!$I$2:$I$206,0))</f>
        <v>N185</v>
      </c>
      <c r="AB154" s="106" t="str">
        <f>INDEX(Pipes_result_save_V1!$H$2:$H$206,MATCH(Z154,Pipes_result_save_V1!$I$2:$I$206,0))</f>
        <v>N186</v>
      </c>
      <c r="AC154" s="106">
        <f t="shared" si="20"/>
        <v>4.9567935076183497E-2</v>
      </c>
      <c r="AD154" s="78">
        <v>200</v>
      </c>
      <c r="AE154" s="78">
        <v>150</v>
      </c>
      <c r="AF154" s="78">
        <v>169</v>
      </c>
      <c r="AG154" s="78">
        <v>427.5423799771184</v>
      </c>
      <c r="AH154" s="78">
        <v>-2.2432064923816445E-2</v>
      </c>
      <c r="AI154" s="78">
        <v>-1</v>
      </c>
      <c r="AJ154" s="78">
        <v>-1</v>
      </c>
      <c r="AK154" s="78">
        <v>-0.37738881762516202</v>
      </c>
      <c r="AL154">
        <v>31.157367483353827</v>
      </c>
      <c r="AM154" s="107">
        <f>INDEX(Pipes_result_save_V1!$K$2:$K$206,MATCH(Z154,Pipes_result_save_V1!$I$2:$I$206,0)) *POWER(10,-3)</f>
        <v>-7.9326825141906743E-3</v>
      </c>
      <c r="AN154" s="78">
        <v>2.5347452125473059E-3</v>
      </c>
      <c r="AO154" s="106">
        <v>-8.2599564618770702E-4</v>
      </c>
    </row>
    <row r="155" spans="2:83" ht="30" x14ac:dyDescent="0.25">
      <c r="B155" s="106">
        <v>63</v>
      </c>
      <c r="C155" s="106" t="s">
        <v>540</v>
      </c>
      <c r="D155" s="106" t="s">
        <v>270</v>
      </c>
      <c r="E155" s="106" t="str">
        <f>INDEX(Pipes_result_save_V1!$G$2:$G$206,MATCH(D155,Pipes_result_save_V1!$I$2:$I$206,0))</f>
        <v>N186</v>
      </c>
      <c r="F155" s="106" t="str">
        <f>INDEX(Pipes_result_save_V1!$H$2:$H$206,MATCH(D155,Pipes_result_save_V1!$I$2:$I$206,0))</f>
        <v>N187</v>
      </c>
      <c r="G155" s="106">
        <f t="shared" si="18"/>
        <v>4.9567935076183497E-2</v>
      </c>
      <c r="H155" s="107">
        <v>200</v>
      </c>
      <c r="I155" s="107">
        <v>150</v>
      </c>
      <c r="J155" s="107">
        <v>169</v>
      </c>
      <c r="K155" s="107">
        <v>427.5423799771184</v>
      </c>
      <c r="L155" s="107">
        <v>-2.9028999999999999E-2</v>
      </c>
      <c r="M155" s="107">
        <v>-0.60833691923972877</v>
      </c>
      <c r="N155" s="107">
        <v>38.81084344731056</v>
      </c>
      <c r="O155" s="107">
        <f t="shared" si="19"/>
        <v>-4.9567935076183497E-2</v>
      </c>
      <c r="P155" s="78">
        <v>5.9730648656926462E-3</v>
      </c>
      <c r="Q155" s="106">
        <v>4.0275911892618897E-3</v>
      </c>
      <c r="R155" s="78"/>
      <c r="S155" s="78"/>
      <c r="T155" s="78"/>
      <c r="U155" s="78"/>
      <c r="V155" s="78"/>
      <c r="W155" s="78">
        <v>63</v>
      </c>
      <c r="X155" s="78">
        <v>63</v>
      </c>
      <c r="Y155" s="78" t="s">
        <v>540</v>
      </c>
      <c r="Z155" s="78" t="s">
        <v>270</v>
      </c>
      <c r="AA155" s="106" t="str">
        <f>INDEX(Pipes_result_save_V1!$G$2:$G$206,MATCH(Z155,Pipes_result_save_V1!$I$2:$I$206,0))</f>
        <v>N186</v>
      </c>
      <c r="AB155" s="106" t="str">
        <f>INDEX(Pipes_result_save_V1!$H$2:$H$206,MATCH(Z155,Pipes_result_save_V1!$I$2:$I$206,0))</f>
        <v>N187</v>
      </c>
      <c r="AC155" s="106">
        <f t="shared" si="20"/>
        <v>4.9567935076183497E-2</v>
      </c>
      <c r="AD155" s="78">
        <v>200</v>
      </c>
      <c r="AE155" s="78">
        <v>150</v>
      </c>
      <c r="AF155" s="78">
        <v>169</v>
      </c>
      <c r="AG155" s="78">
        <v>427.5423799771184</v>
      </c>
      <c r="AH155" s="78">
        <v>-2.2432064923816445E-2</v>
      </c>
      <c r="AI155" s="78">
        <v>-1</v>
      </c>
      <c r="AJ155" s="78">
        <v>-1</v>
      </c>
      <c r="AK155" s="78">
        <v>-0.37738881762516202</v>
      </c>
      <c r="AL155">
        <v>31.157367483353827</v>
      </c>
      <c r="AM155" s="107">
        <f>INDEX(Pipes_result_save_V1!$K$2:$K$206,MATCH(Z155,Pipes_result_save_V1!$I$2:$I$206,0)) *POWER(10,-3)</f>
        <v>-9.8611583709716805E-3</v>
      </c>
      <c r="AN155" s="78">
        <v>4.6527855039262753E-3</v>
      </c>
      <c r="AO155" s="106">
        <v>2.9811382224403937E-4</v>
      </c>
    </row>
    <row r="156" spans="2:83" ht="30" x14ac:dyDescent="0.25">
      <c r="B156" s="106">
        <v>64</v>
      </c>
      <c r="C156" s="106" t="s">
        <v>540</v>
      </c>
      <c r="D156" s="106" t="s">
        <v>272</v>
      </c>
      <c r="E156" s="106" t="str">
        <f>INDEX(Pipes_result_save_V1!$G$2:$G$206,MATCH(D156,Pipes_result_save_V1!$I$2:$I$206,0))</f>
        <v>N187</v>
      </c>
      <c r="F156" s="106" t="str">
        <f>INDEX(Pipes_result_save_V1!$H$2:$H$206,MATCH(D156,Pipes_result_save_V1!$I$2:$I$206,0))</f>
        <v>N188</v>
      </c>
      <c r="G156" s="106">
        <f t="shared" si="18"/>
        <v>4.9567935076183497E-2</v>
      </c>
      <c r="H156" s="107">
        <v>200</v>
      </c>
      <c r="I156" s="107">
        <v>150</v>
      </c>
      <c r="J156" s="107">
        <v>134</v>
      </c>
      <c r="K156" s="107">
        <v>338.99810010020042</v>
      </c>
      <c r="L156" s="107">
        <v>-2.9028999999999999E-2</v>
      </c>
      <c r="M156" s="107">
        <v>-0.48234998330250689</v>
      </c>
      <c r="N156" s="107">
        <v>30.773094804376424</v>
      </c>
      <c r="O156" s="107">
        <f t="shared" si="19"/>
        <v>-4.9567935076183497E-2</v>
      </c>
      <c r="P156" s="78">
        <v>5.4140706158563104E-3</v>
      </c>
      <c r="Q156" s="106">
        <v>8.801512753151559E-4</v>
      </c>
      <c r="R156" s="78"/>
      <c r="S156" s="78"/>
      <c r="T156" s="78"/>
      <c r="U156" s="78"/>
      <c r="V156" s="78"/>
      <c r="W156" s="78">
        <v>64</v>
      </c>
      <c r="X156" s="78">
        <v>64</v>
      </c>
      <c r="Y156" s="78" t="s">
        <v>540</v>
      </c>
      <c r="Z156" s="78" t="s">
        <v>272</v>
      </c>
      <c r="AA156" s="106" t="str">
        <f>INDEX(Pipes_result_save_V1!$G$2:$G$206,MATCH(Z156,Pipes_result_save_V1!$I$2:$I$206,0))</f>
        <v>N187</v>
      </c>
      <c r="AB156" s="106" t="str">
        <f>INDEX(Pipes_result_save_V1!$H$2:$H$206,MATCH(Z156,Pipes_result_save_V1!$I$2:$I$206,0))</f>
        <v>N188</v>
      </c>
      <c r="AC156" s="106">
        <f t="shared" si="20"/>
        <v>4.9567935076183497E-2</v>
      </c>
      <c r="AD156" s="78">
        <v>200</v>
      </c>
      <c r="AE156" s="78">
        <v>150</v>
      </c>
      <c r="AF156" s="78">
        <v>134</v>
      </c>
      <c r="AG156" s="78">
        <v>338.99810010020042</v>
      </c>
      <c r="AH156" s="78">
        <v>-2.2432064923816445E-2</v>
      </c>
      <c r="AI156" s="78">
        <v>-1</v>
      </c>
      <c r="AJ156" s="78">
        <v>-1</v>
      </c>
      <c r="AK156" s="78">
        <v>-0.29923137018799828</v>
      </c>
      <c r="AL156">
        <v>24.70465824123913</v>
      </c>
      <c r="AM156" s="107">
        <f>INDEX(Pipes_result_save_V1!$K$2:$K$206,MATCH(Z156,Pipes_result_save_V1!$I$2:$I$206,0)) *POWER(10,-3)</f>
        <v>-1.1589940071105961E-2</v>
      </c>
      <c r="AN156" s="78">
        <v>1.0804693333157063E-3</v>
      </c>
      <c r="AO156" s="106">
        <v>-4.9640809977583439E-3</v>
      </c>
    </row>
    <row r="157" spans="2:83" ht="30" x14ac:dyDescent="0.25">
      <c r="B157" s="106">
        <v>65</v>
      </c>
      <c r="C157" s="106" t="s">
        <v>540</v>
      </c>
      <c r="D157" s="106" t="s">
        <v>271</v>
      </c>
      <c r="E157" s="106" t="str">
        <f>INDEX(Pipes_result_save_V1!$G$2:$G$206,MATCH(D157,Pipes_result_save_V1!$I$2:$I$206,0))</f>
        <v>N188</v>
      </c>
      <c r="F157" s="106" t="str">
        <f>INDEX(Pipes_result_save_V1!$H$2:$H$206,MATCH(D157,Pipes_result_save_V1!$I$2:$I$206,0))</f>
        <v>N189</v>
      </c>
      <c r="G157" s="106">
        <f t="shared" si="18"/>
        <v>4.9567935076183497E-2</v>
      </c>
      <c r="H157" s="107">
        <v>200</v>
      </c>
      <c r="I157" s="107">
        <v>150</v>
      </c>
      <c r="J157" s="107">
        <v>263</v>
      </c>
      <c r="K157" s="107">
        <v>665.34701736084105</v>
      </c>
      <c r="L157" s="107">
        <v>-2.9028999999999999E-2</v>
      </c>
      <c r="M157" s="107">
        <v>-0.94670183289969634</v>
      </c>
      <c r="N157" s="107">
        <v>60.397939802619398</v>
      </c>
      <c r="O157" s="107">
        <f t="shared" si="19"/>
        <v>-4.9567935076183497E-2</v>
      </c>
      <c r="P157" s="78">
        <v>5.2847983206110311E-3</v>
      </c>
      <c r="Q157" s="106">
        <v>-5.8932827972838185E-3</v>
      </c>
      <c r="R157" s="78"/>
      <c r="S157" s="78"/>
      <c r="T157" s="78"/>
      <c r="U157" s="78"/>
      <c r="V157" s="78"/>
      <c r="W157" s="78">
        <v>65</v>
      </c>
      <c r="X157" s="78">
        <v>65</v>
      </c>
      <c r="Y157" s="78" t="s">
        <v>540</v>
      </c>
      <c r="Z157" s="78" t="s">
        <v>271</v>
      </c>
      <c r="AA157" s="106" t="str">
        <f>INDEX(Pipes_result_save_V1!$G$2:$G$206,MATCH(Z157,Pipes_result_save_V1!$I$2:$I$206,0))</f>
        <v>N188</v>
      </c>
      <c r="AB157" s="106" t="str">
        <f>INDEX(Pipes_result_save_V1!$H$2:$H$206,MATCH(Z157,Pipes_result_save_V1!$I$2:$I$206,0))</f>
        <v>N189</v>
      </c>
      <c r="AC157" s="106">
        <f t="shared" si="20"/>
        <v>4.9567935076183497E-2</v>
      </c>
      <c r="AD157" s="78">
        <v>200</v>
      </c>
      <c r="AE157" s="78">
        <v>150</v>
      </c>
      <c r="AF157" s="78">
        <v>263</v>
      </c>
      <c r="AG157" s="78">
        <v>665.34701736084105</v>
      </c>
      <c r="AH157" s="78">
        <v>-2.2432064923816445E-2</v>
      </c>
      <c r="AI157" s="78">
        <v>-1</v>
      </c>
      <c r="AJ157" s="78">
        <v>-1</v>
      </c>
      <c r="AK157" s="78">
        <v>-0.58729739074211607</v>
      </c>
      <c r="AL157">
        <v>48.487500876461873</v>
      </c>
      <c r="AM157" s="107">
        <f>INDEX(Pipes_result_save_V1!$K$2:$K$206,MATCH(Z157,Pipes_result_save_V1!$I$2:$I$206,0)) *POWER(10,-3)</f>
        <v>-1.385504245758057E-2</v>
      </c>
      <c r="AN157" s="78">
        <v>3.7055250738890723E-3</v>
      </c>
      <c r="AO157" s="106">
        <v>-8.3494415972269614E-3</v>
      </c>
    </row>
    <row r="158" spans="2:83" ht="30" x14ac:dyDescent="0.25">
      <c r="B158" s="106">
        <v>66</v>
      </c>
      <c r="C158" s="106" t="s">
        <v>540</v>
      </c>
      <c r="D158" s="106" t="s">
        <v>273</v>
      </c>
      <c r="E158" s="106" t="str">
        <f>INDEX(Pipes_result_save_V1!$G$2:$G$206,MATCH(D158,Pipes_result_save_V1!$I$2:$I$206,0))</f>
        <v>N189</v>
      </c>
      <c r="F158" s="106" t="str">
        <f>INDEX(Pipes_result_save_V1!$H$2:$H$206,MATCH(D158,Pipes_result_save_V1!$I$2:$I$206,0))</f>
        <v>N190</v>
      </c>
      <c r="G158" s="106">
        <f t="shared" ref="G158:G162" si="26">ABS(R73)</f>
        <v>4.9567935076183497E-2</v>
      </c>
      <c r="H158" s="107">
        <v>200</v>
      </c>
      <c r="I158" s="107">
        <v>150</v>
      </c>
      <c r="J158" s="107">
        <v>257</v>
      </c>
      <c r="K158" s="107">
        <v>650.16799795336942</v>
      </c>
      <c r="L158" s="107">
        <v>-2.9028999999999999E-2</v>
      </c>
      <c r="M158" s="107">
        <v>-0.92510407245331538</v>
      </c>
      <c r="N158" s="107">
        <v>59.020040035259257</v>
      </c>
      <c r="O158" s="107">
        <f t="shared" ref="O158:O162" si="27">Q73</f>
        <v>-4.9567935076183497E-2</v>
      </c>
      <c r="P158" s="78">
        <v>6.1713420649328237E-3</v>
      </c>
      <c r="Q158" s="106">
        <v>4.1447797406488889E-3</v>
      </c>
      <c r="R158" s="78"/>
      <c r="S158" s="78"/>
      <c r="T158" s="78"/>
      <c r="U158" s="78"/>
      <c r="V158" s="78"/>
      <c r="W158" s="78">
        <v>66</v>
      </c>
      <c r="X158" s="78">
        <v>66</v>
      </c>
      <c r="Y158" s="78" t="s">
        <v>540</v>
      </c>
      <c r="Z158" s="78" t="s">
        <v>273</v>
      </c>
      <c r="AA158" s="106" t="str">
        <f>INDEX(Pipes_result_save_V1!$G$2:$G$206,MATCH(Z158,Pipes_result_save_V1!$I$2:$I$206,0))</f>
        <v>N189</v>
      </c>
      <c r="AB158" s="106" t="str">
        <f>INDEX(Pipes_result_save_V1!$H$2:$H$206,MATCH(Z158,Pipes_result_save_V1!$I$2:$I$206,0))</f>
        <v>N190</v>
      </c>
      <c r="AC158" s="106">
        <f t="shared" ref="AC158:AC162" si="28">ABS(AQ73)</f>
        <v>4.9567935076183497E-2</v>
      </c>
      <c r="AD158" s="78">
        <v>200</v>
      </c>
      <c r="AE158" s="78">
        <v>150</v>
      </c>
      <c r="AF158" s="78">
        <v>257</v>
      </c>
      <c r="AG158" s="78">
        <v>650.16799795336942</v>
      </c>
      <c r="AH158" s="78">
        <v>-2.2432064923816445E-2</v>
      </c>
      <c r="AI158" s="78">
        <v>-1</v>
      </c>
      <c r="AJ158" s="78">
        <v>-1</v>
      </c>
      <c r="AK158" s="78">
        <v>-0.57389897118145938</v>
      </c>
      <c r="AL158">
        <v>47.381322149242209</v>
      </c>
      <c r="AM158" s="107">
        <f>INDEX(Pipes_result_save_V1!$K$2:$K$206,MATCH(Z158,Pipes_result_save_V1!$I$2:$I$206,0)) *POWER(10,-3)</f>
        <v>-1.6821928024291988E-2</v>
      </c>
      <c r="AN158" s="78">
        <v>2.0439464026063801E-5</v>
      </c>
      <c r="AO158" s="106">
        <v>-1.121633940109551E-2</v>
      </c>
    </row>
    <row r="159" spans="2:83" ht="30" x14ac:dyDescent="0.25">
      <c r="B159" s="106">
        <v>67</v>
      </c>
      <c r="C159" s="106" t="s">
        <v>540</v>
      </c>
      <c r="D159" s="106" t="s">
        <v>274</v>
      </c>
      <c r="E159" s="106" t="str">
        <f>INDEX(Pipes_result_save_V1!$G$2:$G$206,MATCH(D159,Pipes_result_save_V1!$I$2:$I$206,0))</f>
        <v>N190</v>
      </c>
      <c r="F159" s="106" t="str">
        <f>INDEX(Pipes_result_save_V1!$H$2:$H$206,MATCH(D159,Pipes_result_save_V1!$I$2:$I$206,0))</f>
        <v>N191</v>
      </c>
      <c r="G159" s="106">
        <f t="shared" si="26"/>
        <v>4.9567935076183497E-2</v>
      </c>
      <c r="H159" s="107">
        <v>200</v>
      </c>
      <c r="I159" s="107">
        <v>150</v>
      </c>
      <c r="J159" s="107">
        <v>173</v>
      </c>
      <c r="K159" s="107">
        <v>437.66172624876617</v>
      </c>
      <c r="L159" s="107">
        <v>-2.9028999999999999E-2</v>
      </c>
      <c r="M159" s="107">
        <v>-0.6227354262039827</v>
      </c>
      <c r="N159" s="107">
        <v>39.729443292217326</v>
      </c>
      <c r="O159" s="107">
        <f t="shared" si="27"/>
        <v>-4.9567935076183497E-2</v>
      </c>
      <c r="P159" s="78">
        <v>5.0840904189161686E-3</v>
      </c>
      <c r="Q159" s="106">
        <v>-4.3034880343620335E-3</v>
      </c>
      <c r="R159" s="78"/>
      <c r="S159" s="78"/>
      <c r="T159" s="78"/>
      <c r="U159" s="78"/>
      <c r="V159" s="78"/>
      <c r="W159" s="78">
        <v>67</v>
      </c>
      <c r="X159" s="78">
        <v>67</v>
      </c>
      <c r="Y159" s="78" t="s">
        <v>540</v>
      </c>
      <c r="Z159" s="78" t="s">
        <v>274</v>
      </c>
      <c r="AA159" s="106" t="str">
        <f>INDEX(Pipes_result_save_V1!$G$2:$G$206,MATCH(Z159,Pipes_result_save_V1!$I$2:$I$206,0))</f>
        <v>N190</v>
      </c>
      <c r="AB159" s="106" t="str">
        <f>INDEX(Pipes_result_save_V1!$H$2:$H$206,MATCH(Z159,Pipes_result_save_V1!$I$2:$I$206,0))</f>
        <v>N191</v>
      </c>
      <c r="AC159" s="106">
        <f t="shared" si="28"/>
        <v>4.9567935076183497E-2</v>
      </c>
      <c r="AD159" s="78">
        <v>200</v>
      </c>
      <c r="AE159" s="78">
        <v>150</v>
      </c>
      <c r="AF159" s="78">
        <v>173</v>
      </c>
      <c r="AG159" s="78">
        <v>437.66172624876617</v>
      </c>
      <c r="AH159" s="78">
        <v>-2.2432064923816445E-2</v>
      </c>
      <c r="AI159" s="78">
        <v>-1</v>
      </c>
      <c r="AJ159" s="78">
        <v>-1</v>
      </c>
      <c r="AK159" s="78">
        <v>-0.38632109733226644</v>
      </c>
      <c r="AL159">
        <v>31.894819968166935</v>
      </c>
      <c r="AM159" s="107">
        <f>INDEX(Pipes_result_save_V1!$K$2:$K$206,MATCH(Z159,Pipes_result_save_V1!$I$2:$I$206,0)) *POWER(10,-3)</f>
        <v>-1.9275314331054692E-2</v>
      </c>
      <c r="AN159" s="78">
        <v>2.3847943325962812E-3</v>
      </c>
      <c r="AO159" s="106">
        <v>-1.5855400710962149E-2</v>
      </c>
    </row>
    <row r="160" spans="2:83" ht="30" x14ac:dyDescent="0.25">
      <c r="B160" s="106">
        <v>68</v>
      </c>
      <c r="C160" s="106" t="s">
        <v>540</v>
      </c>
      <c r="D160" s="106" t="s">
        <v>275</v>
      </c>
      <c r="E160" s="106" t="str">
        <f>INDEX(Pipes_result_save_V1!$G$2:$G$206,MATCH(D160,Pipes_result_save_V1!$I$2:$I$206,0))</f>
        <v>N191</v>
      </c>
      <c r="F160" s="106" t="str">
        <f>INDEX(Pipes_result_save_V1!$H$2:$H$206,MATCH(D160,Pipes_result_save_V1!$I$2:$I$206,0))</f>
        <v>N192</v>
      </c>
      <c r="G160" s="106">
        <f t="shared" si="26"/>
        <v>4.9567935076183497E-2</v>
      </c>
      <c r="H160" s="107">
        <v>200</v>
      </c>
      <c r="I160" s="107">
        <v>150</v>
      </c>
      <c r="J160" s="107">
        <v>47</v>
      </c>
      <c r="K160" s="107">
        <v>118.90231869186132</v>
      </c>
      <c r="L160" s="107">
        <v>-2.9028999999999999E-2</v>
      </c>
      <c r="M160" s="107">
        <v>-0.16918245682998373</v>
      </c>
      <c r="N160" s="107">
        <v>10.793548177654417</v>
      </c>
      <c r="O160" s="107">
        <f t="shared" si="27"/>
        <v>-4.9567935076183497E-2</v>
      </c>
      <c r="P160" s="78">
        <v>5.4959869416529123E-3</v>
      </c>
      <c r="Q160" s="106">
        <v>2.857322639992204E-4</v>
      </c>
      <c r="R160" s="78"/>
      <c r="S160" s="78"/>
      <c r="T160" s="78"/>
      <c r="U160" s="78"/>
      <c r="V160" s="78"/>
      <c r="W160" s="78">
        <v>68</v>
      </c>
      <c r="X160" s="78">
        <v>68</v>
      </c>
      <c r="Y160" s="78" t="s">
        <v>540</v>
      </c>
      <c r="Z160" s="78" t="s">
        <v>275</v>
      </c>
      <c r="AA160" s="106" t="str">
        <f>INDEX(Pipes_result_save_V1!$G$2:$G$206,MATCH(Z160,Pipes_result_save_V1!$I$2:$I$206,0))</f>
        <v>N191</v>
      </c>
      <c r="AB160" s="106" t="str">
        <f>INDEX(Pipes_result_save_V1!$H$2:$H$206,MATCH(Z160,Pipes_result_save_V1!$I$2:$I$206,0))</f>
        <v>N192</v>
      </c>
      <c r="AC160" s="106">
        <f t="shared" si="28"/>
        <v>4.9567935076183497E-2</v>
      </c>
      <c r="AD160" s="78">
        <v>200</v>
      </c>
      <c r="AE160" s="78">
        <v>150</v>
      </c>
      <c r="AF160" s="78">
        <v>47</v>
      </c>
      <c r="AG160" s="78">
        <v>118.90231869186132</v>
      </c>
      <c r="AH160" s="78">
        <v>-2.2432064923816445E-2</v>
      </c>
      <c r="AI160" s="78">
        <v>-1</v>
      </c>
      <c r="AJ160" s="78">
        <v>-1</v>
      </c>
      <c r="AK160" s="78">
        <v>-0.10495428655847701</v>
      </c>
      <c r="AL160">
        <v>8.6650666965540228</v>
      </c>
      <c r="AM160" s="107">
        <f>INDEX(Pipes_result_save_V1!$K$2:$K$206,MATCH(Z160,Pipes_result_save_V1!$I$2:$I$206,0)) *POWER(10,-3)</f>
        <v>-2.05305347442627E-2</v>
      </c>
      <c r="AN160" s="78">
        <v>2.9079985138577924E-3</v>
      </c>
      <c r="AO160" s="106">
        <v>-1.3813218679930128E-2</v>
      </c>
    </row>
    <row r="161" spans="2:155" ht="30" x14ac:dyDescent="0.25">
      <c r="B161" s="106">
        <v>69</v>
      </c>
      <c r="C161" s="106" t="s">
        <v>540</v>
      </c>
      <c r="D161" s="106" t="s">
        <v>277</v>
      </c>
      <c r="E161" s="106" t="str">
        <f>INDEX(Pipes_result_save_V1!$G$2:$G$206,MATCH(D161,Pipes_result_save_V1!$I$2:$I$206,0))</f>
        <v>N193</v>
      </c>
      <c r="F161" s="106" t="str">
        <f>INDEX(Pipes_result_save_V1!$H$2:$H$206,MATCH(D161,Pipes_result_save_V1!$I$2:$I$206,0))</f>
        <v>N192</v>
      </c>
      <c r="G161" s="106">
        <f t="shared" si="26"/>
        <v>0.14982806492381651</v>
      </c>
      <c r="H161" s="107">
        <v>565</v>
      </c>
      <c r="I161" s="107">
        <v>150</v>
      </c>
      <c r="J161" s="107">
        <v>351</v>
      </c>
      <c r="K161" s="107">
        <v>5.6427226167427849</v>
      </c>
      <c r="L161" s="107">
        <v>-0.22842500000000002</v>
      </c>
      <c r="M161" s="107">
        <v>-0.36633795039434436</v>
      </c>
      <c r="N161" s="107">
        <v>2.9701559992572006</v>
      </c>
      <c r="O161" s="107">
        <f t="shared" si="27"/>
        <v>0.14982806492381651</v>
      </c>
      <c r="P161" s="78">
        <v>5.456823903032002E-3</v>
      </c>
      <c r="Q161" s="106">
        <v>-1.627611582500123E-3</v>
      </c>
      <c r="R161" s="78"/>
      <c r="S161" s="78"/>
      <c r="T161" s="78"/>
      <c r="U161" s="78"/>
      <c r="V161" s="78"/>
      <c r="W161" s="78">
        <v>69</v>
      </c>
      <c r="X161" s="78">
        <v>69</v>
      </c>
      <c r="Y161" s="78" t="s">
        <v>540</v>
      </c>
      <c r="Z161" s="78" t="s">
        <v>277</v>
      </c>
      <c r="AA161" s="106" t="str">
        <f>INDEX(Pipes_result_save_V1!$G$2:$G$206,MATCH(Z161,Pipes_result_save_V1!$I$2:$I$206,0))</f>
        <v>N193</v>
      </c>
      <c r="AB161" s="106" t="str">
        <f>INDEX(Pipes_result_save_V1!$H$2:$H$206,MATCH(Z161,Pipes_result_save_V1!$I$2:$I$206,0))</f>
        <v>N192</v>
      </c>
      <c r="AC161" s="106">
        <f t="shared" si="28"/>
        <v>0.14982806492381651</v>
      </c>
      <c r="AD161" s="78">
        <v>565</v>
      </c>
      <c r="AE161" s="78">
        <v>150</v>
      </c>
      <c r="AF161" s="78">
        <v>351</v>
      </c>
      <c r="AG161" s="78">
        <v>5.6427226167427849</v>
      </c>
      <c r="AH161" s="78">
        <v>-0.22182806492381646</v>
      </c>
      <c r="AI161" s="78">
        <v>-1</v>
      </c>
      <c r="AJ161" s="78">
        <v>-1</v>
      </c>
      <c r="AK161" s="78">
        <v>-0.34698543293187428</v>
      </c>
      <c r="AL161">
        <v>2.89691487869458</v>
      </c>
      <c r="AM161" s="107">
        <f>INDEX(Pipes_result_save_V1!$K$2:$K$206,MATCH(Z161,Pipes_result_save_V1!$I$2:$I$206,0)) *POWER(10,-3)</f>
        <v>-1.403542900085449E-2</v>
      </c>
      <c r="AN161" s="78">
        <v>4.4989139488919869E-3</v>
      </c>
      <c r="AO161" s="106">
        <v>-6.3662872438251276E-3</v>
      </c>
    </row>
    <row r="162" spans="2:155" ht="30" x14ac:dyDescent="0.25">
      <c r="B162" s="106">
        <v>70</v>
      </c>
      <c r="C162" s="106" t="s">
        <v>540</v>
      </c>
      <c r="D162" s="106" t="s">
        <v>427</v>
      </c>
      <c r="E162" s="106" t="str">
        <f>INDEX(Pipes_result_save_V1!$G$2:$G$206,MATCH(D162,Pipes_result_save_V1!$I$2:$I$206,0))</f>
        <v>N194</v>
      </c>
      <c r="F162" s="106" t="str">
        <f>INDEX(Pipes_result_save_V1!$H$2:$H$206,MATCH(D162,Pipes_result_save_V1!$I$2:$I$206,0))</f>
        <v>N193</v>
      </c>
      <c r="G162" s="106">
        <f t="shared" si="26"/>
        <v>0.14982806492381651</v>
      </c>
      <c r="H162" s="107">
        <v>565</v>
      </c>
      <c r="I162" s="107">
        <v>150</v>
      </c>
      <c r="J162" s="107">
        <v>169</v>
      </c>
      <c r="K162" s="107">
        <v>2.7168664450983777</v>
      </c>
      <c r="L162" s="107">
        <v>-0.22842500000000002</v>
      </c>
      <c r="M162" s="107">
        <v>-0.17638493907875838</v>
      </c>
      <c r="N162" s="107">
        <v>1.4300751107534666</v>
      </c>
      <c r="O162" s="107">
        <f t="shared" si="27"/>
        <v>0.14982806492381651</v>
      </c>
      <c r="P162" s="78">
        <v>6.5543548446075697E-3</v>
      </c>
      <c r="Q162" s="106">
        <v>1.1138325222734839E-3</v>
      </c>
      <c r="R162" s="78"/>
      <c r="S162" s="78"/>
      <c r="T162" s="78"/>
      <c r="U162" s="78"/>
      <c r="V162" s="78"/>
      <c r="W162" s="78">
        <v>70</v>
      </c>
      <c r="X162" s="78">
        <v>70</v>
      </c>
      <c r="Y162" s="78" t="s">
        <v>540</v>
      </c>
      <c r="Z162" s="78" t="s">
        <v>427</v>
      </c>
      <c r="AA162" s="106" t="str">
        <f>INDEX(Pipes_result_save_V1!$G$2:$G$206,MATCH(Z162,Pipes_result_save_V1!$I$2:$I$206,0))</f>
        <v>N194</v>
      </c>
      <c r="AB162" s="106" t="str">
        <f>INDEX(Pipes_result_save_V1!$H$2:$H$206,MATCH(Z162,Pipes_result_save_V1!$I$2:$I$206,0))</f>
        <v>N193</v>
      </c>
      <c r="AC162" s="106">
        <f t="shared" si="28"/>
        <v>0.14982806492381651</v>
      </c>
      <c r="AD162" s="78">
        <v>565</v>
      </c>
      <c r="AE162" s="78">
        <v>150</v>
      </c>
      <c r="AF162" s="78">
        <v>169</v>
      </c>
      <c r="AG162" s="78">
        <v>2.7168664450983777</v>
      </c>
      <c r="AH162" s="78">
        <v>-0.22182806492381646</v>
      </c>
      <c r="AI162" s="78">
        <v>-1</v>
      </c>
      <c r="AJ162" s="78">
        <v>-1</v>
      </c>
      <c r="AK162" s="78">
        <v>-0.16706706030053203</v>
      </c>
      <c r="AL162">
        <v>1.3948108675196123</v>
      </c>
      <c r="AM162" s="107">
        <f>INDEX(Pipes_result_save_V1!$K$2:$K$206,MATCH(Z162,Pipes_result_save_V1!$I$2:$I$206,0)) *POWER(10,-3)</f>
        <v>-1.1068543434143071E-2</v>
      </c>
      <c r="AN162" s="78">
        <v>1.3429046318283954E-3</v>
      </c>
      <c r="AO162" s="106">
        <v>-4.9152099513123295E-3</v>
      </c>
    </row>
    <row r="163" spans="2:155" ht="30" x14ac:dyDescent="0.25">
      <c r="B163" s="106">
        <v>71</v>
      </c>
      <c r="C163" s="106" t="s">
        <v>380</v>
      </c>
      <c r="D163" s="233"/>
      <c r="E163" s="233"/>
      <c r="F163" s="233"/>
      <c r="G163" s="233"/>
      <c r="H163" s="233"/>
      <c r="I163" s="233"/>
      <c r="J163" s="233"/>
      <c r="K163" s="233"/>
      <c r="L163" s="233"/>
      <c r="M163" s="107">
        <v>-5.070376541099133</v>
      </c>
      <c r="N163" s="107">
        <v>768.59579221938282</v>
      </c>
      <c r="O163" s="107"/>
      <c r="P163" s="78"/>
      <c r="Q163" s="78"/>
      <c r="R163" s="78"/>
      <c r="S163" s="78"/>
      <c r="T163" s="78"/>
      <c r="U163" s="78"/>
      <c r="V163" s="78"/>
      <c r="W163" s="78">
        <v>44</v>
      </c>
      <c r="X163" s="78">
        <v>71</v>
      </c>
      <c r="Y163" s="78" t="s">
        <v>380</v>
      </c>
      <c r="Z163" s="249"/>
      <c r="AA163" s="249"/>
      <c r="AB163" s="249"/>
      <c r="AC163" s="249"/>
      <c r="AD163" s="249"/>
      <c r="AE163" s="249"/>
      <c r="AF163" s="249"/>
      <c r="AG163" s="249"/>
      <c r="AH163" s="249"/>
      <c r="AI163" s="249"/>
      <c r="AJ163" s="249"/>
      <c r="AK163" s="78">
        <v>35.649147910678835</v>
      </c>
      <c r="AL163">
        <v>1560.3548127119159</v>
      </c>
    </row>
    <row r="164" spans="2:155" x14ac:dyDescent="0.25">
      <c r="B164" s="106">
        <v>72</v>
      </c>
      <c r="C164" s="106" t="s">
        <v>381</v>
      </c>
      <c r="D164" s="233">
        <v>6.5969350761835542E-3</v>
      </c>
      <c r="E164" s="233"/>
      <c r="F164" s="233"/>
      <c r="G164" s="233"/>
      <c r="H164" s="233"/>
      <c r="I164" s="233"/>
      <c r="J164" s="233"/>
      <c r="K164" s="233"/>
      <c r="L164" s="233"/>
      <c r="M164" s="233"/>
      <c r="N164" s="233"/>
      <c r="O164" s="107"/>
      <c r="P164" s="78"/>
      <c r="Q164" s="78"/>
      <c r="R164" s="78"/>
      <c r="S164" s="78"/>
      <c r="T164" s="78"/>
      <c r="U164" s="78"/>
      <c r="V164" s="78"/>
      <c r="W164" s="78"/>
      <c r="X164" s="78">
        <v>72</v>
      </c>
      <c r="Y164" s="78" t="s">
        <v>381</v>
      </c>
      <c r="Z164" s="249">
        <v>-2.284682151793423E-2</v>
      </c>
      <c r="AA164" s="249"/>
      <c r="AB164" s="249"/>
      <c r="AC164" s="249"/>
      <c r="AD164" s="249"/>
      <c r="AE164" s="249"/>
      <c r="AF164" s="249"/>
      <c r="AG164" s="249"/>
      <c r="AH164" s="249"/>
      <c r="AI164" s="249"/>
      <c r="AJ164" s="249"/>
      <c r="AK164" s="249"/>
      <c r="AL164" s="249"/>
    </row>
    <row r="165" spans="2:155" x14ac:dyDescent="0.25"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</row>
    <row r="166" spans="2:155" x14ac:dyDescent="0.25"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</row>
    <row r="167" spans="2:155" x14ac:dyDescent="0.25"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</row>
    <row r="168" spans="2:155" x14ac:dyDescent="0.25"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</row>
    <row r="169" spans="2:155" x14ac:dyDescent="0.25"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</row>
    <row r="170" spans="2:155" x14ac:dyDescent="0.25"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</row>
    <row r="171" spans="2:155" x14ac:dyDescent="0.25"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</row>
    <row r="172" spans="2:155" x14ac:dyDescent="0.25"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</row>
    <row r="173" spans="2:155" x14ac:dyDescent="0.25">
      <c r="B173" s="106"/>
      <c r="C173" s="233" t="s">
        <v>111</v>
      </c>
      <c r="D173" s="233"/>
      <c r="E173" s="233"/>
      <c r="F173" s="233"/>
      <c r="G173" s="233"/>
      <c r="H173" s="233"/>
      <c r="I173" s="233"/>
      <c r="J173" s="233"/>
      <c r="K173" s="233"/>
      <c r="L173" s="233"/>
      <c r="M173" s="233"/>
      <c r="N173" s="233"/>
      <c r="O173" s="233"/>
      <c r="P173" s="233"/>
      <c r="Q173" s="233"/>
      <c r="R173" s="78"/>
      <c r="S173" s="78"/>
      <c r="T173" s="78"/>
      <c r="U173" s="78"/>
      <c r="V173" s="78"/>
      <c r="W173" s="78"/>
      <c r="X173" s="78"/>
      <c r="Y173" s="249" t="s">
        <v>203</v>
      </c>
      <c r="Z173" s="249"/>
      <c r="AA173" s="249"/>
      <c r="AB173" s="249"/>
      <c r="AC173" s="249"/>
      <c r="AD173" s="249"/>
      <c r="AE173" s="249"/>
      <c r="AF173" s="249"/>
      <c r="AG173" s="249"/>
      <c r="AH173" s="249"/>
      <c r="AI173" s="249"/>
      <c r="AJ173" s="249"/>
      <c r="AK173" s="249"/>
      <c r="AL173" s="249"/>
      <c r="AM173" s="249"/>
      <c r="AN173" s="249"/>
      <c r="AO173" s="249"/>
      <c r="AV173" s="233" t="s">
        <v>233</v>
      </c>
      <c r="AW173" s="233"/>
      <c r="AX173" s="233"/>
      <c r="AY173" s="233"/>
      <c r="AZ173" s="233"/>
      <c r="BA173" s="233"/>
      <c r="BB173" s="233"/>
      <c r="BC173" s="233"/>
      <c r="BD173" s="233"/>
      <c r="BE173" s="233"/>
      <c r="BF173" s="233"/>
      <c r="BG173" s="233"/>
      <c r="BH173" s="233"/>
      <c r="BI173" s="233"/>
      <c r="BT173" s="233" t="s">
        <v>255</v>
      </c>
      <c r="BU173" s="233"/>
      <c r="BV173" s="233"/>
      <c r="BW173" s="233"/>
      <c r="BX173" s="233"/>
      <c r="BY173" s="233"/>
      <c r="BZ173" s="233"/>
      <c r="CA173" s="233"/>
      <c r="CB173" s="233"/>
      <c r="CC173" s="233"/>
      <c r="CD173" s="233"/>
      <c r="CE173" s="233"/>
      <c r="CF173" s="233"/>
      <c r="CG173" s="106"/>
      <c r="CH173" s="106"/>
      <c r="CI173" s="106"/>
      <c r="CJ173" s="106"/>
      <c r="CP173" t="s">
        <v>279</v>
      </c>
      <c r="DN173" t="s">
        <v>305</v>
      </c>
      <c r="EK173" t="s">
        <v>317</v>
      </c>
    </row>
    <row r="174" spans="2:155" ht="45" x14ac:dyDescent="0.25">
      <c r="B174" s="106"/>
      <c r="C174" s="106" t="s">
        <v>542</v>
      </c>
      <c r="D174" s="106" t="s">
        <v>102</v>
      </c>
      <c r="E174" s="106" t="s">
        <v>905</v>
      </c>
      <c r="F174" s="106" t="s">
        <v>906</v>
      </c>
      <c r="G174" s="106" t="s">
        <v>384</v>
      </c>
      <c r="H174" s="107" t="s">
        <v>440</v>
      </c>
      <c r="I174" s="107" t="s">
        <v>106</v>
      </c>
      <c r="J174" s="107" t="s">
        <v>107</v>
      </c>
      <c r="K174" s="107" t="s">
        <v>379</v>
      </c>
      <c r="L174" s="107" t="s">
        <v>385</v>
      </c>
      <c r="M174" s="107" t="s">
        <v>387</v>
      </c>
      <c r="N174" s="107" t="s">
        <v>388</v>
      </c>
      <c r="O174" s="107" t="s">
        <v>386</v>
      </c>
      <c r="P174" s="78" t="s">
        <v>907</v>
      </c>
      <c r="Q174" s="107" t="s">
        <v>908</v>
      </c>
      <c r="R174" s="78"/>
      <c r="S174" s="78"/>
      <c r="T174" s="78"/>
      <c r="U174" s="78"/>
      <c r="V174" s="78"/>
      <c r="W174" s="78" t="s">
        <v>544</v>
      </c>
      <c r="X174" s="78" t="s">
        <v>545</v>
      </c>
      <c r="Y174" s="78" t="s">
        <v>542</v>
      </c>
      <c r="Z174" s="78" t="s">
        <v>102</v>
      </c>
      <c r="AA174" s="106" t="s">
        <v>905</v>
      </c>
      <c r="AB174" s="106" t="s">
        <v>906</v>
      </c>
      <c r="AC174" s="78" t="s">
        <v>384</v>
      </c>
      <c r="AD174" s="78" t="s">
        <v>440</v>
      </c>
      <c r="AE174" s="78" t="s">
        <v>106</v>
      </c>
      <c r="AF174" s="78" t="s">
        <v>107</v>
      </c>
      <c r="AG174" s="78" t="s">
        <v>379</v>
      </c>
      <c r="AH174" s="78" t="s">
        <v>385</v>
      </c>
      <c r="AI174" s="78" t="s">
        <v>550</v>
      </c>
      <c r="AJ174" s="78" t="s">
        <v>551</v>
      </c>
      <c r="AK174" s="78" t="s">
        <v>387</v>
      </c>
      <c r="AL174" t="s">
        <v>388</v>
      </c>
      <c r="AM174" t="s">
        <v>386</v>
      </c>
      <c r="AN174" s="78" t="s">
        <v>907</v>
      </c>
      <c r="AO174" s="107" t="s">
        <v>908</v>
      </c>
      <c r="AU174" t="s">
        <v>544</v>
      </c>
      <c r="AV174" t="s">
        <v>545</v>
      </c>
      <c r="AW174" t="s">
        <v>542</v>
      </c>
      <c r="AX174" t="s">
        <v>102</v>
      </c>
      <c r="AY174" s="106" t="s">
        <v>905</v>
      </c>
      <c r="AZ174" s="106" t="s">
        <v>906</v>
      </c>
      <c r="BA174" t="s">
        <v>384</v>
      </c>
      <c r="BB174" t="s">
        <v>440</v>
      </c>
      <c r="BC174" t="s">
        <v>106</v>
      </c>
      <c r="BD174" t="s">
        <v>107</v>
      </c>
      <c r="BE174" t="s">
        <v>379</v>
      </c>
      <c r="BF174" t="s">
        <v>385</v>
      </c>
      <c r="BG174" t="s">
        <v>387</v>
      </c>
      <c r="BH174" t="s">
        <v>388</v>
      </c>
      <c r="BI174" t="s">
        <v>386</v>
      </c>
      <c r="BJ174" s="78" t="s">
        <v>907</v>
      </c>
      <c r="BK174" s="107" t="s">
        <v>908</v>
      </c>
      <c r="BR174" t="s">
        <v>544</v>
      </c>
      <c r="BS174" t="s">
        <v>545</v>
      </c>
      <c r="BT174" t="s">
        <v>542</v>
      </c>
      <c r="BU174" t="s">
        <v>102</v>
      </c>
      <c r="BV174" s="106" t="s">
        <v>905</v>
      </c>
      <c r="BW174" s="106" t="s">
        <v>906</v>
      </c>
      <c r="BX174" t="s">
        <v>384</v>
      </c>
      <c r="BY174" t="s">
        <v>440</v>
      </c>
      <c r="BZ174" t="s">
        <v>106</v>
      </c>
      <c r="CA174" t="s">
        <v>107</v>
      </c>
      <c r="CB174" t="s">
        <v>379</v>
      </c>
      <c r="CC174" t="s">
        <v>385</v>
      </c>
      <c r="CD174" t="s">
        <v>387</v>
      </c>
      <c r="CE174" t="s">
        <v>388</v>
      </c>
      <c r="CF174" t="s">
        <v>386</v>
      </c>
      <c r="CG174" s="78" t="s">
        <v>907</v>
      </c>
      <c r="CH174" s="107" t="s">
        <v>908</v>
      </c>
      <c r="CN174" t="s">
        <v>544</v>
      </c>
      <c r="CO174" t="s">
        <v>545</v>
      </c>
      <c r="CP174" t="s">
        <v>542</v>
      </c>
      <c r="CQ174" t="s">
        <v>102</v>
      </c>
      <c r="CR174" s="106" t="s">
        <v>905</v>
      </c>
      <c r="CS174" s="106" t="s">
        <v>906</v>
      </c>
      <c r="CT174" t="s">
        <v>384</v>
      </c>
      <c r="CU174" t="s">
        <v>440</v>
      </c>
      <c r="CV174" t="s">
        <v>106</v>
      </c>
      <c r="CW174" t="s">
        <v>107</v>
      </c>
      <c r="CX174" t="s">
        <v>379</v>
      </c>
      <c r="CY174" t="s">
        <v>385</v>
      </c>
      <c r="CZ174" t="s">
        <v>387</v>
      </c>
      <c r="DA174" t="s">
        <v>388</v>
      </c>
      <c r="DB174" t="s">
        <v>386</v>
      </c>
      <c r="DC174" s="78" t="s">
        <v>907</v>
      </c>
      <c r="DD174" s="107" t="s">
        <v>908</v>
      </c>
      <c r="DL174" t="s">
        <v>544</v>
      </c>
      <c r="DM174" t="s">
        <v>545</v>
      </c>
      <c r="DN174" t="s">
        <v>542</v>
      </c>
      <c r="DO174" t="s">
        <v>102</v>
      </c>
      <c r="DP174" s="106" t="s">
        <v>905</v>
      </c>
      <c r="DQ174" s="106" t="s">
        <v>906</v>
      </c>
      <c r="DR174" t="s">
        <v>384</v>
      </c>
      <c r="DS174" t="s">
        <v>440</v>
      </c>
      <c r="DT174" t="s">
        <v>106</v>
      </c>
      <c r="DU174" t="s">
        <v>107</v>
      </c>
      <c r="DV174" t="s">
        <v>379</v>
      </c>
      <c r="DW174" t="s">
        <v>385</v>
      </c>
      <c r="DX174" t="s">
        <v>387</v>
      </c>
      <c r="DY174" t="s">
        <v>388</v>
      </c>
      <c r="DZ174" t="s">
        <v>386</v>
      </c>
      <c r="EA174" s="78" t="s">
        <v>907</v>
      </c>
      <c r="EB174" s="107" t="s">
        <v>908</v>
      </c>
      <c r="EC174" s="107"/>
      <c r="ED174" s="107"/>
      <c r="EE174" s="107"/>
      <c r="EF174" s="107"/>
      <c r="EG174" s="107"/>
      <c r="EI174" t="s">
        <v>544</v>
      </c>
      <c r="EJ174" t="s">
        <v>545</v>
      </c>
      <c r="EK174" t="s">
        <v>542</v>
      </c>
      <c r="EL174" t="s">
        <v>102</v>
      </c>
      <c r="EM174" s="106" t="s">
        <v>905</v>
      </c>
      <c r="EN174" s="106" t="s">
        <v>906</v>
      </c>
      <c r="EO174" t="s">
        <v>384</v>
      </c>
      <c r="EP174" t="s">
        <v>440</v>
      </c>
      <c r="EQ174" t="s">
        <v>106</v>
      </c>
      <c r="ER174" t="s">
        <v>107</v>
      </c>
      <c r="ES174" t="s">
        <v>379</v>
      </c>
      <c r="ET174" t="s">
        <v>385</v>
      </c>
      <c r="EU174" t="s">
        <v>387</v>
      </c>
      <c r="EV174" t="s">
        <v>388</v>
      </c>
      <c r="EW174" t="s">
        <v>386</v>
      </c>
      <c r="EX174" s="78" t="s">
        <v>907</v>
      </c>
      <c r="EY174" s="107" t="s">
        <v>908</v>
      </c>
    </row>
    <row r="175" spans="2:155" x14ac:dyDescent="0.25">
      <c r="B175" s="106">
        <v>1</v>
      </c>
      <c r="C175" s="106" t="s">
        <v>539</v>
      </c>
      <c r="D175" s="106" t="s">
        <v>884</v>
      </c>
      <c r="E175" s="106" t="str">
        <f>INDEX(Pipes_result_save_V1!$G$2:$G$206,MATCH(D175,Pipes_result_save_V1!$I$2:$I$206,0))</f>
        <v>N165</v>
      </c>
      <c r="F175" s="106" t="str">
        <f>INDEX(Pipes_result_save_V1!$H$2:$H$206,MATCH(D175,Pipes_result_save_V1!$I$2:$I$206,0))</f>
        <v>N84</v>
      </c>
      <c r="G175" s="106">
        <f>ABS(Q93)</f>
        <v>6.8798556509843201E-3</v>
      </c>
      <c r="H175" s="107">
        <v>350</v>
      </c>
      <c r="I175" s="107">
        <v>150</v>
      </c>
      <c r="J175" s="107">
        <v>96</v>
      </c>
      <c r="K175" s="107">
        <v>15.904695680187142</v>
      </c>
      <c r="L175" s="107">
        <v>9.6000000000000002E-2</v>
      </c>
      <c r="M175" s="107">
        <v>0.20734410255996347</v>
      </c>
      <c r="N175" s="107">
        <v>4.0000133118859607</v>
      </c>
      <c r="O175" s="107">
        <f>INDEX(Pipes_result_save_V1!$K$2:$K$206,MATCH(D175,Pipes_result_save_V1!$I$2:$I$206,0)) *POWER(10,-3)</f>
        <v>-2.7296918869018551E-2</v>
      </c>
      <c r="P175" s="78">
        <v>6.4431228208937999E-3</v>
      </c>
      <c r="Q175" s="78">
        <v>-2.0853796048124752E-2</v>
      </c>
      <c r="R175" s="78"/>
      <c r="S175" s="78"/>
      <c r="T175" s="78"/>
      <c r="U175" s="78"/>
      <c r="V175" s="78"/>
      <c r="W175" s="78">
        <v>0</v>
      </c>
      <c r="X175" s="78">
        <v>1</v>
      </c>
      <c r="Y175" s="78" t="s">
        <v>539</v>
      </c>
      <c r="Z175" s="78" t="s">
        <v>184</v>
      </c>
      <c r="AA175" s="106" t="str">
        <f>INDEX(Pipes_result_save_V1!$G$2:$G$206,MATCH(Z175,Pipes_result_save_V1!$I$2:$I$206,0))</f>
        <v>N82</v>
      </c>
      <c r="AB175" s="106" t="str">
        <f>INDEX(Pipes_result_save_V1!$H$2:$H$206,MATCH(Z175,Pipes_result_save_V1!$I$2:$I$206,0))</f>
        <v>N81</v>
      </c>
      <c r="AC175" s="106">
        <f>ABS(AO93)</f>
        <v>4.8867927851345354E-2</v>
      </c>
      <c r="AD175" s="78">
        <v>350</v>
      </c>
      <c r="AE175" s="78">
        <v>150</v>
      </c>
      <c r="AF175" s="78">
        <v>68</v>
      </c>
      <c r="AG175" s="78">
        <v>11.265826106799226</v>
      </c>
      <c r="AH175" s="78">
        <v>9.0894000000000003E-2</v>
      </c>
      <c r="AI175" s="78">
        <v>0</v>
      </c>
      <c r="AJ175" s="78">
        <v>0</v>
      </c>
      <c r="AK175" s="78">
        <v>0.13273035727434446</v>
      </c>
      <c r="AL175">
        <v>2.7044317740674404</v>
      </c>
      <c r="AM175" s="107">
        <f>INDEX(Pipes_result_save_V1!$K$2:$K$206,MATCH(Z175,Pipes_result_save_V1!$I$2:$I$206,0)) *POWER(10,-3)</f>
        <v>-5.1448749542236327E-2</v>
      </c>
      <c r="AN175" s="78">
        <v>-1.7548399279513731E-3</v>
      </c>
      <c r="AO175" s="78">
        <v>-5.3203589470187704E-2</v>
      </c>
      <c r="AU175">
        <v>0</v>
      </c>
      <c r="AV175">
        <v>1</v>
      </c>
      <c r="AW175" t="s">
        <v>539</v>
      </c>
      <c r="AX175" t="s">
        <v>421</v>
      </c>
      <c r="AY175" s="106" t="str">
        <f>INDEX(Pipes_result_save_V1!$G$2:$G$206,MATCH(AX175,Pipes_result_save_V1!$I$2:$I$206,0))</f>
        <v>N42</v>
      </c>
      <c r="AZ175" s="106" t="str">
        <f>INDEX(Pipes_result_save_V1!$H$2:$H$206,MATCH(AX175,Pipes_result_save_V1!$I$2:$I$206,0))</f>
        <v>N72</v>
      </c>
      <c r="BA175" s="106">
        <f>ABS(BK93)</f>
        <v>5.6735599202133863E-2</v>
      </c>
      <c r="BB175">
        <v>250</v>
      </c>
      <c r="BC175">
        <v>150</v>
      </c>
      <c r="BD175">
        <v>42</v>
      </c>
      <c r="BE175">
        <v>35.833817943811347</v>
      </c>
      <c r="BF175">
        <v>3.2835999999999997E-2</v>
      </c>
      <c r="BG175">
        <v>6.405805386727606E-2</v>
      </c>
      <c r="BH175">
        <v>3.6129710001886743</v>
      </c>
      <c r="BI175" s="107">
        <f>INDEX(Pipes_result_save_V1!$K$2:$K$206,MATCH(AX175,Pipes_result_save_V1!$I$2:$I$206,0)) *POWER(10,-3)</f>
        <v>6.4305412292480477E-2</v>
      </c>
      <c r="BJ175" s="78">
        <v>5.753361051944573E-3</v>
      </c>
      <c r="BK175" s="78">
        <v>5.8552051240535904E-2</v>
      </c>
      <c r="BR175">
        <v>0</v>
      </c>
      <c r="BS175">
        <v>1</v>
      </c>
      <c r="BT175" t="s">
        <v>539</v>
      </c>
      <c r="BU175" t="s">
        <v>414</v>
      </c>
      <c r="BV175" s="106" t="str">
        <f>INDEX(Pipes_result_save_V1!$G$2:$G$206,MATCH(BU175,Pipes_result_save_V1!$I$2:$I$206,0))</f>
        <v>N52</v>
      </c>
      <c r="BW175" s="106" t="str">
        <f>INDEX(Pipes_result_save_V1!$H$2:$H$206,MATCH(BU175,Pipes_result_save_V1!$I$2:$I$206,0))</f>
        <v>N42</v>
      </c>
      <c r="BX175" s="106">
        <f>ABS(CH93)</f>
        <v>2.2741781986659902E-2</v>
      </c>
      <c r="BY175">
        <v>250</v>
      </c>
      <c r="BZ175">
        <v>150</v>
      </c>
      <c r="CA175">
        <v>223</v>
      </c>
      <c r="CB175">
        <v>190.26050955880785</v>
      </c>
      <c r="CC175">
        <v>3.2835999999999997E-2</v>
      </c>
      <c r="CD175">
        <v>0.34011776220006096</v>
      </c>
      <c r="CE175">
        <v>19.183155548620817</v>
      </c>
      <c r="CF175" s="107">
        <f>INDEX(Pipes_result_save_V1!$K$2:$K$206,MATCH(BU175,Pipes_result_save_V1!$I$2:$I$206,0)) *POWER(10,-3)</f>
        <v>-3.351390075683594E-2</v>
      </c>
      <c r="CG175" s="78">
        <v>6.0903187807181871E-3</v>
      </c>
      <c r="CH175" s="78">
        <v>-2.7423581976117752E-2</v>
      </c>
      <c r="CN175">
        <v>0</v>
      </c>
      <c r="CO175">
        <v>1</v>
      </c>
      <c r="CP175" t="s">
        <v>540</v>
      </c>
      <c r="CQ175" t="s">
        <v>404</v>
      </c>
      <c r="CR175" s="106" t="str">
        <f>INDEX(Pipes_result_save_V1!$G$2:$G$206,MATCH(CQ175,Pipes_result_save_V1!$I$2:$I$206,0))</f>
        <v>N31</v>
      </c>
      <c r="CS175" s="106" t="str">
        <f>INDEX(Pipes_result_save_V1!$H$2:$H$206,MATCH(CQ175,Pipes_result_save_V1!$I$2:$I$206,0))</f>
        <v>N17</v>
      </c>
      <c r="CT175" s="106">
        <f>ABS(DD93)</f>
        <v>6.215237791480905E-2</v>
      </c>
      <c r="CU175">
        <v>466</v>
      </c>
      <c r="CV175">
        <v>150</v>
      </c>
      <c r="CW175">
        <v>211</v>
      </c>
      <c r="CX175">
        <v>8.6693039509464178</v>
      </c>
      <c r="CY175">
        <v>-0.16656000000000001</v>
      </c>
      <c r="CZ175">
        <v>-0.31356904893752557</v>
      </c>
      <c r="DA175">
        <v>3.4866107026434761</v>
      </c>
      <c r="DB175" s="107">
        <f>INDEX(Pipes_result_save_V1!$K$2:$K$206,MATCH(CQ175,Pipes_result_save_V1!$I$2:$I$206,0)) *POWER(10,-3)</f>
        <v>7.1654319763183594E-2</v>
      </c>
      <c r="DC175" s="78">
        <v>6.2765342189460916E-3</v>
      </c>
      <c r="DD175" s="78">
        <v>6.5377785544237496E-2</v>
      </c>
      <c r="DL175">
        <v>0</v>
      </c>
      <c r="DM175">
        <v>1</v>
      </c>
      <c r="DN175" t="s">
        <v>539</v>
      </c>
      <c r="DO175" t="s">
        <v>399</v>
      </c>
      <c r="DP175" s="106" t="str">
        <f>INDEX(Pipes_result_save_V1!$G$2:$G$206,MATCH(DO175,Pipes_result_save_V1!$I$2:$I$206,0))</f>
        <v>N18</v>
      </c>
      <c r="DQ175" s="106" t="str">
        <f>INDEX(Pipes_result_save_V1!$H$2:$H$206,MATCH(DO175,Pipes_result_save_V1!$I$2:$I$206,0))</f>
        <v>N3</v>
      </c>
      <c r="DR175" s="106">
        <f>ABS(EB93)</f>
        <v>0.19754158485380593</v>
      </c>
      <c r="DS175">
        <v>466</v>
      </c>
      <c r="DT175">
        <v>150</v>
      </c>
      <c r="DU175">
        <v>93</v>
      </c>
      <c r="DV175">
        <v>3.821067618189653</v>
      </c>
      <c r="DW175">
        <v>0.16656000000000001</v>
      </c>
      <c r="DX175">
        <v>0.13820815901037856</v>
      </c>
      <c r="DY175">
        <v>1.5367525845774561</v>
      </c>
      <c r="DZ175" s="107">
        <f>INDEX(Pipes_result_save_V1!$K$2:$K$206,MATCH(DO175,Pipes_result_save_V1!$I$2:$I$206,0)) *POWER(10,-3)</f>
        <v>-0.20916310119628909</v>
      </c>
      <c r="EA175" s="78">
        <v>5.5779905744318134E-3</v>
      </c>
      <c r="EB175" s="78">
        <v>-0.20358511062185727</v>
      </c>
      <c r="EI175">
        <v>0</v>
      </c>
      <c r="EJ175">
        <v>1</v>
      </c>
      <c r="EK175" t="s">
        <v>539</v>
      </c>
      <c r="EL175" t="s">
        <v>405</v>
      </c>
      <c r="EM175" s="106" t="str">
        <f>INDEX(Pipes_result_save_V1!$G$2:$G$206,MATCH(EL175,Pipes_result_save_V1!$I$2:$I$206,0))</f>
        <v>R3</v>
      </c>
      <c r="EN175" s="106" t="str">
        <f>INDEX(Pipes_result_save_V1!$H$2:$H$206,MATCH(EL175,Pipes_result_save_V1!$I$2:$I$206,0))</f>
        <v>N1</v>
      </c>
      <c r="EO175" s="106">
        <f>ABS(EY93)</f>
        <v>0.32198880906494448</v>
      </c>
      <c r="EP175">
        <v>700</v>
      </c>
      <c r="EQ175">
        <v>150</v>
      </c>
      <c r="ER175">
        <v>47</v>
      </c>
      <c r="ES175">
        <v>0.26609387608691482</v>
      </c>
      <c r="ET175">
        <v>0.33212000000000003</v>
      </c>
      <c r="EU175">
        <v>3.4552006595457756E-2</v>
      </c>
      <c r="EV175">
        <v>0.19267227572801324</v>
      </c>
      <c r="EW175" s="107">
        <f>INDEX(Pipes_result_save_V1!$K$2:$K$206,MATCH(EL175,Pipes_result_save_V1!$I$2:$I$206,0)) *POWER(10,-3)</f>
        <v>0.3321200561523438</v>
      </c>
      <c r="EX175" s="78">
        <v>5.1620385675249583E-3</v>
      </c>
      <c r="EY175" s="78">
        <v>0.32695801758481885</v>
      </c>
    </row>
    <row r="176" spans="2:155" x14ac:dyDescent="0.25">
      <c r="B176" s="106">
        <v>2</v>
      </c>
      <c r="C176" s="106" t="s">
        <v>539</v>
      </c>
      <c r="D176" s="106" t="s">
        <v>201</v>
      </c>
      <c r="E176" s="106" t="str">
        <f>INDEX(Pipes_result_save_V1!$G$2:$G$206,MATCH(D176,Pipes_result_save_V1!$I$2:$I$206,0))</f>
        <v>N84</v>
      </c>
      <c r="F176" s="106" t="str">
        <f>INDEX(Pipes_result_save_V1!$H$2:$H$206,MATCH(D176,Pipes_result_save_V1!$I$2:$I$206,0))</f>
        <v>N85</v>
      </c>
      <c r="G176" s="106">
        <f t="shared" ref="G176:G239" si="29">ABS(Q94)</f>
        <v>1.7462118491325014E-3</v>
      </c>
      <c r="H176" s="107">
        <v>350</v>
      </c>
      <c r="I176" s="107">
        <v>150</v>
      </c>
      <c r="J176" s="107">
        <v>95</v>
      </c>
      <c r="K176" s="107">
        <v>15.739021766851859</v>
      </c>
      <c r="L176" s="107">
        <v>9.5000000000000001E-2</v>
      </c>
      <c r="M176" s="107">
        <v>0.2012434958680151</v>
      </c>
      <c r="N176" s="107">
        <v>3.9231889931322512</v>
      </c>
      <c r="O176" s="107">
        <f>INDEX(Pipes_result_save_V1!$K$2:$K$206,MATCH(D176,Pipes_result_save_V1!$I$2:$I$206,0)) *POWER(10,-3)</f>
        <v>2.0083776473999022E-2</v>
      </c>
      <c r="P176" s="78">
        <v>5.1523291787287252E-3</v>
      </c>
      <c r="Q176" s="78">
        <v>1.4931447295270297E-2</v>
      </c>
      <c r="R176" s="78"/>
      <c r="S176" s="78"/>
      <c r="T176" s="78"/>
      <c r="U176" s="78"/>
      <c r="V176" s="78"/>
      <c r="W176" s="78">
        <v>0</v>
      </c>
      <c r="X176" s="78">
        <v>2</v>
      </c>
      <c r="Y176" s="78" t="s">
        <v>539</v>
      </c>
      <c r="Z176" s="78" t="s">
        <v>422</v>
      </c>
      <c r="AA176" s="106" t="str">
        <f>INDEX(Pipes_result_save_V1!$G$2:$G$206,MATCH(Z176,Pipes_result_save_V1!$I$2:$I$206,0))</f>
        <v>N81</v>
      </c>
      <c r="AB176" s="106" t="str">
        <f>INDEX(Pipes_result_save_V1!$H$2:$H$206,MATCH(Z176,Pipes_result_save_V1!$I$2:$I$206,0))</f>
        <v>N135</v>
      </c>
      <c r="AC176" s="106">
        <f t="shared" ref="AC176:AC239" si="30">ABS(AO94)</f>
        <v>4.917242186266782E-4</v>
      </c>
      <c r="AD176" s="78">
        <v>300</v>
      </c>
      <c r="AE176" s="78">
        <v>150</v>
      </c>
      <c r="AF176" s="78">
        <v>88</v>
      </c>
      <c r="AG176" s="78">
        <v>30.891188328490372</v>
      </c>
      <c r="AH176" s="78">
        <v>5.8057999999999998E-2</v>
      </c>
      <c r="AI176" s="78">
        <v>0</v>
      </c>
      <c r="AJ176" s="78">
        <v>0</v>
      </c>
      <c r="AK176" s="78">
        <v>0.15867451177943664</v>
      </c>
      <c r="AL176">
        <v>5.061579727436647</v>
      </c>
      <c r="AM176" s="107">
        <f>INDEX(Pipes_result_save_V1!$K$2:$K$206,MATCH(Z176,Pipes_result_save_V1!$I$2:$I$206,0)) *POWER(10,-3)</f>
        <v>2.2272217273712159E-3</v>
      </c>
      <c r="AN176" s="78">
        <v>3.9753378517913395E-3</v>
      </c>
      <c r="AO176" s="78">
        <v>-1.7481161244201236E-3</v>
      </c>
      <c r="AU176">
        <v>0</v>
      </c>
      <c r="AV176">
        <v>2</v>
      </c>
      <c r="AW176" t="s">
        <v>540</v>
      </c>
      <c r="AX176" t="s">
        <v>413</v>
      </c>
      <c r="AY176" s="106" t="str">
        <f>INDEX(Pipes_result_save_V1!$G$2:$G$206,MATCH(AX176,Pipes_result_save_V1!$I$2:$I$206,0))</f>
        <v>N111</v>
      </c>
      <c r="AZ176" s="106" t="str">
        <f>INDEX(Pipes_result_save_V1!$H$2:$H$206,MATCH(AX176,Pipes_result_save_V1!$I$2:$I$206,0))</f>
        <v>N42</v>
      </c>
      <c r="BA176" s="106">
        <f t="shared" ref="BA176:BA211" si="31">ABS(BK94)</f>
        <v>4.6747573447283256E-4</v>
      </c>
      <c r="BB176">
        <v>250</v>
      </c>
      <c r="BC176">
        <v>150</v>
      </c>
      <c r="BD176">
        <v>42</v>
      </c>
      <c r="BE176">
        <v>35.833817943811347</v>
      </c>
      <c r="BF176">
        <v>-3.2835999999999997E-2</v>
      </c>
      <c r="BG176">
        <v>-6.405805386727606E-2</v>
      </c>
      <c r="BH176">
        <v>3.6129710001886743</v>
      </c>
      <c r="BI176" s="107">
        <f>INDEX(Pipes_result_save_V1!$K$2:$K$206,MATCH(AX176,Pipes_result_save_V1!$I$2:$I$206,0)) *POWER(10,-3)</f>
        <v>-8.0635652542114262E-3</v>
      </c>
      <c r="BJ176" s="78">
        <v>5.8404372619920604E-3</v>
      </c>
      <c r="BK176" s="78">
        <v>-2.2231279922193658E-3</v>
      </c>
      <c r="BR176">
        <v>1</v>
      </c>
      <c r="BS176">
        <v>2</v>
      </c>
      <c r="BT176" t="s">
        <v>540</v>
      </c>
      <c r="BU176" t="s">
        <v>421</v>
      </c>
      <c r="BV176" s="106" t="str">
        <f>INDEX(Pipes_result_save_V1!$G$2:$G$206,MATCH(BU176,Pipes_result_save_V1!$I$2:$I$206,0))</f>
        <v>N42</v>
      </c>
      <c r="BW176" s="106" t="str">
        <f>INDEX(Pipes_result_save_V1!$H$2:$H$206,MATCH(BU176,Pipes_result_save_V1!$I$2:$I$206,0))</f>
        <v>N72</v>
      </c>
      <c r="BX176" s="106">
        <f t="shared" ref="BX176:BX226" si="32">ABS(CH94)</f>
        <v>5.4949539441340123E-2</v>
      </c>
      <c r="BY176">
        <v>250</v>
      </c>
      <c r="BZ176">
        <v>150</v>
      </c>
      <c r="CA176">
        <v>91</v>
      </c>
      <c r="CB176">
        <v>77.639938878257922</v>
      </c>
      <c r="CC176">
        <v>3.8249255700015396E-2</v>
      </c>
      <c r="CD176">
        <v>0.18412084510295368</v>
      </c>
      <c r="CE176">
        <v>8.9149919100395199</v>
      </c>
      <c r="CF176" s="107">
        <f>INDEX(Pipes_result_save_V1!$K$2:$K$206,MATCH(BU176,Pipes_result_save_V1!$I$2:$I$206,0)) *POWER(10,-3)</f>
        <v>6.4305412292480477E-2</v>
      </c>
      <c r="CG176" s="78">
        <v>5.0228789967472947E-3</v>
      </c>
      <c r="CH176" s="78">
        <v>5.9282533295733179E-2</v>
      </c>
      <c r="CN176">
        <v>0</v>
      </c>
      <c r="CO176">
        <v>2</v>
      </c>
      <c r="CP176" t="s">
        <v>539</v>
      </c>
      <c r="CQ176" t="s">
        <v>416</v>
      </c>
      <c r="CR176" s="106" t="str">
        <f>INDEX(Pipes_result_save_V1!$G$2:$G$206,MATCH(CQ176,Pipes_result_save_V1!$I$2:$I$206,0))</f>
        <v>N43</v>
      </c>
      <c r="CS176" s="106" t="str">
        <f>INDEX(Pipes_result_save_V1!$H$2:$H$206,MATCH(CQ176,Pipes_result_save_V1!$I$2:$I$206,0))</f>
        <v>N17</v>
      </c>
      <c r="CT176" s="106">
        <f t="shared" ref="CT176:CT215" si="33">ABS(DD94)</f>
        <v>5.2513130800982709E-2</v>
      </c>
      <c r="CU176">
        <v>466</v>
      </c>
      <c r="CV176">
        <v>150</v>
      </c>
      <c r="CW176">
        <v>232</v>
      </c>
      <c r="CX176">
        <v>9.5321256711827917</v>
      </c>
      <c r="CY176">
        <v>0.16656000000000001</v>
      </c>
      <c r="CZ176">
        <v>0.34477734290761108</v>
      </c>
      <c r="DA176">
        <v>3.8336193507738692</v>
      </c>
      <c r="DB176" s="107">
        <f>INDEX(Pipes_result_save_V1!$K$2:$K$206,MATCH(CQ176,Pipes_result_save_V1!$I$2:$I$206,0)) *POWER(10,-3)</f>
        <v>-6.128554534912109E-2</v>
      </c>
      <c r="DC176" s="78">
        <v>5.6258596043895891E-3</v>
      </c>
      <c r="DD176" s="78">
        <v>-5.5659685744731499E-2</v>
      </c>
      <c r="DL176">
        <v>0</v>
      </c>
      <c r="DM176">
        <v>2</v>
      </c>
      <c r="DN176" t="s">
        <v>540</v>
      </c>
      <c r="DO176" t="s">
        <v>400</v>
      </c>
      <c r="DP176" s="106" t="str">
        <f>INDEX(Pipes_result_save_V1!$G$2:$G$206,MATCH(DO176,Pipes_result_save_V1!$I$2:$I$206,0))</f>
        <v>N3</v>
      </c>
      <c r="DQ176" s="106" t="str">
        <f>INDEX(Pipes_result_save_V1!$H$2:$H$206,MATCH(DO176,Pipes_result_save_V1!$I$2:$I$206,0))</f>
        <v>N4</v>
      </c>
      <c r="DR176" s="106">
        <f t="shared" ref="DR176:DR222" si="34">ABS(EB94)</f>
        <v>0.10732103271874137</v>
      </c>
      <c r="DS176">
        <v>466</v>
      </c>
      <c r="DT176">
        <v>150</v>
      </c>
      <c r="DU176">
        <v>181</v>
      </c>
      <c r="DV176">
        <v>7.4367014934658844</v>
      </c>
      <c r="DW176">
        <v>-0.16656000000000001</v>
      </c>
      <c r="DX176">
        <v>-0.26898577183740346</v>
      </c>
      <c r="DY176">
        <v>2.9908840624571997</v>
      </c>
      <c r="DZ176" s="107">
        <f>INDEX(Pipes_result_save_V1!$K$2:$K$206,MATCH(DO176,Pipes_result_save_V1!$I$2:$I$206,0)) *POWER(10,-3)</f>
        <v>0.11761656188964839</v>
      </c>
      <c r="EA176" s="78">
        <v>5.1155246570994449E-3</v>
      </c>
      <c r="EB176" s="78">
        <v>0.11250103723254895</v>
      </c>
      <c r="EI176">
        <v>0</v>
      </c>
      <c r="EJ176">
        <v>2</v>
      </c>
      <c r="EK176" t="s">
        <v>539</v>
      </c>
      <c r="EL176" t="s">
        <v>406</v>
      </c>
      <c r="EM176" s="106" t="str">
        <f>INDEX(Pipes_result_save_V1!$G$2:$G$206,MATCH(EL176,Pipes_result_save_V1!$I$2:$I$206,0))</f>
        <v>N1</v>
      </c>
      <c r="EN176" s="106" t="str">
        <f>INDEX(Pipes_result_save_V1!$H$2:$H$206,MATCH(EL176,Pipes_result_save_V1!$I$2:$I$206,0))</f>
        <v>N2</v>
      </c>
      <c r="EO176" s="106">
        <f t="shared" ref="EO176:EO207" si="35">ABS(EY94)</f>
        <v>0.32499284472378759</v>
      </c>
      <c r="EP176">
        <v>700</v>
      </c>
      <c r="EQ176">
        <v>150</v>
      </c>
      <c r="ER176">
        <v>117</v>
      </c>
      <c r="ES176">
        <v>0.66240390430146878</v>
      </c>
      <c r="ET176">
        <v>0.33212000000000003</v>
      </c>
      <c r="EU176">
        <v>8.6012441950394827E-2</v>
      </c>
      <c r="EV176">
        <v>0.47963098425909684</v>
      </c>
      <c r="EW176" s="107">
        <f>INDEX(Pipes_result_save_V1!$K$2:$K$206,MATCH(EL176,Pipes_result_save_V1!$I$2:$I$206,0)) *POWER(10,-3)</f>
        <v>0.33091619873046879</v>
      </c>
      <c r="EX176" s="78">
        <v>5.2236693919670936E-3</v>
      </c>
      <c r="EY176" s="78">
        <v>0.32569252933850168</v>
      </c>
    </row>
    <row r="177" spans="2:155" x14ac:dyDescent="0.25">
      <c r="B177" s="106">
        <v>3</v>
      </c>
      <c r="C177" s="106" t="s">
        <v>539</v>
      </c>
      <c r="D177" s="106" t="s">
        <v>199</v>
      </c>
      <c r="E177" s="106" t="str">
        <f>INDEX(Pipes_result_save_V1!$G$2:$G$206,MATCH(D177,Pipes_result_save_V1!$I$2:$I$206,0))</f>
        <v>N85</v>
      </c>
      <c r="F177" s="106" t="str">
        <f>INDEX(Pipes_result_save_V1!$H$2:$H$206,MATCH(D177,Pipes_result_save_V1!$I$2:$I$206,0))</f>
        <v>N86</v>
      </c>
      <c r="G177" s="106">
        <f t="shared" si="29"/>
        <v>1.4378426137193799E-3</v>
      </c>
      <c r="H177" s="107">
        <v>350</v>
      </c>
      <c r="I177" s="107">
        <v>150</v>
      </c>
      <c r="J177" s="107">
        <v>73</v>
      </c>
      <c r="K177" s="107">
        <v>12.094195673475639</v>
      </c>
      <c r="L177" s="107">
        <v>7.2999999999999995E-2</v>
      </c>
      <c r="M177" s="107">
        <v>9.4940371718878883E-2</v>
      </c>
      <c r="N177" s="107">
        <v>2.4086242249775851</v>
      </c>
      <c r="O177" s="107">
        <f>INDEX(Pipes_result_save_V1!$K$2:$K$206,MATCH(D177,Pipes_result_save_V1!$I$2:$I$206,0)) *POWER(10,-3)</f>
        <v>1.9125244140625001E-2</v>
      </c>
      <c r="P177" s="78">
        <v>5.5356757694688587E-3</v>
      </c>
      <c r="Q177" s="78">
        <v>1.3589568371156142E-2</v>
      </c>
      <c r="R177" s="78"/>
      <c r="S177" s="78"/>
      <c r="T177" s="78"/>
      <c r="U177" s="78"/>
      <c r="V177" s="78"/>
      <c r="W177" s="78">
        <v>0</v>
      </c>
      <c r="X177" s="78">
        <v>3</v>
      </c>
      <c r="Y177" s="78" t="s">
        <v>539</v>
      </c>
      <c r="Z177" s="78" t="s">
        <v>200</v>
      </c>
      <c r="AA177" s="106" t="str">
        <f>INDEX(Pipes_result_save_V1!$G$2:$G$206,MATCH(Z177,Pipes_result_save_V1!$I$2:$I$206,0))</f>
        <v>N83</v>
      </c>
      <c r="AB177" s="106" t="str">
        <f>INDEX(Pipes_result_save_V1!$H$2:$H$206,MATCH(Z177,Pipes_result_save_V1!$I$2:$I$206,0))</f>
        <v>N82</v>
      </c>
      <c r="AC177" s="106">
        <f t="shared" si="30"/>
        <v>4.3145188036187693E-2</v>
      </c>
      <c r="AD177" s="78">
        <v>350</v>
      </c>
      <c r="AE177" s="78">
        <v>150</v>
      </c>
      <c r="AF177" s="78">
        <v>152</v>
      </c>
      <c r="AG177" s="78">
        <v>25.182434826962975</v>
      </c>
      <c r="AH177" s="78">
        <v>9.0894000000000003E-2</v>
      </c>
      <c r="AI177" s="78">
        <v>0</v>
      </c>
      <c r="AJ177" s="78">
        <v>0</v>
      </c>
      <c r="AK177" s="78">
        <v>0.29669138684853463</v>
      </c>
      <c r="AL177">
        <v>6.0452004361507479</v>
      </c>
      <c r="AM177" s="107">
        <f>INDEX(Pipes_result_save_V1!$K$2:$K$206,MATCH(Z177,Pipes_result_save_V1!$I$2:$I$206,0)) *POWER(10,-3)</f>
        <v>-5.0193531036376957E-2</v>
      </c>
      <c r="AN177" s="78">
        <v>1.5341845089411276E-3</v>
      </c>
      <c r="AO177" s="78">
        <v>-4.865934652743583E-2</v>
      </c>
      <c r="AU177">
        <v>0</v>
      </c>
      <c r="AV177">
        <v>3</v>
      </c>
      <c r="AW177" t="s">
        <v>539</v>
      </c>
      <c r="AX177" t="s">
        <v>181</v>
      </c>
      <c r="AY177" s="106" t="str">
        <f>INDEX(Pipes_result_save_V1!$G$2:$G$206,MATCH(AX177,Pipes_result_save_V1!$I$2:$I$206,0))</f>
        <v>N72</v>
      </c>
      <c r="AZ177" s="106" t="str">
        <f>INDEX(Pipes_result_save_V1!$H$2:$H$206,MATCH(AX177,Pipes_result_save_V1!$I$2:$I$206,0))</f>
        <v>N73</v>
      </c>
      <c r="BA177" s="106">
        <f t="shared" si="31"/>
        <v>5.7623940551745488E-2</v>
      </c>
      <c r="BB177">
        <v>250</v>
      </c>
      <c r="BC177">
        <v>150</v>
      </c>
      <c r="BD177">
        <v>72</v>
      </c>
      <c r="BE177">
        <v>61.429402189390885</v>
      </c>
      <c r="BF177">
        <v>3.2837000000000005E-2</v>
      </c>
      <c r="BG177">
        <v>0.10982000037454172</v>
      </c>
      <c r="BH177">
        <v>6.19382527921708</v>
      </c>
      <c r="BI177" s="107">
        <f>INDEX(Pipes_result_save_V1!$K$2:$K$206,MATCH(AX177,Pipes_result_save_V1!$I$2:$I$206,0)) *POWER(10,-3)</f>
        <v>6.3329761505126952E-2</v>
      </c>
      <c r="BJ177" s="78">
        <v>5.2013618015163731E-3</v>
      </c>
      <c r="BK177" s="78">
        <v>5.8128399703610577E-2</v>
      </c>
      <c r="BR177">
        <v>0</v>
      </c>
      <c r="BS177">
        <v>3</v>
      </c>
      <c r="BT177" t="s">
        <v>539</v>
      </c>
      <c r="BU177" t="s">
        <v>159</v>
      </c>
      <c r="BV177" s="106" t="str">
        <f>INDEX(Pipes_result_save_V1!$G$2:$G$206,MATCH(BU177,Pipes_result_save_V1!$I$2:$I$206,0))</f>
        <v>N53</v>
      </c>
      <c r="BW177" s="106" t="str">
        <f>INDEX(Pipes_result_save_V1!$H$2:$H$206,MATCH(BU177,Pipes_result_save_V1!$I$2:$I$206,0))</f>
        <v>N52</v>
      </c>
      <c r="BX177" s="106">
        <f t="shared" si="32"/>
        <v>2.4911242884389676E-2</v>
      </c>
      <c r="BY177">
        <v>250</v>
      </c>
      <c r="BZ177">
        <v>150</v>
      </c>
      <c r="CA177">
        <v>94</v>
      </c>
      <c r="CB177">
        <v>80.199497302815871</v>
      </c>
      <c r="CC177">
        <v>3.2837000000000005E-2</v>
      </c>
      <c r="CD177">
        <v>0.14337611160009611</v>
      </c>
      <c r="CE177">
        <v>8.0863830034222985</v>
      </c>
      <c r="CF177" s="107">
        <f>INDEX(Pipes_result_save_V1!$K$2:$K$206,MATCH(BU177,Pipes_result_save_V1!$I$2:$I$206,0)) *POWER(10,-3)</f>
        <v>-3.1705240249633788E-2</v>
      </c>
      <c r="CG177" s="78">
        <v>5.890773312039058E-3</v>
      </c>
      <c r="CH177" s="78">
        <v>-2.5814466937594732E-2</v>
      </c>
      <c r="CN177">
        <v>0</v>
      </c>
      <c r="CO177">
        <v>3</v>
      </c>
      <c r="CP177" t="s">
        <v>540</v>
      </c>
      <c r="CQ177" t="s">
        <v>138</v>
      </c>
      <c r="CR177" s="106" t="str">
        <f>INDEX(Pipes_result_save_V1!$G$2:$G$206,MATCH(CQ177,Pipes_result_save_V1!$I$2:$I$206,0))</f>
        <v>N32</v>
      </c>
      <c r="CS177" s="106" t="str">
        <f>INDEX(Pipes_result_save_V1!$H$2:$H$206,MATCH(CQ177,Pipes_result_save_V1!$I$2:$I$206,0))</f>
        <v>N31</v>
      </c>
      <c r="CT177" s="106">
        <f t="shared" si="33"/>
        <v>0.11228847936711817</v>
      </c>
      <c r="CU177">
        <v>350</v>
      </c>
      <c r="CV177">
        <v>150</v>
      </c>
      <c r="CW177">
        <v>129</v>
      </c>
      <c r="CX177">
        <v>21.371934820251475</v>
      </c>
      <c r="CY177">
        <v>-8.3280000000000007E-2</v>
      </c>
      <c r="CZ177">
        <v>-0.21413381180980889</v>
      </c>
      <c r="DA177">
        <v>4.7619574864525225</v>
      </c>
      <c r="DB177" s="107">
        <f>INDEX(Pipes_result_save_V1!$K$2:$K$206,MATCH(CQ177,Pipes_result_save_V1!$I$2:$I$206,0)) *POWER(10,-3)</f>
        <v>-0.11996421051025391</v>
      </c>
      <c r="DC177" s="78">
        <v>5.6823466040250145E-3</v>
      </c>
      <c r="DD177" s="78">
        <v>-0.11428186390622889</v>
      </c>
      <c r="DL177">
        <v>0</v>
      </c>
      <c r="DM177">
        <v>3</v>
      </c>
      <c r="DN177" t="s">
        <v>540</v>
      </c>
      <c r="DO177" t="s">
        <v>401</v>
      </c>
      <c r="DP177" s="106" t="str">
        <f>INDEX(Pipes_result_save_V1!$G$2:$G$206,MATCH(DO177,Pipes_result_save_V1!$I$2:$I$206,0))</f>
        <v>N4</v>
      </c>
      <c r="DQ177" s="106" t="str">
        <f>INDEX(Pipes_result_save_V1!$H$2:$H$206,MATCH(DO177,Pipes_result_save_V1!$I$2:$I$206,0))</f>
        <v>N5</v>
      </c>
      <c r="DR177" s="106">
        <f t="shared" si="34"/>
        <v>0.10615915992308154</v>
      </c>
      <c r="DS177">
        <v>466</v>
      </c>
      <c r="DT177">
        <v>150</v>
      </c>
      <c r="DU177">
        <v>133</v>
      </c>
      <c r="DV177">
        <v>5.4645375614970311</v>
      </c>
      <c r="DW177">
        <v>-0.16656000000000001</v>
      </c>
      <c r="DX177">
        <v>-0.19765252847720807</v>
      </c>
      <c r="DY177">
        <v>2.1977214381591574</v>
      </c>
      <c r="DZ177" s="107">
        <f>INDEX(Pipes_result_save_V1!$K$2:$K$206,MATCH(DO177,Pipes_result_save_V1!$I$2:$I$206,0)) *POWER(10,-3)</f>
        <v>0.1158250274658203</v>
      </c>
      <c r="EA177" s="78">
        <v>5.0833954696630455E-3</v>
      </c>
      <c r="EB177" s="78">
        <v>0.11074163199615725</v>
      </c>
      <c r="EI177">
        <v>0</v>
      </c>
      <c r="EJ177">
        <v>3</v>
      </c>
      <c r="EK177" t="s">
        <v>539</v>
      </c>
      <c r="EL177" t="s">
        <v>407</v>
      </c>
      <c r="EM177" s="106" t="str">
        <f>INDEX(Pipes_result_save_V1!$G$2:$G$206,MATCH(EL177,Pipes_result_save_V1!$I$2:$I$206,0))</f>
        <v>N2</v>
      </c>
      <c r="EN177" s="106" t="str">
        <f>INDEX(Pipes_result_save_V1!$H$2:$H$206,MATCH(EL177,Pipes_result_save_V1!$I$2:$I$206,0))</f>
        <v>N3</v>
      </c>
      <c r="EO177" s="106">
        <f t="shared" si="35"/>
        <v>0.31882539428588624</v>
      </c>
      <c r="EP177">
        <v>700</v>
      </c>
      <c r="EQ177">
        <v>150</v>
      </c>
      <c r="ER177">
        <v>167</v>
      </c>
      <c r="ES177">
        <v>0.94548249588329314</v>
      </c>
      <c r="ET177">
        <v>0.33212000000000003</v>
      </c>
      <c r="EU177">
        <v>0.1227698957753499</v>
      </c>
      <c r="EV177">
        <v>0.68460149035272788</v>
      </c>
      <c r="EW177" s="107">
        <f>INDEX(Pipes_result_save_V1!$K$2:$K$206,MATCH(EL177,Pipes_result_save_V1!$I$2:$I$206,0)) *POWER(10,-3)</f>
        <v>0.32929580688476562</v>
      </c>
      <c r="EX177" s="78">
        <v>6.474608799300445E-3</v>
      </c>
      <c r="EY177" s="78">
        <v>0.32282119808546517</v>
      </c>
    </row>
    <row r="178" spans="2:155" x14ac:dyDescent="0.25">
      <c r="B178" s="106">
        <v>4</v>
      </c>
      <c r="C178" s="106" t="s">
        <v>539</v>
      </c>
      <c r="D178" s="106" t="s">
        <v>198</v>
      </c>
      <c r="E178" s="106" t="str">
        <f>INDEX(Pipes_result_save_V1!$G$2:$G$206,MATCH(D178,Pipes_result_save_V1!$I$2:$I$206,0))</f>
        <v>N86</v>
      </c>
      <c r="F178" s="106" t="str">
        <f>INDEX(Pipes_result_save_V1!$H$2:$H$206,MATCH(D178,Pipes_result_save_V1!$I$2:$I$206,0))</f>
        <v>N87</v>
      </c>
      <c r="G178" s="106">
        <f t="shared" si="29"/>
        <v>1.7847625033495032E-3</v>
      </c>
      <c r="H178" s="107">
        <v>350</v>
      </c>
      <c r="I178" s="107">
        <v>150</v>
      </c>
      <c r="J178" s="107">
        <v>77</v>
      </c>
      <c r="K178" s="107">
        <v>12.756891326816771</v>
      </c>
      <c r="L178" s="107">
        <v>7.6999999999999999E-2</v>
      </c>
      <c r="M178" s="107">
        <v>0.11054158283193545</v>
      </c>
      <c r="N178" s="107">
        <v>2.6587404078538244</v>
      </c>
      <c r="O178" s="107">
        <f>INDEX(Pipes_result_save_V1!$K$2:$K$206,MATCH(D178,Pipes_result_save_V1!$I$2:$I$206,0)) *POWER(10,-3)</f>
        <v>1.8269411087036131E-2</v>
      </c>
      <c r="P178" s="78">
        <v>6.0150194757186077E-3</v>
      </c>
      <c r="Q178" s="78">
        <v>1.2254391611317524E-2</v>
      </c>
      <c r="R178" s="78"/>
      <c r="S178" s="78"/>
      <c r="T178" s="78"/>
      <c r="U178" s="78"/>
      <c r="V178" s="78"/>
      <c r="W178" s="78">
        <v>0</v>
      </c>
      <c r="X178" s="78">
        <v>4</v>
      </c>
      <c r="Y178" s="78" t="s">
        <v>539</v>
      </c>
      <c r="Z178" s="78" t="s">
        <v>202</v>
      </c>
      <c r="AA178" s="106" t="str">
        <f>INDEX(Pipes_result_save_V1!$G$2:$G$206,MATCH(Z178,Pipes_result_save_V1!$I$2:$I$206,0))</f>
        <v>N84</v>
      </c>
      <c r="AB178" s="106" t="str">
        <f>INDEX(Pipes_result_save_V1!$H$2:$H$206,MATCH(Z178,Pipes_result_save_V1!$I$2:$I$206,0))</f>
        <v>N83</v>
      </c>
      <c r="AC178" s="106">
        <f t="shared" si="30"/>
        <v>4.151187067262798E-2</v>
      </c>
      <c r="AD178" s="78">
        <v>350</v>
      </c>
      <c r="AE178" s="78">
        <v>150</v>
      </c>
      <c r="AF178" s="78">
        <v>75</v>
      </c>
      <c r="AG178" s="78">
        <v>12.425543500146206</v>
      </c>
      <c r="AH178" s="78">
        <v>9.0894000000000003E-2</v>
      </c>
      <c r="AI178" s="78">
        <v>0</v>
      </c>
      <c r="AJ178" s="78">
        <v>0</v>
      </c>
      <c r="AK178" s="78">
        <v>0.14639377640552698</v>
      </c>
      <c r="AL178">
        <v>2.982829162574383</v>
      </c>
      <c r="AM178" s="107">
        <f>INDEX(Pipes_result_save_V1!$K$2:$K$206,MATCH(Z178,Pipes_result_save_V1!$I$2:$I$206,0)) *POWER(10,-3)</f>
        <v>-4.8898372650146481E-2</v>
      </c>
      <c r="AN178" s="78">
        <v>3.6478905222830926E-3</v>
      </c>
      <c r="AO178" s="78">
        <v>-4.5250482127863388E-2</v>
      </c>
      <c r="AU178">
        <v>0</v>
      </c>
      <c r="AV178">
        <v>4</v>
      </c>
      <c r="AW178" t="s">
        <v>539</v>
      </c>
      <c r="AX178" t="s">
        <v>179</v>
      </c>
      <c r="AY178" s="106" t="str">
        <f>INDEX(Pipes_result_save_V1!$G$2:$G$206,MATCH(AX178,Pipes_result_save_V1!$I$2:$I$206,0))</f>
        <v>N73</v>
      </c>
      <c r="AZ178" s="106" t="str">
        <f>INDEX(Pipes_result_save_V1!$H$2:$H$206,MATCH(AX178,Pipes_result_save_V1!$I$2:$I$206,0))</f>
        <v>N74</v>
      </c>
      <c r="BA178" s="106">
        <f t="shared" si="31"/>
        <v>5.5504800847892617E-2</v>
      </c>
      <c r="BB178">
        <v>250</v>
      </c>
      <c r="BC178">
        <v>150</v>
      </c>
      <c r="BD178">
        <v>73</v>
      </c>
      <c r="BE178">
        <v>62.282588330910201</v>
      </c>
      <c r="BF178">
        <v>3.2837000000000005E-2</v>
      </c>
      <c r="BG178">
        <v>0.11134527815752146</v>
      </c>
      <c r="BH178">
        <v>6.2798506303173163</v>
      </c>
      <c r="BI178" s="107">
        <f>INDEX(Pipes_result_save_V1!$K$2:$K$206,MATCH(AX178,Pipes_result_save_V1!$I$2:$I$206,0)) *POWER(10,-3)</f>
        <v>6.2376930236816418E-2</v>
      </c>
      <c r="BJ178" s="78">
        <v>6.030104226897608E-3</v>
      </c>
      <c r="BK178" s="78">
        <v>5.6346826009918811E-2</v>
      </c>
      <c r="BR178">
        <v>0</v>
      </c>
      <c r="BS178">
        <v>4</v>
      </c>
      <c r="BT178" t="s">
        <v>539</v>
      </c>
      <c r="BU178" t="s">
        <v>158</v>
      </c>
      <c r="BV178" s="106" t="str">
        <f>INDEX(Pipes_result_save_V1!$G$2:$G$206,MATCH(BU178,Pipes_result_save_V1!$I$2:$I$206,0))</f>
        <v>N54</v>
      </c>
      <c r="BW178" s="106" t="str">
        <f>INDEX(Pipes_result_save_V1!$H$2:$H$206,MATCH(BU178,Pipes_result_save_V1!$I$2:$I$206,0))</f>
        <v>N53</v>
      </c>
      <c r="BX178" s="106">
        <f t="shared" si="32"/>
        <v>2.1275913102240061E-2</v>
      </c>
      <c r="BY178">
        <v>250</v>
      </c>
      <c r="BZ178">
        <v>150</v>
      </c>
      <c r="CA178">
        <v>191</v>
      </c>
      <c r="CB178">
        <v>162.95855303018971</v>
      </c>
      <c r="CC178">
        <v>3.2837000000000005E-2</v>
      </c>
      <c r="CD178">
        <v>0.29132805654913152</v>
      </c>
      <c r="CE178">
        <v>16.430842060145309</v>
      </c>
      <c r="CF178" s="107">
        <f>INDEX(Pipes_result_save_V1!$K$2:$K$206,MATCH(BU178,Pipes_result_save_V1!$I$2:$I$206,0)) *POWER(10,-3)</f>
        <v>-3.0079156875610351E-2</v>
      </c>
      <c r="CG178" s="78">
        <v>6.1574795089512106E-3</v>
      </c>
      <c r="CH178" s="78">
        <v>-2.3921677366659139E-2</v>
      </c>
      <c r="CN178">
        <v>0</v>
      </c>
      <c r="CO178">
        <v>4</v>
      </c>
      <c r="CP178" t="s">
        <v>540</v>
      </c>
      <c r="CQ178" t="s">
        <v>137</v>
      </c>
      <c r="CR178" s="106" t="str">
        <f>INDEX(Pipes_result_save_V1!$G$2:$G$206,MATCH(CQ178,Pipes_result_save_V1!$I$2:$I$206,0))</f>
        <v>N33</v>
      </c>
      <c r="CS178" s="106" t="str">
        <f>INDEX(Pipes_result_save_V1!$H$2:$H$206,MATCH(CQ178,Pipes_result_save_V1!$I$2:$I$206,0))</f>
        <v>N32</v>
      </c>
      <c r="CT178" s="106">
        <f t="shared" si="33"/>
        <v>0.10757812314520393</v>
      </c>
      <c r="CU178">
        <v>350</v>
      </c>
      <c r="CV178">
        <v>150</v>
      </c>
      <c r="CW178">
        <v>157</v>
      </c>
      <c r="CX178">
        <v>26.01080439363939</v>
      </c>
      <c r="CY178">
        <v>-8.3280000000000007E-2</v>
      </c>
      <c r="CZ178">
        <v>-0.26061246863674414</v>
      </c>
      <c r="DA178">
        <v>5.795560661806558</v>
      </c>
      <c r="DB178" s="107">
        <f>INDEX(Pipes_result_save_V1!$K$2:$K$206,MATCH(CQ178,Pipes_result_save_V1!$I$2:$I$206,0)) *POWER(10,-3)</f>
        <v>-0.1183324203491211</v>
      </c>
      <c r="DC178" s="78">
        <v>6.0996730274598832E-3</v>
      </c>
      <c r="DD178" s="78">
        <v>-0.11223274732166122</v>
      </c>
      <c r="DL178">
        <v>0</v>
      </c>
      <c r="DM178">
        <v>4</v>
      </c>
      <c r="DN178" t="s">
        <v>540</v>
      </c>
      <c r="DO178" t="s">
        <v>403</v>
      </c>
      <c r="DP178" s="106" t="str">
        <f>INDEX(Pipes_result_save_V1!$G$2:$G$206,MATCH(DO178,Pipes_result_save_V1!$I$2:$I$206,0))</f>
        <v>N5</v>
      </c>
      <c r="DQ178" s="106" t="str">
        <f>INDEX(Pipes_result_save_V1!$H$2:$H$206,MATCH(DO178,Pipes_result_save_V1!$I$2:$I$206,0))</f>
        <v>N6</v>
      </c>
      <c r="DR178" s="106">
        <f t="shared" si="34"/>
        <v>0.10868567028196981</v>
      </c>
      <c r="DS178">
        <v>466</v>
      </c>
      <c r="DT178">
        <v>150</v>
      </c>
      <c r="DU178">
        <v>75</v>
      </c>
      <c r="DV178">
        <v>3.0815061437013331</v>
      </c>
      <c r="DW178">
        <v>-0.16656000000000001</v>
      </c>
      <c r="DX178">
        <v>-0.11145819275030529</v>
      </c>
      <c r="DY178">
        <v>1.2393166004656904</v>
      </c>
      <c r="DZ178" s="107">
        <f>INDEX(Pipes_result_save_V1!$K$2:$K$206,MATCH(DO178,Pipes_result_save_V1!$I$2:$I$206,0)) *POWER(10,-3)</f>
        <v>0.1146382675170898</v>
      </c>
      <c r="EA178" s="78">
        <v>5.3390830705729595E-3</v>
      </c>
      <c r="EB178" s="78">
        <v>0.10929918444651684</v>
      </c>
      <c r="EI178">
        <v>1</v>
      </c>
      <c r="EJ178">
        <v>4</v>
      </c>
      <c r="EK178" t="s">
        <v>540</v>
      </c>
      <c r="EL178" t="s">
        <v>399</v>
      </c>
      <c r="EM178" s="106" t="str">
        <f>INDEX(Pipes_result_save_V1!$G$2:$G$206,MATCH(EL178,Pipes_result_save_V1!$I$2:$I$206,0))</f>
        <v>N18</v>
      </c>
      <c r="EN178" s="106" t="str">
        <f>INDEX(Pipes_result_save_V1!$H$2:$H$206,MATCH(EL178,Pipes_result_save_V1!$I$2:$I$206,0))</f>
        <v>N3</v>
      </c>
      <c r="EO178" s="106">
        <f t="shared" si="35"/>
        <v>0.19722380121522018</v>
      </c>
      <c r="EP178">
        <v>466</v>
      </c>
      <c r="EQ178">
        <v>150</v>
      </c>
      <c r="ER178">
        <v>93</v>
      </c>
      <c r="ES178">
        <v>3.821067618189653</v>
      </c>
      <c r="ET178">
        <v>-0.17814435626548825</v>
      </c>
      <c r="EU178">
        <v>-0.15653613023676707</v>
      </c>
      <c r="EV178">
        <v>1.6273595149230984</v>
      </c>
      <c r="EW178" s="107">
        <f>INDEX(Pipes_result_save_V1!$K$2:$K$206,MATCH(EL178,Pipes_result_save_V1!$I$2:$I$206,0)) *POWER(10,-3)</f>
        <v>-0.20916310119628909</v>
      </c>
      <c r="EX178" s="78">
        <v>6.4633791434452279E-3</v>
      </c>
      <c r="EY178" s="78">
        <v>-0.20269972205284387</v>
      </c>
    </row>
    <row r="179" spans="2:155" x14ac:dyDescent="0.25">
      <c r="B179" s="106">
        <v>5</v>
      </c>
      <c r="C179" s="106" t="s">
        <v>539</v>
      </c>
      <c r="D179" s="106" t="s">
        <v>197</v>
      </c>
      <c r="E179" s="106" t="str">
        <f>INDEX(Pipes_result_save_V1!$G$2:$G$206,MATCH(D179,Pipes_result_save_V1!$I$2:$I$206,0))</f>
        <v>N87</v>
      </c>
      <c r="F179" s="106" t="str">
        <f>INDEX(Pipes_result_save_V1!$H$2:$H$206,MATCH(D179,Pipes_result_save_V1!$I$2:$I$206,0))</f>
        <v>N88</v>
      </c>
      <c r="G179" s="106">
        <f t="shared" si="29"/>
        <v>1.3686581628310284E-3</v>
      </c>
      <c r="H179" s="107">
        <v>565</v>
      </c>
      <c r="I179" s="107">
        <v>150</v>
      </c>
      <c r="J179" s="107">
        <v>250</v>
      </c>
      <c r="K179" s="107">
        <v>4.0190332028082514</v>
      </c>
      <c r="L179" s="107">
        <v>0.25</v>
      </c>
      <c r="M179" s="107">
        <v>0.30839440487044523</v>
      </c>
      <c r="N179" s="107">
        <v>2.2845857512802583</v>
      </c>
      <c r="O179" s="107">
        <f>INDEX(Pipes_result_save_V1!$K$2:$K$206,MATCH(D179,Pipes_result_save_V1!$I$2:$I$206,0)) *POWER(10,-3)</f>
        <v>1.6403696060180661E-2</v>
      </c>
      <c r="P179" s="78">
        <v>5.9554526288505532E-3</v>
      </c>
      <c r="Q179" s="78">
        <v>1.0448243431330108E-2</v>
      </c>
      <c r="R179" s="78"/>
      <c r="S179" s="78"/>
      <c r="T179" s="78"/>
      <c r="U179" s="78"/>
      <c r="V179" s="78"/>
      <c r="W179" s="78">
        <v>0</v>
      </c>
      <c r="X179" s="78">
        <v>5</v>
      </c>
      <c r="Y179" s="78" t="s">
        <v>540</v>
      </c>
      <c r="Z179" s="106" t="s">
        <v>884</v>
      </c>
      <c r="AA179" s="106" t="str">
        <f>INDEX(Pipes_result_save_V1!$G$2:$G$206,MATCH(Z179,Pipes_result_save_V1!$I$2:$I$206,0))</f>
        <v>N165</v>
      </c>
      <c r="AB179" s="106" t="str">
        <f>INDEX(Pipes_result_save_V1!$H$2:$H$206,MATCH(Z179,Pipes_result_save_V1!$I$2:$I$206,0))</f>
        <v>N84</v>
      </c>
      <c r="AC179" s="106">
        <f t="shared" si="30"/>
        <v>2.2839220565071285E-2</v>
      </c>
      <c r="AD179" s="78">
        <v>200</v>
      </c>
      <c r="AE179" s="78">
        <v>150</v>
      </c>
      <c r="AF179" s="78">
        <v>96</v>
      </c>
      <c r="AG179" s="78">
        <v>242.86431051954654</v>
      </c>
      <c r="AH179" s="78">
        <v>-2.9028999999999999E-2</v>
      </c>
      <c r="AI179" s="78">
        <v>0</v>
      </c>
      <c r="AJ179" s="78">
        <v>0</v>
      </c>
      <c r="AK179" s="78">
        <v>-0.34556416714209448</v>
      </c>
      <c r="AL179">
        <v>22.046396277762213</v>
      </c>
      <c r="AM179" s="107">
        <f>INDEX(Pipes_result_save_V1!$K$2:$K$206,MATCH(Z179,Pipes_result_save_V1!$I$2:$I$206,0)) *POWER(10,-3)</f>
        <v>-2.7296918869018551E-2</v>
      </c>
      <c r="AN179" s="78">
        <v>1.1755613789145893E-3</v>
      </c>
      <c r="AO179" s="78">
        <v>-2.6121357490103962E-2</v>
      </c>
      <c r="AU179">
        <v>0</v>
      </c>
      <c r="AV179">
        <v>5</v>
      </c>
      <c r="AW179" t="s">
        <v>539</v>
      </c>
      <c r="AX179" t="s">
        <v>180</v>
      </c>
      <c r="AY179" s="106" t="str">
        <f>INDEX(Pipes_result_save_V1!$G$2:$G$206,MATCH(AX179,Pipes_result_save_V1!$I$2:$I$206,0))</f>
        <v>N74</v>
      </c>
      <c r="AZ179" s="106" t="str">
        <f>INDEX(Pipes_result_save_V1!$H$2:$H$206,MATCH(AX179,Pipes_result_save_V1!$I$2:$I$206,0))</f>
        <v>N75</v>
      </c>
      <c r="BA179" s="106">
        <f t="shared" si="31"/>
        <v>5.1887381827727876E-2</v>
      </c>
      <c r="BB179">
        <v>250</v>
      </c>
      <c r="BC179">
        <v>150</v>
      </c>
      <c r="BD179">
        <v>74</v>
      </c>
      <c r="BE179">
        <v>63.135774472429517</v>
      </c>
      <c r="BF179">
        <v>3.2837000000000005E-2</v>
      </c>
      <c r="BG179">
        <v>0.1128705559405012</v>
      </c>
      <c r="BH179">
        <v>6.3658759814175534</v>
      </c>
      <c r="BI179" s="107">
        <f>INDEX(Pipes_result_save_V1!$K$2:$K$206,MATCH(AX179,Pipes_result_save_V1!$I$2:$I$206,0)) *POWER(10,-3)</f>
        <v>6.1372756958007813E-2</v>
      </c>
      <c r="BJ179" s="78">
        <v>6.0754373213024147E-3</v>
      </c>
      <c r="BK179" s="78">
        <v>5.5297319636705394E-2</v>
      </c>
      <c r="BR179">
        <v>0</v>
      </c>
      <c r="BS179">
        <v>5</v>
      </c>
      <c r="BT179" t="s">
        <v>539</v>
      </c>
      <c r="BU179" t="s">
        <v>130</v>
      </c>
      <c r="BV179" s="106" t="str">
        <f>INDEX(Pipes_result_save_V1!$G$2:$G$206,MATCH(BU179,Pipes_result_save_V1!$I$2:$I$206,0))</f>
        <v>N55</v>
      </c>
      <c r="BW179" s="106" t="str">
        <f>INDEX(Pipes_result_save_V1!$H$2:$H$206,MATCH(BU179,Pipes_result_save_V1!$I$2:$I$206,0))</f>
        <v>N54</v>
      </c>
      <c r="BX179" s="106">
        <f t="shared" si="32"/>
        <v>1.7992018825854682E-2</v>
      </c>
      <c r="BY179">
        <v>250</v>
      </c>
      <c r="BZ179">
        <v>150</v>
      </c>
      <c r="CA179">
        <v>77</v>
      </c>
      <c r="CB179">
        <v>65.695332896987466</v>
      </c>
      <c r="CC179">
        <v>3.2837000000000005E-2</v>
      </c>
      <c r="CD179">
        <v>0.11744638928944044</v>
      </c>
      <c r="CE179">
        <v>6.6239520347182648</v>
      </c>
      <c r="CF179" s="107">
        <f>INDEX(Pipes_result_save_V1!$K$2:$K$206,MATCH(BU179,Pipes_result_save_V1!$I$2:$I$206,0)) *POWER(10,-3)</f>
        <v>-2.8550071716308592E-2</v>
      </c>
      <c r="CG179" s="78">
        <v>5.4589137819041553E-3</v>
      </c>
      <c r="CH179" s="78">
        <v>-2.3091157934404437E-2</v>
      </c>
      <c r="CN179">
        <v>0</v>
      </c>
      <c r="CO179">
        <v>5</v>
      </c>
      <c r="CP179" t="s">
        <v>540</v>
      </c>
      <c r="CQ179" t="s">
        <v>136</v>
      </c>
      <c r="CR179" s="106" t="str">
        <f>INDEX(Pipes_result_save_V1!$G$2:$G$206,MATCH(CQ179,Pipes_result_save_V1!$I$2:$I$206,0))</f>
        <v>N34</v>
      </c>
      <c r="CS179" s="106" t="str">
        <f>INDEX(Pipes_result_save_V1!$H$2:$H$206,MATCH(CQ179,Pipes_result_save_V1!$I$2:$I$206,0))</f>
        <v>N33</v>
      </c>
      <c r="CT179" s="106">
        <f t="shared" si="33"/>
        <v>0.10620590360774455</v>
      </c>
      <c r="CU179">
        <v>350</v>
      </c>
      <c r="CV179">
        <v>150</v>
      </c>
      <c r="CW179">
        <v>82</v>
      </c>
      <c r="CX179">
        <v>13.585260893493183</v>
      </c>
      <c r="CY179">
        <v>-8.3280000000000007E-2</v>
      </c>
      <c r="CZ179">
        <v>-0.13611606642173896</v>
      </c>
      <c r="DA179">
        <v>3.0269807278225334</v>
      </c>
      <c r="DB179" s="107">
        <f>INDEX(Pipes_result_save_V1!$K$2:$K$206,MATCH(CQ179,Pipes_result_save_V1!$I$2:$I$206,0)) *POWER(10,-3)</f>
        <v>-0.11696879577636721</v>
      </c>
      <c r="DC179" s="78">
        <v>6.3272602333288921E-3</v>
      </c>
      <c r="DD179" s="78">
        <v>-0.11064153554303832</v>
      </c>
      <c r="DL179">
        <v>0</v>
      </c>
      <c r="DM179">
        <v>5</v>
      </c>
      <c r="DN179" t="s">
        <v>540</v>
      </c>
      <c r="DO179" t="s">
        <v>396</v>
      </c>
      <c r="DP179" s="106" t="str">
        <f>INDEX(Pipes_result_save_V1!$G$2:$G$206,MATCH(DO179,Pipes_result_save_V1!$I$2:$I$206,0))</f>
        <v>N6</v>
      </c>
      <c r="DQ179" s="106" t="str">
        <f>INDEX(Pipes_result_save_V1!$H$2:$H$206,MATCH(DO179,Pipes_result_save_V1!$I$2:$I$206,0))</f>
        <v>N7</v>
      </c>
      <c r="DR179" s="106">
        <f t="shared" si="34"/>
        <v>0.10596531325955082</v>
      </c>
      <c r="DS179">
        <v>466</v>
      </c>
      <c r="DT179">
        <v>150</v>
      </c>
      <c r="DU179">
        <v>94</v>
      </c>
      <c r="DV179">
        <v>3.8621543667723377</v>
      </c>
      <c r="DW179">
        <v>-0.16656000000000001</v>
      </c>
      <c r="DX179">
        <v>-0.13969426824704931</v>
      </c>
      <c r="DY179">
        <v>1.5532768059169988</v>
      </c>
      <c r="DZ179" s="107">
        <f>INDEX(Pipes_result_save_V1!$K$2:$K$206,MATCH(DO179,Pipes_result_save_V1!$I$2:$I$206,0)) *POWER(10,-3)</f>
        <v>0.1136740341186523</v>
      </c>
      <c r="EA179" s="78">
        <v>5.5846881956221669E-3</v>
      </c>
      <c r="EB179" s="78">
        <v>0.10808934592303014</v>
      </c>
      <c r="EI179">
        <v>2</v>
      </c>
      <c r="EJ179">
        <v>5</v>
      </c>
      <c r="EK179" t="s">
        <v>539</v>
      </c>
      <c r="EL179" t="s">
        <v>400</v>
      </c>
      <c r="EM179" s="106" t="str">
        <f>INDEX(Pipes_result_save_V1!$G$2:$G$206,MATCH(EL179,Pipes_result_save_V1!$I$2:$I$206,0))</f>
        <v>N3</v>
      </c>
      <c r="EN179" s="106" t="str">
        <f>INDEX(Pipes_result_save_V1!$H$2:$H$206,MATCH(EL179,Pipes_result_save_V1!$I$2:$I$206,0))</f>
        <v>N4</v>
      </c>
      <c r="EO179" s="106">
        <f t="shared" si="35"/>
        <v>0.10664416378096675</v>
      </c>
      <c r="EP179">
        <v>466</v>
      </c>
      <c r="EQ179">
        <v>150</v>
      </c>
      <c r="ER179">
        <v>181</v>
      </c>
      <c r="ES179">
        <v>7.4367014934658844</v>
      </c>
      <c r="ET179">
        <v>0.15497564373451178</v>
      </c>
      <c r="EU179">
        <v>0.23536845520519051</v>
      </c>
      <c r="EV179">
        <v>2.8127153953737118</v>
      </c>
      <c r="EW179" s="107">
        <f>INDEX(Pipes_result_save_V1!$K$2:$K$206,MATCH(EL179,Pipes_result_save_V1!$I$2:$I$206,0)) *POWER(10,-3)</f>
        <v>0.11761656188964839</v>
      </c>
      <c r="EX179" s="78">
        <v>6.2925356570970392E-3</v>
      </c>
      <c r="EY179" s="78">
        <v>0.11132402623255135</v>
      </c>
    </row>
    <row r="180" spans="2:155" ht="30" x14ac:dyDescent="0.25">
      <c r="B180" s="106">
        <v>6</v>
      </c>
      <c r="C180" s="106" t="s">
        <v>539</v>
      </c>
      <c r="D180" s="106" t="s">
        <v>196</v>
      </c>
      <c r="E180" s="106" t="str">
        <f>INDEX(Pipes_result_save_V1!$G$2:$G$206,MATCH(D180,Pipes_result_save_V1!$I$2:$I$206,0))</f>
        <v>N88</v>
      </c>
      <c r="F180" s="106" t="str">
        <f>INDEX(Pipes_result_save_V1!$H$2:$H$206,MATCH(D180,Pipes_result_save_V1!$I$2:$I$206,0))</f>
        <v>N89</v>
      </c>
      <c r="G180" s="106">
        <f t="shared" si="29"/>
        <v>4.1770757349255836E-4</v>
      </c>
      <c r="H180" s="107">
        <v>300</v>
      </c>
      <c r="I180" s="107">
        <v>150</v>
      </c>
      <c r="J180" s="107">
        <v>63</v>
      </c>
      <c r="K180" s="107">
        <v>22.115282553351062</v>
      </c>
      <c r="L180" s="107">
        <v>6.3E-2</v>
      </c>
      <c r="M180" s="107">
        <v>0.132151224021303</v>
      </c>
      <c r="N180" s="107">
        <v>3.8848264585309997</v>
      </c>
      <c r="O180" s="107">
        <f>INDEX(Pipes_result_save_V1!$K$2:$K$206,MATCH(D180,Pipes_result_save_V1!$I$2:$I$206,0)) *POWER(10,-3)</f>
        <v>1.461785984039307E-2</v>
      </c>
      <c r="P180" s="78">
        <v>6.4376277225501911E-3</v>
      </c>
      <c r="Q180" s="78">
        <v>8.1802321178428786E-3</v>
      </c>
      <c r="R180" s="78"/>
      <c r="S180" s="78"/>
      <c r="T180" s="78"/>
      <c r="U180" s="78"/>
      <c r="V180" s="78"/>
      <c r="W180" s="78">
        <v>0</v>
      </c>
      <c r="X180" s="78">
        <v>6</v>
      </c>
      <c r="Y180" s="78" t="s">
        <v>540</v>
      </c>
      <c r="Z180" s="78" t="s">
        <v>436</v>
      </c>
      <c r="AA180" s="106" t="str">
        <f>INDEX(Pipes_result_save_V1!$G$2:$G$206,MATCH(Z180,Pipes_result_save_V1!$I$2:$I$206,0))</f>
        <v>N127</v>
      </c>
      <c r="AB180" s="106" t="str">
        <f>INDEX(Pipes_result_save_V1!$H$2:$H$206,MATCH(Z180,Pipes_result_save_V1!$I$2:$I$206,0))</f>
        <v>N136</v>
      </c>
      <c r="AC180" s="106">
        <f t="shared" si="30"/>
        <v>2.2291799747795091E-2</v>
      </c>
      <c r="AD180" s="78">
        <v>300</v>
      </c>
      <c r="AE180" s="78">
        <v>150</v>
      </c>
      <c r="AF180" s="78">
        <v>222</v>
      </c>
      <c r="AG180" s="78">
        <v>77.930043283237083</v>
      </c>
      <c r="AH180" s="78">
        <v>-5.8057999999999998E-2</v>
      </c>
      <c r="AI180" s="78">
        <v>0</v>
      </c>
      <c r="AJ180" s="78">
        <v>0</v>
      </c>
      <c r="AK180" s="78">
        <v>-0.40029251835266977</v>
      </c>
      <c r="AL180">
        <v>12.768985221487904</v>
      </c>
      <c r="AM180" s="107">
        <f>INDEX(Pipes_result_save_V1!$K$2:$K$206,MATCH(Z180,Pipes_result_save_V1!$I$2:$I$206,0)) *POWER(10,-3)</f>
        <v>3.1976058959960939E-2</v>
      </c>
      <c r="AN180" s="78">
        <v>3.2090603882803858E-3</v>
      </c>
      <c r="AO180" s="78">
        <v>2.8766998571680552E-2</v>
      </c>
      <c r="AU180">
        <v>0</v>
      </c>
      <c r="AV180">
        <v>6</v>
      </c>
      <c r="AW180" t="s">
        <v>539</v>
      </c>
      <c r="AX180" t="s">
        <v>178</v>
      </c>
      <c r="AY180" s="106" t="str">
        <f>INDEX(Pipes_result_save_V1!$G$2:$G$206,MATCH(AX180,Pipes_result_save_V1!$I$2:$I$206,0))</f>
        <v>N75</v>
      </c>
      <c r="AZ180" s="106" t="str">
        <f>INDEX(Pipes_result_save_V1!$H$2:$H$206,MATCH(AX180,Pipes_result_save_V1!$I$2:$I$206,0))</f>
        <v>N76</v>
      </c>
      <c r="BA180" s="106">
        <f t="shared" si="31"/>
        <v>5.156458984420325E-2</v>
      </c>
      <c r="BB180">
        <v>250</v>
      </c>
      <c r="BC180">
        <v>150</v>
      </c>
      <c r="BD180">
        <v>75</v>
      </c>
      <c r="BE180">
        <v>63.988960613948841</v>
      </c>
      <c r="BF180">
        <v>3.2837000000000005E-2</v>
      </c>
      <c r="BG180">
        <v>0.11439583372348096</v>
      </c>
      <c r="BH180">
        <v>6.4519013325177914</v>
      </c>
      <c r="BI180" s="107">
        <f>INDEX(Pipes_result_save_V1!$K$2:$K$206,MATCH(AX180,Pipes_result_save_V1!$I$2:$I$206,0)) *POWER(10,-3)</f>
        <v>6.0362876892089835E-2</v>
      </c>
      <c r="BJ180" s="78">
        <v>5.6477156408531754E-3</v>
      </c>
      <c r="BK180" s="78">
        <v>5.4715161251236662E-2</v>
      </c>
      <c r="BR180">
        <v>0</v>
      </c>
      <c r="BS180">
        <v>6</v>
      </c>
      <c r="BT180" t="s">
        <v>539</v>
      </c>
      <c r="BU180" t="s">
        <v>129</v>
      </c>
      <c r="BV180" s="106" t="str">
        <f>INDEX(Pipes_result_save_V1!$G$2:$G$206,MATCH(BU180,Pipes_result_save_V1!$I$2:$I$206,0))</f>
        <v>N56</v>
      </c>
      <c r="BW180" s="106" t="str">
        <f>INDEX(Pipes_result_save_V1!$H$2:$H$206,MATCH(BU180,Pipes_result_save_V1!$I$2:$I$206,0))</f>
        <v>N55</v>
      </c>
      <c r="BX180" s="106">
        <f t="shared" si="32"/>
        <v>1.6321818199199173E-2</v>
      </c>
      <c r="BY180">
        <v>250</v>
      </c>
      <c r="BZ180">
        <v>150</v>
      </c>
      <c r="CA180">
        <v>77</v>
      </c>
      <c r="CB180">
        <v>65.695332896987466</v>
      </c>
      <c r="CC180">
        <v>3.2837000000000005E-2</v>
      </c>
      <c r="CD180">
        <v>0.11744638928944044</v>
      </c>
      <c r="CE180">
        <v>6.6239520347182648</v>
      </c>
      <c r="CF180" s="107">
        <f>INDEX(Pipes_result_save_V1!$K$2:$K$206,MATCH(BU180,Pipes_result_save_V1!$I$2:$I$206,0)) *POWER(10,-3)</f>
        <v>-2.7671417236328121E-2</v>
      </c>
      <c r="CG180" s="78">
        <v>5.1170571745524735E-3</v>
      </c>
      <c r="CH180" s="78">
        <v>-2.2554360061775646E-2</v>
      </c>
      <c r="CN180">
        <v>0</v>
      </c>
      <c r="CO180">
        <v>6</v>
      </c>
      <c r="CP180" t="s">
        <v>540</v>
      </c>
      <c r="CQ180" t="s">
        <v>134</v>
      </c>
      <c r="CR180" s="106" t="str">
        <f>INDEX(Pipes_result_save_V1!$G$2:$G$206,MATCH(CQ180,Pipes_result_save_V1!$I$2:$I$206,0))</f>
        <v>N35</v>
      </c>
      <c r="CS180" s="106" t="str">
        <f>INDEX(Pipes_result_save_V1!$H$2:$H$206,MATCH(CQ180,Pipes_result_save_V1!$I$2:$I$206,0))</f>
        <v>N34</v>
      </c>
      <c r="CT180" s="106">
        <f t="shared" si="33"/>
        <v>0.10616207730507131</v>
      </c>
      <c r="CU180">
        <v>350</v>
      </c>
      <c r="CV180">
        <v>150</v>
      </c>
      <c r="CW180">
        <v>69</v>
      </c>
      <c r="CX180">
        <v>11.431500020134509</v>
      </c>
      <c r="CY180">
        <v>-8.3280000000000007E-2</v>
      </c>
      <c r="CZ180">
        <v>-0.11453669003780474</v>
      </c>
      <c r="DA180">
        <v>2.5470935392653025</v>
      </c>
      <c r="DB180" s="107">
        <f>INDEX(Pipes_result_save_V1!$K$2:$K$206,MATCH(CQ180,Pipes_result_save_V1!$I$2:$I$206,0)) *POWER(10,-3)</f>
        <v>-0.1161072616577148</v>
      </c>
      <c r="DC180" s="78">
        <v>6.5534383745440121E-3</v>
      </c>
      <c r="DD180" s="78">
        <v>-0.10955382328317079</v>
      </c>
      <c r="DL180">
        <v>0</v>
      </c>
      <c r="DM180">
        <v>6</v>
      </c>
      <c r="DN180" t="s">
        <v>540</v>
      </c>
      <c r="DO180" t="s">
        <v>409</v>
      </c>
      <c r="DP180" s="106" t="str">
        <f>INDEX(Pipes_result_save_V1!$G$2:$G$206,MATCH(DO180,Pipes_result_save_V1!$I$2:$I$206,0))</f>
        <v>N7</v>
      </c>
      <c r="DQ180" s="106" t="str">
        <f>INDEX(Pipes_result_save_V1!$H$2:$H$206,MATCH(DO180,Pipes_result_save_V1!$I$2:$I$206,0))</f>
        <v>N106</v>
      </c>
      <c r="DR180" s="106">
        <f t="shared" si="34"/>
        <v>6.7375968741913747E-2</v>
      </c>
      <c r="DS180">
        <v>350</v>
      </c>
      <c r="DT180">
        <v>150</v>
      </c>
      <c r="DU180">
        <v>322</v>
      </c>
      <c r="DV180">
        <v>53.347000093961036</v>
      </c>
      <c r="DW180">
        <v>-8.3280000000000007E-2</v>
      </c>
      <c r="DX180">
        <v>-0.53450455350975545</v>
      </c>
      <c r="DY180">
        <v>11.886436516571411</v>
      </c>
      <c r="DZ180" s="107">
        <f>INDEX(Pipes_result_save_V1!$K$2:$K$206,MATCH(DO180,Pipes_result_save_V1!$I$2:$I$206,0)) *POWER(10,-3)</f>
        <v>7.9282783508300786E-2</v>
      </c>
      <c r="EA180" s="78">
        <v>5.9367404767737527E-3</v>
      </c>
      <c r="EB180" s="78">
        <v>7.3346043031527031E-2</v>
      </c>
      <c r="EI180">
        <v>3</v>
      </c>
      <c r="EJ180">
        <v>6</v>
      </c>
      <c r="EK180" t="s">
        <v>539</v>
      </c>
      <c r="EL180" t="s">
        <v>401</v>
      </c>
      <c r="EM180" s="106" t="str">
        <f>INDEX(Pipes_result_save_V1!$G$2:$G$206,MATCH(EL180,Pipes_result_save_V1!$I$2:$I$206,0))</f>
        <v>N4</v>
      </c>
      <c r="EN180" s="106" t="str">
        <f>INDEX(Pipes_result_save_V1!$H$2:$H$206,MATCH(EL180,Pipes_result_save_V1!$I$2:$I$206,0))</f>
        <v>N5</v>
      </c>
      <c r="EO180" s="106">
        <f t="shared" si="35"/>
        <v>0.10682382796361509</v>
      </c>
      <c r="EP180">
        <v>466</v>
      </c>
      <c r="EQ180">
        <v>150</v>
      </c>
      <c r="ER180">
        <v>133</v>
      </c>
      <c r="ES180">
        <v>5.4645375614970311</v>
      </c>
      <c r="ET180">
        <v>-9.4864356265488253E-2</v>
      </c>
      <c r="EU180">
        <v>-6.9686441817195688E-2</v>
      </c>
      <c r="EV180">
        <v>1.3604613505652203</v>
      </c>
      <c r="EW180" s="107">
        <f>INDEX(Pipes_result_save_V1!$K$2:$K$206,MATCH(EL180,Pipes_result_save_V1!$I$2:$I$206,0)) *POWER(10,-3)</f>
        <v>0.1158250274658203</v>
      </c>
      <c r="EX180" s="78">
        <v>5.2981749260163141E-3</v>
      </c>
      <c r="EY180" s="78">
        <v>0.11052685253980399</v>
      </c>
    </row>
    <row r="181" spans="2:155" ht="30" x14ac:dyDescent="0.25">
      <c r="B181" s="106">
        <v>7</v>
      </c>
      <c r="C181" s="106" t="s">
        <v>539</v>
      </c>
      <c r="D181" s="106" t="s">
        <v>195</v>
      </c>
      <c r="E181" s="106" t="str">
        <f>INDEX(Pipes_result_save_V1!$G$2:$G$206,MATCH(D181,Pipes_result_save_V1!$I$2:$I$206,0))</f>
        <v>N89</v>
      </c>
      <c r="F181" s="106" t="str">
        <f>INDEX(Pipes_result_save_V1!$H$2:$H$206,MATCH(D181,Pipes_result_save_V1!$I$2:$I$206,0))</f>
        <v>N90</v>
      </c>
      <c r="G181" s="106">
        <f t="shared" si="29"/>
        <v>2.5054865544641924E-3</v>
      </c>
      <c r="H181" s="107">
        <v>250</v>
      </c>
      <c r="I181" s="107">
        <v>150</v>
      </c>
      <c r="J181" s="107">
        <v>41</v>
      </c>
      <c r="K181" s="107">
        <v>34.980631802292031</v>
      </c>
      <c r="L181" s="107">
        <v>4.1000000000000002E-2</v>
      </c>
      <c r="M181" s="107">
        <v>9.4341624853503211E-2</v>
      </c>
      <c r="N181" s="107">
        <v>4.2614802250899499</v>
      </c>
      <c r="O181" s="107">
        <f>INDEX(Pipes_result_save_V1!$K$2:$K$206,MATCH(D181,Pipes_result_save_V1!$I$2:$I$206,0)) *POWER(10,-3)</f>
        <v>1.402448272705078E-2</v>
      </c>
      <c r="P181" s="78">
        <v>6.1790292582421221E-3</v>
      </c>
      <c r="Q181" s="78">
        <v>7.8454534688086573E-3</v>
      </c>
      <c r="R181" s="78"/>
      <c r="S181" s="78"/>
      <c r="T181" s="78"/>
      <c r="U181" s="78"/>
      <c r="V181" s="78"/>
      <c r="W181" s="78">
        <v>0</v>
      </c>
      <c r="X181" s="78">
        <v>7</v>
      </c>
      <c r="Y181" s="78" t="s">
        <v>539</v>
      </c>
      <c r="Z181" s="78" t="s">
        <v>292</v>
      </c>
      <c r="AA181" s="106" t="str">
        <f>INDEX(Pipes_result_save_V1!$G$2:$G$206,MATCH(Z181,Pipes_result_save_V1!$I$2:$I$206,0))</f>
        <v>N128</v>
      </c>
      <c r="AB181" s="106" t="str">
        <f>INDEX(Pipes_result_save_V1!$H$2:$H$206,MATCH(Z181,Pipes_result_save_V1!$I$2:$I$206,0))</f>
        <v>N127</v>
      </c>
      <c r="AC181" s="106">
        <f t="shared" si="30"/>
        <v>2.0540330063501195E-3</v>
      </c>
      <c r="AD181" s="78">
        <v>300</v>
      </c>
      <c r="AE181" s="78">
        <v>150</v>
      </c>
      <c r="AF181" s="78">
        <v>190</v>
      </c>
      <c r="AG181" s="78">
        <v>66.696883891058746</v>
      </c>
      <c r="AH181" s="78">
        <v>5.8057999999999998E-2</v>
      </c>
      <c r="AI181" s="78">
        <v>0</v>
      </c>
      <c r="AJ181" s="78">
        <v>0</v>
      </c>
      <c r="AK181" s="78">
        <v>0.34259269588741997</v>
      </c>
      <c r="AL181">
        <v>10.928410775147302</v>
      </c>
      <c r="AM181" s="107">
        <f>INDEX(Pipes_result_save_V1!$K$2:$K$206,MATCH(Z181,Pipes_result_save_V1!$I$2:$I$206,0)) *POWER(10,-3)</f>
        <v>-9.0811767578125001E-3</v>
      </c>
      <c r="AN181" s="78">
        <v>1.7520822324454286E-3</v>
      </c>
      <c r="AO181" s="78">
        <v>-7.3290945253670714E-3</v>
      </c>
      <c r="AU181">
        <v>0</v>
      </c>
      <c r="AV181">
        <v>7</v>
      </c>
      <c r="AW181" t="s">
        <v>539</v>
      </c>
      <c r="AX181" t="s">
        <v>189</v>
      </c>
      <c r="AY181" s="106" t="str">
        <f>INDEX(Pipes_result_save_V1!$G$2:$G$206,MATCH(AX181,Pipes_result_save_V1!$I$2:$I$206,0))</f>
        <v>N76</v>
      </c>
      <c r="AZ181" s="106" t="str">
        <f>INDEX(Pipes_result_save_V1!$H$2:$H$206,MATCH(AX181,Pipes_result_save_V1!$I$2:$I$206,0))</f>
        <v>N77</v>
      </c>
      <c r="BA181" s="106">
        <f t="shared" si="31"/>
        <v>5.0528249923601685E-2</v>
      </c>
      <c r="BB181">
        <v>250</v>
      </c>
      <c r="BC181">
        <v>150</v>
      </c>
      <c r="BD181">
        <v>76</v>
      </c>
      <c r="BE181">
        <v>64.84214675546815</v>
      </c>
      <c r="BF181">
        <v>3.2837000000000005E-2</v>
      </c>
      <c r="BG181">
        <v>0.1159211115064607</v>
      </c>
      <c r="BH181">
        <v>6.5379266836180276</v>
      </c>
      <c r="BI181" s="107">
        <f>INDEX(Pipes_result_save_V1!$K$2:$K$206,MATCH(AX181,Pipes_result_save_V1!$I$2:$I$206,0)) *POWER(10,-3)</f>
        <v>5.9427165985107423E-2</v>
      </c>
      <c r="BJ181" s="78">
        <v>5.1678069077390172E-3</v>
      </c>
      <c r="BK181" s="78">
        <v>5.4259359077368403E-2</v>
      </c>
      <c r="BR181">
        <v>0</v>
      </c>
      <c r="BS181">
        <v>7</v>
      </c>
      <c r="BT181" t="s">
        <v>539</v>
      </c>
      <c r="BU181" t="s">
        <v>128</v>
      </c>
      <c r="BV181" s="106" t="str">
        <f>INDEX(Pipes_result_save_V1!$G$2:$G$206,MATCH(BU181,Pipes_result_save_V1!$I$2:$I$206,0))</f>
        <v>N57</v>
      </c>
      <c r="BW181" s="106" t="str">
        <f>INDEX(Pipes_result_save_V1!$H$2:$H$206,MATCH(BU181,Pipes_result_save_V1!$I$2:$I$206,0))</f>
        <v>N56</v>
      </c>
      <c r="BX181" s="106">
        <f t="shared" si="32"/>
        <v>1.9927271352417505E-2</v>
      </c>
      <c r="BY181">
        <v>250</v>
      </c>
      <c r="BZ181">
        <v>150</v>
      </c>
      <c r="CA181">
        <v>76</v>
      </c>
      <c r="CB181">
        <v>64.84214675546815</v>
      </c>
      <c r="CC181">
        <v>3.2837000000000005E-2</v>
      </c>
      <c r="CD181">
        <v>0.1159211115064607</v>
      </c>
      <c r="CE181">
        <v>6.5379266836180276</v>
      </c>
      <c r="CF181" s="107">
        <f>INDEX(Pipes_result_save_V1!$K$2:$K$206,MATCH(BU181,Pipes_result_save_V1!$I$2:$I$206,0)) *POWER(10,-3)</f>
        <v>-2.6798467636108398E-2</v>
      </c>
      <c r="CG181" s="78">
        <v>5.8060254579695826E-3</v>
      </c>
      <c r="CH181" s="78">
        <v>-2.0992442178138816E-2</v>
      </c>
      <c r="CN181">
        <v>0</v>
      </c>
      <c r="CO181">
        <v>7</v>
      </c>
      <c r="CP181" t="s">
        <v>540</v>
      </c>
      <c r="CQ181" t="s">
        <v>135</v>
      </c>
      <c r="CR181" s="106" t="str">
        <f>INDEX(Pipes_result_save_V1!$G$2:$G$206,MATCH(CQ181,Pipes_result_save_V1!$I$2:$I$206,0))</f>
        <v>N36</v>
      </c>
      <c r="CS181" s="106" t="str">
        <f>INDEX(Pipes_result_save_V1!$H$2:$H$206,MATCH(CQ181,Pipes_result_save_V1!$I$2:$I$206,0))</f>
        <v>N35</v>
      </c>
      <c r="CT181" s="106">
        <f t="shared" si="33"/>
        <v>0.10433378337683077</v>
      </c>
      <c r="CU181">
        <v>350</v>
      </c>
      <c r="CV181">
        <v>150</v>
      </c>
      <c r="CW181">
        <v>73</v>
      </c>
      <c r="CX181">
        <v>12.094195673475639</v>
      </c>
      <c r="CY181">
        <v>-8.3280000000000007E-2</v>
      </c>
      <c r="CZ181">
        <v>-0.12117649815593834</v>
      </c>
      <c r="DA181">
        <v>2.69475113574445</v>
      </c>
      <c r="DB181" s="107">
        <f>INDEX(Pipes_result_save_V1!$K$2:$K$206,MATCH(CQ181,Pipes_result_save_V1!$I$2:$I$206,0)) *POWER(10,-3)</f>
        <v>-0.1152970657348633</v>
      </c>
      <c r="DC181" s="78">
        <v>5.6497529229469576E-3</v>
      </c>
      <c r="DD181" s="78">
        <v>-0.10964731281191634</v>
      </c>
      <c r="DL181">
        <v>0</v>
      </c>
      <c r="DM181">
        <v>7</v>
      </c>
      <c r="DN181" t="s">
        <v>539</v>
      </c>
      <c r="DO181" t="s">
        <v>151</v>
      </c>
      <c r="DP181" s="106" t="str">
        <f>INDEX(Pipes_result_save_V1!$G$2:$G$206,MATCH(DO181,Pipes_result_save_V1!$I$2:$I$206,0))</f>
        <v>N19</v>
      </c>
      <c r="DQ181" s="106" t="str">
        <f>INDEX(Pipes_result_save_V1!$H$2:$H$206,MATCH(DO181,Pipes_result_save_V1!$I$2:$I$206,0))</f>
        <v>N18</v>
      </c>
      <c r="DR181" s="106">
        <f t="shared" si="34"/>
        <v>0.19719556481909861</v>
      </c>
      <c r="DS181">
        <v>466</v>
      </c>
      <c r="DT181">
        <v>150</v>
      </c>
      <c r="DU181">
        <v>56</v>
      </c>
      <c r="DV181">
        <v>2.3008579206303286</v>
      </c>
      <c r="DW181">
        <v>0.16656000000000001</v>
      </c>
      <c r="DX181">
        <v>8.3222117253561281E-2</v>
      </c>
      <c r="DY181">
        <v>0.92535639501438216</v>
      </c>
      <c r="DZ181" s="107">
        <f>INDEX(Pipes_result_save_V1!$K$2:$K$206,MATCH(DO181,Pipes_result_save_V1!$I$2:$I$206,0)) *POWER(10,-3)</f>
        <v>-0.20831297302246091</v>
      </c>
      <c r="EA181" s="78">
        <v>6.3972910940920513E-3</v>
      </c>
      <c r="EB181" s="78">
        <v>-0.20191568192836887</v>
      </c>
      <c r="EI181">
        <v>4</v>
      </c>
      <c r="EJ181">
        <v>7</v>
      </c>
      <c r="EK181" t="s">
        <v>539</v>
      </c>
      <c r="EL181" t="s">
        <v>403</v>
      </c>
      <c r="EM181" s="106" t="str">
        <f>INDEX(Pipes_result_save_V1!$G$2:$G$206,MATCH(EL181,Pipes_result_save_V1!$I$2:$I$206,0))</f>
        <v>N5</v>
      </c>
      <c r="EN181" s="106" t="str">
        <f>INDEX(Pipes_result_save_V1!$H$2:$H$206,MATCH(EL181,Pipes_result_save_V1!$I$2:$I$206,0))</f>
        <v>N6</v>
      </c>
      <c r="EO181" s="106">
        <f t="shared" si="35"/>
        <v>0.10556686389483461</v>
      </c>
      <c r="EP181">
        <v>466</v>
      </c>
      <c r="EQ181">
        <v>150</v>
      </c>
      <c r="ER181">
        <v>75</v>
      </c>
      <c r="ES181">
        <v>3.0815061437013331</v>
      </c>
      <c r="ET181">
        <v>-9.4864356265488253E-2</v>
      </c>
      <c r="EU181">
        <v>-3.9296865686388543E-2</v>
      </c>
      <c r="EV181">
        <v>0.76717745332625198</v>
      </c>
      <c r="EW181" s="107">
        <f>INDEX(Pipes_result_save_V1!$K$2:$K$206,MATCH(EL181,Pipes_result_save_V1!$I$2:$I$206,0)) *POWER(10,-3)</f>
        <v>0.1146382675170898</v>
      </c>
      <c r="EX181" s="78">
        <v>5.5595164112455788E-3</v>
      </c>
      <c r="EY181" s="78">
        <v>0.10907875110584422</v>
      </c>
    </row>
    <row r="182" spans="2:155" ht="30" x14ac:dyDescent="0.25">
      <c r="B182" s="106">
        <v>8</v>
      </c>
      <c r="C182" s="106" t="s">
        <v>539</v>
      </c>
      <c r="D182" s="106" t="s">
        <v>194</v>
      </c>
      <c r="E182" s="106" t="str">
        <f>INDEX(Pipes_result_save_V1!$G$2:$G$206,MATCH(D182,Pipes_result_save_V1!$I$2:$I$206,0))</f>
        <v>N90</v>
      </c>
      <c r="F182" s="106" t="str">
        <f>INDEX(Pipes_result_save_V1!$H$2:$H$206,MATCH(D182,Pipes_result_save_V1!$I$2:$I$206,0))</f>
        <v>N91</v>
      </c>
      <c r="G182" s="106">
        <f t="shared" si="29"/>
        <v>2.9146759669536446E-3</v>
      </c>
      <c r="H182" s="107">
        <v>565</v>
      </c>
      <c r="I182" s="107">
        <v>150</v>
      </c>
      <c r="J182" s="107">
        <v>201</v>
      </c>
      <c r="K182" s="107">
        <v>3.2313026950578347</v>
      </c>
      <c r="L182" s="107">
        <v>0.20100000000000001</v>
      </c>
      <c r="M182" s="107">
        <v>0.16553763307059088</v>
      </c>
      <c r="N182" s="107">
        <v>1.5252522211280313</v>
      </c>
      <c r="O182" s="107">
        <f>INDEX(Pipes_result_save_V1!$K$2:$K$206,MATCH(D182,Pipes_result_save_V1!$I$2:$I$206,0)) *POWER(10,-3)</f>
        <v>1.264373970031738E-2</v>
      </c>
      <c r="P182" s="78">
        <v>6.5072513739895029E-3</v>
      </c>
      <c r="Q182" s="78">
        <v>6.1364883263278769E-3</v>
      </c>
      <c r="R182" s="78"/>
      <c r="S182" s="78"/>
      <c r="T182" s="78"/>
      <c r="U182" s="78"/>
      <c r="V182" s="78"/>
      <c r="W182" s="78">
        <v>0</v>
      </c>
      <c r="X182" s="78">
        <v>8</v>
      </c>
      <c r="Y182" s="78" t="s">
        <v>539</v>
      </c>
      <c r="Z182" s="78" t="s">
        <v>291</v>
      </c>
      <c r="AA182" s="106" t="str">
        <f>INDEX(Pipes_result_save_V1!$G$2:$G$206,MATCH(Z182,Pipes_result_save_V1!$I$2:$I$206,0))</f>
        <v>N129</v>
      </c>
      <c r="AB182" s="106" t="str">
        <f>INDEX(Pipes_result_save_V1!$H$2:$H$206,MATCH(Z182,Pipes_result_save_V1!$I$2:$I$206,0))</f>
        <v>N128</v>
      </c>
      <c r="AC182" s="106">
        <f t="shared" si="30"/>
        <v>6.2706414588876427E-4</v>
      </c>
      <c r="AD182" s="78">
        <v>300</v>
      </c>
      <c r="AE182" s="78">
        <v>150</v>
      </c>
      <c r="AF182" s="78">
        <v>290</v>
      </c>
      <c r="AG182" s="78">
        <v>101.80050699161599</v>
      </c>
      <c r="AH182" s="78">
        <v>5.8057999999999998E-2</v>
      </c>
      <c r="AI182" s="78">
        <v>0</v>
      </c>
      <c r="AJ182" s="78">
        <v>0</v>
      </c>
      <c r="AK182" s="78">
        <v>0.52290464109132528</v>
      </c>
      <c r="AL182">
        <v>16.680205919961676</v>
      </c>
      <c r="AM182" s="107">
        <f>INDEX(Pipes_result_save_V1!$K$2:$K$206,MATCH(Z182,Pipes_result_save_V1!$I$2:$I$206,0)) *POWER(10,-3)</f>
        <v>-6.3425126075744628E-3</v>
      </c>
      <c r="AN182" s="78">
        <v>4.3014822979732074E-3</v>
      </c>
      <c r="AO182" s="78">
        <v>-2.0410303096012553E-3</v>
      </c>
      <c r="AU182">
        <v>0</v>
      </c>
      <c r="AV182">
        <v>8</v>
      </c>
      <c r="AW182" t="s">
        <v>539</v>
      </c>
      <c r="AX182" t="s">
        <v>188</v>
      </c>
      <c r="AY182" s="106" t="str">
        <f>INDEX(Pipes_result_save_V1!$G$2:$G$206,MATCH(AX182,Pipes_result_save_V1!$I$2:$I$206,0))</f>
        <v>N77</v>
      </c>
      <c r="AZ182" s="106" t="str">
        <f>INDEX(Pipes_result_save_V1!$H$2:$H$206,MATCH(AX182,Pipes_result_save_V1!$I$2:$I$206,0))</f>
        <v>N78</v>
      </c>
      <c r="BA182" s="106">
        <f t="shared" si="31"/>
        <v>4.8772637017312777E-2</v>
      </c>
      <c r="BB182">
        <v>250</v>
      </c>
      <c r="BC182">
        <v>150</v>
      </c>
      <c r="BD182">
        <v>77</v>
      </c>
      <c r="BE182">
        <v>65.695332896987466</v>
      </c>
      <c r="BF182">
        <v>3.2837000000000005E-2</v>
      </c>
      <c r="BG182">
        <v>0.11744638928944044</v>
      </c>
      <c r="BH182">
        <v>6.6239520347182648</v>
      </c>
      <c r="BI182" s="107">
        <f>INDEX(Pipes_result_save_V1!$K$2:$K$206,MATCH(AX182,Pipes_result_save_V1!$I$2:$I$206,0)) *POWER(10,-3)</f>
        <v>5.8537097930908201E-2</v>
      </c>
      <c r="BJ182" s="78">
        <v>5.2131629820899731E-3</v>
      </c>
      <c r="BK182" s="78">
        <v>5.3323934948818229E-2</v>
      </c>
      <c r="BR182">
        <v>0</v>
      </c>
      <c r="BS182">
        <v>8</v>
      </c>
      <c r="BT182" t="s">
        <v>539</v>
      </c>
      <c r="BU182" t="s">
        <v>127</v>
      </c>
      <c r="BV182" s="106" t="str">
        <f>INDEX(Pipes_result_save_V1!$G$2:$G$206,MATCH(BU182,Pipes_result_save_V1!$I$2:$I$206,0))</f>
        <v>N58</v>
      </c>
      <c r="BW182" s="106" t="str">
        <f>INDEX(Pipes_result_save_V1!$H$2:$H$206,MATCH(BU182,Pipes_result_save_V1!$I$2:$I$206,0))</f>
        <v>N57</v>
      </c>
      <c r="BX182" s="106">
        <f t="shared" si="32"/>
        <v>1.5382852529843227E-2</v>
      </c>
      <c r="BY182">
        <v>250</v>
      </c>
      <c r="BZ182">
        <v>150</v>
      </c>
      <c r="CA182">
        <v>36</v>
      </c>
      <c r="CB182">
        <v>30.714701094695442</v>
      </c>
      <c r="CC182">
        <v>3.2837000000000005E-2</v>
      </c>
      <c r="CD182">
        <v>5.4910000187270859E-2</v>
      </c>
      <c r="CE182">
        <v>3.09691263960854</v>
      </c>
      <c r="CF182" s="107">
        <f>INDEX(Pipes_result_save_V1!$K$2:$K$206,MATCH(BU182,Pipes_result_save_V1!$I$2:$I$206,0)) *POWER(10,-3)</f>
        <v>-2.6159444808959962E-2</v>
      </c>
      <c r="CG182" s="78">
        <v>5.1975307395639636E-3</v>
      </c>
      <c r="CH182" s="78">
        <v>-2.0961914069395998E-2</v>
      </c>
      <c r="CN182">
        <v>0</v>
      </c>
      <c r="CO182">
        <v>8</v>
      </c>
      <c r="CP182" t="s">
        <v>540</v>
      </c>
      <c r="CQ182" t="s">
        <v>133</v>
      </c>
      <c r="CR182" s="106" t="str">
        <f>INDEX(Pipes_result_save_V1!$G$2:$G$206,MATCH(CQ182,Pipes_result_save_V1!$I$2:$I$206,0))</f>
        <v>N37</v>
      </c>
      <c r="CS182" s="106" t="str">
        <f>INDEX(Pipes_result_save_V1!$H$2:$H$206,MATCH(CQ182,Pipes_result_save_V1!$I$2:$I$206,0))</f>
        <v>N36</v>
      </c>
      <c r="CT182" s="106">
        <f t="shared" si="33"/>
        <v>0.10416507018554108</v>
      </c>
      <c r="CU182">
        <v>350</v>
      </c>
      <c r="CV182">
        <v>150</v>
      </c>
      <c r="CW182">
        <v>81</v>
      </c>
      <c r="CX182">
        <v>13.419586980157902</v>
      </c>
      <c r="CY182">
        <v>-8.3280000000000007E-2</v>
      </c>
      <c r="CZ182">
        <v>-0.13445611439220556</v>
      </c>
      <c r="DA182">
        <v>2.9900663287027465</v>
      </c>
      <c r="DB182" s="107">
        <f>INDEX(Pipes_result_save_V1!$K$2:$K$206,MATCH(CQ182,Pipes_result_save_V1!$I$2:$I$206,0)) *POWER(10,-3)</f>
        <v>-0.11441841125488281</v>
      </c>
      <c r="DC182" s="78">
        <v>6.1696904257668578E-3</v>
      </c>
      <c r="DD182" s="78">
        <v>-0.10824872082911595</v>
      </c>
      <c r="DL182">
        <v>0</v>
      </c>
      <c r="DM182">
        <v>8</v>
      </c>
      <c r="DN182" t="s">
        <v>539</v>
      </c>
      <c r="DO182" t="s">
        <v>150</v>
      </c>
      <c r="DP182" s="106" t="str">
        <f>INDEX(Pipes_result_save_V1!$G$2:$G$206,MATCH(DO182,Pipes_result_save_V1!$I$2:$I$206,0))</f>
        <v>N20</v>
      </c>
      <c r="DQ182" s="106" t="str">
        <f>INDEX(Pipes_result_save_V1!$H$2:$H$206,MATCH(DO182,Pipes_result_save_V1!$I$2:$I$206,0))</f>
        <v>N19</v>
      </c>
      <c r="DR182" s="106">
        <f t="shared" si="34"/>
        <v>0.19705735983515418</v>
      </c>
      <c r="DS182">
        <v>466</v>
      </c>
      <c r="DT182">
        <v>150</v>
      </c>
      <c r="DU182">
        <v>60</v>
      </c>
      <c r="DV182">
        <v>2.4652049149610664</v>
      </c>
      <c r="DW182">
        <v>0.16656000000000001</v>
      </c>
      <c r="DX182">
        <v>8.9166554200244233E-2</v>
      </c>
      <c r="DY182">
        <v>0.9914532803725522</v>
      </c>
      <c r="DZ182" s="107">
        <f>INDEX(Pipes_result_save_V1!$K$2:$K$206,MATCH(DO182,Pipes_result_save_V1!$I$2:$I$206,0)) *POWER(10,-3)</f>
        <v>-0.207651123046875</v>
      </c>
      <c r="EA182" s="78">
        <v>6.1394164288756797E-3</v>
      </c>
      <c r="EB182" s="78">
        <v>-0.20151170661799933</v>
      </c>
      <c r="EI182">
        <v>5</v>
      </c>
      <c r="EJ182">
        <v>8</v>
      </c>
      <c r="EK182" t="s">
        <v>539</v>
      </c>
      <c r="EL182" t="s">
        <v>396</v>
      </c>
      <c r="EM182" s="106" t="str">
        <f>INDEX(Pipes_result_save_V1!$G$2:$G$206,MATCH(EL182,Pipes_result_save_V1!$I$2:$I$206,0))</f>
        <v>N6</v>
      </c>
      <c r="EN182" s="106" t="str">
        <f>INDEX(Pipes_result_save_V1!$H$2:$H$206,MATCH(EL182,Pipes_result_save_V1!$I$2:$I$206,0))</f>
        <v>N7</v>
      </c>
      <c r="EO182" s="106">
        <f t="shared" si="35"/>
        <v>0.10326779764139249</v>
      </c>
      <c r="EP182">
        <v>466</v>
      </c>
      <c r="EQ182">
        <v>150</v>
      </c>
      <c r="ER182">
        <v>94</v>
      </c>
      <c r="ES182">
        <v>3.8621543667723377</v>
      </c>
      <c r="ET182">
        <v>-9.4864356265488253E-2</v>
      </c>
      <c r="EU182">
        <v>-4.9252071660273643E-2</v>
      </c>
      <c r="EV182">
        <v>0.96152907483556926</v>
      </c>
      <c r="EW182" s="107">
        <f>INDEX(Pipes_result_save_V1!$K$2:$K$206,MATCH(EL182,Pipes_result_save_V1!$I$2:$I$206,0)) *POWER(10,-3)</f>
        <v>0.1136740341186523</v>
      </c>
      <c r="EX182" s="78">
        <v>5.9866222049283595E-3</v>
      </c>
      <c r="EY182" s="78">
        <v>0.10768741191372394</v>
      </c>
    </row>
    <row r="183" spans="2:155" ht="30" x14ac:dyDescent="0.25">
      <c r="B183" s="106">
        <v>9</v>
      </c>
      <c r="C183" s="106" t="s">
        <v>539</v>
      </c>
      <c r="D183" s="106" t="s">
        <v>425</v>
      </c>
      <c r="E183" s="106" t="str">
        <f>INDEX(Pipes_result_save_V1!$G$2:$G$206,MATCH(D183,Pipes_result_save_V1!$I$2:$I$206,0))</f>
        <v>N91</v>
      </c>
      <c r="F183" s="106" t="str">
        <f>INDEX(Pipes_result_save_V1!$H$2:$H$206,MATCH(D183,Pipes_result_save_V1!$I$2:$I$206,0))</f>
        <v>N92</v>
      </c>
      <c r="G183" s="106">
        <f t="shared" si="29"/>
        <v>3.8308322353701398E-4</v>
      </c>
      <c r="H183" s="107">
        <v>421</v>
      </c>
      <c r="I183" s="107">
        <v>150</v>
      </c>
      <c r="J183" s="107">
        <v>129</v>
      </c>
      <c r="K183" s="107">
        <v>8.6920295923619637</v>
      </c>
      <c r="L183" s="107">
        <v>0.129</v>
      </c>
      <c r="M183" s="107">
        <v>0.19585440315176539</v>
      </c>
      <c r="N183" s="107">
        <v>2.8118011987369731</v>
      </c>
      <c r="O183" s="107">
        <f>INDEX(Pipes_result_save_V1!$K$2:$K$206,MATCH(D183,Pipes_result_save_V1!$I$2:$I$206,0)) *POWER(10,-3)</f>
        <v>1.0760909080505369E-2</v>
      </c>
      <c r="P183" s="78">
        <v>5.6664658257871477E-3</v>
      </c>
      <c r="Q183" s="78">
        <v>5.0944432547182211E-3</v>
      </c>
      <c r="R183" s="78"/>
      <c r="S183" s="78"/>
      <c r="T183" s="78"/>
      <c r="U183" s="78"/>
      <c r="V183" s="78"/>
      <c r="W183" s="78">
        <v>0</v>
      </c>
      <c r="X183" s="78">
        <v>9</v>
      </c>
      <c r="Y183" s="78" t="s">
        <v>539</v>
      </c>
      <c r="Z183" s="78" t="s">
        <v>293</v>
      </c>
      <c r="AA183" s="106" t="str">
        <f>INDEX(Pipes_result_save_V1!$G$2:$G$206,MATCH(Z183,Pipes_result_save_V1!$I$2:$I$206,0))</f>
        <v>N130</v>
      </c>
      <c r="AB183" s="106" t="str">
        <f>INDEX(Pipes_result_save_V1!$H$2:$H$206,MATCH(Z183,Pipes_result_save_V1!$I$2:$I$206,0))</f>
        <v>N129</v>
      </c>
      <c r="AC183" s="106">
        <f t="shared" si="30"/>
        <v>4.9326517420330207E-4</v>
      </c>
      <c r="AD183" s="78">
        <v>300</v>
      </c>
      <c r="AE183" s="78">
        <v>150</v>
      </c>
      <c r="AF183" s="78">
        <v>82</v>
      </c>
      <c r="AG183" s="78">
        <v>28.784970942456937</v>
      </c>
      <c r="AH183" s="78">
        <v>5.8057999999999998E-2</v>
      </c>
      <c r="AI183" s="78">
        <v>0</v>
      </c>
      <c r="AJ183" s="78">
        <v>0</v>
      </c>
      <c r="AK183" s="78">
        <v>0.14785579506720234</v>
      </c>
      <c r="AL183">
        <v>4.7164720187477842</v>
      </c>
      <c r="AM183" s="107">
        <f>INDEX(Pipes_result_save_V1!$K$2:$K$206,MATCH(Z183,Pipes_result_save_V1!$I$2:$I$206,0)) *POWER(10,-3)</f>
        <v>-4.2200489044189457E-3</v>
      </c>
      <c r="AN183" s="78">
        <v>2.0451193143003572E-3</v>
      </c>
      <c r="AO183" s="78">
        <v>-2.1749295901185885E-3</v>
      </c>
      <c r="AU183">
        <v>0</v>
      </c>
      <c r="AV183">
        <v>9</v>
      </c>
      <c r="AW183" t="s">
        <v>539</v>
      </c>
      <c r="AX183" t="s">
        <v>186</v>
      </c>
      <c r="AY183" s="106" t="str">
        <f>INDEX(Pipes_result_save_V1!$G$2:$G$206,MATCH(AX183,Pipes_result_save_V1!$I$2:$I$206,0))</f>
        <v>N78</v>
      </c>
      <c r="AZ183" s="106" t="str">
        <f>INDEX(Pipes_result_save_V1!$H$2:$H$206,MATCH(AX183,Pipes_result_save_V1!$I$2:$I$206,0))</f>
        <v>N79</v>
      </c>
      <c r="BA183" s="106">
        <f t="shared" si="31"/>
        <v>4.8623911072191564E-2</v>
      </c>
      <c r="BB183">
        <v>250</v>
      </c>
      <c r="BC183">
        <v>150</v>
      </c>
      <c r="BD183">
        <v>78</v>
      </c>
      <c r="BE183">
        <v>66.548519038506782</v>
      </c>
      <c r="BF183">
        <v>3.2837000000000005E-2</v>
      </c>
      <c r="BG183">
        <v>0.11897166707242018</v>
      </c>
      <c r="BH183">
        <v>6.7099773858185019</v>
      </c>
      <c r="BI183" s="107">
        <f>INDEX(Pipes_result_save_V1!$K$2:$K$206,MATCH(AX183,Pipes_result_save_V1!$I$2:$I$206,0)) *POWER(10,-3)</f>
        <v>5.7179180145263672E-2</v>
      </c>
      <c r="BJ183" s="78">
        <v>5.4724288895827613E-3</v>
      </c>
      <c r="BK183" s="78">
        <v>5.1706751255680909E-2</v>
      </c>
      <c r="BR183">
        <v>0</v>
      </c>
      <c r="BS183">
        <v>9</v>
      </c>
      <c r="BT183" t="s">
        <v>539</v>
      </c>
      <c r="BU183" t="s">
        <v>126</v>
      </c>
      <c r="BV183" s="106" t="str">
        <f>INDEX(Pipes_result_save_V1!$G$2:$G$206,MATCH(BU183,Pipes_result_save_V1!$I$2:$I$206,0))</f>
        <v>N59</v>
      </c>
      <c r="BW183" s="106" t="str">
        <f>INDEX(Pipes_result_save_V1!$H$2:$H$206,MATCH(BU183,Pipes_result_save_V1!$I$2:$I$206,0))</f>
        <v>N58</v>
      </c>
      <c r="BX183" s="106">
        <f t="shared" si="32"/>
        <v>1.5513456882792235E-2</v>
      </c>
      <c r="BY183">
        <v>250</v>
      </c>
      <c r="BZ183">
        <v>150</v>
      </c>
      <c r="CA183">
        <v>32</v>
      </c>
      <c r="CB183">
        <v>27.30195652861817</v>
      </c>
      <c r="CC183">
        <v>3.2837000000000005E-2</v>
      </c>
      <c r="CD183">
        <v>4.8808889055351877E-2</v>
      </c>
      <c r="CE183">
        <v>2.7528112352075911</v>
      </c>
      <c r="CF183" s="107">
        <f>INDEX(Pipes_result_save_V1!$K$2:$K$206,MATCH(BU183,Pipes_result_save_V1!$I$2:$I$206,0)) *POWER(10,-3)</f>
        <v>-2.5771469116210942E-2</v>
      </c>
      <c r="CG183" s="78">
        <v>5.5781242088045243E-3</v>
      </c>
      <c r="CH183" s="78">
        <v>-2.0193344907406416E-2</v>
      </c>
      <c r="CN183">
        <v>0</v>
      </c>
      <c r="CO183">
        <v>9</v>
      </c>
      <c r="CP183" t="s">
        <v>540</v>
      </c>
      <c r="CQ183" t="s">
        <v>132</v>
      </c>
      <c r="CR183" s="106" t="str">
        <f>INDEX(Pipes_result_save_V1!$G$2:$G$206,MATCH(CQ183,Pipes_result_save_V1!$I$2:$I$206,0))</f>
        <v>N38</v>
      </c>
      <c r="CS183" s="106" t="str">
        <f>INDEX(Pipes_result_save_V1!$H$2:$H$206,MATCH(CQ183,Pipes_result_save_V1!$I$2:$I$206,0))</f>
        <v>N37</v>
      </c>
      <c r="CT183" s="106">
        <f t="shared" si="33"/>
        <v>0.1060138096683628</v>
      </c>
      <c r="CU183">
        <v>350</v>
      </c>
      <c r="CV183">
        <v>150</v>
      </c>
      <c r="CW183">
        <v>101</v>
      </c>
      <c r="CX183">
        <v>16.733065246863553</v>
      </c>
      <c r="CY183">
        <v>-8.3280000000000007E-2</v>
      </c>
      <c r="CZ183">
        <v>-0.16765515498287359</v>
      </c>
      <c r="DA183">
        <v>3.7283543110984856</v>
      </c>
      <c r="DB183" s="107">
        <f>INDEX(Pipes_result_save_V1!$K$2:$K$206,MATCH(CQ183,Pipes_result_save_V1!$I$2:$I$206,0)) *POWER(10,-3)</f>
        <v>-0.1133800048828125</v>
      </c>
      <c r="DC183" s="78">
        <v>5.3039577739582063E-3</v>
      </c>
      <c r="DD183" s="78">
        <v>-0.1080760471088543</v>
      </c>
      <c r="DL183">
        <v>0</v>
      </c>
      <c r="DM183">
        <v>9</v>
      </c>
      <c r="DN183" t="s">
        <v>539</v>
      </c>
      <c r="DO183" t="s">
        <v>149</v>
      </c>
      <c r="DP183" s="106" t="str">
        <f>INDEX(Pipes_result_save_V1!$G$2:$G$206,MATCH(DO183,Pipes_result_save_V1!$I$2:$I$206,0))</f>
        <v>N21</v>
      </c>
      <c r="DQ183" s="106" t="str">
        <f>INDEX(Pipes_result_save_V1!$H$2:$H$206,MATCH(DO183,Pipes_result_save_V1!$I$2:$I$206,0))</f>
        <v>N20</v>
      </c>
      <c r="DR183" s="106">
        <f t="shared" si="34"/>
        <v>0.19558411158842803</v>
      </c>
      <c r="DS183">
        <v>466</v>
      </c>
      <c r="DT183">
        <v>150</v>
      </c>
      <c r="DU183">
        <v>67</v>
      </c>
      <c r="DV183">
        <v>2.7528121550398579</v>
      </c>
      <c r="DW183">
        <v>0.16656000000000001</v>
      </c>
      <c r="DX183">
        <v>9.9569318856939398E-2</v>
      </c>
      <c r="DY183">
        <v>1.1071228297493503</v>
      </c>
      <c r="DZ183" s="107">
        <f>INDEX(Pipes_result_save_V1!$K$2:$K$206,MATCH(DO183,Pipes_result_save_V1!$I$2:$I$206,0)) *POWER(10,-3)</f>
        <v>-0.20692651367187501</v>
      </c>
      <c r="EA183" s="78">
        <v>6.4258328353900933E-3</v>
      </c>
      <c r="EB183" s="78">
        <v>-0.20050068083648492</v>
      </c>
      <c r="EI183">
        <v>0</v>
      </c>
      <c r="EJ183">
        <v>9</v>
      </c>
      <c r="EK183" t="s">
        <v>539</v>
      </c>
      <c r="EL183" t="s">
        <v>402</v>
      </c>
      <c r="EM183" s="106" t="str">
        <f>INDEX(Pipes_result_save_V1!$G$2:$G$206,MATCH(EL183,Pipes_result_save_V1!$I$2:$I$206,0))</f>
        <v>N8</v>
      </c>
      <c r="EN183" s="106" t="str">
        <f>INDEX(Pipes_result_save_V1!$H$2:$H$206,MATCH(EL183,Pipes_result_save_V1!$I$2:$I$206,0))</f>
        <v>N7</v>
      </c>
      <c r="EO183" s="106">
        <f t="shared" si="35"/>
        <v>2.3857198011229073E-2</v>
      </c>
      <c r="EP183">
        <v>350</v>
      </c>
      <c r="EQ183">
        <v>150</v>
      </c>
      <c r="ER183">
        <v>133</v>
      </c>
      <c r="ES183">
        <v>22.034630473592603</v>
      </c>
      <c r="ET183">
        <v>8.3280000000000007E-2</v>
      </c>
      <c r="EU183">
        <v>0.22077361992794248</v>
      </c>
      <c r="EV183">
        <v>4.9096150829316691</v>
      </c>
      <c r="EW183" s="107">
        <f>INDEX(Pipes_result_save_V1!$K$2:$K$206,MATCH(EL183,Pipes_result_save_V1!$I$2:$I$206,0)) *POWER(10,-3)</f>
        <v>-3.1258901596069338E-2</v>
      </c>
      <c r="EX183" s="78">
        <v>5.419887647284332E-3</v>
      </c>
      <c r="EY183" s="78">
        <v>-2.5839013948785006E-2</v>
      </c>
    </row>
    <row r="184" spans="2:155" ht="30" x14ac:dyDescent="0.25">
      <c r="B184" s="106">
        <v>10</v>
      </c>
      <c r="C184" s="106" t="s">
        <v>539</v>
      </c>
      <c r="D184" s="106" t="s">
        <v>183</v>
      </c>
      <c r="E184" s="106" t="str">
        <f>INDEX(Pipes_result_save_V1!$G$2:$G$206,MATCH(D184,Pipes_result_save_V1!$I$2:$I$206,0))</f>
        <v>N92</v>
      </c>
      <c r="F184" s="106" t="str">
        <f>INDEX(Pipes_result_save_V1!$H$2:$H$206,MATCH(D184,Pipes_result_save_V1!$I$2:$I$206,0))</f>
        <v>N93</v>
      </c>
      <c r="G184" s="106">
        <f t="shared" si="29"/>
        <v>1.467413532335158E-3</v>
      </c>
      <c r="H184" s="107">
        <v>400</v>
      </c>
      <c r="I184" s="107">
        <v>150</v>
      </c>
      <c r="J184" s="107">
        <v>111</v>
      </c>
      <c r="K184" s="107">
        <v>9.5961788981398755</v>
      </c>
      <c r="L184" s="107">
        <v>0.111</v>
      </c>
      <c r="M184" s="107">
        <v>0.16369540640591485</v>
      </c>
      <c r="N184" s="107">
        <v>2.7312062402140032</v>
      </c>
      <c r="O184" s="107">
        <f>INDEX(Pipes_result_save_V1!$K$2:$K$206,MATCH(D184,Pipes_result_save_V1!$I$2:$I$206,0)) *POWER(10,-3)</f>
        <v>9.3915777206420893E-3</v>
      </c>
      <c r="P184" s="78">
        <v>5.1410950439355957E-3</v>
      </c>
      <c r="Q184" s="78">
        <v>4.2504826767064937E-3</v>
      </c>
      <c r="R184" s="78"/>
      <c r="S184" s="78"/>
      <c r="T184" s="78"/>
      <c r="U184" s="78"/>
      <c r="V184" s="78"/>
      <c r="W184" s="78">
        <v>0</v>
      </c>
      <c r="X184" s="78">
        <v>10</v>
      </c>
      <c r="Y184" s="78" t="s">
        <v>539</v>
      </c>
      <c r="Z184" s="78" t="s">
        <v>294</v>
      </c>
      <c r="AA184" s="106" t="str">
        <f>INDEX(Pipes_result_save_V1!$G$2:$G$206,MATCH(Z184,Pipes_result_save_V1!$I$2:$I$206,0))</f>
        <v>N131</v>
      </c>
      <c r="AB184" s="106" t="str">
        <f>INDEX(Pipes_result_save_V1!$H$2:$H$206,MATCH(Z184,Pipes_result_save_V1!$I$2:$I$206,0))</f>
        <v>N130</v>
      </c>
      <c r="AC184" s="106">
        <f t="shared" si="30"/>
        <v>2.3373640010856379E-3</v>
      </c>
      <c r="AD184" s="78">
        <v>300</v>
      </c>
      <c r="AE184" s="78">
        <v>150</v>
      </c>
      <c r="AF184" s="78">
        <v>75</v>
      </c>
      <c r="AG184" s="78">
        <v>26.327717325417932</v>
      </c>
      <c r="AH184" s="78">
        <v>5.8057999999999998E-2</v>
      </c>
      <c r="AI184" s="78">
        <v>0</v>
      </c>
      <c r="AJ184" s="78">
        <v>0</v>
      </c>
      <c r="AK184" s="78">
        <v>0.13523395890292897</v>
      </c>
      <c r="AL184">
        <v>4.3138463586107783</v>
      </c>
      <c r="AM184" s="107">
        <f>INDEX(Pipes_result_save_V1!$K$2:$K$206,MATCH(Z184,Pipes_result_save_V1!$I$2:$I$206,0)) *POWER(10,-3)</f>
        <v>-3.3242774009704591E-3</v>
      </c>
      <c r="AN184" s="78">
        <v>2.9765588437570896E-3</v>
      </c>
      <c r="AO184" s="78">
        <v>-3.4771855721336953E-4</v>
      </c>
      <c r="AU184">
        <v>0</v>
      </c>
      <c r="AV184">
        <v>10</v>
      </c>
      <c r="AW184" t="s">
        <v>539</v>
      </c>
      <c r="AX184" t="s">
        <v>187</v>
      </c>
      <c r="AY184" s="106" t="str">
        <f>INDEX(Pipes_result_save_V1!$G$2:$G$206,MATCH(AX184,Pipes_result_save_V1!$I$2:$I$206,0))</f>
        <v>N80</v>
      </c>
      <c r="AZ184" s="106" t="str">
        <f>INDEX(Pipes_result_save_V1!$H$2:$H$206,MATCH(AX184,Pipes_result_save_V1!$I$2:$I$206,0))</f>
        <v>N79</v>
      </c>
      <c r="BA184" s="106">
        <f t="shared" si="31"/>
        <v>4.8371213717852912E-2</v>
      </c>
      <c r="BB184">
        <v>250</v>
      </c>
      <c r="BC184">
        <v>150</v>
      </c>
      <c r="BD184">
        <v>79</v>
      </c>
      <c r="BE184">
        <v>67.401705180026113</v>
      </c>
      <c r="BF184">
        <v>3.2837000000000005E-2</v>
      </c>
      <c r="BG184">
        <v>0.12049694485539995</v>
      </c>
      <c r="BH184">
        <v>6.7960027369187399</v>
      </c>
      <c r="BI184" s="107">
        <f>INDEX(Pipes_result_save_V1!$K$2:$K$206,MATCH(AX184,Pipes_result_save_V1!$I$2:$I$206,0)) *POWER(10,-3)</f>
        <v>-5.5878314971923831E-2</v>
      </c>
      <c r="BJ184" s="78">
        <v>5.4515790317720761E-3</v>
      </c>
      <c r="BK184" s="78">
        <v>-5.0426735940151755E-2</v>
      </c>
      <c r="BR184">
        <v>0</v>
      </c>
      <c r="BS184">
        <v>10</v>
      </c>
      <c r="BT184" t="s">
        <v>539</v>
      </c>
      <c r="BU184" t="s">
        <v>125</v>
      </c>
      <c r="BV184" s="106" t="str">
        <f>INDEX(Pipes_result_save_V1!$G$2:$G$206,MATCH(BU184,Pipes_result_save_V1!$I$2:$I$206,0))</f>
        <v>N60</v>
      </c>
      <c r="BW184" s="106" t="str">
        <f>INDEX(Pipes_result_save_V1!$H$2:$H$206,MATCH(BU184,Pipes_result_save_V1!$I$2:$I$206,0))</f>
        <v>N59</v>
      </c>
      <c r="BX184" s="106">
        <f t="shared" si="32"/>
        <v>1.764648039127218E-2</v>
      </c>
      <c r="BY184">
        <v>250</v>
      </c>
      <c r="BZ184">
        <v>150</v>
      </c>
      <c r="CA184">
        <v>79</v>
      </c>
      <c r="CB184">
        <v>67.401705180026113</v>
      </c>
      <c r="CC184">
        <v>3.2837000000000005E-2</v>
      </c>
      <c r="CD184">
        <v>0.12049694485539995</v>
      </c>
      <c r="CE184">
        <v>6.7960027369187399</v>
      </c>
      <c r="CF184" s="107">
        <f>INDEX(Pipes_result_save_V1!$K$2:$K$206,MATCH(BU184,Pipes_result_save_V1!$I$2:$I$206,0)) *POWER(10,-3)</f>
        <v>-2.5138153076171878E-2</v>
      </c>
      <c r="CG184" s="78">
        <v>6.2043547710051656E-3</v>
      </c>
      <c r="CH184" s="78">
        <v>-1.8933798305166713E-2</v>
      </c>
      <c r="CN184">
        <v>0</v>
      </c>
      <c r="CO184">
        <v>10</v>
      </c>
      <c r="CP184" t="s">
        <v>540</v>
      </c>
      <c r="CQ184" t="s">
        <v>408</v>
      </c>
      <c r="CR184" s="106" t="str">
        <f>INDEX(Pipes_result_save_V1!$G$2:$G$206,MATCH(CQ184,Pipes_result_save_V1!$I$2:$I$206,0))</f>
        <v>N39</v>
      </c>
      <c r="CS184" s="106" t="str">
        <f>INDEX(Pipes_result_save_V1!$H$2:$H$206,MATCH(CQ184,Pipes_result_save_V1!$I$2:$I$206,0))</f>
        <v>N38</v>
      </c>
      <c r="CT184" s="106">
        <f t="shared" si="33"/>
        <v>0.10530683810461154</v>
      </c>
      <c r="CU184">
        <v>350</v>
      </c>
      <c r="CV184">
        <v>150</v>
      </c>
      <c r="CW184">
        <v>91</v>
      </c>
      <c r="CX184">
        <v>15.076326113510728</v>
      </c>
      <c r="CY184">
        <v>-8.3280000000000007E-2</v>
      </c>
      <c r="CZ184">
        <v>-0.15105563468753958</v>
      </c>
      <c r="DA184">
        <v>3.3592103199006162</v>
      </c>
      <c r="DB184" s="107">
        <f>INDEX(Pipes_result_save_V1!$K$2:$K$206,MATCH(CQ184,Pipes_result_save_V1!$I$2:$I$206,0)) *POWER(10,-3)</f>
        <v>-0.112284538269043</v>
      </c>
      <c r="DC184" s="78">
        <v>6.194731456914444E-3</v>
      </c>
      <c r="DD184" s="78">
        <v>-0.10608980681212855</v>
      </c>
      <c r="DL184">
        <v>0</v>
      </c>
      <c r="DM184">
        <v>10</v>
      </c>
      <c r="DN184" t="s">
        <v>539</v>
      </c>
      <c r="DO184" t="s">
        <v>148</v>
      </c>
      <c r="DP184" s="106" t="str">
        <f>INDEX(Pipes_result_save_V1!$G$2:$G$206,MATCH(DO184,Pipes_result_save_V1!$I$2:$I$206,0))</f>
        <v>N22</v>
      </c>
      <c r="DQ184" s="106" t="str">
        <f>INDEX(Pipes_result_save_V1!$H$2:$H$206,MATCH(DO184,Pipes_result_save_V1!$I$2:$I$206,0))</f>
        <v>N21</v>
      </c>
      <c r="DR184" s="106">
        <f t="shared" si="34"/>
        <v>0.19416402659125065</v>
      </c>
      <c r="DS184">
        <v>466</v>
      </c>
      <c r="DT184">
        <v>150</v>
      </c>
      <c r="DU184">
        <v>194</v>
      </c>
      <c r="DV184">
        <v>7.9708292250407817</v>
      </c>
      <c r="DW184">
        <v>0.16656000000000001</v>
      </c>
      <c r="DX184">
        <v>0.28830519191412302</v>
      </c>
      <c r="DY184">
        <v>3.2056989398712523</v>
      </c>
      <c r="DZ184" s="107">
        <f>INDEX(Pipes_result_save_V1!$K$2:$K$206,MATCH(DO184,Pipes_result_save_V1!$I$2:$I$206,0)) *POWER(10,-3)</f>
        <v>-0.2054373626708984</v>
      </c>
      <c r="EA184" s="78">
        <v>6.026751064043042E-3</v>
      </c>
      <c r="EB184" s="78">
        <v>-0.19941061160685536</v>
      </c>
      <c r="EI184">
        <v>0</v>
      </c>
      <c r="EJ184">
        <v>10</v>
      </c>
      <c r="EK184" t="s">
        <v>539</v>
      </c>
      <c r="EL184" t="s">
        <v>174</v>
      </c>
      <c r="EM184" s="106" t="str">
        <f>INDEX(Pipes_result_save_V1!$G$2:$G$206,MATCH(EL184,Pipes_result_save_V1!$I$2:$I$206,0))</f>
        <v>N9</v>
      </c>
      <c r="EN184" s="106" t="str">
        <f>INDEX(Pipes_result_save_V1!$H$2:$H$206,MATCH(EL184,Pipes_result_save_V1!$I$2:$I$206,0))</f>
        <v>N8</v>
      </c>
      <c r="EO184" s="106">
        <f t="shared" si="35"/>
        <v>2.2431506178413399E-2</v>
      </c>
      <c r="EP184">
        <v>350</v>
      </c>
      <c r="EQ184">
        <v>150</v>
      </c>
      <c r="ER184">
        <v>178</v>
      </c>
      <c r="ES184">
        <v>29.489956573680328</v>
      </c>
      <c r="ET184">
        <v>8.3280000000000007E-2</v>
      </c>
      <c r="EU184">
        <v>0.29547146125694557</v>
      </c>
      <c r="EV184">
        <v>6.5707630433220849</v>
      </c>
      <c r="EW184" s="107">
        <f>INDEX(Pipes_result_save_V1!$K$2:$K$206,MATCH(EL184,Pipes_result_save_V1!$I$2:$I$206,0)) *POWER(10,-3)</f>
        <v>-2.9484477996826169E-2</v>
      </c>
      <c r="EX184" s="78">
        <v>5.2253689992558623E-3</v>
      </c>
      <c r="EY184" s="78">
        <v>-2.4259108997570306E-2</v>
      </c>
    </row>
    <row r="185" spans="2:155" ht="30" x14ac:dyDescent="0.25">
      <c r="B185" s="106">
        <v>11</v>
      </c>
      <c r="C185" s="106" t="s">
        <v>539</v>
      </c>
      <c r="D185" s="106" t="s">
        <v>192</v>
      </c>
      <c r="E185" s="106" t="str">
        <f>INDEX(Pipes_result_save_V1!$G$2:$G$206,MATCH(D185,Pipes_result_save_V1!$I$2:$I$206,0))</f>
        <v>N93</v>
      </c>
      <c r="F185" s="106" t="str">
        <f>INDEX(Pipes_result_save_V1!$H$2:$H$206,MATCH(D185,Pipes_result_save_V1!$I$2:$I$206,0))</f>
        <v>N94</v>
      </c>
      <c r="G185" s="106">
        <f t="shared" si="29"/>
        <v>2.3790241119899446E-3</v>
      </c>
      <c r="H185" s="107">
        <v>350</v>
      </c>
      <c r="I185" s="107">
        <v>150</v>
      </c>
      <c r="J185" s="107">
        <v>88</v>
      </c>
      <c r="K185" s="107">
        <v>14.579304373504881</v>
      </c>
      <c r="L185" s="107">
        <v>8.7999999999999995E-2</v>
      </c>
      <c r="M185" s="107">
        <v>0.16177772046556005</v>
      </c>
      <c r="N185" s="107">
        <v>3.4046856625251967</v>
      </c>
      <c r="O185" s="107">
        <f>INDEX(Pipes_result_save_V1!$K$2:$K$206,MATCH(D185,Pipes_result_save_V1!$I$2:$I$206,0)) *POWER(10,-3)</f>
        <v>8.256173133850098E-3</v>
      </c>
      <c r="P185" s="78">
        <v>6.4400131087253634E-3</v>
      </c>
      <c r="Q185" s="78">
        <v>1.8161600251247346E-3</v>
      </c>
      <c r="R185" s="78"/>
      <c r="S185" s="78"/>
      <c r="T185" s="78"/>
      <c r="U185" s="78"/>
      <c r="V185" s="78"/>
      <c r="W185" s="78">
        <v>0</v>
      </c>
      <c r="X185" s="78">
        <v>11</v>
      </c>
      <c r="Y185" s="78" t="s">
        <v>539</v>
      </c>
      <c r="Z185" s="78" t="s">
        <v>295</v>
      </c>
      <c r="AA185" s="106" t="str">
        <f>INDEX(Pipes_result_save_V1!$G$2:$G$206,MATCH(Z185,Pipes_result_save_V1!$I$2:$I$206,0))</f>
        <v>N132</v>
      </c>
      <c r="AB185" s="106" t="str">
        <f>INDEX(Pipes_result_save_V1!$H$2:$H$206,MATCH(Z185,Pipes_result_save_V1!$I$2:$I$206,0))</f>
        <v>N131</v>
      </c>
      <c r="AC185" s="106">
        <f t="shared" si="30"/>
        <v>3.4432834261369288E-3</v>
      </c>
      <c r="AD185" s="78">
        <v>300</v>
      </c>
      <c r="AE185" s="78">
        <v>150</v>
      </c>
      <c r="AF185" s="78">
        <v>108</v>
      </c>
      <c r="AG185" s="78">
        <v>37.911912948601824</v>
      </c>
      <c r="AH185" s="78">
        <v>5.8057999999999998E-2</v>
      </c>
      <c r="AI185" s="78">
        <v>0</v>
      </c>
      <c r="AJ185" s="78">
        <v>0</v>
      </c>
      <c r="AK185" s="78">
        <v>0.19473690082021772</v>
      </c>
      <c r="AL185">
        <v>6.2119387563995216</v>
      </c>
      <c r="AM185" s="107">
        <f>INDEX(Pipes_result_save_V1!$K$2:$K$206,MATCH(Z185,Pipes_result_save_V1!$I$2:$I$206,0)) *POWER(10,-3)</f>
        <v>-2.2801618576049803E-3</v>
      </c>
      <c r="AN185" s="78">
        <v>4.9607976540950102E-3</v>
      </c>
      <c r="AO185" s="78">
        <v>2.68063579649003E-3</v>
      </c>
      <c r="AU185">
        <v>0</v>
      </c>
      <c r="AV185">
        <v>11</v>
      </c>
      <c r="AW185" t="s">
        <v>539</v>
      </c>
      <c r="AX185" t="s">
        <v>185</v>
      </c>
      <c r="AY185" s="106" t="str">
        <f>INDEX(Pipes_result_save_V1!$G$2:$G$206,MATCH(AX185,Pipes_result_save_V1!$I$2:$I$206,0))</f>
        <v>N81</v>
      </c>
      <c r="AZ185" s="106" t="str">
        <f>INDEX(Pipes_result_save_V1!$H$2:$H$206,MATCH(AX185,Pipes_result_save_V1!$I$2:$I$206,0))</f>
        <v>N80</v>
      </c>
      <c r="BA185" s="106">
        <f t="shared" si="31"/>
        <v>4.3499642463957676E-2</v>
      </c>
      <c r="BB185">
        <v>250</v>
      </c>
      <c r="BC185">
        <v>150</v>
      </c>
      <c r="BD185">
        <v>80</v>
      </c>
      <c r="BE185">
        <v>68.254891321545429</v>
      </c>
      <c r="BF185">
        <v>3.2835999999999997E-2</v>
      </c>
      <c r="BG185">
        <v>0.12201534069957347</v>
      </c>
      <c r="BH185">
        <v>6.8818495241689046</v>
      </c>
      <c r="BI185" s="107">
        <f>INDEX(Pipes_result_save_V1!$K$2:$K$206,MATCH(AX185,Pipes_result_save_V1!$I$2:$I$206,0)) *POWER(10,-3)</f>
        <v>-5.5022480010986329E-2</v>
      </c>
      <c r="BJ185" s="78">
        <v>6.4606581198190681E-3</v>
      </c>
      <c r="BK185" s="78">
        <v>-4.8561821891167263E-2</v>
      </c>
      <c r="BR185">
        <v>0</v>
      </c>
      <c r="BS185">
        <v>11</v>
      </c>
      <c r="BT185" t="s">
        <v>539</v>
      </c>
      <c r="BU185" t="s">
        <v>124</v>
      </c>
      <c r="BV185" s="106" t="str">
        <f>INDEX(Pipes_result_save_V1!$G$2:$G$206,MATCH(BU185,Pipes_result_save_V1!$I$2:$I$206,0))</f>
        <v>N61</v>
      </c>
      <c r="BW185" s="106" t="str">
        <f>INDEX(Pipes_result_save_V1!$H$2:$H$206,MATCH(BU185,Pipes_result_save_V1!$I$2:$I$206,0))</f>
        <v>N60</v>
      </c>
      <c r="BX185" s="106">
        <f t="shared" si="32"/>
        <v>1.4348535735898406E-2</v>
      </c>
      <c r="BY185">
        <v>250</v>
      </c>
      <c r="BZ185">
        <v>150</v>
      </c>
      <c r="CA185">
        <v>51</v>
      </c>
      <c r="CB185">
        <v>43.512493217485208</v>
      </c>
      <c r="CC185">
        <v>3.2837000000000005E-2</v>
      </c>
      <c r="CD185">
        <v>7.7789166931967052E-2</v>
      </c>
      <c r="CE185">
        <v>4.3872929061120978</v>
      </c>
      <c r="CF185" s="107">
        <f>INDEX(Pipes_result_save_V1!$K$2:$K$206,MATCH(BU185,Pipes_result_save_V1!$I$2:$I$206,0)) *POWER(10,-3)</f>
        <v>-2.439643096923828E-2</v>
      </c>
      <c r="CG185" s="78">
        <v>5.6834226732106396E-3</v>
      </c>
      <c r="CH185" s="78">
        <v>-1.871300829602764E-2</v>
      </c>
      <c r="CN185">
        <v>0</v>
      </c>
      <c r="CO185">
        <v>11</v>
      </c>
      <c r="CP185" t="s">
        <v>540</v>
      </c>
      <c r="CQ185" t="s">
        <v>172</v>
      </c>
      <c r="CR185" s="106" t="str">
        <f>INDEX(Pipes_result_save_V1!$G$2:$G$206,MATCH(CQ185,Pipes_result_save_V1!$I$2:$I$206,0))</f>
        <v>N40</v>
      </c>
      <c r="CS185" s="106" t="str">
        <f>INDEX(Pipes_result_save_V1!$H$2:$H$206,MATCH(CQ185,Pipes_result_save_V1!$I$2:$I$206,0))</f>
        <v>N39</v>
      </c>
      <c r="CT185" s="106">
        <f t="shared" si="33"/>
        <v>9.942276996042658E-2</v>
      </c>
      <c r="CU185">
        <v>350</v>
      </c>
      <c r="CV185">
        <v>150</v>
      </c>
      <c r="CW185">
        <v>87</v>
      </c>
      <c r="CX185">
        <v>14.413630460169598</v>
      </c>
      <c r="CY185">
        <v>-8.3280000000000007E-2</v>
      </c>
      <c r="CZ185">
        <v>-0.14441582656940599</v>
      </c>
      <c r="DA185">
        <v>3.2115527234214682</v>
      </c>
      <c r="DB185" s="107">
        <f>INDEX(Pipes_result_save_V1!$K$2:$K$206,MATCH(CQ185,Pipes_result_save_V1!$I$2:$I$206,0)) *POWER(10,-3)</f>
        <v>-0.1112689437866211</v>
      </c>
      <c r="DC185" s="78">
        <v>5.341244150467433E-3</v>
      </c>
      <c r="DD185" s="78">
        <v>-0.10592769963615366</v>
      </c>
      <c r="DL185">
        <v>0</v>
      </c>
      <c r="DM185">
        <v>11</v>
      </c>
      <c r="DN185" t="s">
        <v>539</v>
      </c>
      <c r="DO185" t="s">
        <v>147</v>
      </c>
      <c r="DP185" s="106" t="str">
        <f>INDEX(Pipes_result_save_V1!$G$2:$G$206,MATCH(DO185,Pipes_result_save_V1!$I$2:$I$206,0))</f>
        <v>N23</v>
      </c>
      <c r="DQ185" s="106" t="str">
        <f>INDEX(Pipes_result_save_V1!$H$2:$H$206,MATCH(DO185,Pipes_result_save_V1!$I$2:$I$206,0))</f>
        <v>N22</v>
      </c>
      <c r="DR185" s="106">
        <f t="shared" si="34"/>
        <v>0.1936776386503658</v>
      </c>
      <c r="DS185">
        <v>466</v>
      </c>
      <c r="DT185">
        <v>150</v>
      </c>
      <c r="DU185">
        <v>74</v>
      </c>
      <c r="DV185">
        <v>3.0404193951186484</v>
      </c>
      <c r="DW185">
        <v>0.16656000000000001</v>
      </c>
      <c r="DX185">
        <v>0.10997208351363455</v>
      </c>
      <c r="DY185">
        <v>1.2227923791261477</v>
      </c>
      <c r="DZ185" s="107">
        <f>INDEX(Pipes_result_save_V1!$K$2:$K$206,MATCH(DO185,Pipes_result_save_V1!$I$2:$I$206,0)) *POWER(10,-3)</f>
        <v>-0.20390827941894532</v>
      </c>
      <c r="EA185" s="78">
        <v>5.186407326757592E-3</v>
      </c>
      <c r="EB185" s="78">
        <v>-0.19872187209218772</v>
      </c>
      <c r="EI185">
        <v>0</v>
      </c>
      <c r="EJ185">
        <v>11</v>
      </c>
      <c r="EK185" t="s">
        <v>539</v>
      </c>
      <c r="EL185" t="s">
        <v>175</v>
      </c>
      <c r="EM185" s="106" t="str">
        <f>INDEX(Pipes_result_save_V1!$G$2:$G$206,MATCH(EL185,Pipes_result_save_V1!$I$2:$I$206,0))</f>
        <v>N10</v>
      </c>
      <c r="EN185" s="106" t="str">
        <f>INDEX(Pipes_result_save_V1!$H$2:$H$206,MATCH(EL185,Pipes_result_save_V1!$I$2:$I$206,0))</f>
        <v>N9</v>
      </c>
      <c r="EO185" s="106">
        <f t="shared" si="35"/>
        <v>1.7540625804645698E-2</v>
      </c>
      <c r="EP185">
        <v>350</v>
      </c>
      <c r="EQ185">
        <v>150</v>
      </c>
      <c r="ER185">
        <v>198</v>
      </c>
      <c r="ES185">
        <v>32.803434840385982</v>
      </c>
      <c r="ET185">
        <v>8.3280000000000007E-2</v>
      </c>
      <c r="EU185">
        <v>0.32867050184761359</v>
      </c>
      <c r="EV185">
        <v>7.3090510257178245</v>
      </c>
      <c r="EW185" s="107">
        <f>INDEX(Pipes_result_save_V1!$K$2:$K$206,MATCH(EL185,Pipes_result_save_V1!$I$2:$I$206,0)) *POWER(10,-3)</f>
        <v>-2.7339191436767583E-2</v>
      </c>
      <c r="EX185" s="78">
        <v>6.4474007047654585E-3</v>
      </c>
      <c r="EY185" s="78">
        <v>-2.0891790732002126E-2</v>
      </c>
    </row>
    <row r="186" spans="2:155" ht="30" x14ac:dyDescent="0.25">
      <c r="B186" s="106">
        <v>12</v>
      </c>
      <c r="C186" s="106" t="s">
        <v>539</v>
      </c>
      <c r="D186" s="106" t="s">
        <v>230</v>
      </c>
      <c r="E186" s="106" t="str">
        <f>INDEX(Pipes_result_save_V1!$G$2:$G$206,MATCH(D186,Pipes_result_save_V1!$I$2:$I$206,0))</f>
        <v>N94</v>
      </c>
      <c r="F186" s="106" t="str">
        <f>INDEX(Pipes_result_save_V1!$H$2:$H$206,MATCH(D186,Pipes_result_save_V1!$I$2:$I$206,0))</f>
        <v>N95</v>
      </c>
      <c r="G186" s="106">
        <f t="shared" si="29"/>
        <v>2.1239171332404468E-3</v>
      </c>
      <c r="H186" s="107">
        <v>350</v>
      </c>
      <c r="I186" s="107">
        <v>150</v>
      </c>
      <c r="J186" s="107">
        <v>74</v>
      </c>
      <c r="K186" s="107">
        <v>12.259869586810922</v>
      </c>
      <c r="L186" s="107">
        <v>7.3999999999999996E-2</v>
      </c>
      <c r="M186" s="107">
        <v>9.8696782594534224E-2</v>
      </c>
      <c r="N186" s="107">
        <v>2.4700870454740191</v>
      </c>
      <c r="O186" s="107">
        <f>INDEX(Pipes_result_save_V1!$K$2:$K$206,MATCH(D186,Pipes_result_save_V1!$I$2:$I$206,0)) *POWER(10,-3)</f>
        <v>7.3318743705749513E-3</v>
      </c>
      <c r="P186" s="78">
        <v>6.2863093128296037E-3</v>
      </c>
      <c r="Q186" s="78">
        <v>1.0455650577453476E-3</v>
      </c>
      <c r="R186" s="78"/>
      <c r="S186" s="78"/>
      <c r="T186" s="78"/>
      <c r="U186" s="78"/>
      <c r="V186" s="78"/>
      <c r="W186" s="78">
        <v>0</v>
      </c>
      <c r="X186" s="78">
        <v>12</v>
      </c>
      <c r="Y186" s="78" t="s">
        <v>539</v>
      </c>
      <c r="Z186" s="78" t="s">
        <v>296</v>
      </c>
      <c r="AA186" s="106" t="str">
        <f>INDEX(Pipes_result_save_V1!$G$2:$G$206,MATCH(Z186,Pipes_result_save_V1!$I$2:$I$206,0))</f>
        <v>N133</v>
      </c>
      <c r="AB186" s="106" t="str">
        <f>INDEX(Pipes_result_save_V1!$H$2:$H$206,MATCH(Z186,Pipes_result_save_V1!$I$2:$I$206,0))</f>
        <v>N132</v>
      </c>
      <c r="AC186" s="106">
        <f t="shared" si="30"/>
        <v>1.2362768954695983E-3</v>
      </c>
      <c r="AD186" s="78">
        <v>300</v>
      </c>
      <c r="AE186" s="78">
        <v>150</v>
      </c>
      <c r="AF186" s="78">
        <v>150</v>
      </c>
      <c r="AG186" s="78">
        <v>52.655434650835865</v>
      </c>
      <c r="AH186" s="78">
        <v>5.8057999999999998E-2</v>
      </c>
      <c r="AI186" s="78">
        <v>0</v>
      </c>
      <c r="AJ186" s="78">
        <v>0</v>
      </c>
      <c r="AK186" s="78">
        <v>0.27046791780585794</v>
      </c>
      <c r="AL186">
        <v>8.6276927172215565</v>
      </c>
      <c r="AM186" s="107">
        <f>INDEX(Pipes_result_save_V1!$K$2:$K$206,MATCH(Z186,Pipes_result_save_V1!$I$2:$I$206,0)) *POWER(10,-3)</f>
        <v>-8.0813032388687132E-4</v>
      </c>
      <c r="AN186" s="78">
        <v>4.851489264708366E-3</v>
      </c>
      <c r="AO186" s="78">
        <v>4.0433589408214949E-3</v>
      </c>
      <c r="AU186">
        <v>2</v>
      </c>
      <c r="AV186">
        <v>12</v>
      </c>
      <c r="AW186" t="s">
        <v>540</v>
      </c>
      <c r="AX186" t="s">
        <v>422</v>
      </c>
      <c r="AY186" s="106" t="str">
        <f>INDEX(Pipes_result_save_V1!$G$2:$G$206,MATCH(AX186,Pipes_result_save_V1!$I$2:$I$206,0))</f>
        <v>N81</v>
      </c>
      <c r="AZ186" s="106" t="str">
        <f>INDEX(Pipes_result_save_V1!$H$2:$H$206,MATCH(AX186,Pipes_result_save_V1!$I$2:$I$206,0))</f>
        <v>N135</v>
      </c>
      <c r="BA186" s="106">
        <f t="shared" si="31"/>
        <v>7.7685963678984608E-4</v>
      </c>
      <c r="BB186">
        <v>300</v>
      </c>
      <c r="BC186">
        <v>150</v>
      </c>
      <c r="BD186">
        <v>81</v>
      </c>
      <c r="BE186">
        <v>28.433934711451364</v>
      </c>
      <c r="BF186">
        <v>3.5211178482065772E-2</v>
      </c>
      <c r="BG186">
        <v>5.7848134769030488E-2</v>
      </c>
      <c r="BH186">
        <v>3.0426344760602615</v>
      </c>
      <c r="BI186" s="107">
        <f>INDEX(Pipes_result_save_V1!$K$2:$K$206,MATCH(AX186,Pipes_result_save_V1!$I$2:$I$206,0)) *POWER(10,-3)</f>
        <v>2.2272217273712159E-3</v>
      </c>
      <c r="BJ186" s="78">
        <v>5.5853532612658713E-3</v>
      </c>
      <c r="BK186" s="78">
        <v>-3.3581315338946554E-3</v>
      </c>
      <c r="BR186">
        <v>0</v>
      </c>
      <c r="BS186">
        <v>12</v>
      </c>
      <c r="BT186" t="s">
        <v>539</v>
      </c>
      <c r="BU186" t="s">
        <v>123</v>
      </c>
      <c r="BV186" s="106" t="str">
        <f>INDEX(Pipes_result_save_V1!$G$2:$G$206,MATCH(BU186,Pipes_result_save_V1!$I$2:$I$206,0))</f>
        <v>N62</v>
      </c>
      <c r="BW186" s="106" t="str">
        <f>INDEX(Pipes_result_save_V1!$H$2:$H$206,MATCH(BU186,Pipes_result_save_V1!$I$2:$I$206,0))</f>
        <v>N61</v>
      </c>
      <c r="BX186" s="106">
        <f t="shared" si="32"/>
        <v>1.439079867055304E-2</v>
      </c>
      <c r="BY186">
        <v>250</v>
      </c>
      <c r="BZ186">
        <v>150</v>
      </c>
      <c r="CA186">
        <v>73</v>
      </c>
      <c r="CB186">
        <v>62.282588330910201</v>
      </c>
      <c r="CC186">
        <v>3.2837000000000005E-2</v>
      </c>
      <c r="CD186">
        <v>0.11134527815752146</v>
      </c>
      <c r="CE186">
        <v>6.2798506303173163</v>
      </c>
      <c r="CF186" s="107">
        <f>INDEX(Pipes_result_save_V1!$K$2:$K$206,MATCH(BU186,Pipes_result_save_V1!$I$2:$I$206,0)) *POWER(10,-3)</f>
        <v>-2.3688943862915039E-2</v>
      </c>
      <c r="CG186" s="78">
        <v>6.0413349936045812E-3</v>
      </c>
      <c r="CH186" s="78">
        <v>-1.7647608869310459E-2</v>
      </c>
      <c r="CN186">
        <v>0</v>
      </c>
      <c r="CO186">
        <v>12</v>
      </c>
      <c r="CP186" t="s">
        <v>540</v>
      </c>
      <c r="CQ186" t="s">
        <v>170</v>
      </c>
      <c r="CR186" s="106" t="str">
        <f>INDEX(Pipes_result_save_V1!$G$2:$G$206,MATCH(CQ186,Pipes_result_save_V1!$I$2:$I$206,0))</f>
        <v>N41</v>
      </c>
      <c r="CS186" s="106" t="str">
        <f>INDEX(Pipes_result_save_V1!$H$2:$H$206,MATCH(CQ186,Pipes_result_save_V1!$I$2:$I$206,0))</f>
        <v>N40</v>
      </c>
      <c r="CT186" s="106">
        <f t="shared" si="33"/>
        <v>0.10294157911533856</v>
      </c>
      <c r="CU186">
        <v>350</v>
      </c>
      <c r="CV186">
        <v>150</v>
      </c>
      <c r="CW186">
        <v>94</v>
      </c>
      <c r="CX186">
        <v>15.573347853516577</v>
      </c>
      <c r="CY186">
        <v>-8.3280000000000007E-2</v>
      </c>
      <c r="CZ186">
        <v>-0.15603549077613979</v>
      </c>
      <c r="DA186">
        <v>3.4699535172599769</v>
      </c>
      <c r="DB186" s="107">
        <f>INDEX(Pipes_result_save_V1!$K$2:$K$206,MATCH(CQ186,Pipes_result_save_V1!$I$2:$I$206,0)) *POWER(10,-3)</f>
        <v>-0.10984255981445309</v>
      </c>
      <c r="DC186" s="78">
        <v>5.2385239985790026E-3</v>
      </c>
      <c r="DD186" s="78">
        <v>-0.10460403581587409</v>
      </c>
      <c r="DL186">
        <v>0</v>
      </c>
      <c r="DM186">
        <v>12</v>
      </c>
      <c r="DN186" t="s">
        <v>539</v>
      </c>
      <c r="DO186" t="s">
        <v>146</v>
      </c>
      <c r="DP186" s="106" t="str">
        <f>INDEX(Pipes_result_save_V1!$G$2:$G$206,MATCH(DO186,Pipes_result_save_V1!$I$2:$I$206,0))</f>
        <v>N24</v>
      </c>
      <c r="DQ186" s="106" t="str">
        <f>INDEX(Pipes_result_save_V1!$H$2:$H$206,MATCH(DO186,Pipes_result_save_V1!$I$2:$I$206,0))</f>
        <v>N23</v>
      </c>
      <c r="DR186" s="106">
        <f t="shared" si="34"/>
        <v>0.19463571658352263</v>
      </c>
      <c r="DS186">
        <v>466</v>
      </c>
      <c r="DT186">
        <v>150</v>
      </c>
      <c r="DU186">
        <v>92</v>
      </c>
      <c r="DV186">
        <v>3.7799808696069688</v>
      </c>
      <c r="DW186">
        <v>0.16656000000000001</v>
      </c>
      <c r="DX186">
        <v>0.13672204977370783</v>
      </c>
      <c r="DY186">
        <v>1.5202283632379134</v>
      </c>
      <c r="DZ186" s="107">
        <f>INDEX(Pipes_result_save_V1!$K$2:$K$206,MATCH(DO186,Pipes_result_save_V1!$I$2:$I$206,0)) *POWER(10,-3)</f>
        <v>-0.20296116638183592</v>
      </c>
      <c r="EA186" s="78">
        <v>5.1205947079335547E-3</v>
      </c>
      <c r="EB186" s="78">
        <v>-0.19784057167390237</v>
      </c>
      <c r="EI186">
        <v>0</v>
      </c>
      <c r="EJ186">
        <v>12</v>
      </c>
      <c r="EK186" t="s">
        <v>539</v>
      </c>
      <c r="EL186" t="s">
        <v>176</v>
      </c>
      <c r="EM186" s="106" t="str">
        <f>INDEX(Pipes_result_save_V1!$G$2:$G$206,MATCH(EL186,Pipes_result_save_V1!$I$2:$I$206,0))</f>
        <v>N11</v>
      </c>
      <c r="EN186" s="106" t="str">
        <f>INDEX(Pipes_result_save_V1!$H$2:$H$206,MATCH(EL186,Pipes_result_save_V1!$I$2:$I$206,0))</f>
        <v>N10</v>
      </c>
      <c r="EO186" s="106">
        <f t="shared" si="35"/>
        <v>1.4797625226010479E-2</v>
      </c>
      <c r="EP186">
        <v>350</v>
      </c>
      <c r="EQ186">
        <v>150</v>
      </c>
      <c r="ER186">
        <v>174</v>
      </c>
      <c r="ES186">
        <v>28.827260920339196</v>
      </c>
      <c r="ET186">
        <v>8.3280000000000007E-2</v>
      </c>
      <c r="EU186">
        <v>0.28883165313881198</v>
      </c>
      <c r="EV186">
        <v>6.4231054468429365</v>
      </c>
      <c r="EW186" s="107">
        <f>INDEX(Pipes_result_save_V1!$K$2:$K$206,MATCH(EL186,Pipes_result_save_V1!$I$2:$I$206,0)) *POWER(10,-3)</f>
        <v>-2.5216728210449218E-2</v>
      </c>
      <c r="EX186" s="78">
        <v>6.0070813399753509E-3</v>
      </c>
      <c r="EY186" s="78">
        <v>-1.9209646870473867E-2</v>
      </c>
    </row>
    <row r="187" spans="2:155" ht="30" x14ac:dyDescent="0.25">
      <c r="B187" s="106">
        <v>13</v>
      </c>
      <c r="C187" s="106" t="s">
        <v>539</v>
      </c>
      <c r="D187" s="106" t="s">
        <v>215</v>
      </c>
      <c r="E187" s="106" t="str">
        <f>INDEX(Pipes_result_save_V1!$G$2:$G$206,MATCH(D187,Pipes_result_save_V1!$I$2:$I$206,0))</f>
        <v>N95</v>
      </c>
      <c r="F187" s="106" t="str">
        <f>INDEX(Pipes_result_save_V1!$H$2:$H$206,MATCH(D187,Pipes_result_save_V1!$I$2:$I$206,0))</f>
        <v>N96</v>
      </c>
      <c r="G187" s="106">
        <f t="shared" si="29"/>
        <v>1.6210085603307013E-3</v>
      </c>
      <c r="H187" s="107">
        <v>565</v>
      </c>
      <c r="I187" s="107">
        <v>150</v>
      </c>
      <c r="J187" s="107">
        <v>248</v>
      </c>
      <c r="K187" s="107">
        <v>3.9868809371857856</v>
      </c>
      <c r="L187" s="107">
        <v>0.248</v>
      </c>
      <c r="M187" s="107">
        <v>0.30141008477405656</v>
      </c>
      <c r="N187" s="107">
        <v>2.2508527298449703</v>
      </c>
      <c r="O187" s="107">
        <f>INDEX(Pipes_result_save_V1!$K$2:$K$206,MATCH(D187,Pipes_result_save_V1!$I$2:$I$206,0)) *POWER(10,-3)</f>
        <v>5.4946870803833005E-3</v>
      </c>
      <c r="P187" s="78">
        <v>5.0800818278635036E-3</v>
      </c>
      <c r="Q187" s="78">
        <v>4.1460525251979692E-4</v>
      </c>
      <c r="R187" s="78"/>
      <c r="S187" s="78"/>
      <c r="T187" s="78"/>
      <c r="U187" s="78"/>
      <c r="V187" s="78"/>
      <c r="W187" s="78">
        <v>0</v>
      </c>
      <c r="X187" s="78">
        <v>13</v>
      </c>
      <c r="Y187" s="78" t="s">
        <v>539</v>
      </c>
      <c r="Z187" s="78" t="s">
        <v>297</v>
      </c>
      <c r="AA187" s="106" t="str">
        <f>INDEX(Pipes_result_save_V1!$G$2:$G$206,MATCH(Z187,Pipes_result_save_V1!$I$2:$I$206,0))</f>
        <v>N134</v>
      </c>
      <c r="AB187" s="106" t="str">
        <f>INDEX(Pipes_result_save_V1!$H$2:$H$206,MATCH(Z187,Pipes_result_save_V1!$I$2:$I$206,0))</f>
        <v>N133</v>
      </c>
      <c r="AC187" s="106">
        <f t="shared" si="30"/>
        <v>1.018104178815489E-3</v>
      </c>
      <c r="AD187" s="78">
        <v>300</v>
      </c>
      <c r="AE187" s="78">
        <v>150</v>
      </c>
      <c r="AF187" s="78">
        <v>54</v>
      </c>
      <c r="AG187" s="78">
        <v>18.955956474300912</v>
      </c>
      <c r="AH187" s="78">
        <v>5.8057999999999998E-2</v>
      </c>
      <c r="AI187" s="78">
        <v>0</v>
      </c>
      <c r="AJ187" s="78">
        <v>0</v>
      </c>
      <c r="AK187" s="78">
        <v>9.7368450410108859E-2</v>
      </c>
      <c r="AL187">
        <v>3.1059693781997608</v>
      </c>
      <c r="AM187" s="107">
        <f>INDEX(Pipes_result_save_V1!$K$2:$K$206,MATCH(Z187,Pipes_result_save_V1!$I$2:$I$206,0)) *POWER(10,-3)</f>
        <v>3.558016419410706E-4</v>
      </c>
      <c r="AN187" s="78">
        <v>4.391108088355699E-3</v>
      </c>
      <c r="AO187" s="78">
        <v>-4.0353064464146281E-3</v>
      </c>
      <c r="AU187">
        <v>0</v>
      </c>
      <c r="AV187">
        <v>13</v>
      </c>
      <c r="AW187" t="s">
        <v>540</v>
      </c>
      <c r="AX187" t="s">
        <v>263</v>
      </c>
      <c r="AY187" s="106" t="str">
        <f>INDEX(Pipes_result_save_V1!$G$2:$G$206,MATCH(AX187,Pipes_result_save_V1!$I$2:$I$206,0))</f>
        <v>N112</v>
      </c>
      <c r="AZ187" s="106" t="str">
        <f>INDEX(Pipes_result_save_V1!$H$2:$H$206,MATCH(AX187,Pipes_result_save_V1!$I$2:$I$206,0))</f>
        <v>N111</v>
      </c>
      <c r="BA187" s="106">
        <f t="shared" si="31"/>
        <v>4.2578034422985651E-3</v>
      </c>
      <c r="BB187">
        <v>250</v>
      </c>
      <c r="BC187">
        <v>150</v>
      </c>
      <c r="BD187">
        <v>111</v>
      </c>
      <c r="BE187">
        <v>94.70366170864429</v>
      </c>
      <c r="BF187">
        <v>-3.2837000000000005E-2</v>
      </c>
      <c r="BG187">
        <v>-0.16930583391075182</v>
      </c>
      <c r="BH187">
        <v>9.5488139721263323</v>
      </c>
      <c r="BI187" s="107">
        <f>INDEX(Pipes_result_save_V1!$K$2:$K$206,MATCH(AX187,Pipes_result_save_V1!$I$2:$I$206,0)) *POWER(10,-3)</f>
        <v>-6.3918390274047849E-3</v>
      </c>
      <c r="BJ187" s="78">
        <v>5.9927909760638907E-3</v>
      </c>
      <c r="BK187" s="78">
        <v>-3.9904805134089415E-4</v>
      </c>
      <c r="BR187">
        <v>0</v>
      </c>
      <c r="BS187">
        <v>13</v>
      </c>
      <c r="BT187" t="s">
        <v>539</v>
      </c>
      <c r="BU187" t="s">
        <v>122</v>
      </c>
      <c r="BV187" s="106" t="str">
        <f>INDEX(Pipes_result_save_V1!$G$2:$G$206,MATCH(BU187,Pipes_result_save_V1!$I$2:$I$206,0))</f>
        <v>N63</v>
      </c>
      <c r="BW187" s="106" t="str">
        <f>INDEX(Pipes_result_save_V1!$H$2:$H$206,MATCH(BU187,Pipes_result_save_V1!$I$2:$I$206,0))</f>
        <v>N62</v>
      </c>
      <c r="BX187" s="106">
        <f t="shared" si="32"/>
        <v>1.2876497675479638E-2</v>
      </c>
      <c r="BY187">
        <v>250</v>
      </c>
      <c r="BZ187">
        <v>150</v>
      </c>
      <c r="CA187">
        <v>58</v>
      </c>
      <c r="CB187">
        <v>49.484796208120436</v>
      </c>
      <c r="CC187">
        <v>3.2837000000000005E-2</v>
      </c>
      <c r="CD187">
        <v>8.8466111412825274E-2</v>
      </c>
      <c r="CE187">
        <v>4.9894703638137585</v>
      </c>
      <c r="CF187" s="107">
        <f>INDEX(Pipes_result_save_V1!$K$2:$K$206,MATCH(BU187,Pipes_result_save_V1!$I$2:$I$206,0)) *POWER(10,-3)</f>
        <v>-2.2941516876220699E-2</v>
      </c>
      <c r="CG187" s="78">
        <v>5.561579490242767E-3</v>
      </c>
      <c r="CH187" s="78">
        <v>-1.7379937385977932E-2</v>
      </c>
      <c r="CN187">
        <v>0</v>
      </c>
      <c r="CO187">
        <v>13</v>
      </c>
      <c r="CP187" t="s">
        <v>540</v>
      </c>
      <c r="CQ187" t="s">
        <v>171</v>
      </c>
      <c r="CR187" s="106" t="str">
        <f>INDEX(Pipes_result_save_V1!$G$2:$G$206,MATCH(CQ187,Pipes_result_save_V1!$I$2:$I$206,0))</f>
        <v>N41</v>
      </c>
      <c r="CS187" s="106" t="str">
        <f>INDEX(Pipes_result_save_V1!$H$2:$H$206,MATCH(CQ187,Pipes_result_save_V1!$I$2:$I$206,0))</f>
        <v>N42</v>
      </c>
      <c r="CT187" s="106">
        <f t="shared" si="33"/>
        <v>9.8093589570092732E-2</v>
      </c>
      <c r="CU187">
        <v>400</v>
      </c>
      <c r="CV187">
        <v>150</v>
      </c>
      <c r="CW187">
        <v>70</v>
      </c>
      <c r="CX187">
        <v>6.0516443501782993</v>
      </c>
      <c r="CY187">
        <v>-9.851E-2</v>
      </c>
      <c r="CZ187">
        <v>-8.2755896525604014E-2</v>
      </c>
      <c r="DA187">
        <v>1.5558209355945454</v>
      </c>
      <c r="DB187" s="107">
        <f>INDEX(Pipes_result_save_V1!$K$2:$K$206,MATCH(CQ187,Pipes_result_save_V1!$I$2:$I$206,0)) *POWER(10,-3)</f>
        <v>0.1084104309082031</v>
      </c>
      <c r="DC187" s="78">
        <v>5.2961710303004832E-3</v>
      </c>
      <c r="DD187" s="78">
        <v>0.10311425987790261</v>
      </c>
      <c r="DL187">
        <v>0</v>
      </c>
      <c r="DM187">
        <v>13</v>
      </c>
      <c r="DN187" t="s">
        <v>539</v>
      </c>
      <c r="DO187" t="s">
        <v>145</v>
      </c>
      <c r="DP187" s="106" t="str">
        <f>INDEX(Pipes_result_save_V1!$G$2:$G$206,MATCH(DO187,Pipes_result_save_V1!$I$2:$I$206,0))</f>
        <v>N25</v>
      </c>
      <c r="DQ187" s="106" t="str">
        <f>INDEX(Pipes_result_save_V1!$H$2:$H$206,MATCH(DO187,Pipes_result_save_V1!$I$2:$I$206,0))</f>
        <v>N24</v>
      </c>
      <c r="DR187" s="106">
        <f t="shared" si="34"/>
        <v>0.19428302393562605</v>
      </c>
      <c r="DS187">
        <v>466</v>
      </c>
      <c r="DT187">
        <v>150</v>
      </c>
      <c r="DU187">
        <v>75</v>
      </c>
      <c r="DV187">
        <v>3.0815061437013331</v>
      </c>
      <c r="DW187">
        <v>0.16656000000000001</v>
      </c>
      <c r="DX187">
        <v>0.11145819275030529</v>
      </c>
      <c r="DY187">
        <v>1.2393166004656904</v>
      </c>
      <c r="DZ187" s="107">
        <f>INDEX(Pipes_result_save_V1!$K$2:$K$206,MATCH(DO187,Pipes_result_save_V1!$I$2:$I$206,0)) *POWER(10,-3)</f>
        <v>-0.20200834655761718</v>
      </c>
      <c r="EA187" s="78">
        <v>5.5044408918834406E-3</v>
      </c>
      <c r="EB187" s="78">
        <v>-0.19650390566573375</v>
      </c>
      <c r="EI187">
        <v>0</v>
      </c>
      <c r="EJ187">
        <v>13</v>
      </c>
      <c r="EK187" t="s">
        <v>539</v>
      </c>
      <c r="EL187" t="s">
        <v>177</v>
      </c>
      <c r="EM187" s="106" t="str">
        <f>INDEX(Pipes_result_save_V1!$G$2:$G$206,MATCH(EL187,Pipes_result_save_V1!$I$2:$I$206,0))</f>
        <v>N12</v>
      </c>
      <c r="EN187" s="106" t="str">
        <f>INDEX(Pipes_result_save_V1!$H$2:$H$206,MATCH(EL187,Pipes_result_save_V1!$I$2:$I$206,0))</f>
        <v>N11</v>
      </c>
      <c r="EO187" s="106">
        <f t="shared" si="35"/>
        <v>1.473362840248623E-2</v>
      </c>
      <c r="EP187">
        <v>350</v>
      </c>
      <c r="EQ187">
        <v>150</v>
      </c>
      <c r="ER187">
        <v>227</v>
      </c>
      <c r="ES187">
        <v>37.607978327109187</v>
      </c>
      <c r="ET187">
        <v>8.3280000000000007E-2</v>
      </c>
      <c r="EU187">
        <v>0.37680911070408235</v>
      </c>
      <c r="EV187">
        <v>8.3795686001916483</v>
      </c>
      <c r="EW187" s="107">
        <f>INDEX(Pipes_result_save_V1!$K$2:$K$206,MATCH(EL187,Pipes_result_save_V1!$I$2:$I$206,0)) *POWER(10,-3)</f>
        <v>-2.2928802490234379E-2</v>
      </c>
      <c r="EX187" s="78">
        <v>6.1898935542342029E-3</v>
      </c>
      <c r="EY187" s="78">
        <v>-1.6738908936000177E-2</v>
      </c>
    </row>
    <row r="188" spans="2:155" ht="30" x14ac:dyDescent="0.25">
      <c r="B188" s="106">
        <v>14</v>
      </c>
      <c r="C188" s="106" t="s">
        <v>539</v>
      </c>
      <c r="D188" s="106" t="s">
        <v>214</v>
      </c>
      <c r="E188" s="106" t="str">
        <f>INDEX(Pipes_result_save_V1!$G$2:$G$206,MATCH(D188,Pipes_result_save_V1!$I$2:$I$206,0))</f>
        <v>N96</v>
      </c>
      <c r="F188" s="106" t="str">
        <f>INDEX(Pipes_result_save_V1!$H$2:$H$206,MATCH(D188,Pipes_result_save_V1!$I$2:$I$206,0))</f>
        <v>N97</v>
      </c>
      <c r="G188" s="106">
        <f t="shared" si="29"/>
        <v>4.1319946074232774E-3</v>
      </c>
      <c r="H188" s="107">
        <v>400</v>
      </c>
      <c r="I188" s="107">
        <v>150</v>
      </c>
      <c r="J188" s="107">
        <v>116</v>
      </c>
      <c r="K188" s="107">
        <v>10.028439208866896</v>
      </c>
      <c r="L188" s="107">
        <v>0.11600000000000001</v>
      </c>
      <c r="M188" s="107">
        <v>0.18561349239891756</v>
      </c>
      <c r="N188" s="107">
        <v>2.963415413127545</v>
      </c>
      <c r="O188" s="107">
        <f>INDEX(Pipes_result_save_V1!$K$2:$K$206,MATCH(D188,Pipes_result_save_V1!$I$2:$I$206,0)) *POWER(10,-3)</f>
        <v>3.417867422103882E-3</v>
      </c>
      <c r="P188" s="78">
        <v>5.35508992780528E-3</v>
      </c>
      <c r="Q188" s="78">
        <v>-1.937222505701398E-3</v>
      </c>
      <c r="R188" s="78"/>
      <c r="S188" s="78"/>
      <c r="T188" s="78"/>
      <c r="U188" s="78"/>
      <c r="V188" s="78"/>
      <c r="W188" s="78">
        <v>0</v>
      </c>
      <c r="X188" s="78">
        <v>14</v>
      </c>
      <c r="Y188" s="78" t="s">
        <v>539</v>
      </c>
      <c r="Z188" s="78" t="s">
        <v>298</v>
      </c>
      <c r="AA188" s="106" t="str">
        <f>INDEX(Pipes_result_save_V1!$G$2:$G$206,MATCH(Z188,Pipes_result_save_V1!$I$2:$I$206,0))</f>
        <v>N135</v>
      </c>
      <c r="AB188" s="106" t="str">
        <f>INDEX(Pipes_result_save_V1!$H$2:$H$206,MATCH(Z188,Pipes_result_save_V1!$I$2:$I$206,0))</f>
        <v>N134</v>
      </c>
      <c r="AC188" s="106">
        <f t="shared" si="30"/>
        <v>8.617431489995771E-4</v>
      </c>
      <c r="AD188" s="78">
        <v>300</v>
      </c>
      <c r="AE188" s="78">
        <v>150</v>
      </c>
      <c r="AF188" s="78">
        <v>93</v>
      </c>
      <c r="AG188" s="78">
        <v>32.646369483518235</v>
      </c>
      <c r="AH188" s="78">
        <v>5.8057999999999998E-2</v>
      </c>
      <c r="AI188" s="78">
        <v>0</v>
      </c>
      <c r="AJ188" s="78">
        <v>0</v>
      </c>
      <c r="AK188" s="78">
        <v>0.16769010903963191</v>
      </c>
      <c r="AL188">
        <v>5.3491694846773656</v>
      </c>
      <c r="AM188" s="107">
        <f>INDEX(Pipes_result_save_V1!$K$2:$K$206,MATCH(Z188,Pipes_result_save_V1!$I$2:$I$206,0)) *POWER(10,-3)</f>
        <v>1.194517374038696E-3</v>
      </c>
      <c r="AN188" s="78">
        <v>3.6538468174584261E-3</v>
      </c>
      <c r="AO188" s="78">
        <v>-2.4593294434197303E-3</v>
      </c>
      <c r="AU188">
        <v>0</v>
      </c>
      <c r="AV188">
        <v>14</v>
      </c>
      <c r="AW188" t="s">
        <v>540</v>
      </c>
      <c r="AX188" t="s">
        <v>264</v>
      </c>
      <c r="AY188" s="106" t="str">
        <f>INDEX(Pipes_result_save_V1!$G$2:$G$206,MATCH(AX188,Pipes_result_save_V1!$I$2:$I$206,0))</f>
        <v>N113</v>
      </c>
      <c r="AZ188" s="106" t="str">
        <f>INDEX(Pipes_result_save_V1!$H$2:$H$206,MATCH(AX188,Pipes_result_save_V1!$I$2:$I$206,0))</f>
        <v>N112</v>
      </c>
      <c r="BA188" s="106">
        <f t="shared" si="31"/>
        <v>2.345832985000137E-3</v>
      </c>
      <c r="BB188">
        <v>250</v>
      </c>
      <c r="BC188">
        <v>150</v>
      </c>
      <c r="BD188">
        <v>112</v>
      </c>
      <c r="BE188">
        <v>95.556847850163592</v>
      </c>
      <c r="BF188">
        <v>-3.2837000000000005E-2</v>
      </c>
      <c r="BG188">
        <v>-0.17083111169373155</v>
      </c>
      <c r="BH188">
        <v>9.6348393232265668</v>
      </c>
      <c r="BI188" s="107">
        <f>INDEX(Pipes_result_save_V1!$K$2:$K$206,MATCH(AX188,Pipes_result_save_V1!$I$2:$I$206,0)) *POWER(10,-3)</f>
        <v>-4.6345300674438478E-3</v>
      </c>
      <c r="BJ188" s="78">
        <v>5.2542776304977338E-3</v>
      </c>
      <c r="BK188" s="78">
        <v>6.1974756305388599E-4</v>
      </c>
      <c r="BR188">
        <v>0</v>
      </c>
      <c r="BS188">
        <v>14</v>
      </c>
      <c r="BT188" t="s">
        <v>539</v>
      </c>
      <c r="BU188" t="s">
        <v>121</v>
      </c>
      <c r="BV188" s="106" t="str">
        <f>INDEX(Pipes_result_save_V1!$G$2:$G$206,MATCH(BU188,Pipes_result_save_V1!$I$2:$I$206,0))</f>
        <v>N64</v>
      </c>
      <c r="BW188" s="106" t="str">
        <f>INDEX(Pipes_result_save_V1!$H$2:$H$206,MATCH(BU188,Pipes_result_save_V1!$I$2:$I$206,0))</f>
        <v>N63</v>
      </c>
      <c r="BX188" s="106">
        <f t="shared" si="32"/>
        <v>1.0327652426063445E-2</v>
      </c>
      <c r="BY188">
        <v>250</v>
      </c>
      <c r="BZ188">
        <v>150</v>
      </c>
      <c r="CA188">
        <v>216</v>
      </c>
      <c r="CB188">
        <v>184.28820656817265</v>
      </c>
      <c r="CC188">
        <v>3.2837000000000005E-2</v>
      </c>
      <c r="CD188">
        <v>0.32946000112362517</v>
      </c>
      <c r="CE188">
        <v>18.581475837651237</v>
      </c>
      <c r="CF188" s="107">
        <f>INDEX(Pipes_result_save_V1!$K$2:$K$206,MATCH(BU188,Pipes_result_save_V1!$I$2:$I$206,0)) *POWER(10,-3)</f>
        <v>-2.1378194808959961E-2</v>
      </c>
      <c r="CG188" s="78">
        <v>6.3848835260542861E-3</v>
      </c>
      <c r="CH188" s="78">
        <v>-1.4993311282905675E-2</v>
      </c>
      <c r="CN188">
        <v>1</v>
      </c>
      <c r="CO188">
        <v>14</v>
      </c>
      <c r="CP188" t="s">
        <v>540</v>
      </c>
      <c r="CQ188" t="s">
        <v>414</v>
      </c>
      <c r="CR188" s="106" t="str">
        <f>INDEX(Pipes_result_save_V1!$G$2:$G$206,MATCH(CQ188,Pipes_result_save_V1!$I$2:$I$206,0))</f>
        <v>N52</v>
      </c>
      <c r="CS188" s="106" t="str">
        <f>INDEX(Pipes_result_save_V1!$H$2:$H$206,MATCH(CQ188,Pipes_result_save_V1!$I$2:$I$206,0))</f>
        <v>N42</v>
      </c>
      <c r="CT188" s="106">
        <f t="shared" si="33"/>
        <v>2.583385030079139E-2</v>
      </c>
      <c r="CU188">
        <v>250</v>
      </c>
      <c r="CV188">
        <v>150</v>
      </c>
      <c r="CW188">
        <v>223</v>
      </c>
      <c r="CX188">
        <v>190.26050955880785</v>
      </c>
      <c r="CY188">
        <v>2.3579796114934291E-2</v>
      </c>
      <c r="CZ188">
        <v>0.18420135475776558</v>
      </c>
      <c r="DA188">
        <v>14.467508851585029</v>
      </c>
      <c r="DB188" s="107">
        <f>INDEX(Pipes_result_save_V1!$K$2:$K$206,MATCH(CQ188,Pipes_result_save_V1!$I$2:$I$206,0)) *POWER(10,-3)</f>
        <v>-3.351390075683594E-2</v>
      </c>
      <c r="DC188" s="78">
        <v>5.4175001596607963E-3</v>
      </c>
      <c r="DD188" s="78">
        <v>-2.8096400597175143E-2</v>
      </c>
      <c r="DL188">
        <v>0</v>
      </c>
      <c r="DM188">
        <v>14</v>
      </c>
      <c r="DN188" t="s">
        <v>539</v>
      </c>
      <c r="DO188" t="s">
        <v>144</v>
      </c>
      <c r="DP188" s="106" t="str">
        <f>INDEX(Pipes_result_save_V1!$G$2:$G$206,MATCH(DO188,Pipes_result_save_V1!$I$2:$I$206,0))</f>
        <v>N26</v>
      </c>
      <c r="DQ188" s="106" t="str">
        <f>INDEX(Pipes_result_save_V1!$H$2:$H$206,MATCH(DO188,Pipes_result_save_V1!$I$2:$I$206,0))</f>
        <v>N25</v>
      </c>
      <c r="DR188" s="106">
        <f t="shared" si="34"/>
        <v>0.19318791137477495</v>
      </c>
      <c r="DS188">
        <v>466</v>
      </c>
      <c r="DT188">
        <v>150</v>
      </c>
      <c r="DU188">
        <v>76</v>
      </c>
      <c r="DV188">
        <v>3.1225928922840178</v>
      </c>
      <c r="DW188">
        <v>0.16656000000000001</v>
      </c>
      <c r="DX188">
        <v>0.11294430198697604</v>
      </c>
      <c r="DY188">
        <v>1.255840821805233</v>
      </c>
      <c r="DZ188" s="107">
        <f>INDEX(Pipes_result_save_V1!$K$2:$K$206,MATCH(DO188,Pipes_result_save_V1!$I$2:$I$206,0)) *POWER(10,-3)</f>
        <v>-0.20114678955078119</v>
      </c>
      <c r="EA188" s="78">
        <v>5.2238149459227431E-3</v>
      </c>
      <c r="EB188" s="78">
        <v>-0.19592297460485844</v>
      </c>
      <c r="EI188">
        <v>0</v>
      </c>
      <c r="EJ188">
        <v>14</v>
      </c>
      <c r="EK188" t="s">
        <v>539</v>
      </c>
      <c r="EL188" t="s">
        <v>157</v>
      </c>
      <c r="EM188" s="106" t="str">
        <f>INDEX(Pipes_result_save_V1!$G$2:$G$206,MATCH(EL188,Pipes_result_save_V1!$I$2:$I$206,0))</f>
        <v>N13</v>
      </c>
      <c r="EN188" s="106" t="str">
        <f>INDEX(Pipes_result_save_V1!$H$2:$H$206,MATCH(EL188,Pipes_result_save_V1!$I$2:$I$206,0))</f>
        <v>N12</v>
      </c>
      <c r="EO188" s="106">
        <f t="shared" si="35"/>
        <v>8.910694409369516E-3</v>
      </c>
      <c r="EP188">
        <v>350</v>
      </c>
      <c r="EQ188">
        <v>150</v>
      </c>
      <c r="ER188">
        <v>533</v>
      </c>
      <c r="ES188">
        <v>88.304195807705696</v>
      </c>
      <c r="ET188">
        <v>8.3280000000000007E-2</v>
      </c>
      <c r="EU188">
        <v>0.8847544317413033</v>
      </c>
      <c r="EV188">
        <v>19.675374730846467</v>
      </c>
      <c r="EW188" s="107">
        <f>INDEX(Pipes_result_save_V1!$K$2:$K$206,MATCH(EL188,Pipes_result_save_V1!$I$2:$I$206,0)) *POWER(10,-3)</f>
        <v>-1.8592584609985353E-2</v>
      </c>
      <c r="EX188" s="78">
        <v>6.4477182794105683E-3</v>
      </c>
      <c r="EY188" s="78">
        <v>-1.2144866330574784E-2</v>
      </c>
    </row>
    <row r="189" spans="2:155" ht="30" x14ac:dyDescent="0.25">
      <c r="B189" s="106">
        <v>15</v>
      </c>
      <c r="C189" s="106" t="s">
        <v>539</v>
      </c>
      <c r="D189" s="106" t="s">
        <v>213</v>
      </c>
      <c r="E189" s="106" t="str">
        <f>INDEX(Pipes_result_save_V1!$G$2:$G$206,MATCH(D189,Pipes_result_save_V1!$I$2:$I$206,0))</f>
        <v>N97</v>
      </c>
      <c r="F189" s="106" t="str">
        <f>INDEX(Pipes_result_save_V1!$H$2:$H$206,MATCH(D189,Pipes_result_save_V1!$I$2:$I$206,0))</f>
        <v>N98</v>
      </c>
      <c r="G189" s="106">
        <f t="shared" si="29"/>
        <v>2.2548357602394475E-5</v>
      </c>
      <c r="H189" s="107">
        <v>421</v>
      </c>
      <c r="I189" s="107">
        <v>150</v>
      </c>
      <c r="J189" s="107">
        <v>128</v>
      </c>
      <c r="K189" s="107">
        <v>8.6246495180025686</v>
      </c>
      <c r="L189" s="107">
        <v>0.128</v>
      </c>
      <c r="M189" s="107">
        <v>0.19155536470823792</v>
      </c>
      <c r="N189" s="107">
        <v>2.7715666831223169</v>
      </c>
      <c r="O189" s="107">
        <f>INDEX(Pipes_result_save_V1!$K$2:$K$206,MATCH(D189,Pipes_result_save_V1!$I$2:$I$206,0)) *POWER(10,-3)</f>
        <v>2.0257134437561041E-3</v>
      </c>
      <c r="P189" s="78">
        <v>5.8974305337180823E-3</v>
      </c>
      <c r="Q189" s="78">
        <v>-3.8717170899619782E-3</v>
      </c>
      <c r="R189" s="78"/>
      <c r="S189" s="78"/>
      <c r="T189" s="78"/>
      <c r="U189" s="78"/>
      <c r="V189" s="78"/>
      <c r="W189" s="78">
        <v>0</v>
      </c>
      <c r="X189" s="78">
        <v>15</v>
      </c>
      <c r="Y189" s="78" t="s">
        <v>540</v>
      </c>
      <c r="Z189" s="78" t="s">
        <v>300</v>
      </c>
      <c r="AA189" s="106" t="str">
        <f>INDEX(Pipes_result_save_V1!$G$2:$G$206,MATCH(Z189,Pipes_result_save_V1!$I$2:$I$206,0))</f>
        <v>N136</v>
      </c>
      <c r="AB189" s="106" t="str">
        <f>INDEX(Pipes_result_save_V1!$H$2:$H$206,MATCH(Z189,Pipes_result_save_V1!$I$2:$I$206,0))</f>
        <v>N137</v>
      </c>
      <c r="AC189" s="106">
        <f t="shared" si="30"/>
        <v>1.9473999650058773E-2</v>
      </c>
      <c r="AD189" s="78">
        <v>300</v>
      </c>
      <c r="AE189" s="78">
        <v>150</v>
      </c>
      <c r="AF189" s="78">
        <v>360</v>
      </c>
      <c r="AG189" s="78">
        <v>126.37304316200606</v>
      </c>
      <c r="AH189" s="78">
        <v>-5.8057999999999998E-2</v>
      </c>
      <c r="AI189" s="78">
        <v>0</v>
      </c>
      <c r="AJ189" s="78">
        <v>0</v>
      </c>
      <c r="AK189" s="78">
        <v>-0.64912300273405898</v>
      </c>
      <c r="AL189">
        <v>20.706462521331733</v>
      </c>
      <c r="AM189" s="107">
        <f>INDEX(Pipes_result_save_V1!$K$2:$K$206,MATCH(Z189,Pipes_result_save_V1!$I$2:$I$206,0)) *POWER(10,-3)</f>
        <v>2.8655429840087891E-2</v>
      </c>
      <c r="AN189" s="78">
        <v>4.5179268908135724E-3</v>
      </c>
      <c r="AO189" s="78">
        <v>2.4137502949274317E-2</v>
      </c>
      <c r="AU189">
        <v>0</v>
      </c>
      <c r="AV189">
        <v>15</v>
      </c>
      <c r="AW189" t="s">
        <v>540</v>
      </c>
      <c r="AX189" t="s">
        <v>266</v>
      </c>
      <c r="AY189" s="106" t="str">
        <f>INDEX(Pipes_result_save_V1!$G$2:$G$206,MATCH(AX189,Pipes_result_save_V1!$I$2:$I$206,0))</f>
        <v>N114</v>
      </c>
      <c r="AZ189" s="106" t="str">
        <f>INDEX(Pipes_result_save_V1!$H$2:$H$206,MATCH(AX189,Pipes_result_save_V1!$I$2:$I$206,0))</f>
        <v>N113</v>
      </c>
      <c r="BA189" s="106">
        <f t="shared" si="31"/>
        <v>6.5206731405556767E-4</v>
      </c>
      <c r="BB189">
        <v>250</v>
      </c>
      <c r="BC189">
        <v>150</v>
      </c>
      <c r="BD189">
        <v>113</v>
      </c>
      <c r="BE189">
        <v>96.410033991682923</v>
      </c>
      <c r="BF189">
        <v>-3.2837000000000005E-2</v>
      </c>
      <c r="BG189">
        <v>-0.17235638947671134</v>
      </c>
      <c r="BH189">
        <v>9.7208646743268066</v>
      </c>
      <c r="BI189" s="107">
        <f>INDEX(Pipes_result_save_V1!$K$2:$K$206,MATCH(AX189,Pipes_result_save_V1!$I$2:$I$206,0)) *POWER(10,-3)</f>
        <v>-3.761581182479858E-3</v>
      </c>
      <c r="BJ189" s="78">
        <v>5.6612208252616201E-3</v>
      </c>
      <c r="BK189" s="78">
        <v>1.8996396427817621E-3</v>
      </c>
      <c r="BR189">
        <v>0</v>
      </c>
      <c r="BS189">
        <v>15</v>
      </c>
      <c r="BT189" t="s">
        <v>539</v>
      </c>
      <c r="BU189" t="s">
        <v>119</v>
      </c>
      <c r="BV189" s="106" t="str">
        <f>INDEX(Pipes_result_save_V1!$G$2:$G$206,MATCH(BU189,Pipes_result_save_V1!$I$2:$I$206,0))</f>
        <v>N65</v>
      </c>
      <c r="BW189" s="106" t="str">
        <f>INDEX(Pipes_result_save_V1!$H$2:$H$206,MATCH(BU189,Pipes_result_save_V1!$I$2:$I$206,0))</f>
        <v>N64</v>
      </c>
      <c r="BX189" s="106">
        <f t="shared" si="32"/>
        <v>1.3433228629802374E-2</v>
      </c>
      <c r="BY189">
        <v>250</v>
      </c>
      <c r="BZ189">
        <v>150</v>
      </c>
      <c r="CA189">
        <v>73</v>
      </c>
      <c r="CB189">
        <v>62.282588330910201</v>
      </c>
      <c r="CC189">
        <v>3.2837000000000005E-2</v>
      </c>
      <c r="CD189">
        <v>0.11134527815752146</v>
      </c>
      <c r="CE189">
        <v>6.2798506303173163</v>
      </c>
      <c r="CF189" s="107">
        <f>INDEX(Pipes_result_save_V1!$K$2:$K$206,MATCH(BU189,Pipes_result_save_V1!$I$2:$I$206,0)) *POWER(10,-3)</f>
        <v>-1.9729291915893551E-2</v>
      </c>
      <c r="CG189" s="78">
        <v>5.4690950211208214E-3</v>
      </c>
      <c r="CH189" s="78">
        <v>-1.4260196894772731E-2</v>
      </c>
      <c r="CN189">
        <v>0</v>
      </c>
      <c r="CO189">
        <v>15</v>
      </c>
      <c r="CP189" t="s">
        <v>540</v>
      </c>
      <c r="CQ189" t="s">
        <v>168</v>
      </c>
      <c r="CR189" s="106" t="str">
        <f>INDEX(Pipes_result_save_V1!$G$2:$G$206,MATCH(CQ189,Pipes_result_save_V1!$I$2:$I$206,0))</f>
        <v>N44</v>
      </c>
      <c r="CS189" s="106" t="str">
        <f>INDEX(Pipes_result_save_V1!$H$2:$H$206,MATCH(CQ189,Pipes_result_save_V1!$I$2:$I$206,0))</f>
        <v>N43</v>
      </c>
      <c r="CT189" s="106">
        <f t="shared" si="33"/>
        <v>5.0026619279448847E-2</v>
      </c>
      <c r="CU189">
        <v>466</v>
      </c>
      <c r="CV189">
        <v>150</v>
      </c>
      <c r="CW189">
        <v>340</v>
      </c>
      <c r="CX189">
        <v>13.969494518112711</v>
      </c>
      <c r="CY189">
        <v>-0.16656000000000001</v>
      </c>
      <c r="CZ189">
        <v>-0.50527714046805072</v>
      </c>
      <c r="DA189">
        <v>5.6182352554444632</v>
      </c>
      <c r="DB189" s="107">
        <f>INDEX(Pipes_result_save_V1!$K$2:$K$206,MATCH(CQ189,Pipes_result_save_V1!$I$2:$I$206,0)) *POWER(10,-3)</f>
        <v>-5.8021972656250004E-2</v>
      </c>
      <c r="DC189" s="78">
        <v>6.12795826848829E-3</v>
      </c>
      <c r="DD189" s="78">
        <v>-5.1894014387761714E-2</v>
      </c>
      <c r="DL189">
        <v>0</v>
      </c>
      <c r="DM189">
        <v>15</v>
      </c>
      <c r="DN189" t="s">
        <v>539</v>
      </c>
      <c r="DO189" t="s">
        <v>142</v>
      </c>
      <c r="DP189" s="106" t="str">
        <f>INDEX(Pipes_result_save_V1!$G$2:$G$206,MATCH(DO189,Pipes_result_save_V1!$I$2:$I$206,0))</f>
        <v>N27</v>
      </c>
      <c r="DQ189" s="106" t="str">
        <f>INDEX(Pipes_result_save_V1!$H$2:$H$206,MATCH(DO189,Pipes_result_save_V1!$I$2:$I$206,0))</f>
        <v>N26</v>
      </c>
      <c r="DR189" s="106">
        <f t="shared" si="34"/>
        <v>0.18890682163685651</v>
      </c>
      <c r="DS189">
        <v>466</v>
      </c>
      <c r="DT189">
        <v>150</v>
      </c>
      <c r="DU189">
        <v>76</v>
      </c>
      <c r="DV189">
        <v>3.1225928922840178</v>
      </c>
      <c r="DW189">
        <v>0.16656000000000001</v>
      </c>
      <c r="DX189">
        <v>0.11294430198697604</v>
      </c>
      <c r="DY189">
        <v>1.255840821805233</v>
      </c>
      <c r="DZ189" s="107">
        <f>INDEX(Pipes_result_save_V1!$K$2:$K$206,MATCH(DO189,Pipes_result_save_V1!$I$2:$I$206,0)) *POWER(10,-3)</f>
        <v>-0.2002795562744141</v>
      </c>
      <c r="EA189" s="78">
        <v>5.575510199414305E-3</v>
      </c>
      <c r="EB189" s="78">
        <v>-0.1947040460749998</v>
      </c>
      <c r="EI189">
        <v>0</v>
      </c>
      <c r="EJ189">
        <v>15</v>
      </c>
      <c r="EK189" t="s">
        <v>539</v>
      </c>
      <c r="EL189" t="s">
        <v>156</v>
      </c>
      <c r="EM189" s="106" t="str">
        <f>INDEX(Pipes_result_save_V1!$G$2:$G$206,MATCH(EL189,Pipes_result_save_V1!$I$2:$I$206,0))</f>
        <v>N14</v>
      </c>
      <c r="EN189" s="106" t="str">
        <f>INDEX(Pipes_result_save_V1!$H$2:$H$206,MATCH(EL189,Pipes_result_save_V1!$I$2:$I$206,0))</f>
        <v>N13</v>
      </c>
      <c r="EO189" s="106">
        <f t="shared" si="35"/>
        <v>7.1283828025367757E-3</v>
      </c>
      <c r="EP189">
        <v>350</v>
      </c>
      <c r="EQ189">
        <v>150</v>
      </c>
      <c r="ER189">
        <v>345</v>
      </c>
      <c r="ES189">
        <v>57.157500100672543</v>
      </c>
      <c r="ET189">
        <v>8.3280000000000007E-2</v>
      </c>
      <c r="EU189">
        <v>0.57268345018902367</v>
      </c>
      <c r="EV189">
        <v>12.735467696326513</v>
      </c>
      <c r="EW189" s="107">
        <f>INDEX(Pipes_result_save_V1!$K$2:$K$206,MATCH(EL189,Pipes_result_save_V1!$I$2:$I$206,0)) *POWER(10,-3)</f>
        <v>-1.3583112716674799E-2</v>
      </c>
      <c r="EX189" s="78">
        <v>5.933558518219288E-3</v>
      </c>
      <c r="EY189" s="78">
        <v>-7.649554198455511E-3</v>
      </c>
    </row>
    <row r="190" spans="2:155" ht="30" x14ac:dyDescent="0.25">
      <c r="B190" s="106">
        <v>16</v>
      </c>
      <c r="C190" s="106" t="s">
        <v>539</v>
      </c>
      <c r="D190" s="106" t="s">
        <v>212</v>
      </c>
      <c r="E190" s="106" t="str">
        <f>INDEX(Pipes_result_save_V1!$G$2:$G$206,MATCH(D190,Pipes_result_save_V1!$I$2:$I$206,0))</f>
        <v>N98</v>
      </c>
      <c r="F190" s="106" t="str">
        <f>INDEX(Pipes_result_save_V1!$H$2:$H$206,MATCH(D190,Pipes_result_save_V1!$I$2:$I$206,0))</f>
        <v>N99</v>
      </c>
      <c r="G190" s="106">
        <f t="shared" si="29"/>
        <v>8.9124860760414807E-4</v>
      </c>
      <c r="H190" s="107">
        <v>421</v>
      </c>
      <c r="I190" s="107">
        <v>150</v>
      </c>
      <c r="J190" s="107">
        <v>138</v>
      </c>
      <c r="K190" s="107">
        <v>9.2984502615965194</v>
      </c>
      <c r="L190" s="107">
        <v>0.13800000000000001</v>
      </c>
      <c r="M190" s="107">
        <v>0.2373923066502179</v>
      </c>
      <c r="N190" s="107">
        <v>3.1858735646101701</v>
      </c>
      <c r="O190" s="107">
        <f>INDEX(Pipes_result_save_V1!$K$2:$K$206,MATCH(D190,Pipes_result_save_V1!$I$2:$I$206,0)) *POWER(10,-3)</f>
        <v>5.0803762674331667E-4</v>
      </c>
      <c r="P190" s="78">
        <v>6.5780253695368633E-3</v>
      </c>
      <c r="Q190" s="78">
        <v>-6.0699877427935469E-3</v>
      </c>
      <c r="R190" s="78"/>
      <c r="S190" s="78"/>
      <c r="T190" s="78"/>
      <c r="U190" s="78"/>
      <c r="V190" s="78"/>
      <c r="W190" s="78">
        <v>0</v>
      </c>
      <c r="X190" s="78">
        <v>16</v>
      </c>
      <c r="Y190" s="78" t="s">
        <v>540</v>
      </c>
      <c r="Z190" s="78" t="s">
        <v>301</v>
      </c>
      <c r="AA190" s="106" t="str">
        <f>INDEX(Pipes_result_save_V1!$G$2:$G$206,MATCH(Z190,Pipes_result_save_V1!$I$2:$I$206,0))</f>
        <v>N137</v>
      </c>
      <c r="AB190" s="106" t="str">
        <f>INDEX(Pipes_result_save_V1!$H$2:$H$206,MATCH(Z190,Pipes_result_save_V1!$I$2:$I$206,0))</f>
        <v>N138</v>
      </c>
      <c r="AC190" s="106">
        <f t="shared" si="30"/>
        <v>1.9694631884816141E-2</v>
      </c>
      <c r="AD190" s="78">
        <v>300</v>
      </c>
      <c r="AE190" s="78">
        <v>150</v>
      </c>
      <c r="AF190" s="78">
        <v>315</v>
      </c>
      <c r="AG190" s="78">
        <v>110.57641276675531</v>
      </c>
      <c r="AH190" s="78">
        <v>-5.8057999999999998E-2</v>
      </c>
      <c r="AI190" s="78">
        <v>0</v>
      </c>
      <c r="AJ190" s="78">
        <v>0</v>
      </c>
      <c r="AK190" s="78">
        <v>-0.56798262739230165</v>
      </c>
      <c r="AL190">
        <v>18.118154706165267</v>
      </c>
      <c r="AM190" s="107">
        <f>INDEX(Pipes_result_save_V1!$K$2:$K$206,MATCH(Z190,Pipes_result_save_V1!$I$2:$I$206,0)) *POWER(10,-3)</f>
        <v>2.4804183959960941E-2</v>
      </c>
      <c r="AN190" s="78">
        <v>4.2147937106030526E-3</v>
      </c>
      <c r="AO190" s="78">
        <v>2.0589390249357888E-2</v>
      </c>
      <c r="AU190">
        <v>0</v>
      </c>
      <c r="AV190">
        <v>16</v>
      </c>
      <c r="AW190" t="s">
        <v>540</v>
      </c>
      <c r="AX190" t="s">
        <v>276</v>
      </c>
      <c r="AY190" s="106" t="str">
        <f>INDEX(Pipes_result_save_V1!$G$2:$G$206,MATCH(AX190,Pipes_result_save_V1!$I$2:$I$206,0))</f>
        <v>N115</v>
      </c>
      <c r="AZ190" s="106" t="str">
        <f>INDEX(Pipes_result_save_V1!$H$2:$H$206,MATCH(AX190,Pipes_result_save_V1!$I$2:$I$206,0))</f>
        <v>N114</v>
      </c>
      <c r="BA190" s="106">
        <f t="shared" si="31"/>
        <v>6.1031166122661046E-4</v>
      </c>
      <c r="BB190">
        <v>250</v>
      </c>
      <c r="BC190">
        <v>150</v>
      </c>
      <c r="BD190">
        <v>114</v>
      </c>
      <c r="BE190">
        <v>97.263220133202225</v>
      </c>
      <c r="BF190">
        <v>-3.2837000000000005E-2</v>
      </c>
      <c r="BG190">
        <v>-0.17388166725969104</v>
      </c>
      <c r="BH190">
        <v>9.8068900254270428</v>
      </c>
      <c r="BI190" s="107">
        <f>INDEX(Pipes_result_save_V1!$K$2:$K$206,MATCH(AX190,Pipes_result_save_V1!$I$2:$I$206,0)) *POWER(10,-3)</f>
        <v>-1.935805678367615E-3</v>
      </c>
      <c r="BJ190" s="78">
        <v>6.1925185279414026E-3</v>
      </c>
      <c r="BK190" s="78">
        <v>4.2567128495737874E-3</v>
      </c>
      <c r="BR190">
        <v>0</v>
      </c>
      <c r="BS190">
        <v>16</v>
      </c>
      <c r="BT190" t="s">
        <v>539</v>
      </c>
      <c r="BU190" t="s">
        <v>120</v>
      </c>
      <c r="BV190" s="106" t="str">
        <f>INDEX(Pipes_result_save_V1!$G$2:$G$206,MATCH(BU190,Pipes_result_save_V1!$I$2:$I$206,0))</f>
        <v>N66</v>
      </c>
      <c r="BW190" s="106" t="str">
        <f>INDEX(Pipes_result_save_V1!$H$2:$H$206,MATCH(BU190,Pipes_result_save_V1!$I$2:$I$206,0))</f>
        <v>N65</v>
      </c>
      <c r="BX190" s="106">
        <f t="shared" si="32"/>
        <v>7.8297386232658531E-3</v>
      </c>
      <c r="BY190">
        <v>250</v>
      </c>
      <c r="BZ190">
        <v>150</v>
      </c>
      <c r="CA190">
        <v>65</v>
      </c>
      <c r="CB190">
        <v>55.457099198755657</v>
      </c>
      <c r="CC190">
        <v>3.2837000000000005E-2</v>
      </c>
      <c r="CD190">
        <v>9.9143055893683496E-2</v>
      </c>
      <c r="CE190">
        <v>5.5916478215154193</v>
      </c>
      <c r="CF190" s="107">
        <f>INDEX(Pipes_result_save_V1!$K$2:$K$206,MATCH(BU190,Pipes_result_save_V1!$I$2:$I$206,0)) *POWER(10,-3)</f>
        <v>-1.8941926956176761E-2</v>
      </c>
      <c r="CG190" s="78">
        <v>5.4533404730918549E-3</v>
      </c>
      <c r="CH190" s="78">
        <v>-1.3488586483084906E-2</v>
      </c>
      <c r="CN190">
        <v>0</v>
      </c>
      <c r="CO190">
        <v>16</v>
      </c>
      <c r="CP190" t="s">
        <v>539</v>
      </c>
      <c r="CQ190" t="s">
        <v>167</v>
      </c>
      <c r="CR190" s="106" t="str">
        <f>INDEX(Pipes_result_save_V1!$G$2:$G$206,MATCH(CQ190,Pipes_result_save_V1!$I$2:$I$206,0))</f>
        <v>N45</v>
      </c>
      <c r="CS190" s="106" t="str">
        <f>INDEX(Pipes_result_save_V1!$H$2:$H$206,MATCH(CQ190,Pipes_result_save_V1!$I$2:$I$206,0))</f>
        <v>N44</v>
      </c>
      <c r="CT190" s="106">
        <f t="shared" si="33"/>
        <v>4.4129454955005032E-2</v>
      </c>
      <c r="CU190">
        <v>466</v>
      </c>
      <c r="CV190">
        <v>150</v>
      </c>
      <c r="CW190">
        <v>205</v>
      </c>
      <c r="CX190">
        <v>8.4227834594503115</v>
      </c>
      <c r="CY190">
        <v>0.16656000000000001</v>
      </c>
      <c r="CZ190">
        <v>0.30465239351750117</v>
      </c>
      <c r="DA190">
        <v>3.3874653746062209</v>
      </c>
      <c r="DB190" s="107">
        <f>INDEX(Pipes_result_save_V1!$K$2:$K$206,MATCH(CQ190,Pipes_result_save_V1!$I$2:$I$206,0)) *POWER(10,-3)</f>
        <v>-5.4912445068359385E-2</v>
      </c>
      <c r="DC190" s="78">
        <v>5.6931941318149638E-3</v>
      </c>
      <c r="DD190" s="78">
        <v>-4.9219250936544418E-2</v>
      </c>
      <c r="DL190">
        <v>0</v>
      </c>
      <c r="DM190">
        <v>16</v>
      </c>
      <c r="DN190" t="s">
        <v>539</v>
      </c>
      <c r="DO190" t="s">
        <v>143</v>
      </c>
      <c r="DP190" s="106" t="str">
        <f>INDEX(Pipes_result_save_V1!$G$2:$G$206,MATCH(DO190,Pipes_result_save_V1!$I$2:$I$206,0))</f>
        <v>N28</v>
      </c>
      <c r="DQ190" s="106" t="str">
        <f>INDEX(Pipes_result_save_V1!$H$2:$H$206,MATCH(DO190,Pipes_result_save_V1!$I$2:$I$206,0))</f>
        <v>N27</v>
      </c>
      <c r="DR190" s="106">
        <f t="shared" si="34"/>
        <v>0.19016444957607453</v>
      </c>
      <c r="DS190">
        <v>466</v>
      </c>
      <c r="DT190">
        <v>150</v>
      </c>
      <c r="DU190">
        <v>80</v>
      </c>
      <c r="DV190">
        <v>3.2869398866147552</v>
      </c>
      <c r="DW190">
        <v>0.16656000000000001</v>
      </c>
      <c r="DX190">
        <v>0.11888873893365898</v>
      </c>
      <c r="DY190">
        <v>1.3219377071634029</v>
      </c>
      <c r="DZ190" s="107">
        <f>INDEX(Pipes_result_save_V1!$K$2:$K$206,MATCH(DO190,Pipes_result_save_V1!$I$2:$I$206,0)) *POWER(10,-3)</f>
        <v>-0.19938948059082032</v>
      </c>
      <c r="EA190" s="78">
        <v>6.5576107033999739E-3</v>
      </c>
      <c r="EB190" s="78">
        <v>-0.19283186988742035</v>
      </c>
      <c r="EI190">
        <v>0</v>
      </c>
      <c r="EJ190">
        <v>16</v>
      </c>
      <c r="EK190" t="s">
        <v>539</v>
      </c>
      <c r="EL190" t="s">
        <v>155</v>
      </c>
      <c r="EM190" s="106" t="str">
        <f>INDEX(Pipes_result_save_V1!$G$2:$G$206,MATCH(EL190,Pipes_result_save_V1!$I$2:$I$206,0))</f>
        <v>N15</v>
      </c>
      <c r="EN190" s="106" t="str">
        <f>INDEX(Pipes_result_save_V1!$H$2:$H$206,MATCH(EL190,Pipes_result_save_V1!$I$2:$I$206,0))</f>
        <v>N14</v>
      </c>
      <c r="EO190" s="106">
        <f t="shared" si="35"/>
        <v>1.4524275359280906E-3</v>
      </c>
      <c r="EP190">
        <v>350</v>
      </c>
      <c r="EQ190">
        <v>150</v>
      </c>
      <c r="ER190">
        <v>795</v>
      </c>
      <c r="ES190">
        <v>131.71076110154976</v>
      </c>
      <c r="ET190">
        <v>8.3280000000000007E-2</v>
      </c>
      <c r="EU190">
        <v>1.3196618634790545</v>
      </c>
      <c r="EV190">
        <v>29.346947300230656</v>
      </c>
      <c r="EW190" s="107">
        <f>INDEX(Pipes_result_save_V1!$K$2:$K$206,MATCH(EL190,Pipes_result_save_V1!$I$2:$I$206,0)) *POWER(10,-3)</f>
        <v>-7.0787868499755857E-3</v>
      </c>
      <c r="EX190" s="78">
        <v>6.191936284247081E-3</v>
      </c>
      <c r="EY190" s="78">
        <v>-8.8685056572850463E-4</v>
      </c>
    </row>
    <row r="191" spans="2:155" ht="30" x14ac:dyDescent="0.25">
      <c r="B191" s="106">
        <v>17</v>
      </c>
      <c r="C191" s="106" t="s">
        <v>540</v>
      </c>
      <c r="D191" s="106" t="s">
        <v>426</v>
      </c>
      <c r="E191" s="106" t="str">
        <f>INDEX(Pipes_result_save_V1!$G$2:$G$206,MATCH(D191,Pipes_result_save_V1!$I$2:$I$206,0))</f>
        <v>N99</v>
      </c>
      <c r="F191" s="106" t="str">
        <f>INDEX(Pipes_result_save_V1!$H$2:$H$206,MATCH(D191,Pipes_result_save_V1!$I$2:$I$206,0))</f>
        <v>N194</v>
      </c>
      <c r="G191" s="106">
        <f t="shared" si="29"/>
        <v>1.9842866014152445E-3</v>
      </c>
      <c r="H191" s="107">
        <v>565</v>
      </c>
      <c r="I191" s="107">
        <v>150</v>
      </c>
      <c r="J191" s="107">
        <v>184</v>
      </c>
      <c r="K191" s="107">
        <v>2.9580084372668733</v>
      </c>
      <c r="L191" s="107">
        <v>-0.184</v>
      </c>
      <c r="M191" s="107">
        <v>-0.12865954661016527</v>
      </c>
      <c r="N191" s="107">
        <v>1.2949863060979676</v>
      </c>
      <c r="O191" s="107">
        <f>INDEX(Pipes_result_save_V1!$K$2:$K$206,MATCH(D191,Pipes_result_save_V1!$I$2:$I$206,0)) *POWER(10,-3)</f>
        <v>-9.0544853210449226E-3</v>
      </c>
      <c r="P191" s="78">
        <v>6.5247330238857384E-3</v>
      </c>
      <c r="Q191" s="78">
        <v>-2.5297522971591841E-3</v>
      </c>
      <c r="R191" s="78"/>
      <c r="S191" s="78"/>
      <c r="T191" s="78"/>
      <c r="U191" s="78"/>
      <c r="V191" s="78"/>
      <c r="W191" s="78">
        <v>0</v>
      </c>
      <c r="X191" s="78">
        <v>17</v>
      </c>
      <c r="Y191" s="78" t="s">
        <v>540</v>
      </c>
      <c r="Z191" s="78" t="s">
        <v>302</v>
      </c>
      <c r="AA191" s="106" t="str">
        <f>INDEX(Pipes_result_save_V1!$G$2:$G$206,MATCH(Z191,Pipes_result_save_V1!$I$2:$I$206,0))</f>
        <v>N138</v>
      </c>
      <c r="AB191" s="106" t="str">
        <f>INDEX(Pipes_result_save_V1!$H$2:$H$206,MATCH(Z191,Pipes_result_save_V1!$I$2:$I$206,0))</f>
        <v>N139</v>
      </c>
      <c r="AC191" s="106">
        <f t="shared" si="30"/>
        <v>2.0212088271170919E-2</v>
      </c>
      <c r="AD191" s="78">
        <v>300</v>
      </c>
      <c r="AE191" s="78">
        <v>150</v>
      </c>
      <c r="AF191" s="78">
        <v>270</v>
      </c>
      <c r="AG191" s="78">
        <v>94.779782371504538</v>
      </c>
      <c r="AH191" s="78">
        <v>-5.8057999999999998E-2</v>
      </c>
      <c r="AI191" s="78">
        <v>0</v>
      </c>
      <c r="AJ191" s="78">
        <v>0</v>
      </c>
      <c r="AK191" s="78">
        <v>-0.48684225205054421</v>
      </c>
      <c r="AL191">
        <v>15.529846890998799</v>
      </c>
      <c r="AM191" s="107">
        <f>INDEX(Pipes_result_save_V1!$K$2:$K$206,MATCH(Z191,Pipes_result_save_V1!$I$2:$I$206,0)) *POWER(10,-3)</f>
        <v>2.146643829345703E-2</v>
      </c>
      <c r="AN191" s="78">
        <v>2.5596503864963854E-4</v>
      </c>
      <c r="AO191" s="78">
        <v>2.1210473254807391E-2</v>
      </c>
      <c r="AU191">
        <v>0</v>
      </c>
      <c r="AV191">
        <v>17</v>
      </c>
      <c r="AW191" t="s">
        <v>540</v>
      </c>
      <c r="AX191" t="s">
        <v>316</v>
      </c>
      <c r="AY191" s="106" t="str">
        <f>INDEX(Pipes_result_save_V1!$G$2:$G$206,MATCH(AX191,Pipes_result_save_V1!$I$2:$I$206,0))</f>
        <v>N116</v>
      </c>
      <c r="AZ191" s="106" t="str">
        <f>INDEX(Pipes_result_save_V1!$H$2:$H$206,MATCH(AX191,Pipes_result_save_V1!$I$2:$I$206,0))</f>
        <v>N115</v>
      </c>
      <c r="BA191" s="106">
        <f t="shared" si="31"/>
        <v>1.0396421582958061E-3</v>
      </c>
      <c r="BB191">
        <v>250</v>
      </c>
      <c r="BC191">
        <v>150</v>
      </c>
      <c r="BD191">
        <v>115</v>
      </c>
      <c r="BE191">
        <v>98.116406274721555</v>
      </c>
      <c r="BF191">
        <v>-3.2837000000000005E-2</v>
      </c>
      <c r="BG191">
        <v>-0.17540694504267082</v>
      </c>
      <c r="BH191">
        <v>9.8929153765272808</v>
      </c>
      <c r="BI191" s="107">
        <f>INDEX(Pipes_result_save_V1!$K$2:$K$206,MATCH(AX191,Pipes_result_save_V1!$I$2:$I$206,0)) *POWER(10,-3)</f>
        <v>-2.1272979676723481E-4</v>
      </c>
      <c r="BJ191" s="78">
        <v>5.124979025131907E-3</v>
      </c>
      <c r="BK191" s="78">
        <v>4.9122492283646723E-3</v>
      </c>
      <c r="BR191">
        <v>0</v>
      </c>
      <c r="BS191">
        <v>17</v>
      </c>
      <c r="BT191" t="s">
        <v>539</v>
      </c>
      <c r="BU191" t="s">
        <v>118</v>
      </c>
      <c r="BV191" s="106" t="str">
        <f>INDEX(Pipes_result_save_V1!$G$2:$G$206,MATCH(BU191,Pipes_result_save_V1!$I$2:$I$206,0))</f>
        <v>N67</v>
      </c>
      <c r="BW191" s="106" t="str">
        <f>INDEX(Pipes_result_save_V1!$H$2:$H$206,MATCH(BU191,Pipes_result_save_V1!$I$2:$I$206,0))</f>
        <v>N66</v>
      </c>
      <c r="BX191" s="106">
        <f t="shared" si="32"/>
        <v>1.0309929908539923E-2</v>
      </c>
      <c r="BY191">
        <v>250</v>
      </c>
      <c r="BZ191">
        <v>150</v>
      </c>
      <c r="CA191">
        <v>45</v>
      </c>
      <c r="CB191">
        <v>38.393376368369303</v>
      </c>
      <c r="CC191">
        <v>3.2837000000000005E-2</v>
      </c>
      <c r="CD191">
        <v>6.8637500234088572E-2</v>
      </c>
      <c r="CE191">
        <v>3.871140799510675</v>
      </c>
      <c r="CF191" s="107">
        <f>INDEX(Pipes_result_save_V1!$K$2:$K$206,MATCH(BU191,Pipes_result_save_V1!$I$2:$I$206,0)) *POWER(10,-3)</f>
        <v>-1.8314315795898442E-2</v>
      </c>
      <c r="CG191" s="78">
        <v>5.1194798104476809E-3</v>
      </c>
      <c r="CH191" s="78">
        <v>-1.3194835985450761E-2</v>
      </c>
      <c r="CN191">
        <v>0</v>
      </c>
      <c r="CO191">
        <v>17</v>
      </c>
      <c r="CP191" t="s">
        <v>539</v>
      </c>
      <c r="CQ191" t="s">
        <v>166</v>
      </c>
      <c r="CR191" s="106" t="str">
        <f>INDEX(Pipes_result_save_V1!$G$2:$G$206,MATCH(CQ191,Pipes_result_save_V1!$I$2:$I$206,0))</f>
        <v>N46</v>
      </c>
      <c r="CS191" s="106" t="str">
        <f>INDEX(Pipes_result_save_V1!$H$2:$H$206,MATCH(CQ191,Pipes_result_save_V1!$I$2:$I$206,0))</f>
        <v>N45</v>
      </c>
      <c r="CT191" s="106">
        <f t="shared" si="33"/>
        <v>4.2759345618777228E-2</v>
      </c>
      <c r="CU191">
        <v>466</v>
      </c>
      <c r="CV191">
        <v>150</v>
      </c>
      <c r="CW191">
        <v>196</v>
      </c>
      <c r="CX191">
        <v>8.0530027222061502</v>
      </c>
      <c r="CY191">
        <v>0.16656000000000001</v>
      </c>
      <c r="CZ191">
        <v>0.29127741038746446</v>
      </c>
      <c r="DA191">
        <v>3.2387473825503372</v>
      </c>
      <c r="DB191" s="107">
        <f>INDEX(Pipes_result_save_V1!$K$2:$K$206,MATCH(CQ191,Pipes_result_save_V1!$I$2:$I$206,0)) *POWER(10,-3)</f>
        <v>-5.2624523162841795E-2</v>
      </c>
      <c r="DC191" s="78">
        <v>6.3249656174210094E-3</v>
      </c>
      <c r="DD191" s="78">
        <v>-4.6299557545420783E-2</v>
      </c>
      <c r="DL191">
        <v>0</v>
      </c>
      <c r="DM191">
        <v>17</v>
      </c>
      <c r="DN191" t="s">
        <v>539</v>
      </c>
      <c r="DO191" t="s">
        <v>398</v>
      </c>
      <c r="DP191" s="106" t="str">
        <f>INDEX(Pipes_result_save_V1!$G$2:$G$206,MATCH(DO191,Pipes_result_save_V1!$I$2:$I$206,0))</f>
        <v>N196</v>
      </c>
      <c r="DQ191" s="106" t="str">
        <f>INDEX(Pipes_result_save_V1!$H$2:$H$206,MATCH(DO191,Pipes_result_save_V1!$I$2:$I$206,0))</f>
        <v>N28</v>
      </c>
      <c r="DR191" s="106">
        <f t="shared" si="34"/>
        <v>0.1910728416074102</v>
      </c>
      <c r="DS191">
        <v>466</v>
      </c>
      <c r="DT191">
        <v>150</v>
      </c>
      <c r="DU191">
        <v>75</v>
      </c>
      <c r="DV191">
        <v>3.0815061437013331</v>
      </c>
      <c r="DW191">
        <v>0.16656000000000001</v>
      </c>
      <c r="DX191">
        <v>0.11145819275030529</v>
      </c>
      <c r="DY191">
        <v>1.2393166004656904</v>
      </c>
      <c r="DZ191" s="107">
        <f>INDEX(Pipes_result_save_V1!$K$2:$K$206,MATCH(DO191,Pipes_result_save_V1!$I$2:$I$206,0)) *POWER(10,-3)</f>
        <v>-0.198505126953125</v>
      </c>
      <c r="EA191" s="78">
        <v>5.1676600694270085E-3</v>
      </c>
      <c r="EB191" s="78">
        <v>-0.19333746688369799</v>
      </c>
      <c r="EI191">
        <v>0</v>
      </c>
      <c r="EJ191">
        <v>17</v>
      </c>
      <c r="EK191" t="s">
        <v>539</v>
      </c>
      <c r="EL191" t="s">
        <v>154</v>
      </c>
      <c r="EM191" s="106" t="str">
        <f>INDEX(Pipes_result_save_V1!$G$2:$G$206,MATCH(EL191,Pipes_result_save_V1!$I$2:$I$206,0))</f>
        <v>N16</v>
      </c>
      <c r="EN191" s="106" t="str">
        <f>INDEX(Pipes_result_save_V1!$H$2:$H$206,MATCH(EL191,Pipes_result_save_V1!$I$2:$I$206,0))</f>
        <v>N15</v>
      </c>
      <c r="EO191" s="106">
        <f t="shared" si="35"/>
        <v>3.5928728627387593E-4</v>
      </c>
      <c r="EP191">
        <v>350</v>
      </c>
      <c r="EQ191">
        <v>150</v>
      </c>
      <c r="ER191">
        <v>496</v>
      </c>
      <c r="ES191">
        <v>82.174261014300242</v>
      </c>
      <c r="ET191">
        <v>8.3280000000000007E-2</v>
      </c>
      <c r="EU191">
        <v>0.82333620664856744</v>
      </c>
      <c r="EV191">
        <v>18.30954196341435</v>
      </c>
      <c r="EW191" s="107">
        <f>INDEX(Pipes_result_save_V1!$K$2:$K$206,MATCH(EL191,Pipes_result_save_V1!$I$2:$I$206,0)) *POWER(10,-3)</f>
        <v>2.8707671165466308E-4</v>
      </c>
      <c r="EX191" s="78">
        <v>5.607299923040111E-3</v>
      </c>
      <c r="EY191" s="78">
        <v>-5.320223211385448E-3</v>
      </c>
    </row>
    <row r="192" spans="2:155" ht="30" x14ac:dyDescent="0.25">
      <c r="B192" s="106">
        <v>18</v>
      </c>
      <c r="C192" s="106" t="s">
        <v>539</v>
      </c>
      <c r="D192" s="106" t="s">
        <v>211</v>
      </c>
      <c r="E192" s="106" t="str">
        <f>INDEX(Pipes_result_save_V1!$G$2:$G$206,MATCH(D192,Pipes_result_save_V1!$I$2:$I$206,0))</f>
        <v>N100</v>
      </c>
      <c r="F192" s="106" t="str">
        <f>INDEX(Pipes_result_save_V1!$H$2:$H$206,MATCH(D192,Pipes_result_save_V1!$I$2:$I$206,0))</f>
        <v>N99</v>
      </c>
      <c r="G192" s="106">
        <f t="shared" si="29"/>
        <v>3.8765909294889984E-3</v>
      </c>
      <c r="H192" s="107">
        <v>700</v>
      </c>
      <c r="I192" s="107">
        <v>150</v>
      </c>
      <c r="J192" s="107">
        <v>289</v>
      </c>
      <c r="K192" s="107">
        <v>1.6361942593429444</v>
      </c>
      <c r="L192" s="107">
        <v>0.28899999999999998</v>
      </c>
      <c r="M192" s="107">
        <v>0.16421683189371203</v>
      </c>
      <c r="N192" s="107">
        <v>1.0523514625161059</v>
      </c>
      <c r="O192" s="107">
        <f>INDEX(Pipes_result_save_V1!$K$2:$K$206,MATCH(D192,Pipes_result_save_V1!$I$2:$I$206,0)) *POWER(10,-3)</f>
        <v>-6.0764317512512211E-3</v>
      </c>
      <c r="P192" s="78">
        <v>5.7259074957591869E-3</v>
      </c>
      <c r="Q192" s="78">
        <v>-3.5052425549203427E-4</v>
      </c>
      <c r="R192" s="78"/>
      <c r="S192" s="78"/>
      <c r="T192" s="78"/>
      <c r="U192" s="78"/>
      <c r="V192" s="78"/>
      <c r="W192" s="78">
        <v>0</v>
      </c>
      <c r="X192" s="78">
        <v>18</v>
      </c>
      <c r="Y192" s="78" t="s">
        <v>540</v>
      </c>
      <c r="Z192" s="78" t="s">
        <v>303</v>
      </c>
      <c r="AA192" s="106" t="str">
        <f>INDEX(Pipes_result_save_V1!$G$2:$G$206,MATCH(Z192,Pipes_result_save_V1!$I$2:$I$206,0))</f>
        <v>N139</v>
      </c>
      <c r="AB192" s="106" t="str">
        <f>INDEX(Pipes_result_save_V1!$H$2:$H$206,MATCH(Z192,Pipes_result_save_V1!$I$2:$I$206,0))</f>
        <v>N140</v>
      </c>
      <c r="AC192" s="106">
        <f t="shared" si="30"/>
        <v>1.2806087753996305E-2</v>
      </c>
      <c r="AD192" s="78">
        <v>300</v>
      </c>
      <c r="AE192" s="78">
        <v>150</v>
      </c>
      <c r="AF192" s="78">
        <v>180</v>
      </c>
      <c r="AG192" s="78">
        <v>63.186521581003028</v>
      </c>
      <c r="AH192" s="78">
        <v>-5.8057999999999998E-2</v>
      </c>
      <c r="AI192" s="78">
        <v>0</v>
      </c>
      <c r="AJ192" s="78">
        <v>0</v>
      </c>
      <c r="AK192" s="78">
        <v>-0.32456150136702949</v>
      </c>
      <c r="AL192">
        <v>10.353231260665867</v>
      </c>
      <c r="AM192" s="107">
        <f>INDEX(Pipes_result_save_V1!$K$2:$K$206,MATCH(Z192,Pipes_result_save_V1!$I$2:$I$206,0)) *POWER(10,-3)</f>
        <v>1.8898941040039058E-2</v>
      </c>
      <c r="AN192" s="78">
        <v>3.3091231072184331E-3</v>
      </c>
      <c r="AO192" s="78">
        <v>1.5589817932820625E-2</v>
      </c>
      <c r="AU192">
        <v>0</v>
      </c>
      <c r="AV192">
        <v>18</v>
      </c>
      <c r="AW192" t="s">
        <v>540</v>
      </c>
      <c r="AX192" t="s">
        <v>412</v>
      </c>
      <c r="AY192" s="106" t="str">
        <f>INDEX(Pipes_result_save_V1!$G$2:$G$206,MATCH(AX192,Pipes_result_save_V1!$I$2:$I$206,0))</f>
        <v>N195</v>
      </c>
      <c r="AZ192" s="106" t="str">
        <f>INDEX(Pipes_result_save_V1!$H$2:$H$206,MATCH(AX192,Pipes_result_save_V1!$I$2:$I$206,0))</f>
        <v>N116</v>
      </c>
      <c r="BA192" s="106">
        <f t="shared" si="31"/>
        <v>1.0334684015313724E-3</v>
      </c>
      <c r="BB192">
        <v>250</v>
      </c>
      <c r="BC192">
        <v>150</v>
      </c>
      <c r="BD192">
        <v>116</v>
      </c>
      <c r="BE192">
        <v>98.969592416240872</v>
      </c>
      <c r="BF192">
        <v>-3.2837000000000005E-2</v>
      </c>
      <c r="BG192">
        <v>-0.17693222282565055</v>
      </c>
      <c r="BH192">
        <v>9.978940727627517</v>
      </c>
      <c r="BI192" s="107">
        <f>INDEX(Pipes_result_save_V1!$K$2:$K$206,MATCH(AX192,Pipes_result_save_V1!$I$2:$I$206,0)) *POWER(10,-3)</f>
        <v>5.689303874969482E-4</v>
      </c>
      <c r="BJ192" s="78">
        <v>5.5553925534145045E-3</v>
      </c>
      <c r="BK192" s="78">
        <v>-4.9864621659175563E-3</v>
      </c>
      <c r="BR192">
        <v>0</v>
      </c>
      <c r="BS192">
        <v>18</v>
      </c>
      <c r="BT192" t="s">
        <v>539</v>
      </c>
      <c r="BU192" t="s">
        <v>117</v>
      </c>
      <c r="BV192" s="106" t="str">
        <f>INDEX(Pipes_result_save_V1!$G$2:$G$206,MATCH(BU192,Pipes_result_save_V1!$I$2:$I$206,0))</f>
        <v>N68</v>
      </c>
      <c r="BW192" s="106" t="str">
        <f>INDEX(Pipes_result_save_V1!$H$2:$H$206,MATCH(BU192,Pipes_result_save_V1!$I$2:$I$206,0))</f>
        <v>N67</v>
      </c>
      <c r="BX192" s="106">
        <f t="shared" si="32"/>
        <v>6.9620384094925582E-3</v>
      </c>
      <c r="BY192">
        <v>250</v>
      </c>
      <c r="BZ192">
        <v>150</v>
      </c>
      <c r="CA192">
        <v>100</v>
      </c>
      <c r="CB192">
        <v>85.318614151931783</v>
      </c>
      <c r="CC192">
        <v>3.2837000000000005E-2</v>
      </c>
      <c r="CD192">
        <v>0.15252777829797462</v>
      </c>
      <c r="CE192">
        <v>8.6025351100237213</v>
      </c>
      <c r="CF192" s="107">
        <f>INDEX(Pipes_result_save_V1!$K$2:$K$206,MATCH(BU192,Pipes_result_save_V1!$I$2:$I$206,0)) *POWER(10,-3)</f>
        <v>-1.748701095581055E-2</v>
      </c>
      <c r="CG192" s="78">
        <v>5.8473319003270099E-3</v>
      </c>
      <c r="CH192" s="78">
        <v>-1.163967905548354E-2</v>
      </c>
      <c r="CN192">
        <v>0</v>
      </c>
      <c r="CO192">
        <v>18</v>
      </c>
      <c r="CP192" t="s">
        <v>539</v>
      </c>
      <c r="CQ192" t="s">
        <v>165</v>
      </c>
      <c r="CR192" s="106" t="str">
        <f>INDEX(Pipes_result_save_V1!$G$2:$G$206,MATCH(CQ192,Pipes_result_save_V1!$I$2:$I$206,0))</f>
        <v>N47</v>
      </c>
      <c r="CS192" s="106" t="str">
        <f>INDEX(Pipes_result_save_V1!$H$2:$H$206,MATCH(CQ192,Pipes_result_save_V1!$I$2:$I$206,0))</f>
        <v>N46</v>
      </c>
      <c r="CT192" s="106">
        <f t="shared" si="33"/>
        <v>4.1812449955895378E-2</v>
      </c>
      <c r="CU192">
        <v>466</v>
      </c>
      <c r="CV192">
        <v>150</v>
      </c>
      <c r="CW192">
        <v>275</v>
      </c>
      <c r="CX192">
        <v>11.298855860238222</v>
      </c>
      <c r="CY192">
        <v>0.16656000000000001</v>
      </c>
      <c r="CZ192">
        <v>0.40868004008445274</v>
      </c>
      <c r="DA192">
        <v>4.5441608683741981</v>
      </c>
      <c r="DB192" s="107">
        <f>INDEX(Pipes_result_save_V1!$K$2:$K$206,MATCH(CQ192,Pipes_result_save_V1!$I$2:$I$206,0)) *POWER(10,-3)</f>
        <v>-4.9937206268310545E-2</v>
      </c>
      <c r="DC192" s="78">
        <v>5.0671622608914205E-3</v>
      </c>
      <c r="DD192" s="78">
        <v>-4.4870044007419126E-2</v>
      </c>
      <c r="DL192">
        <v>0</v>
      </c>
      <c r="DM192">
        <v>18</v>
      </c>
      <c r="DN192" t="s">
        <v>539</v>
      </c>
      <c r="DO192" t="s">
        <v>140</v>
      </c>
      <c r="DP192" s="106" t="str">
        <f>INDEX(Pipes_result_save_V1!$G$2:$G$206,MATCH(DO192,Pipes_result_save_V1!$I$2:$I$206,0))</f>
        <v>N30</v>
      </c>
      <c r="DQ192" s="106" t="str">
        <f>INDEX(Pipes_result_save_V1!$H$2:$H$206,MATCH(DO192,Pipes_result_save_V1!$I$2:$I$206,0))</f>
        <v>N29</v>
      </c>
      <c r="DR192" s="106">
        <f t="shared" si="34"/>
        <v>0.18624103953981275</v>
      </c>
      <c r="DS192">
        <v>466</v>
      </c>
      <c r="DT192">
        <v>150</v>
      </c>
      <c r="DU192">
        <v>76</v>
      </c>
      <c r="DV192">
        <v>3.1225928922840178</v>
      </c>
      <c r="DW192">
        <v>0.16656000000000001</v>
      </c>
      <c r="DX192">
        <v>0.11294430198697604</v>
      </c>
      <c r="DY192">
        <v>1.255840821805233</v>
      </c>
      <c r="DZ192" s="107">
        <f>INDEX(Pipes_result_save_V1!$K$2:$K$206,MATCH(DO192,Pipes_result_save_V1!$I$2:$I$206,0)) *POWER(10,-3)</f>
        <v>-0.19685621643066409</v>
      </c>
      <c r="EA192" s="78">
        <v>5.8515718255350326E-3</v>
      </c>
      <c r="EB192" s="78">
        <v>-0.19100464460512906</v>
      </c>
      <c r="EI192">
        <v>0</v>
      </c>
      <c r="EJ192">
        <v>18</v>
      </c>
      <c r="EK192" t="s">
        <v>539</v>
      </c>
      <c r="EL192" t="s">
        <v>153</v>
      </c>
      <c r="EM192" s="106" t="str">
        <f>INDEX(Pipes_result_save_V1!$G$2:$G$206,MATCH(EL192,Pipes_result_save_V1!$I$2:$I$206,0))</f>
        <v>N17</v>
      </c>
      <c r="EN192" s="106" t="str">
        <f>INDEX(Pipes_result_save_V1!$H$2:$H$206,MATCH(EL192,Pipes_result_save_V1!$I$2:$I$206,0))</f>
        <v>N16</v>
      </c>
      <c r="EO192" s="106">
        <f t="shared" si="35"/>
        <v>2.384228132612591E-3</v>
      </c>
      <c r="EP192">
        <v>350</v>
      </c>
      <c r="EQ192">
        <v>150</v>
      </c>
      <c r="ER192">
        <v>414</v>
      </c>
      <c r="ES192">
        <v>68.589000120807043</v>
      </c>
      <c r="ET192">
        <v>8.3280000000000007E-2</v>
      </c>
      <c r="EU192">
        <v>0.68722014022682831</v>
      </c>
      <c r="EV192">
        <v>15.282561235591812</v>
      </c>
      <c r="EW192" s="107">
        <f>INDEX(Pipes_result_save_V1!$K$2:$K$206,MATCH(EL192,Pipes_result_save_V1!$I$2:$I$206,0)) *POWER(10,-3)</f>
        <v>5.4791264533996581E-3</v>
      </c>
      <c r="EX192" s="78">
        <v>5.6390464012246611E-3</v>
      </c>
      <c r="EY192" s="78">
        <v>-1.5991994782500307E-4</v>
      </c>
    </row>
    <row r="193" spans="2:155" ht="30" x14ac:dyDescent="0.25">
      <c r="B193" s="106">
        <v>19</v>
      </c>
      <c r="C193" s="106" t="s">
        <v>539</v>
      </c>
      <c r="D193" s="106" t="s">
        <v>209</v>
      </c>
      <c r="E193" s="106" t="str">
        <f>INDEX(Pipes_result_save_V1!$G$2:$G$206,MATCH(D193,Pipes_result_save_V1!$I$2:$I$206,0))</f>
        <v>N101</v>
      </c>
      <c r="F193" s="106" t="str">
        <f>INDEX(Pipes_result_save_V1!$H$2:$H$206,MATCH(D193,Pipes_result_save_V1!$I$2:$I$206,0))</f>
        <v>N100</v>
      </c>
      <c r="G193" s="106">
        <f t="shared" si="29"/>
        <v>1.8038108048091897E-3</v>
      </c>
      <c r="H193" s="107">
        <v>466</v>
      </c>
      <c r="I193" s="107">
        <v>150</v>
      </c>
      <c r="J193" s="107">
        <v>153</v>
      </c>
      <c r="K193" s="107">
        <v>6.2862725331507194</v>
      </c>
      <c r="L193" s="107">
        <v>0.153</v>
      </c>
      <c r="M193" s="107">
        <v>0.19428610209258285</v>
      </c>
      <c r="N193" s="107">
        <v>2.3517507259834214</v>
      </c>
      <c r="O193" s="107">
        <f>INDEX(Pipes_result_save_V1!$K$2:$K$206,MATCH(D193,Pipes_result_save_V1!$I$2:$I$206,0)) *POWER(10,-3)</f>
        <v>-3.5545794963836672E-3</v>
      </c>
      <c r="P193" s="78">
        <v>5.2890668299774395E-3</v>
      </c>
      <c r="Q193" s="78">
        <v>1.7344873335937722E-3</v>
      </c>
      <c r="R193" s="78"/>
      <c r="S193" s="78"/>
      <c r="T193" s="78"/>
      <c r="U193" s="78"/>
      <c r="V193" s="78"/>
      <c r="W193" s="78">
        <v>0</v>
      </c>
      <c r="X193" s="78">
        <v>19</v>
      </c>
      <c r="Y193" s="78" t="s">
        <v>540</v>
      </c>
      <c r="Z193" s="78" t="s">
        <v>304</v>
      </c>
      <c r="AA193" s="106" t="str">
        <f>INDEX(Pipes_result_save_V1!$G$2:$G$206,MATCH(Z193,Pipes_result_save_V1!$I$2:$I$206,0))</f>
        <v>N140</v>
      </c>
      <c r="AB193" s="106" t="str">
        <f>INDEX(Pipes_result_save_V1!$H$2:$H$206,MATCH(Z193,Pipes_result_save_V1!$I$2:$I$206,0))</f>
        <v>N141</v>
      </c>
      <c r="AC193" s="106">
        <f t="shared" si="30"/>
        <v>8.2985054635136002E-3</v>
      </c>
      <c r="AD193" s="78">
        <v>300</v>
      </c>
      <c r="AE193" s="78">
        <v>150</v>
      </c>
      <c r="AF193" s="78">
        <v>210</v>
      </c>
      <c r="AG193" s="78">
        <v>73.717608511170198</v>
      </c>
      <c r="AH193" s="78">
        <v>-5.8057999999999998E-2</v>
      </c>
      <c r="AI193" s="78">
        <v>0</v>
      </c>
      <c r="AJ193" s="78">
        <v>0</v>
      </c>
      <c r="AK193" s="78">
        <v>-0.37865508492820105</v>
      </c>
      <c r="AL193">
        <v>12.078769804110179</v>
      </c>
      <c r="AM193" s="107">
        <f>INDEX(Pipes_result_save_V1!$K$2:$K$206,MATCH(Z193,Pipes_result_save_V1!$I$2:$I$206,0)) *POWER(10,-3)</f>
        <v>1.6673776626586912E-2</v>
      </c>
      <c r="AN193" s="78">
        <v>4.5240166897609355E-3</v>
      </c>
      <c r="AO193" s="78">
        <v>1.2149759936825977E-2</v>
      </c>
      <c r="AU193">
        <v>0</v>
      </c>
      <c r="AV193">
        <v>19</v>
      </c>
      <c r="AW193" t="s">
        <v>540</v>
      </c>
      <c r="AX193" t="s">
        <v>308</v>
      </c>
      <c r="AY193" s="106" t="str">
        <f>INDEX(Pipes_result_save_V1!$G$2:$G$206,MATCH(AX193,Pipes_result_save_V1!$I$2:$I$206,0))</f>
        <v>N118</v>
      </c>
      <c r="AZ193" s="106" t="str">
        <f>INDEX(Pipes_result_save_V1!$H$2:$H$206,MATCH(AX193,Pipes_result_save_V1!$I$2:$I$206,0))</f>
        <v>N117</v>
      </c>
      <c r="BA193" s="106">
        <f t="shared" si="31"/>
        <v>1.2084227865242802E-3</v>
      </c>
      <c r="BB193">
        <v>250</v>
      </c>
      <c r="BC193">
        <v>150</v>
      </c>
      <c r="BD193">
        <v>117</v>
      </c>
      <c r="BE193">
        <v>99.822778557760188</v>
      </c>
      <c r="BF193">
        <v>-3.2837000000000005E-2</v>
      </c>
      <c r="BG193">
        <v>-0.1784575006086303</v>
      </c>
      <c r="BH193">
        <v>10.064966078727755</v>
      </c>
      <c r="BI193" s="107">
        <f>INDEX(Pipes_result_save_V1!$K$2:$K$206,MATCH(AX193,Pipes_result_save_V1!$I$2:$I$206,0)) *POWER(10,-3)</f>
        <v>3.5129935741424561E-3</v>
      </c>
      <c r="BJ193" s="78">
        <v>6.3566054759352413E-3</v>
      </c>
      <c r="BK193" s="78">
        <v>-2.8436119017927852E-3</v>
      </c>
      <c r="BR193">
        <v>0</v>
      </c>
      <c r="BS193">
        <v>19</v>
      </c>
      <c r="BT193" t="s">
        <v>539</v>
      </c>
      <c r="BU193" t="s">
        <v>116</v>
      </c>
      <c r="BV193" s="106" t="str">
        <f>INDEX(Pipes_result_save_V1!$G$2:$G$206,MATCH(BU193,Pipes_result_save_V1!$I$2:$I$206,0))</f>
        <v>N69</v>
      </c>
      <c r="BW193" s="106" t="str">
        <f>INDEX(Pipes_result_save_V1!$H$2:$H$206,MATCH(BU193,Pipes_result_save_V1!$I$2:$I$206,0))</f>
        <v>N68</v>
      </c>
      <c r="BX193" s="106">
        <f t="shared" si="32"/>
        <v>5.7611213652218269E-3</v>
      </c>
      <c r="BY193">
        <v>250</v>
      </c>
      <c r="BZ193">
        <v>150</v>
      </c>
      <c r="CA193">
        <v>202</v>
      </c>
      <c r="CB193">
        <v>172.3436005869022</v>
      </c>
      <c r="CC193">
        <v>3.2835999999999997E-2</v>
      </c>
      <c r="CD193">
        <v>0.308088735266423</v>
      </c>
      <c r="CE193">
        <v>17.376670048526481</v>
      </c>
      <c r="CF193" s="107">
        <f>INDEX(Pipes_result_save_V1!$K$2:$K$206,MATCH(BU193,Pipes_result_save_V1!$I$2:$I$206,0)) *POWER(10,-3)</f>
        <v>-1.5763935089111329E-2</v>
      </c>
      <c r="CG193" s="78">
        <v>6.4985723864827184E-3</v>
      </c>
      <c r="CH193" s="78">
        <v>-9.2653627026286108E-3</v>
      </c>
      <c r="CN193">
        <v>0</v>
      </c>
      <c r="CO193">
        <v>19</v>
      </c>
      <c r="CP193" t="s">
        <v>539</v>
      </c>
      <c r="CQ193" t="s">
        <v>164</v>
      </c>
      <c r="CR193" s="106" t="str">
        <f>INDEX(Pipes_result_save_V1!$G$2:$G$206,MATCH(CQ193,Pipes_result_save_V1!$I$2:$I$206,0))</f>
        <v>N48</v>
      </c>
      <c r="CS193" s="106" t="str">
        <f>INDEX(Pipes_result_save_V1!$H$2:$H$206,MATCH(CQ193,Pipes_result_save_V1!$I$2:$I$206,0))</f>
        <v>N47</v>
      </c>
      <c r="CT193" s="106">
        <f t="shared" si="33"/>
        <v>3.6281127607338044E-2</v>
      </c>
      <c r="CU193">
        <v>466</v>
      </c>
      <c r="CV193">
        <v>150</v>
      </c>
      <c r="CW193">
        <v>407</v>
      </c>
      <c r="CX193">
        <v>16.722306673152566</v>
      </c>
      <c r="CY193">
        <v>0.16656000000000001</v>
      </c>
      <c r="CZ193">
        <v>0.60484645932499004</v>
      </c>
      <c r="DA193">
        <v>6.7253580851938128</v>
      </c>
      <c r="DB193" s="107">
        <f>INDEX(Pipes_result_save_V1!$K$2:$K$206,MATCH(CQ193,Pipes_result_save_V1!$I$2:$I$206,0)) *POWER(10,-3)</f>
        <v>-4.60460205078125E-2</v>
      </c>
      <c r="DC193" s="78">
        <v>6.1708428189658528E-3</v>
      </c>
      <c r="DD193" s="78">
        <v>-3.9875177688846644E-2</v>
      </c>
      <c r="DL193">
        <v>0</v>
      </c>
      <c r="DM193">
        <v>19</v>
      </c>
      <c r="DN193" t="s">
        <v>539</v>
      </c>
      <c r="DO193" t="s">
        <v>909</v>
      </c>
      <c r="DP193" s="106" t="str">
        <f>INDEX(Pipes_result_save_V1!$G$2:$G$206,MATCH(DO193,Pipes_result_save_V1!$I$2:$I$206,0))</f>
        <v>N29</v>
      </c>
      <c r="DQ193" s="106" t="str">
        <f>INDEX(Pipes_result_save_V1!$H$2:$H$206,MATCH(DO193,Pipes_result_save_V1!$I$2:$I$206,0))</f>
        <v>N196</v>
      </c>
      <c r="DR193" s="106">
        <f t="shared" si="34"/>
        <v>0.18844450834090473</v>
      </c>
      <c r="DS193">
        <v>466</v>
      </c>
      <c r="DT193">
        <v>150</v>
      </c>
      <c r="DU193">
        <v>69</v>
      </c>
      <c r="DV193">
        <v>2.8349856522052264</v>
      </c>
      <c r="DW193">
        <v>0.16656000000000001</v>
      </c>
      <c r="DX193">
        <v>0.10254153733028086</v>
      </c>
      <c r="DY193">
        <v>1.140171272428435</v>
      </c>
      <c r="DZ193" s="107">
        <f>INDEX(Pipes_result_save_V1!$K$2:$K$206,MATCH(DO193,Pipes_result_save_V1!$I$2:$I$206,0)) *POWER(10,-3)</f>
        <v>-0.19768353271484382</v>
      </c>
      <c r="EA193" s="78">
        <v>5.8017784347783241E-3</v>
      </c>
      <c r="EB193" s="78">
        <v>-0.19188175428006549</v>
      </c>
      <c r="EI193">
        <v>0</v>
      </c>
      <c r="EJ193">
        <v>19</v>
      </c>
      <c r="EK193" t="s">
        <v>540</v>
      </c>
      <c r="EL193" t="s">
        <v>404</v>
      </c>
      <c r="EM193" s="106" t="str">
        <f>INDEX(Pipes_result_save_V1!$G$2:$G$206,MATCH(EL193,Pipes_result_save_V1!$I$2:$I$206,0))</f>
        <v>N31</v>
      </c>
      <c r="EN193" s="106" t="str">
        <f>INDEX(Pipes_result_save_V1!$H$2:$H$206,MATCH(EL193,Pipes_result_save_V1!$I$2:$I$206,0))</f>
        <v>N17</v>
      </c>
      <c r="EO193" s="106">
        <f t="shared" si="35"/>
        <v>6.3262624144627813E-2</v>
      </c>
      <c r="EP193">
        <v>466</v>
      </c>
      <c r="EQ193">
        <v>150</v>
      </c>
      <c r="ER193">
        <v>211</v>
      </c>
      <c r="ES193">
        <v>8.6693039509464178</v>
      </c>
      <c r="ET193">
        <v>-0.16656000000000001</v>
      </c>
      <c r="EU193">
        <v>-0.31356904893752557</v>
      </c>
      <c r="EV193">
        <v>3.4866107026434761</v>
      </c>
      <c r="EW193" s="107">
        <f>INDEX(Pipes_result_save_V1!$K$2:$K$206,MATCH(EL193,Pipes_result_save_V1!$I$2:$I$206,0)) *POWER(10,-3)</f>
        <v>7.1654319763183594E-2</v>
      </c>
      <c r="EX193" s="78">
        <v>6.4707009260980023E-3</v>
      </c>
      <c r="EY193" s="78">
        <v>6.5183618837085594E-2</v>
      </c>
    </row>
    <row r="194" spans="2:155" ht="30" x14ac:dyDescent="0.25">
      <c r="B194" s="106">
        <v>20</v>
      </c>
      <c r="C194" s="106" t="s">
        <v>539</v>
      </c>
      <c r="D194" s="106" t="s">
        <v>210</v>
      </c>
      <c r="E194" s="106" t="str">
        <f>INDEX(Pipes_result_save_V1!$G$2:$G$206,MATCH(D194,Pipes_result_save_V1!$I$2:$I$206,0))</f>
        <v>N102</v>
      </c>
      <c r="F194" s="106" t="str">
        <f>INDEX(Pipes_result_save_V1!$H$2:$H$206,MATCH(D194,Pipes_result_save_V1!$I$2:$I$206,0))</f>
        <v>N101</v>
      </c>
      <c r="G194" s="106">
        <f t="shared" si="29"/>
        <v>2.6965951542971883E-3</v>
      </c>
      <c r="H194" s="107">
        <v>350</v>
      </c>
      <c r="I194" s="107">
        <v>150</v>
      </c>
      <c r="J194" s="107">
        <v>73</v>
      </c>
      <c r="K194" s="107">
        <v>12.094195673475639</v>
      </c>
      <c r="L194" s="107">
        <v>7.2999999999999995E-2</v>
      </c>
      <c r="M194" s="107">
        <v>9.4940371718878883E-2</v>
      </c>
      <c r="N194" s="107">
        <v>2.4086242249775851</v>
      </c>
      <c r="O194" s="107">
        <f>INDEX(Pipes_result_save_V1!$K$2:$K$206,MATCH(D194,Pipes_result_save_V1!$I$2:$I$206,0)) *POWER(10,-3)</f>
        <v>-2.2651252746582031E-3</v>
      </c>
      <c r="P194" s="78">
        <v>5.0199050443581169E-3</v>
      </c>
      <c r="Q194" s="78">
        <v>2.7547797696999138E-3</v>
      </c>
      <c r="R194" s="78"/>
      <c r="S194" s="78"/>
      <c r="T194" s="78"/>
      <c r="U194" s="78"/>
      <c r="V194" s="78"/>
      <c r="W194" s="78">
        <v>0</v>
      </c>
      <c r="X194" s="78">
        <v>20</v>
      </c>
      <c r="Y194" s="78" t="s">
        <v>540</v>
      </c>
      <c r="Z194" s="78" t="s">
        <v>435</v>
      </c>
      <c r="AA194" s="106" t="str">
        <f>INDEX(Pipes_result_save_V1!$G$2:$G$206,MATCH(Z194,Pipes_result_save_V1!$I$2:$I$206,0))</f>
        <v>N141</v>
      </c>
      <c r="AB194" s="106" t="str">
        <f>INDEX(Pipes_result_save_V1!$H$2:$H$206,MATCH(Z194,Pipes_result_save_V1!$I$2:$I$206,0))</f>
        <v>N142</v>
      </c>
      <c r="AC194" s="106">
        <f t="shared" si="30"/>
        <v>9.7411631372155451E-3</v>
      </c>
      <c r="AD194" s="78">
        <v>300</v>
      </c>
      <c r="AE194" s="78">
        <v>150</v>
      </c>
      <c r="AF194" s="78">
        <v>100</v>
      </c>
      <c r="AG194" s="78">
        <v>35.103623100557243</v>
      </c>
      <c r="AH194" s="78">
        <v>-5.8057999999999998E-2</v>
      </c>
      <c r="AI194" s="78">
        <v>0</v>
      </c>
      <c r="AJ194" s="78">
        <v>0</v>
      </c>
      <c r="AK194" s="78">
        <v>-0.18031194520390531</v>
      </c>
      <c r="AL194">
        <v>5.7517951448143707</v>
      </c>
      <c r="AM194" s="107">
        <f>INDEX(Pipes_result_save_V1!$K$2:$K$206,MATCH(Z194,Pipes_result_save_V1!$I$2:$I$206,0)) *POWER(10,-3)</f>
        <v>1.490505695343018E-2</v>
      </c>
      <c r="AN194" s="78">
        <v>3.1666859101101511E-3</v>
      </c>
      <c r="AO194" s="78">
        <v>1.1738371043320029E-2</v>
      </c>
      <c r="AU194">
        <v>0</v>
      </c>
      <c r="AV194">
        <v>20</v>
      </c>
      <c r="AW194" t="s">
        <v>540</v>
      </c>
      <c r="AX194" t="s">
        <v>411</v>
      </c>
      <c r="AY194" s="106" t="str">
        <f>INDEX(Pipes_result_save_V1!$G$2:$G$206,MATCH(AX194,Pipes_result_save_V1!$I$2:$I$206,0))</f>
        <v>N117</v>
      </c>
      <c r="AZ194" s="106" t="str">
        <f>INDEX(Pipes_result_save_V1!$H$2:$H$206,MATCH(AX194,Pipes_result_save_V1!$I$2:$I$206,0))</f>
        <v>N195</v>
      </c>
      <c r="BA194" s="106">
        <f t="shared" si="31"/>
        <v>1.2325585092079136E-3</v>
      </c>
      <c r="BB194">
        <v>250</v>
      </c>
      <c r="BC194">
        <v>150</v>
      </c>
      <c r="BD194">
        <v>117</v>
      </c>
      <c r="BE194">
        <v>99.822778557760188</v>
      </c>
      <c r="BF194">
        <v>-3.2837000000000005E-2</v>
      </c>
      <c r="BG194">
        <v>-0.1784575006086303</v>
      </c>
      <c r="BH194">
        <v>10.064966078727755</v>
      </c>
      <c r="BI194" s="107">
        <f>INDEX(Pipes_result_save_V1!$K$2:$K$206,MATCH(AX194,Pipes_result_save_V1!$I$2:$I$206,0)) *POWER(10,-3)</f>
        <v>1.881206631660461E-3</v>
      </c>
      <c r="BJ194" s="78">
        <v>6.4525918843725888E-3</v>
      </c>
      <c r="BK194" s="78">
        <v>-4.571385252712128E-3</v>
      </c>
      <c r="BR194">
        <v>0</v>
      </c>
      <c r="BS194">
        <v>20</v>
      </c>
      <c r="BT194" t="s">
        <v>539</v>
      </c>
      <c r="BU194" t="s">
        <v>115</v>
      </c>
      <c r="BV194" s="106" t="str">
        <f>INDEX(Pipes_result_save_V1!$G$2:$G$206,MATCH(BU194,Pipes_result_save_V1!$I$2:$I$206,0))</f>
        <v>N70</v>
      </c>
      <c r="BW194" s="106" t="str">
        <f>INDEX(Pipes_result_save_V1!$H$2:$H$206,MATCH(BU194,Pipes_result_save_V1!$I$2:$I$206,0))</f>
        <v>N69</v>
      </c>
      <c r="BX194" s="106">
        <f t="shared" si="32"/>
        <v>3.9543671585467642E-2</v>
      </c>
      <c r="BY194">
        <v>565</v>
      </c>
      <c r="BZ194">
        <v>150</v>
      </c>
      <c r="CA194">
        <v>166</v>
      </c>
      <c r="CB194">
        <v>2.6686380466646789</v>
      </c>
      <c r="CC194">
        <v>0.19939599999999999</v>
      </c>
      <c r="CD194">
        <v>0.13469904721539741</v>
      </c>
      <c r="CE194">
        <v>1.2510914734644432</v>
      </c>
      <c r="CF194" s="107">
        <f>INDEX(Pipes_result_save_V1!$K$2:$K$206,MATCH(BU194,Pipes_result_save_V1!$I$2:$I$206,0)) *POWER(10,-3)</f>
        <v>-4.6855716705322271E-2</v>
      </c>
      <c r="CG194" s="78">
        <v>6.5772864277440666E-3</v>
      </c>
      <c r="CH194" s="78">
        <v>-4.0278430277578207E-2</v>
      </c>
      <c r="CN194">
        <v>0</v>
      </c>
      <c r="CO194">
        <v>20</v>
      </c>
      <c r="CP194" t="s">
        <v>539</v>
      </c>
      <c r="CQ194" t="s">
        <v>163</v>
      </c>
      <c r="CR194" s="106" t="str">
        <f>INDEX(Pipes_result_save_V1!$G$2:$G$206,MATCH(CQ194,Pipes_result_save_V1!$I$2:$I$206,0))</f>
        <v>N49</v>
      </c>
      <c r="CS194" s="106" t="str">
        <f>INDEX(Pipes_result_save_V1!$H$2:$H$206,MATCH(CQ194,Pipes_result_save_V1!$I$2:$I$206,0))</f>
        <v>N48</v>
      </c>
      <c r="CT194" s="106">
        <f t="shared" si="33"/>
        <v>3.197047451025474E-2</v>
      </c>
      <c r="CU194">
        <v>466</v>
      </c>
      <c r="CV194">
        <v>150</v>
      </c>
      <c r="CW194">
        <v>395</v>
      </c>
      <c r="CX194">
        <v>16.229265690160354</v>
      </c>
      <c r="CY194">
        <v>0.16656000000000001</v>
      </c>
      <c r="CZ194">
        <v>0.58701314848494113</v>
      </c>
      <c r="DA194">
        <v>6.5270674291193025</v>
      </c>
      <c r="DB194" s="107">
        <f>INDEX(Pipes_result_save_V1!$K$2:$K$206,MATCH(CQ194,Pipes_result_save_V1!$I$2:$I$206,0)) *POWER(10,-3)</f>
        <v>-4.1470172882080082E-2</v>
      </c>
      <c r="DC194" s="78">
        <v>5.4823274001327433E-3</v>
      </c>
      <c r="DD194" s="78">
        <v>-3.5987845481947341E-2</v>
      </c>
      <c r="DL194">
        <v>0</v>
      </c>
      <c r="DM194">
        <v>20</v>
      </c>
      <c r="DN194" t="s">
        <v>539</v>
      </c>
      <c r="DO194" t="s">
        <v>139</v>
      </c>
      <c r="DP194" s="106" t="str">
        <f>INDEX(Pipes_result_save_V1!$G$2:$G$206,MATCH(DO194,Pipes_result_save_V1!$I$2:$I$206,0))</f>
        <v>N31</v>
      </c>
      <c r="DQ194" s="106" t="str">
        <f>INDEX(Pipes_result_save_V1!$H$2:$H$206,MATCH(DO194,Pipes_result_save_V1!$I$2:$I$206,0))</f>
        <v>N30</v>
      </c>
      <c r="DR194" s="106">
        <f t="shared" si="34"/>
        <v>0.18557405946060448</v>
      </c>
      <c r="DS194">
        <v>466</v>
      </c>
      <c r="DT194">
        <v>150</v>
      </c>
      <c r="DU194">
        <v>251</v>
      </c>
      <c r="DV194">
        <v>10.312773894253795</v>
      </c>
      <c r="DW194">
        <v>0.16656000000000001</v>
      </c>
      <c r="DX194">
        <v>0.37301341840435503</v>
      </c>
      <c r="DY194">
        <v>4.1475795562251774</v>
      </c>
      <c r="DZ194" s="107">
        <f>INDEX(Pipes_result_save_V1!$K$2:$K$206,MATCH(DO194,Pipes_result_save_V1!$I$2:$I$206,0)) *POWER(10,-3)</f>
        <v>-0.19499050903320311</v>
      </c>
      <c r="EA194" s="78">
        <v>5.7945520514642189E-3</v>
      </c>
      <c r="EB194" s="78">
        <v>-0.18919595698173888</v>
      </c>
      <c r="EI194">
        <v>7</v>
      </c>
      <c r="EJ194">
        <v>20</v>
      </c>
      <c r="EK194" t="s">
        <v>540</v>
      </c>
      <c r="EL194" t="s">
        <v>151</v>
      </c>
      <c r="EM194" s="106" t="str">
        <f>INDEX(Pipes_result_save_V1!$G$2:$G$206,MATCH(EL194,Pipes_result_save_V1!$I$2:$I$206,0))</f>
        <v>N19</v>
      </c>
      <c r="EN194" s="106" t="str">
        <f>INDEX(Pipes_result_save_V1!$H$2:$H$206,MATCH(EL194,Pipes_result_save_V1!$I$2:$I$206,0))</f>
        <v>N18</v>
      </c>
      <c r="EO194" s="106">
        <f t="shared" si="35"/>
        <v>0.19832389366436998</v>
      </c>
      <c r="EP194">
        <v>466</v>
      </c>
      <c r="EQ194">
        <v>150</v>
      </c>
      <c r="ER194">
        <v>56</v>
      </c>
      <c r="ES194">
        <v>2.3008579206303286</v>
      </c>
      <c r="ET194">
        <v>-9.4864356265488253E-2</v>
      </c>
      <c r="EU194">
        <v>-2.9341659712503444E-2</v>
      </c>
      <c r="EV194">
        <v>0.57282583181693481</v>
      </c>
      <c r="EW194" s="107">
        <f>INDEX(Pipes_result_save_V1!$K$2:$K$206,MATCH(EL194,Pipes_result_save_V1!$I$2:$I$206,0)) *POWER(10,-3)</f>
        <v>-0.20831297302246091</v>
      </c>
      <c r="EX194" s="78">
        <v>6.5037300181306525E-3</v>
      </c>
      <c r="EY194" s="78">
        <v>-0.20180924300433026</v>
      </c>
    </row>
    <row r="195" spans="2:155" ht="30" x14ac:dyDescent="0.25">
      <c r="B195" s="106">
        <v>21</v>
      </c>
      <c r="C195" s="106" t="s">
        <v>539</v>
      </c>
      <c r="D195" s="106" t="s">
        <v>208</v>
      </c>
      <c r="E195" s="106" t="str">
        <f>INDEX(Pipes_result_save_V1!$G$2:$G$206,MATCH(D195,Pipes_result_save_V1!$I$2:$I$206,0))</f>
        <v>N103</v>
      </c>
      <c r="F195" s="106" t="str">
        <f>INDEX(Pipes_result_save_V1!$H$2:$H$206,MATCH(D195,Pipes_result_save_V1!$I$2:$I$206,0))</f>
        <v>N102</v>
      </c>
      <c r="G195" s="106">
        <f t="shared" si="29"/>
        <v>1.82158923402197E-3</v>
      </c>
      <c r="H195" s="107">
        <v>300</v>
      </c>
      <c r="I195" s="107">
        <v>150</v>
      </c>
      <c r="J195" s="107">
        <v>56</v>
      </c>
      <c r="K195" s="107">
        <v>19.658028936312054</v>
      </c>
      <c r="L195" s="107">
        <v>5.6000000000000001E-2</v>
      </c>
      <c r="M195" s="107">
        <v>9.4446136293034055E-2</v>
      </c>
      <c r="N195" s="107">
        <v>3.1234686502624811</v>
      </c>
      <c r="O195" s="107">
        <f>INDEX(Pipes_result_save_V1!$K$2:$K$206,MATCH(D195,Pipes_result_save_V1!$I$2:$I$206,0)) *POWER(10,-3)</f>
        <v>-1.529109477996826E-3</v>
      </c>
      <c r="P195" s="78">
        <v>5.6469291829771987E-3</v>
      </c>
      <c r="Q195" s="78">
        <v>4.1178197049803727E-3</v>
      </c>
      <c r="R195" s="78"/>
      <c r="S195" s="78"/>
      <c r="T195" s="78"/>
      <c r="U195" s="78"/>
      <c r="V195" s="78"/>
      <c r="W195" s="78">
        <v>0</v>
      </c>
      <c r="X195" s="78">
        <v>21</v>
      </c>
      <c r="Y195" s="78" t="s">
        <v>540</v>
      </c>
      <c r="Z195" s="78" t="s">
        <v>207</v>
      </c>
      <c r="AA195" s="106" t="str">
        <f>INDEX(Pipes_result_save_V1!$G$2:$G$206,MATCH(Z195,Pipes_result_save_V1!$I$2:$I$206,0))</f>
        <v>N142</v>
      </c>
      <c r="AB195" s="106" t="str">
        <f>INDEX(Pipes_result_save_V1!$H$2:$H$206,MATCH(Z195,Pipes_result_save_V1!$I$2:$I$206,0))</f>
        <v>N143</v>
      </c>
      <c r="AC195" s="106">
        <f t="shared" si="30"/>
        <v>5.626880934946895E-3</v>
      </c>
      <c r="AD195" s="78">
        <v>300</v>
      </c>
      <c r="AE195" s="78">
        <v>150</v>
      </c>
      <c r="AF195" s="78">
        <v>427</v>
      </c>
      <c r="AG195" s="78">
        <v>149.89247063937941</v>
      </c>
      <c r="AH195" s="78">
        <v>-5.8057999999999998E-2</v>
      </c>
      <c r="AI195" s="78">
        <v>0</v>
      </c>
      <c r="AJ195" s="78">
        <v>0</v>
      </c>
      <c r="AK195" s="78">
        <v>-0.76993200602067557</v>
      </c>
      <c r="AL195">
        <v>24.560165268357366</v>
      </c>
      <c r="AM195" s="107">
        <f>INDEX(Pipes_result_save_V1!$K$2:$K$206,MATCH(Z195,Pipes_result_save_V1!$I$2:$I$206,0)) *POWER(10,-3)</f>
        <v>1.1898232460021972E-2</v>
      </c>
      <c r="AN195" s="78">
        <v>2.2711077312536948E-3</v>
      </c>
      <c r="AO195" s="78">
        <v>9.6271247287682774E-3</v>
      </c>
      <c r="AU195">
        <v>0</v>
      </c>
      <c r="AV195">
        <v>21</v>
      </c>
      <c r="AW195" t="s">
        <v>540</v>
      </c>
      <c r="AX195" t="s">
        <v>309</v>
      </c>
      <c r="AY195" s="106" t="str">
        <f>INDEX(Pipes_result_save_V1!$G$2:$G$206,MATCH(AX195,Pipes_result_save_V1!$I$2:$I$206,0))</f>
        <v>N119</v>
      </c>
      <c r="AZ195" s="106" t="str">
        <f>INDEX(Pipes_result_save_V1!$H$2:$H$206,MATCH(AX195,Pipes_result_save_V1!$I$2:$I$206,0))</f>
        <v>N118</v>
      </c>
      <c r="BA195" s="106">
        <f t="shared" si="31"/>
        <v>1.0756482548242518E-3</v>
      </c>
      <c r="BB195">
        <v>250</v>
      </c>
      <c r="BC195">
        <v>150</v>
      </c>
      <c r="BD195">
        <v>118</v>
      </c>
      <c r="BE195">
        <v>100.6759646992795</v>
      </c>
      <c r="BF195">
        <v>-3.2837000000000005E-2</v>
      </c>
      <c r="BG195">
        <v>-0.17998277839161003</v>
      </c>
      <c r="BH195">
        <v>10.150991429827991</v>
      </c>
      <c r="BI195" s="107">
        <f>INDEX(Pipes_result_save_V1!$K$2:$K$206,MATCH(AX195,Pipes_result_save_V1!$I$2:$I$206,0)) *POWER(10,-3)</f>
        <v>5.4757027626037595E-3</v>
      </c>
      <c r="BJ195" s="78">
        <v>5.4062193935375024E-3</v>
      </c>
      <c r="BK195" s="78">
        <v>6.9483369066257114E-5</v>
      </c>
      <c r="BR195">
        <v>0</v>
      </c>
      <c r="BS195">
        <v>21</v>
      </c>
      <c r="BT195" t="s">
        <v>539</v>
      </c>
      <c r="BU195" t="s">
        <v>424</v>
      </c>
      <c r="BV195" s="106" t="str">
        <f>INDEX(Pipes_result_save_V1!$G$2:$G$206,MATCH(BU195,Pipes_result_save_V1!$I$2:$I$206,0))</f>
        <v>N71</v>
      </c>
      <c r="BW195" s="106" t="str">
        <f>INDEX(Pipes_result_save_V1!$H$2:$H$206,MATCH(BU195,Pipes_result_save_V1!$I$2:$I$206,0))</f>
        <v>N70</v>
      </c>
      <c r="BX195" s="106">
        <f t="shared" si="32"/>
        <v>3.2142218640514711E-2</v>
      </c>
      <c r="BY195">
        <v>565</v>
      </c>
      <c r="BZ195">
        <v>150</v>
      </c>
      <c r="CA195">
        <v>584</v>
      </c>
      <c r="CB195">
        <v>9.3884615617600762</v>
      </c>
      <c r="CC195">
        <v>0.19939599999999999</v>
      </c>
      <c r="CD195">
        <v>0.4738809853842898</v>
      </c>
      <c r="CE195">
        <v>4.4014302439953905</v>
      </c>
      <c r="CF195" s="107">
        <f>INDEX(Pipes_result_save_V1!$K$2:$K$206,MATCH(BU195,Pipes_result_save_V1!$I$2:$I$206,0)) *POWER(10,-3)</f>
        <v>-4.2576553344726563E-2</v>
      </c>
      <c r="CG195" s="78">
        <v>6.2289717613895172E-3</v>
      </c>
      <c r="CH195" s="78">
        <v>-3.6347581583337049E-2</v>
      </c>
      <c r="CN195">
        <v>0</v>
      </c>
      <c r="CO195">
        <v>21</v>
      </c>
      <c r="CP195" t="s">
        <v>539</v>
      </c>
      <c r="CQ195" t="s">
        <v>162</v>
      </c>
      <c r="CR195" s="106" t="str">
        <f>INDEX(Pipes_result_save_V1!$G$2:$G$206,MATCH(CQ195,Pipes_result_save_V1!$I$2:$I$206,0))</f>
        <v>N50</v>
      </c>
      <c r="CS195" s="106" t="str">
        <f>INDEX(Pipes_result_save_V1!$H$2:$H$206,MATCH(CQ195,Pipes_result_save_V1!$I$2:$I$206,0))</f>
        <v>N49</v>
      </c>
      <c r="CT195" s="106">
        <f t="shared" si="33"/>
        <v>3.0900105121137698E-2</v>
      </c>
      <c r="CU195">
        <v>466</v>
      </c>
      <c r="CV195">
        <v>150</v>
      </c>
      <c r="CW195">
        <v>151</v>
      </c>
      <c r="CX195">
        <v>6.204099035985351</v>
      </c>
      <c r="CY195">
        <v>0.16656000000000001</v>
      </c>
      <c r="CZ195">
        <v>0.22440249473728133</v>
      </c>
      <c r="DA195">
        <v>2.4951574222709234</v>
      </c>
      <c r="DB195" s="107">
        <f>INDEX(Pipes_result_save_V1!$K$2:$K$206,MATCH(CQ195,Pipes_result_save_V1!$I$2:$I$206,0)) *POWER(10,-3)</f>
        <v>-3.8354942321777337E-2</v>
      </c>
      <c r="DC195" s="78">
        <v>6.1182236357745726E-3</v>
      </c>
      <c r="DD195" s="78">
        <v>-3.2236718686002766E-2</v>
      </c>
      <c r="DL195">
        <v>3</v>
      </c>
      <c r="DM195">
        <v>21</v>
      </c>
      <c r="DN195" t="s">
        <v>539</v>
      </c>
      <c r="DO195" t="s">
        <v>138</v>
      </c>
      <c r="DP195" s="106" t="str">
        <f>INDEX(Pipes_result_save_V1!$G$2:$G$206,MATCH(DO195,Pipes_result_save_V1!$I$2:$I$206,0))</f>
        <v>N32</v>
      </c>
      <c r="DQ195" s="106" t="str">
        <f>INDEX(Pipes_result_save_V1!$H$2:$H$206,MATCH(DO195,Pipes_result_save_V1!$I$2:$I$206,0))</f>
        <v>N31</v>
      </c>
      <c r="DR195" s="106">
        <f t="shared" si="34"/>
        <v>0.10934997859748401</v>
      </c>
      <c r="DS195">
        <v>350</v>
      </c>
      <c r="DT195">
        <v>150</v>
      </c>
      <c r="DU195">
        <v>129</v>
      </c>
      <c r="DV195">
        <v>21.371934820251475</v>
      </c>
      <c r="DW195">
        <v>-9.4864356265488253E-2</v>
      </c>
      <c r="DX195">
        <v>-0.27254531158613615</v>
      </c>
      <c r="DY195">
        <v>5.3207963130526608</v>
      </c>
      <c r="DZ195" s="107">
        <f>INDEX(Pipes_result_save_V1!$K$2:$K$206,MATCH(DO195,Pipes_result_save_V1!$I$2:$I$206,0)) *POWER(10,-3)</f>
        <v>-0.11996421051025391</v>
      </c>
      <c r="EA195" s="78">
        <v>5.036829583133345E-3</v>
      </c>
      <c r="EB195" s="78">
        <v>-0.11492738092712057</v>
      </c>
      <c r="EI195">
        <v>8</v>
      </c>
      <c r="EJ195">
        <v>21</v>
      </c>
      <c r="EK195" t="s">
        <v>540</v>
      </c>
      <c r="EL195" t="s">
        <v>150</v>
      </c>
      <c r="EM195" s="106" t="str">
        <f>INDEX(Pipes_result_save_V1!$G$2:$G$206,MATCH(EL195,Pipes_result_save_V1!$I$2:$I$206,0))</f>
        <v>N20</v>
      </c>
      <c r="EN195" s="106" t="str">
        <f>INDEX(Pipes_result_save_V1!$H$2:$H$206,MATCH(EL195,Pipes_result_save_V1!$I$2:$I$206,0))</f>
        <v>N19</v>
      </c>
      <c r="EO195" s="106">
        <f t="shared" si="35"/>
        <v>0.19890919426423928</v>
      </c>
      <c r="EP195">
        <v>466</v>
      </c>
      <c r="EQ195">
        <v>150</v>
      </c>
      <c r="ER195">
        <v>60</v>
      </c>
      <c r="ES195">
        <v>2.4652049149610664</v>
      </c>
      <c r="ET195">
        <v>-9.4864356265488253E-2</v>
      </c>
      <c r="EU195">
        <v>-3.1437492549110831E-2</v>
      </c>
      <c r="EV195">
        <v>0.61374196266100156</v>
      </c>
      <c r="EW195" s="107">
        <f>INDEX(Pipes_result_save_V1!$K$2:$K$206,MATCH(EL195,Pipes_result_save_V1!$I$2:$I$206,0)) *POWER(10,-3)</f>
        <v>-0.207651123046875</v>
      </c>
      <c r="EX195" s="78">
        <v>5.2568459135372853E-3</v>
      </c>
      <c r="EY195" s="78">
        <v>-0.20239427713333771</v>
      </c>
    </row>
    <row r="196" spans="2:155" ht="30" x14ac:dyDescent="0.25">
      <c r="B196" s="106">
        <v>22</v>
      </c>
      <c r="C196" s="106" t="s">
        <v>539</v>
      </c>
      <c r="D196" s="106" t="s">
        <v>229</v>
      </c>
      <c r="E196" s="106" t="str">
        <f>INDEX(Pipes_result_save_V1!$G$2:$G$206,MATCH(D196,Pipes_result_save_V1!$I$2:$I$206,0))</f>
        <v>N104</v>
      </c>
      <c r="F196" s="106" t="str">
        <f>INDEX(Pipes_result_save_V1!$H$2:$H$206,MATCH(D196,Pipes_result_save_V1!$I$2:$I$206,0))</f>
        <v>N103</v>
      </c>
      <c r="G196" s="106">
        <f t="shared" si="29"/>
        <v>9.5335053395536988E-4</v>
      </c>
      <c r="H196" s="107">
        <v>200</v>
      </c>
      <c r="I196" s="107">
        <v>150</v>
      </c>
      <c r="J196" s="107">
        <v>22</v>
      </c>
      <c r="K196" s="107">
        <v>55.656404494062755</v>
      </c>
      <c r="L196" s="107">
        <v>2.1999999999999999E-2</v>
      </c>
      <c r="M196" s="107">
        <v>4.7389480906776568E-2</v>
      </c>
      <c r="N196" s="107">
        <v>3.989332665425009</v>
      </c>
      <c r="O196" s="107">
        <f>INDEX(Pipes_result_save_V1!$K$2:$K$206,MATCH(D196,Pipes_result_save_V1!$I$2:$I$206,0)) *POWER(10,-3)</f>
        <v>-1.0840767621994021E-3</v>
      </c>
      <c r="P196" s="78">
        <v>5.9833790741995064E-3</v>
      </c>
      <c r="Q196" s="78">
        <v>4.899302312000104E-3</v>
      </c>
      <c r="R196" s="78"/>
      <c r="S196" s="78"/>
      <c r="T196" s="78"/>
      <c r="U196" s="78"/>
      <c r="V196" s="78"/>
      <c r="W196" s="78">
        <v>0</v>
      </c>
      <c r="X196" s="78">
        <v>22</v>
      </c>
      <c r="Y196" s="78" t="s">
        <v>540</v>
      </c>
      <c r="Z196" s="78" t="s">
        <v>206</v>
      </c>
      <c r="AA196" s="106" t="str">
        <f>INDEX(Pipes_result_save_V1!$G$2:$G$206,MATCH(Z196,Pipes_result_save_V1!$I$2:$I$206,0))</f>
        <v>N143</v>
      </c>
      <c r="AB196" s="106" t="str">
        <f>INDEX(Pipes_result_save_V1!$H$2:$H$206,MATCH(Z196,Pipes_result_save_V1!$I$2:$I$206,0))</f>
        <v>N144</v>
      </c>
      <c r="AC196" s="106">
        <f t="shared" si="30"/>
        <v>3.1103374779668409E-3</v>
      </c>
      <c r="AD196" s="78">
        <v>300</v>
      </c>
      <c r="AE196" s="78">
        <v>150</v>
      </c>
      <c r="AF196" s="78">
        <v>87</v>
      </c>
      <c r="AG196" s="78">
        <v>30.540152097484796</v>
      </c>
      <c r="AH196" s="78">
        <v>-5.8057999999999998E-2</v>
      </c>
      <c r="AI196" s="78">
        <v>0</v>
      </c>
      <c r="AJ196" s="78">
        <v>0</v>
      </c>
      <c r="AK196" s="78">
        <v>-0.15687139232739758</v>
      </c>
      <c r="AL196">
        <v>5.004061775988502</v>
      </c>
      <c r="AM196" s="107">
        <f>INDEX(Pipes_result_save_V1!$K$2:$K$206,MATCH(Z196,Pipes_result_save_V1!$I$2:$I$206,0)) *POWER(10,-3)</f>
        <v>8.9655799865722662E-3</v>
      </c>
      <c r="AN196" s="78">
        <v>5.0495861250672309E-4</v>
      </c>
      <c r="AO196" s="78">
        <v>8.4606213740655439E-3</v>
      </c>
      <c r="AU196">
        <v>0</v>
      </c>
      <c r="AV196">
        <v>22</v>
      </c>
      <c r="AW196" t="s">
        <v>540</v>
      </c>
      <c r="AX196" t="s">
        <v>310</v>
      </c>
      <c r="AY196" s="106" t="str">
        <f>INDEX(Pipes_result_save_V1!$G$2:$G$206,MATCH(AX196,Pipes_result_save_V1!$I$2:$I$206,0))</f>
        <v>N120</v>
      </c>
      <c r="AZ196" s="106" t="str">
        <f>INDEX(Pipes_result_save_V1!$H$2:$H$206,MATCH(AX196,Pipes_result_save_V1!$I$2:$I$206,0))</f>
        <v>N119</v>
      </c>
      <c r="BA196" s="106">
        <f t="shared" si="31"/>
        <v>9.769773295488257E-4</v>
      </c>
      <c r="BB196">
        <v>250</v>
      </c>
      <c r="BC196">
        <v>150</v>
      </c>
      <c r="BD196">
        <v>119</v>
      </c>
      <c r="BE196">
        <v>101.52915084079882</v>
      </c>
      <c r="BF196">
        <v>-3.2837000000000005E-2</v>
      </c>
      <c r="BG196">
        <v>-0.18150805617458979</v>
      </c>
      <c r="BH196">
        <v>10.237016780928229</v>
      </c>
      <c r="BI196" s="107">
        <f>INDEX(Pipes_result_save_V1!$K$2:$K$206,MATCH(AX196,Pipes_result_save_V1!$I$2:$I$206,0)) *POWER(10,-3)</f>
        <v>7.6723389625549315E-3</v>
      </c>
      <c r="BJ196" s="78">
        <v>6.2339393377526019E-3</v>
      </c>
      <c r="BK196" s="78">
        <v>1.4383996248023296E-3</v>
      </c>
      <c r="BR196">
        <v>0</v>
      </c>
      <c r="BS196">
        <v>22</v>
      </c>
      <c r="BT196" t="s">
        <v>539</v>
      </c>
      <c r="BU196" t="s">
        <v>428</v>
      </c>
      <c r="BV196" s="106" t="str">
        <f>INDEX(Pipes_result_save_V1!$G$2:$G$206,MATCH(BU196,Pipes_result_save_V1!$I$2:$I$206,0))</f>
        <v>N192</v>
      </c>
      <c r="BW196" s="106" t="str">
        <f>INDEX(Pipes_result_save_V1!$H$2:$H$206,MATCH(BU196,Pipes_result_save_V1!$I$2:$I$206,0))</f>
        <v>N71</v>
      </c>
      <c r="BX196" s="106">
        <f t="shared" si="32"/>
        <v>2.760627528088995E-2</v>
      </c>
      <c r="BY196">
        <v>565</v>
      </c>
      <c r="BZ196">
        <v>150</v>
      </c>
      <c r="CA196">
        <v>211</v>
      </c>
      <c r="CB196">
        <v>3.3920640231701644</v>
      </c>
      <c r="CC196">
        <v>0.19939599999999999</v>
      </c>
      <c r="CD196">
        <v>0.17121384917137866</v>
      </c>
      <c r="CE196">
        <v>1.5902427765120331</v>
      </c>
      <c r="CF196" s="107">
        <f>INDEX(Pipes_result_save_V1!$K$2:$K$206,MATCH(BU196,Pipes_result_save_V1!$I$2:$I$206,0)) *POWER(10,-3)</f>
        <v>-3.804064178466797E-2</v>
      </c>
      <c r="CG196" s="78">
        <v>6.5144624464881533E-3</v>
      </c>
      <c r="CH196" s="78">
        <v>-3.1526179338179819E-2</v>
      </c>
      <c r="CN196">
        <v>0</v>
      </c>
      <c r="CO196">
        <v>22</v>
      </c>
      <c r="CP196" t="s">
        <v>539</v>
      </c>
      <c r="CQ196" t="s">
        <v>161</v>
      </c>
      <c r="CR196" s="106" t="str">
        <f>INDEX(Pipes_result_save_V1!$G$2:$G$206,MATCH(CQ196,Pipes_result_save_V1!$I$2:$I$206,0))</f>
        <v>N51</v>
      </c>
      <c r="CS196" s="106" t="str">
        <f>INDEX(Pipes_result_save_V1!$H$2:$H$206,MATCH(CQ196,Pipes_result_save_V1!$I$2:$I$206,0))</f>
        <v>N50</v>
      </c>
      <c r="CT196" s="106">
        <f t="shared" si="33"/>
        <v>2.6596907448717216E-2</v>
      </c>
      <c r="CU196">
        <v>466</v>
      </c>
      <c r="CV196">
        <v>150</v>
      </c>
      <c r="CW196">
        <v>186</v>
      </c>
      <c r="CX196">
        <v>7.642135236379306</v>
      </c>
      <c r="CY196">
        <v>0.16656000000000001</v>
      </c>
      <c r="CZ196">
        <v>0.27641631802075711</v>
      </c>
      <c r="DA196">
        <v>3.0735051691549122</v>
      </c>
      <c r="DB196" s="107">
        <f>INDEX(Pipes_result_save_V1!$K$2:$K$206,MATCH(CQ196,Pipes_result_save_V1!$I$2:$I$206,0)) *POWER(10,-3)</f>
        <v>-3.6432170867919923E-2</v>
      </c>
      <c r="DC196" s="78">
        <v>6.3711449404504558E-3</v>
      </c>
      <c r="DD196" s="78">
        <v>-3.0061025927469467E-2</v>
      </c>
      <c r="DL196">
        <v>4</v>
      </c>
      <c r="DM196">
        <v>22</v>
      </c>
      <c r="DN196" t="s">
        <v>539</v>
      </c>
      <c r="DO196" t="s">
        <v>137</v>
      </c>
      <c r="DP196" s="106" t="str">
        <f>INDEX(Pipes_result_save_V1!$G$2:$G$206,MATCH(DO196,Pipes_result_save_V1!$I$2:$I$206,0))</f>
        <v>N33</v>
      </c>
      <c r="DQ196" s="106" t="str">
        <f>INDEX(Pipes_result_save_V1!$H$2:$H$206,MATCH(DO196,Pipes_result_save_V1!$I$2:$I$206,0))</f>
        <v>N32</v>
      </c>
      <c r="DR196" s="106">
        <f t="shared" si="34"/>
        <v>0.11031551009767343</v>
      </c>
      <c r="DS196">
        <v>350</v>
      </c>
      <c r="DT196">
        <v>150</v>
      </c>
      <c r="DU196">
        <v>157</v>
      </c>
      <c r="DV196">
        <v>26.01080439363939</v>
      </c>
      <c r="DW196">
        <v>-9.4864356265488253E-2</v>
      </c>
      <c r="DX196">
        <v>-0.33170243348080136</v>
      </c>
      <c r="DY196">
        <v>6.4756978383664165</v>
      </c>
      <c r="DZ196" s="107">
        <f>INDEX(Pipes_result_save_V1!$K$2:$K$206,MATCH(DO196,Pipes_result_save_V1!$I$2:$I$206,0)) *POWER(10,-3)</f>
        <v>-0.1183324203491211</v>
      </c>
      <c r="EA196" s="78">
        <v>5.6735385612267479E-3</v>
      </c>
      <c r="EB196" s="78">
        <v>-0.11265888178789435</v>
      </c>
      <c r="EI196">
        <v>9</v>
      </c>
      <c r="EJ196">
        <v>22</v>
      </c>
      <c r="EK196" t="s">
        <v>540</v>
      </c>
      <c r="EL196" t="s">
        <v>149</v>
      </c>
      <c r="EM196" s="106" t="str">
        <f>INDEX(Pipes_result_save_V1!$G$2:$G$206,MATCH(EL196,Pipes_result_save_V1!$I$2:$I$206,0))</f>
        <v>N21</v>
      </c>
      <c r="EN196" s="106" t="str">
        <f>INDEX(Pipes_result_save_V1!$H$2:$H$206,MATCH(EL196,Pipes_result_save_V1!$I$2:$I$206,0))</f>
        <v>N20</v>
      </c>
      <c r="EO196" s="106">
        <f t="shared" si="35"/>
        <v>0.19638140137781473</v>
      </c>
      <c r="EP196">
        <v>466</v>
      </c>
      <c r="EQ196">
        <v>150</v>
      </c>
      <c r="ER196">
        <v>67</v>
      </c>
      <c r="ES196">
        <v>2.7528121550398579</v>
      </c>
      <c r="ET196">
        <v>-9.4864356265488253E-2</v>
      </c>
      <c r="EU196">
        <v>-3.5105200013173771E-2</v>
      </c>
      <c r="EV196">
        <v>0.68534519163811858</v>
      </c>
      <c r="EW196" s="107">
        <f>INDEX(Pipes_result_save_V1!$K$2:$K$206,MATCH(EL196,Pipes_result_save_V1!$I$2:$I$206,0)) *POWER(10,-3)</f>
        <v>-0.20692651367187501</v>
      </c>
      <c r="EX196" s="78">
        <v>5.3009735387532127E-3</v>
      </c>
      <c r="EY196" s="78">
        <v>-0.20162554013312178</v>
      </c>
    </row>
    <row r="197" spans="2:155" ht="30" x14ac:dyDescent="0.25">
      <c r="B197" s="106">
        <v>23</v>
      </c>
      <c r="C197" s="106" t="s">
        <v>539</v>
      </c>
      <c r="D197" s="106" t="s">
        <v>265</v>
      </c>
      <c r="E197" s="106" t="str">
        <f>INDEX(Pipes_result_save_V1!$G$2:$G$206,MATCH(D197,Pipes_result_save_V1!$I$2:$I$206,0))</f>
        <v>N105</v>
      </c>
      <c r="F197" s="106" t="str">
        <f>INDEX(Pipes_result_save_V1!$H$2:$H$206,MATCH(D197,Pipes_result_save_V1!$I$2:$I$206,0))</f>
        <v>N104</v>
      </c>
      <c r="G197" s="106">
        <f t="shared" si="29"/>
        <v>4.724687955950187E-3</v>
      </c>
      <c r="H197" s="107">
        <v>300</v>
      </c>
      <c r="I197" s="107">
        <v>150</v>
      </c>
      <c r="J197" s="107">
        <v>54</v>
      </c>
      <c r="K197" s="107">
        <v>18.955956474300912</v>
      </c>
      <c r="L197" s="107">
        <v>5.3999999999999999E-2</v>
      </c>
      <c r="M197" s="107">
        <v>8.5141039063695509E-2</v>
      </c>
      <c r="N197" s="107">
        <v>2.9200223027030376</v>
      </c>
      <c r="O197" s="107">
        <f>INDEX(Pipes_result_save_V1!$K$2:$K$206,MATCH(D197,Pipes_result_save_V1!$I$2:$I$206,0)) *POWER(10,-3)</f>
        <v>-6.5045499801635745E-4</v>
      </c>
      <c r="P197" s="78">
        <v>5.8343797197853882E-3</v>
      </c>
      <c r="Q197" s="78">
        <v>5.1839247217690312E-3</v>
      </c>
      <c r="R197" s="78"/>
      <c r="S197" s="78"/>
      <c r="T197" s="78"/>
      <c r="U197" s="78"/>
      <c r="V197" s="78"/>
      <c r="W197" s="78">
        <v>0</v>
      </c>
      <c r="X197" s="78">
        <v>23</v>
      </c>
      <c r="Y197" s="78" t="s">
        <v>540</v>
      </c>
      <c r="Z197" s="78" t="s">
        <v>205</v>
      </c>
      <c r="AA197" s="106" t="str">
        <f>INDEX(Pipes_result_save_V1!$G$2:$G$206,MATCH(Z197,Pipes_result_save_V1!$I$2:$I$206,0))</f>
        <v>N144</v>
      </c>
      <c r="AB197" s="106" t="str">
        <f>INDEX(Pipes_result_save_V1!$H$2:$H$206,MATCH(Z197,Pipes_result_save_V1!$I$2:$I$206,0))</f>
        <v>N145</v>
      </c>
      <c r="AC197" s="106">
        <f t="shared" si="30"/>
        <v>5.5188911862243282E-3</v>
      </c>
      <c r="AD197" s="78">
        <v>300</v>
      </c>
      <c r="AE197" s="78">
        <v>150</v>
      </c>
      <c r="AF197" s="78">
        <v>115</v>
      </c>
      <c r="AG197" s="78">
        <v>40.369166565640825</v>
      </c>
      <c r="AH197" s="78">
        <v>-5.8057999999999998E-2</v>
      </c>
      <c r="AI197" s="78">
        <v>0</v>
      </c>
      <c r="AJ197" s="78">
        <v>0</v>
      </c>
      <c r="AK197" s="78">
        <v>-0.20735873698449106</v>
      </c>
      <c r="AL197">
        <v>6.6145644165365267</v>
      </c>
      <c r="AM197" s="107">
        <f>INDEX(Pipes_result_save_V1!$K$2:$K$206,MATCH(Z197,Pipes_result_save_V1!$I$2:$I$206,0)) *POWER(10,-3)</f>
        <v>7.81305980682373E-3</v>
      </c>
      <c r="AN197" s="78">
        <v>1.096624649170189E-4</v>
      </c>
      <c r="AO197" s="78">
        <v>7.7033973419067111E-3</v>
      </c>
      <c r="AU197">
        <v>0</v>
      </c>
      <c r="AV197">
        <v>23</v>
      </c>
      <c r="AW197" t="s">
        <v>540</v>
      </c>
      <c r="AX197" t="s">
        <v>312</v>
      </c>
      <c r="AY197" s="106" t="str">
        <f>INDEX(Pipes_result_save_V1!$G$2:$G$206,MATCH(AX197,Pipes_result_save_V1!$I$2:$I$206,0))</f>
        <v>N121</v>
      </c>
      <c r="AZ197" s="106" t="str">
        <f>INDEX(Pipes_result_save_V1!$H$2:$H$206,MATCH(AX197,Pipes_result_save_V1!$I$2:$I$206,0))</f>
        <v>N120</v>
      </c>
      <c r="BA197" s="106">
        <f t="shared" si="31"/>
        <v>2.4862864506943979E-3</v>
      </c>
      <c r="BB197">
        <v>250</v>
      </c>
      <c r="BC197">
        <v>150</v>
      </c>
      <c r="BD197">
        <v>120</v>
      </c>
      <c r="BE197">
        <v>102.38233698231814</v>
      </c>
      <c r="BF197">
        <v>-3.2835999999999997E-2</v>
      </c>
      <c r="BG197">
        <v>-0.1830230110493602</v>
      </c>
      <c r="BH197">
        <v>10.322774286253356</v>
      </c>
      <c r="BI197" s="107">
        <f>INDEX(Pipes_result_save_V1!$K$2:$K$206,MATCH(AX197,Pipes_result_save_V1!$I$2:$I$206,0)) *POWER(10,-3)</f>
        <v>9.4182367324829111E-3</v>
      </c>
      <c r="BJ197" s="78">
        <v>6.0309927401435781E-3</v>
      </c>
      <c r="BK197" s="78">
        <v>3.387243992339333E-3</v>
      </c>
      <c r="BR197">
        <v>3</v>
      </c>
      <c r="BS197">
        <v>23</v>
      </c>
      <c r="BT197" t="s">
        <v>540</v>
      </c>
      <c r="BU197" t="s">
        <v>181</v>
      </c>
      <c r="BV197" s="106" t="str">
        <f>INDEX(Pipes_result_save_V1!$G$2:$G$206,MATCH(BU197,Pipes_result_save_V1!$I$2:$I$206,0))</f>
        <v>N72</v>
      </c>
      <c r="BW197" s="106" t="str">
        <f>INDEX(Pipes_result_save_V1!$H$2:$H$206,MATCH(BU197,Pipes_result_save_V1!$I$2:$I$206,0))</f>
        <v>N73</v>
      </c>
      <c r="BX197" s="106">
        <f t="shared" si="32"/>
        <v>5.4609944457608597E-2</v>
      </c>
      <c r="BY197">
        <v>250</v>
      </c>
      <c r="BZ197">
        <v>150</v>
      </c>
      <c r="CA197">
        <v>80</v>
      </c>
      <c r="CB197">
        <v>68.254891321545429</v>
      </c>
      <c r="CC197">
        <v>3.8250255700015404E-2</v>
      </c>
      <c r="CD197">
        <v>0.16187231665420129</v>
      </c>
      <c r="CE197">
        <v>7.8375301016212582</v>
      </c>
      <c r="CF197" s="107">
        <f>INDEX(Pipes_result_save_V1!$K$2:$K$206,MATCH(BU197,Pipes_result_save_V1!$I$2:$I$206,0)) *POWER(10,-3)</f>
        <v>6.3329761505126952E-2</v>
      </c>
      <c r="CG197" s="78">
        <v>6.4036250195098083E-3</v>
      </c>
      <c r="CH197" s="78">
        <v>5.6926136485617146E-2</v>
      </c>
      <c r="CN197">
        <v>0</v>
      </c>
      <c r="CO197">
        <v>23</v>
      </c>
      <c r="CP197" t="s">
        <v>539</v>
      </c>
      <c r="CQ197" t="s">
        <v>415</v>
      </c>
      <c r="CR197" s="106" t="str">
        <f>INDEX(Pipes_result_save_V1!$G$2:$G$206,MATCH(CQ197,Pipes_result_save_V1!$I$2:$I$206,0))</f>
        <v>N69</v>
      </c>
      <c r="CS197" s="106" t="str">
        <f>INDEX(Pipes_result_save_V1!$H$2:$H$206,MATCH(CQ197,Pipes_result_save_V1!$I$2:$I$206,0))</f>
        <v>N51</v>
      </c>
      <c r="CT197" s="106">
        <f t="shared" si="33"/>
        <v>2.4388100507814939E-2</v>
      </c>
      <c r="CU197">
        <v>466</v>
      </c>
      <c r="CV197">
        <v>150</v>
      </c>
      <c r="CW197">
        <v>191</v>
      </c>
      <c r="CX197">
        <v>7.8475689792927286</v>
      </c>
      <c r="CY197">
        <v>0.16656000000000001</v>
      </c>
      <c r="CZ197">
        <v>0.28384686420411082</v>
      </c>
      <c r="DA197">
        <v>3.1561262758526247</v>
      </c>
      <c r="DB197" s="107">
        <f>INDEX(Pipes_result_save_V1!$K$2:$K$206,MATCH(CQ197,Pipes_result_save_V1!$I$2:$I$206,0)) *POWER(10,-3)</f>
        <v>-3.4281181335449218E-2</v>
      </c>
      <c r="DC197" s="78">
        <v>5.3125067333407985E-3</v>
      </c>
      <c r="DD197" s="78">
        <v>-2.8968674602108418E-2</v>
      </c>
      <c r="DL197">
        <v>5</v>
      </c>
      <c r="DM197">
        <v>23</v>
      </c>
      <c r="DN197" t="s">
        <v>539</v>
      </c>
      <c r="DO197" t="s">
        <v>136</v>
      </c>
      <c r="DP197" s="106" t="str">
        <f>INDEX(Pipes_result_save_V1!$G$2:$G$206,MATCH(DO197,Pipes_result_save_V1!$I$2:$I$206,0))</f>
        <v>N34</v>
      </c>
      <c r="DQ197" s="106" t="str">
        <f>INDEX(Pipes_result_save_V1!$H$2:$H$206,MATCH(DO197,Pipes_result_save_V1!$I$2:$I$206,0))</f>
        <v>N33</v>
      </c>
      <c r="DR197" s="106">
        <f t="shared" si="34"/>
        <v>0.10796968248847867</v>
      </c>
      <c r="DS197">
        <v>350</v>
      </c>
      <c r="DT197">
        <v>150</v>
      </c>
      <c r="DU197">
        <v>82</v>
      </c>
      <c r="DV197">
        <v>13.585260893493183</v>
      </c>
      <c r="DW197">
        <v>-9.4864356265488253E-2</v>
      </c>
      <c r="DX197">
        <v>-0.1732458569772338</v>
      </c>
      <c r="DY197">
        <v>3.3822116098474271</v>
      </c>
      <c r="DZ197" s="107">
        <f>INDEX(Pipes_result_save_V1!$K$2:$K$206,MATCH(DO197,Pipes_result_save_V1!$I$2:$I$206,0)) *POWER(10,-3)</f>
        <v>-0.11696879577636721</v>
      </c>
      <c r="EA197" s="78">
        <v>6.2447120673577794E-3</v>
      </c>
      <c r="EB197" s="78">
        <v>-0.11072408370900942</v>
      </c>
      <c r="EI197">
        <v>10</v>
      </c>
      <c r="EJ197">
        <v>23</v>
      </c>
      <c r="EK197" t="s">
        <v>540</v>
      </c>
      <c r="EL197" t="s">
        <v>148</v>
      </c>
      <c r="EM197" s="106" t="str">
        <f>INDEX(Pipes_result_save_V1!$G$2:$G$206,MATCH(EL197,Pipes_result_save_V1!$I$2:$I$206,0))</f>
        <v>N22</v>
      </c>
      <c r="EN197" s="106" t="str">
        <f>INDEX(Pipes_result_save_V1!$H$2:$H$206,MATCH(EL197,Pipes_result_save_V1!$I$2:$I$206,0))</f>
        <v>N21</v>
      </c>
      <c r="EO197" s="106">
        <f t="shared" si="35"/>
        <v>0.19401650420675814</v>
      </c>
      <c r="EP197">
        <v>466</v>
      </c>
      <c r="EQ197">
        <v>150</v>
      </c>
      <c r="ER197">
        <v>194</v>
      </c>
      <c r="ES197">
        <v>7.9708292250407817</v>
      </c>
      <c r="ET197">
        <v>-9.4864356265488253E-2</v>
      </c>
      <c r="EU197">
        <v>-0.10164789257545837</v>
      </c>
      <c r="EV197">
        <v>1.9844323459372384</v>
      </c>
      <c r="EW197" s="107">
        <f>INDEX(Pipes_result_save_V1!$K$2:$K$206,MATCH(EL197,Pipes_result_save_V1!$I$2:$I$206,0)) *POWER(10,-3)</f>
        <v>-0.2054373626708984</v>
      </c>
      <c r="EX197" s="78">
        <v>5.0405793361785693E-3</v>
      </c>
      <c r="EY197" s="78">
        <v>-0.20039678333471983</v>
      </c>
    </row>
    <row r="198" spans="2:155" ht="30" x14ac:dyDescent="0.25">
      <c r="B198" s="106">
        <v>24</v>
      </c>
      <c r="C198" s="106" t="s">
        <v>539</v>
      </c>
      <c r="D198" s="106" t="s">
        <v>434</v>
      </c>
      <c r="E198" s="106" t="str">
        <f>INDEX(Pipes_result_save_V1!$G$2:$G$206,MATCH(D198,Pipes_result_save_V1!$I$2:$I$206,0))</f>
        <v>R1</v>
      </c>
      <c r="F198" s="106" t="str">
        <f>INDEX(Pipes_result_save_V1!$H$2:$H$206,MATCH(D198,Pipes_result_save_V1!$I$2:$I$206,0))</f>
        <v>N105</v>
      </c>
      <c r="G198" s="106">
        <f t="shared" si="29"/>
        <v>4.8596935076183498E-2</v>
      </c>
      <c r="H198" s="107">
        <v>200</v>
      </c>
      <c r="I198" s="107">
        <v>150</v>
      </c>
      <c r="J198" s="107">
        <v>30</v>
      </c>
      <c r="K198" s="107">
        <v>75.895097037358298</v>
      </c>
      <c r="L198" s="107">
        <v>0.03</v>
      </c>
      <c r="M198" s="107">
        <v>0.11477367408807007</v>
      </c>
      <c r="N198" s="107">
        <v>7.0853614803701932</v>
      </c>
      <c r="O198" s="107">
        <v>4.8596935076183498E-2</v>
      </c>
      <c r="P198" s="78">
        <v>5.4514441579846269E-3</v>
      </c>
      <c r="Q198" s="78">
        <v>4.8596935076183498E-2</v>
      </c>
      <c r="R198" s="78"/>
      <c r="S198" s="78"/>
      <c r="T198" s="78"/>
      <c r="U198" s="78"/>
      <c r="V198" s="78"/>
      <c r="W198" s="78">
        <v>0</v>
      </c>
      <c r="X198" s="78">
        <v>24</v>
      </c>
      <c r="Y198" s="78" t="s">
        <v>540</v>
      </c>
      <c r="Z198" s="78" t="s">
        <v>204</v>
      </c>
      <c r="AA198" s="106" t="str">
        <f>INDEX(Pipes_result_save_V1!$G$2:$G$206,MATCH(Z198,Pipes_result_save_V1!$I$2:$I$206,0))</f>
        <v>N145</v>
      </c>
      <c r="AB198" s="106" t="str">
        <f>INDEX(Pipes_result_save_V1!$H$2:$H$206,MATCH(Z198,Pipes_result_save_V1!$I$2:$I$206,0))</f>
        <v>N146</v>
      </c>
      <c r="AC198" s="106">
        <f t="shared" si="30"/>
        <v>2.7150840124114889E-3</v>
      </c>
      <c r="AD198" s="78">
        <v>300</v>
      </c>
      <c r="AE198" s="78">
        <v>150</v>
      </c>
      <c r="AF198" s="78">
        <v>168</v>
      </c>
      <c r="AG198" s="78">
        <v>58.974086808936164</v>
      </c>
      <c r="AH198" s="78">
        <v>-5.8057999999999998E-2</v>
      </c>
      <c r="AI198" s="78">
        <v>0</v>
      </c>
      <c r="AJ198" s="78">
        <v>0</v>
      </c>
      <c r="AK198" s="78">
        <v>-0.30292406794256088</v>
      </c>
      <c r="AL198">
        <v>9.663015843288143</v>
      </c>
      <c r="AM198" s="107">
        <f>INDEX(Pipes_result_save_V1!$K$2:$K$206,MATCH(Z198,Pipes_result_save_V1!$I$2:$I$206,0)) *POWER(10,-3)</f>
        <v>6.1983890533447265E-3</v>
      </c>
      <c r="AN198" s="78">
        <v>3.7382600759116426E-3</v>
      </c>
      <c r="AO198" s="78">
        <v>2.4601289774330839E-3</v>
      </c>
      <c r="AU198">
        <v>0</v>
      </c>
      <c r="AV198">
        <v>24</v>
      </c>
      <c r="AW198" t="s">
        <v>540</v>
      </c>
      <c r="AX198" t="s">
        <v>311</v>
      </c>
      <c r="AY198" s="106" t="str">
        <f>INDEX(Pipes_result_save_V1!$G$2:$G$206,MATCH(AX198,Pipes_result_save_V1!$I$2:$I$206,0))</f>
        <v>N121</v>
      </c>
      <c r="AZ198" s="106" t="str">
        <f>INDEX(Pipes_result_save_V1!$H$2:$H$206,MATCH(AX198,Pipes_result_save_V1!$I$2:$I$206,0))</f>
        <v>N122</v>
      </c>
      <c r="BA198" s="106">
        <f t="shared" si="31"/>
        <v>4.7964420289291494E-2</v>
      </c>
      <c r="BB198">
        <v>400</v>
      </c>
      <c r="BC198">
        <v>150</v>
      </c>
      <c r="BD198">
        <v>121</v>
      </c>
      <c r="BE198">
        <v>10.460699519593918</v>
      </c>
      <c r="BF198">
        <v>-0.116116</v>
      </c>
      <c r="BG198">
        <v>-0.19397279997750211</v>
      </c>
      <c r="BH198">
        <v>3.0937823000993316</v>
      </c>
      <c r="BI198" s="107">
        <f>INDEX(Pipes_result_save_V1!$K$2:$K$206,MATCH(AX198,Pipes_result_save_V1!$I$2:$I$206,0)) *POWER(10,-3)</f>
        <v>5.762615203857422E-2</v>
      </c>
      <c r="BJ198" s="78">
        <v>5.4222826737883928E-3</v>
      </c>
      <c r="BK198" s="78">
        <v>5.2203869364785827E-2</v>
      </c>
      <c r="BR198">
        <v>4</v>
      </c>
      <c r="BS198">
        <v>24</v>
      </c>
      <c r="BT198" t="s">
        <v>540</v>
      </c>
      <c r="BU198" t="s">
        <v>179</v>
      </c>
      <c r="BV198" s="106" t="str">
        <f>INDEX(Pipes_result_save_V1!$G$2:$G$206,MATCH(BU198,Pipes_result_save_V1!$I$2:$I$206,0))</f>
        <v>N73</v>
      </c>
      <c r="BW198" s="106" t="str">
        <f>INDEX(Pipes_result_save_V1!$H$2:$H$206,MATCH(BU198,Pipes_result_save_V1!$I$2:$I$206,0))</f>
        <v>N74</v>
      </c>
      <c r="BX198" s="106">
        <f t="shared" si="32"/>
        <v>5.6101186601409878E-2</v>
      </c>
      <c r="BY198">
        <v>250</v>
      </c>
      <c r="BZ198">
        <v>150</v>
      </c>
      <c r="CA198">
        <v>87</v>
      </c>
      <c r="CB198">
        <v>74.227194312180643</v>
      </c>
      <c r="CC198">
        <v>3.8250255700015404E-2</v>
      </c>
      <c r="CD198">
        <v>0.17603614436144388</v>
      </c>
      <c r="CE198">
        <v>8.5233139855131181</v>
      </c>
      <c r="CF198" s="107">
        <f>INDEX(Pipes_result_save_V1!$K$2:$K$206,MATCH(BU198,Pipes_result_save_V1!$I$2:$I$206,0)) *POWER(10,-3)</f>
        <v>6.2376930236816418E-2</v>
      </c>
      <c r="CG198" s="78">
        <v>5.3001981870944882E-3</v>
      </c>
      <c r="CH198" s="78">
        <v>5.7076732049721926E-2</v>
      </c>
      <c r="CN198">
        <v>3</v>
      </c>
      <c r="CO198">
        <v>24</v>
      </c>
      <c r="CP198" t="s">
        <v>539</v>
      </c>
      <c r="CQ198" t="s">
        <v>159</v>
      </c>
      <c r="CR198" s="106" t="str">
        <f>INDEX(Pipes_result_save_V1!$G$2:$G$206,MATCH(CQ198,Pipes_result_save_V1!$I$2:$I$206,0))</f>
        <v>N53</v>
      </c>
      <c r="CS198" s="106" t="str">
        <f>INDEX(Pipes_result_save_V1!$H$2:$H$206,MATCH(CQ198,Pipes_result_save_V1!$I$2:$I$206,0))</f>
        <v>N52</v>
      </c>
      <c r="CT198" s="106">
        <f t="shared" si="33"/>
        <v>1.9189755791658152E-2</v>
      </c>
      <c r="CU198">
        <v>250</v>
      </c>
      <c r="CV198">
        <v>150</v>
      </c>
      <c r="CW198">
        <v>94</v>
      </c>
      <c r="CX198">
        <v>80.199497302815871</v>
      </c>
      <c r="CY198">
        <v>2.3580796114934299E-2</v>
      </c>
      <c r="CZ198">
        <v>7.7651512635117478E-2</v>
      </c>
      <c r="DA198">
        <v>6.0986321538634876</v>
      </c>
      <c r="DB198" s="107">
        <f>INDEX(Pipes_result_save_V1!$K$2:$K$206,MATCH(CQ198,Pipes_result_save_V1!$I$2:$I$206,0)) *POWER(10,-3)</f>
        <v>-3.1705240249633788E-2</v>
      </c>
      <c r="DC198" s="78">
        <v>6.0291395850206372E-3</v>
      </c>
      <c r="DD198" s="78">
        <v>-2.567610066461315E-2</v>
      </c>
      <c r="DL198">
        <v>6</v>
      </c>
      <c r="DM198">
        <v>24</v>
      </c>
      <c r="DN198" t="s">
        <v>539</v>
      </c>
      <c r="DO198" t="s">
        <v>134</v>
      </c>
      <c r="DP198" s="106" t="str">
        <f>INDEX(Pipes_result_save_V1!$G$2:$G$206,MATCH(DO198,Pipes_result_save_V1!$I$2:$I$206,0))</f>
        <v>N35</v>
      </c>
      <c r="DQ198" s="106" t="str">
        <f>INDEX(Pipes_result_save_V1!$H$2:$H$206,MATCH(DO198,Pipes_result_save_V1!$I$2:$I$206,0))</f>
        <v>N34</v>
      </c>
      <c r="DR198" s="106">
        <f t="shared" si="34"/>
        <v>0.10840620129374785</v>
      </c>
      <c r="DS198">
        <v>350</v>
      </c>
      <c r="DT198">
        <v>150</v>
      </c>
      <c r="DU198">
        <v>69</v>
      </c>
      <c r="DV198">
        <v>11.431500020134509</v>
      </c>
      <c r="DW198">
        <v>-9.4864356265488253E-2</v>
      </c>
      <c r="DX198">
        <v>-0.14578005038328212</v>
      </c>
      <c r="DY198">
        <v>2.8460073302374695</v>
      </c>
      <c r="DZ198" s="107">
        <f>INDEX(Pipes_result_save_V1!$K$2:$K$206,MATCH(DO198,Pipes_result_save_V1!$I$2:$I$206,0)) *POWER(10,-3)</f>
        <v>-0.1161072616577148</v>
      </c>
      <c r="EA198" s="78">
        <v>6.359427932995646E-3</v>
      </c>
      <c r="EB198" s="78">
        <v>-0.10974783372471916</v>
      </c>
      <c r="EI198">
        <v>11</v>
      </c>
      <c r="EJ198">
        <v>24</v>
      </c>
      <c r="EK198" t="s">
        <v>540</v>
      </c>
      <c r="EL198" t="s">
        <v>147</v>
      </c>
      <c r="EM198" s="106" t="str">
        <f>INDEX(Pipes_result_save_V1!$G$2:$G$206,MATCH(EL198,Pipes_result_save_V1!$I$2:$I$206,0))</f>
        <v>N23</v>
      </c>
      <c r="EN198" s="106" t="str">
        <f>INDEX(Pipes_result_save_V1!$H$2:$H$206,MATCH(EL198,Pipes_result_save_V1!$I$2:$I$206,0))</f>
        <v>N22</v>
      </c>
      <c r="EO198" s="106">
        <f t="shared" si="35"/>
        <v>0.19356214461411125</v>
      </c>
      <c r="EP198">
        <v>466</v>
      </c>
      <c r="EQ198">
        <v>150</v>
      </c>
      <c r="ER198">
        <v>74</v>
      </c>
      <c r="ES198">
        <v>3.0404193951186484</v>
      </c>
      <c r="ET198">
        <v>-9.4864356265488253E-2</v>
      </c>
      <c r="EU198">
        <v>-3.877290747723669E-2</v>
      </c>
      <c r="EV198">
        <v>0.75694842061523515</v>
      </c>
      <c r="EW198" s="107">
        <f>INDEX(Pipes_result_save_V1!$K$2:$K$206,MATCH(EL198,Pipes_result_save_V1!$I$2:$I$206,0)) *POWER(10,-3)</f>
        <v>-0.20390827941894532</v>
      </c>
      <c r="EX198" s="78">
        <v>6.2628404215481952E-3</v>
      </c>
      <c r="EY198" s="78">
        <v>-0.19764543899739712</v>
      </c>
    </row>
    <row r="199" spans="2:155" ht="30" x14ac:dyDescent="0.25">
      <c r="B199" s="106">
        <v>25</v>
      </c>
      <c r="C199" s="106" t="s">
        <v>539</v>
      </c>
      <c r="D199" s="106" t="s">
        <v>220</v>
      </c>
      <c r="E199" s="106" t="str">
        <f>INDEX(Pipes_result_save_V1!$G$2:$G$206,MATCH(D199,Pipes_result_save_V1!$I$2:$I$206,0))</f>
        <v>N148</v>
      </c>
      <c r="F199" s="106" t="str">
        <f>INDEX(Pipes_result_save_V1!$H$2:$H$206,MATCH(D199,Pipes_result_save_V1!$I$2:$I$206,0))</f>
        <v>N149</v>
      </c>
      <c r="G199" s="106">
        <f t="shared" si="29"/>
        <v>2.3297859753083914E-3</v>
      </c>
      <c r="H199" s="107">
        <v>350</v>
      </c>
      <c r="I199" s="107">
        <v>150</v>
      </c>
      <c r="J199" s="107">
        <v>91</v>
      </c>
      <c r="K199" s="107">
        <v>15.076326113510728</v>
      </c>
      <c r="L199" s="107">
        <v>9.0999999999999998E-2</v>
      </c>
      <c r="M199" s="107">
        <v>0.17800827088336596</v>
      </c>
      <c r="N199" s="107">
        <v>3.6227617327032307</v>
      </c>
      <c r="O199" s="107">
        <f>INDEX(Pipes_result_save_V1!$K$2:$K$206,MATCH(D199,Pipes_result_save_V1!$I$2:$I$206,0)) *POWER(10,-3)</f>
        <v>-1.2776296615600589E-2</v>
      </c>
      <c r="P199" s="78">
        <v>6.2005539232598845E-3</v>
      </c>
      <c r="Q199" s="78">
        <v>-6.5757426923407046E-3</v>
      </c>
      <c r="R199" s="78"/>
      <c r="S199" s="78"/>
      <c r="T199" s="78"/>
      <c r="U199" s="78"/>
      <c r="V199" s="78"/>
      <c r="W199" s="78">
        <v>0</v>
      </c>
      <c r="X199" s="78">
        <v>25</v>
      </c>
      <c r="Y199" s="78" t="s">
        <v>540</v>
      </c>
      <c r="Z199" s="78" t="s">
        <v>218</v>
      </c>
      <c r="AA199" s="106" t="str">
        <f>INDEX(Pipes_result_save_V1!$G$2:$G$206,MATCH(Z199,Pipes_result_save_V1!$I$2:$I$206,0))</f>
        <v>N146</v>
      </c>
      <c r="AB199" s="106" t="str">
        <f>INDEX(Pipes_result_save_V1!$H$2:$H$206,MATCH(Z199,Pipes_result_save_V1!$I$2:$I$206,0))</f>
        <v>N147</v>
      </c>
      <c r="AC199" s="106">
        <f t="shared" si="30"/>
        <v>1.3140216916189117E-3</v>
      </c>
      <c r="AD199" s="78">
        <v>300</v>
      </c>
      <c r="AE199" s="78">
        <v>150</v>
      </c>
      <c r="AF199" s="78">
        <v>214</v>
      </c>
      <c r="AG199" s="78">
        <v>75.121753435192488</v>
      </c>
      <c r="AH199" s="78">
        <v>-5.8057999999999998E-2</v>
      </c>
      <c r="AI199" s="78">
        <v>0</v>
      </c>
      <c r="AJ199" s="78">
        <v>0</v>
      </c>
      <c r="AK199" s="78">
        <v>-0.38586756273635725</v>
      </c>
      <c r="AL199">
        <v>12.308841609902753</v>
      </c>
      <c r="AM199" s="107">
        <f>INDEX(Pipes_result_save_V1!$K$2:$K$206,MATCH(Z199,Pipes_result_save_V1!$I$2:$I$206,0)) *POWER(10,-3)</f>
        <v>4.0188694000244142E-3</v>
      </c>
      <c r="AN199" s="78">
        <v>2.0891597055770774E-3</v>
      </c>
      <c r="AO199" s="78">
        <v>1.9297096944473368E-3</v>
      </c>
      <c r="AU199">
        <v>0</v>
      </c>
      <c r="AV199">
        <v>25</v>
      </c>
      <c r="AW199" t="s">
        <v>540</v>
      </c>
      <c r="AX199" t="s">
        <v>313</v>
      </c>
      <c r="AY199" s="106" t="str">
        <f>INDEX(Pipes_result_save_V1!$G$2:$G$206,MATCH(AX199,Pipes_result_save_V1!$I$2:$I$206,0))</f>
        <v>N122</v>
      </c>
      <c r="AZ199" s="106" t="str">
        <f>INDEX(Pipes_result_save_V1!$H$2:$H$206,MATCH(AX199,Pipes_result_save_V1!$I$2:$I$206,0))</f>
        <v>N123</v>
      </c>
      <c r="BA199" s="106">
        <f t="shared" si="31"/>
        <v>4.379850414980236E-2</v>
      </c>
      <c r="BB199">
        <v>400</v>
      </c>
      <c r="BC199">
        <v>150</v>
      </c>
      <c r="BD199">
        <v>122</v>
      </c>
      <c r="BE199">
        <v>10.547151581739321</v>
      </c>
      <c r="BF199">
        <v>-0.116116</v>
      </c>
      <c r="BG199">
        <v>-0.19557588096905171</v>
      </c>
      <c r="BH199">
        <v>3.1193507488604828</v>
      </c>
      <c r="BI199" s="107">
        <f>INDEX(Pipes_result_save_V1!$K$2:$K$206,MATCH(AX199,Pipes_result_save_V1!$I$2:$I$206,0)) *POWER(10,-3)</f>
        <v>5.6114177703857425E-2</v>
      </c>
      <c r="BJ199" s="78">
        <v>5.8321580512820433E-3</v>
      </c>
      <c r="BK199" s="78">
        <v>5.028201965257538E-2</v>
      </c>
      <c r="BR199">
        <v>5</v>
      </c>
      <c r="BS199">
        <v>25</v>
      </c>
      <c r="BT199" t="s">
        <v>540</v>
      </c>
      <c r="BU199" t="s">
        <v>180</v>
      </c>
      <c r="BV199" s="106" t="str">
        <f>INDEX(Pipes_result_save_V1!$G$2:$G$206,MATCH(BU199,Pipes_result_save_V1!$I$2:$I$206,0))</f>
        <v>N74</v>
      </c>
      <c r="BW199" s="106" t="str">
        <f>INDEX(Pipes_result_save_V1!$H$2:$H$206,MATCH(BU199,Pipes_result_save_V1!$I$2:$I$206,0))</f>
        <v>N75</v>
      </c>
      <c r="BX199" s="106">
        <f t="shared" si="32"/>
        <v>4.9609372096244261E-2</v>
      </c>
      <c r="BY199">
        <v>250</v>
      </c>
      <c r="BZ199">
        <v>150</v>
      </c>
      <c r="CA199">
        <v>89</v>
      </c>
      <c r="CB199">
        <v>75.93356659521929</v>
      </c>
      <c r="CC199">
        <v>3.8250255700015404E-2</v>
      </c>
      <c r="CD199">
        <v>0.18008295227779894</v>
      </c>
      <c r="CE199">
        <v>8.7192522380536506</v>
      </c>
      <c r="CF199" s="107">
        <f>INDEX(Pipes_result_save_V1!$K$2:$K$206,MATCH(BU199,Pipes_result_save_V1!$I$2:$I$206,0)) *POWER(10,-3)</f>
        <v>6.1372756958007813E-2</v>
      </c>
      <c r="CG199" s="78">
        <v>5.3829466780226098E-3</v>
      </c>
      <c r="CH199" s="78">
        <v>5.5989810279985203E-2</v>
      </c>
      <c r="CN199">
        <v>4</v>
      </c>
      <c r="CO199">
        <v>25</v>
      </c>
      <c r="CP199" t="s">
        <v>540</v>
      </c>
      <c r="CQ199" t="s">
        <v>158</v>
      </c>
      <c r="CR199" s="106" t="str">
        <f>INDEX(Pipes_result_save_V1!$G$2:$G$206,MATCH(CQ199,Pipes_result_save_V1!$I$2:$I$206,0))</f>
        <v>N54</v>
      </c>
      <c r="CS199" s="106" t="str">
        <f>INDEX(Pipes_result_save_V1!$H$2:$H$206,MATCH(CQ199,Pipes_result_save_V1!$I$2:$I$206,0))</f>
        <v>N53</v>
      </c>
      <c r="CT199" s="106">
        <f t="shared" si="33"/>
        <v>1.9347099765879085E-2</v>
      </c>
      <c r="CU199">
        <v>250</v>
      </c>
      <c r="CV199">
        <v>150</v>
      </c>
      <c r="CW199">
        <v>191</v>
      </c>
      <c r="CX199">
        <v>162.95855303018971</v>
      </c>
      <c r="CY199">
        <v>2.3580796114934299E-2</v>
      </c>
      <c r="CZ199">
        <v>0.15778126503518553</v>
      </c>
      <c r="DA199">
        <v>12.391901504126874</v>
      </c>
      <c r="DB199" s="107">
        <f>INDEX(Pipes_result_save_V1!$K$2:$K$206,MATCH(CQ199,Pipes_result_save_V1!$I$2:$I$206,0)) *POWER(10,-3)</f>
        <v>-3.0079156875610351E-2</v>
      </c>
      <c r="DC199" s="78">
        <v>5.8805783208500896E-3</v>
      </c>
      <c r="DD199" s="78">
        <v>-2.419857855476026E-2</v>
      </c>
      <c r="DL199">
        <v>7</v>
      </c>
      <c r="DM199">
        <v>25</v>
      </c>
      <c r="DN199" t="s">
        <v>539</v>
      </c>
      <c r="DO199" t="s">
        <v>135</v>
      </c>
      <c r="DP199" s="106" t="str">
        <f>INDEX(Pipes_result_save_V1!$G$2:$G$206,MATCH(DO199,Pipes_result_save_V1!$I$2:$I$206,0))</f>
        <v>N36</v>
      </c>
      <c r="DQ199" s="106" t="str">
        <f>INDEX(Pipes_result_save_V1!$H$2:$H$206,MATCH(DO199,Pipes_result_save_V1!$I$2:$I$206,0))</f>
        <v>N35</v>
      </c>
      <c r="DR199" s="106">
        <f t="shared" si="34"/>
        <v>0.10515970512373567</v>
      </c>
      <c r="DS199">
        <v>350</v>
      </c>
      <c r="DT199">
        <v>150</v>
      </c>
      <c r="DU199">
        <v>73</v>
      </c>
      <c r="DV199">
        <v>12.094195673475639</v>
      </c>
      <c r="DW199">
        <v>-9.4864356265488253E-2</v>
      </c>
      <c r="DX199">
        <v>-0.1542310677968057</v>
      </c>
      <c r="DY199">
        <v>3.0109932624251488</v>
      </c>
      <c r="DZ199" s="107">
        <f>INDEX(Pipes_result_save_V1!$K$2:$K$206,MATCH(DO199,Pipes_result_save_V1!$I$2:$I$206,0)) *POWER(10,-3)</f>
        <v>-0.1152970657348633</v>
      </c>
      <c r="EA199" s="78">
        <v>5.9580460369928643E-3</v>
      </c>
      <c r="EB199" s="78">
        <v>-0.10933901969787044</v>
      </c>
      <c r="EI199">
        <v>12</v>
      </c>
      <c r="EJ199">
        <v>25</v>
      </c>
      <c r="EK199" t="s">
        <v>540</v>
      </c>
      <c r="EL199" t="s">
        <v>146</v>
      </c>
      <c r="EM199" s="106" t="str">
        <f>INDEX(Pipes_result_save_V1!$G$2:$G$206,MATCH(EL199,Pipes_result_save_V1!$I$2:$I$206,0))</f>
        <v>N24</v>
      </c>
      <c r="EN199" s="106" t="str">
        <f>INDEX(Pipes_result_save_V1!$H$2:$H$206,MATCH(EL199,Pipes_result_save_V1!$I$2:$I$206,0))</f>
        <v>N23</v>
      </c>
      <c r="EO199" s="106">
        <f t="shared" si="35"/>
        <v>0.19348136286681875</v>
      </c>
      <c r="EP199">
        <v>466</v>
      </c>
      <c r="EQ199">
        <v>150</v>
      </c>
      <c r="ER199">
        <v>92</v>
      </c>
      <c r="ES199">
        <v>3.7799808696069688</v>
      </c>
      <c r="ET199">
        <v>-9.4864356265488253E-2</v>
      </c>
      <c r="EU199">
        <v>-4.820415524196995E-2</v>
      </c>
      <c r="EV199">
        <v>0.94107100941353583</v>
      </c>
      <c r="EW199" s="107">
        <f>INDEX(Pipes_result_save_V1!$K$2:$K$206,MATCH(EL199,Pipes_result_save_V1!$I$2:$I$206,0)) *POWER(10,-3)</f>
        <v>-0.20296116638183592</v>
      </c>
      <c r="EX199" s="78">
        <v>5.1063428122639486E-3</v>
      </c>
      <c r="EY199" s="78">
        <v>-0.19785482356957199</v>
      </c>
    </row>
    <row r="200" spans="2:155" ht="30" x14ac:dyDescent="0.25">
      <c r="B200" s="106">
        <v>26</v>
      </c>
      <c r="C200" s="106" t="s">
        <v>540</v>
      </c>
      <c r="D200" s="106" t="s">
        <v>431</v>
      </c>
      <c r="E200" s="106" t="str">
        <f>INDEX(Pipes_result_save_V1!$G$2:$G$206,MATCH(D200,Pipes_result_save_V1!$I$2:$I$206,0))</f>
        <v>N148</v>
      </c>
      <c r="F200" s="106" t="str">
        <f>INDEX(Pipes_result_save_V1!$H$2:$H$206,MATCH(D200,Pipes_result_save_V1!$I$2:$I$206,0))</f>
        <v>N166</v>
      </c>
      <c r="G200" s="106">
        <f t="shared" si="29"/>
        <v>1.7300223504682251E-5</v>
      </c>
      <c r="H200" s="107">
        <v>400</v>
      </c>
      <c r="I200" s="107">
        <v>150</v>
      </c>
      <c r="J200" s="107">
        <v>101</v>
      </c>
      <c r="K200" s="107">
        <v>8.7316582766858311</v>
      </c>
      <c r="L200" s="107">
        <v>-0.10100000000000001</v>
      </c>
      <c r="M200" s="107">
        <v>-0.12505467014160557</v>
      </c>
      <c r="N200" s="107">
        <v>2.2930816742797377</v>
      </c>
      <c r="O200" s="107">
        <f>INDEX(Pipes_result_save_V1!$K$2:$K$206,MATCH(D200,Pipes_result_save_V1!$I$2:$I$206,0)) *POWER(10,-3)</f>
        <v>1.367993545532227E-2</v>
      </c>
      <c r="P200" s="78">
        <v>5.7612622064551729E-3</v>
      </c>
      <c r="Q200" s="78">
        <v>7.9186732488670981E-3</v>
      </c>
      <c r="R200" s="78"/>
      <c r="S200" s="78"/>
      <c r="T200" s="78"/>
      <c r="U200" s="78"/>
      <c r="V200" s="78"/>
      <c r="W200" s="78">
        <v>0</v>
      </c>
      <c r="X200" s="78">
        <v>26</v>
      </c>
      <c r="Y200" s="78" t="s">
        <v>540</v>
      </c>
      <c r="Z200" s="78" t="s">
        <v>216</v>
      </c>
      <c r="AA200" s="106" t="str">
        <f>INDEX(Pipes_result_save_V1!$G$2:$G$206,MATCH(Z200,Pipes_result_save_V1!$I$2:$I$206,0))</f>
        <v>N147</v>
      </c>
      <c r="AB200" s="106" t="str">
        <f>INDEX(Pipes_result_save_V1!$H$2:$H$206,MATCH(Z200,Pipes_result_save_V1!$I$2:$I$206,0))</f>
        <v>N148</v>
      </c>
      <c r="AC200" s="106">
        <f t="shared" si="30"/>
        <v>1.379559205234021E-3</v>
      </c>
      <c r="AD200" s="78">
        <v>300</v>
      </c>
      <c r="AE200" s="78">
        <v>150</v>
      </c>
      <c r="AF200" s="78">
        <v>70</v>
      </c>
      <c r="AG200" s="78">
        <v>24.572536170390066</v>
      </c>
      <c r="AH200" s="78">
        <v>-5.8057999999999998E-2</v>
      </c>
      <c r="AI200" s="78">
        <v>0</v>
      </c>
      <c r="AJ200" s="78">
        <v>0</v>
      </c>
      <c r="AK200" s="78">
        <v>-0.12621836164273367</v>
      </c>
      <c r="AL200">
        <v>4.0262566013700587</v>
      </c>
      <c r="AM200" s="107">
        <f>INDEX(Pipes_result_save_V1!$K$2:$K$206,MATCH(Z200,Pipes_result_save_V1!$I$2:$I$206,0)) *POWER(10,-3)</f>
        <v>2.398493528366089E-3</v>
      </c>
      <c r="AN200" s="78">
        <v>3.5218557640316313E-3</v>
      </c>
      <c r="AO200" s="78">
        <v>-1.1233622356655423E-3</v>
      </c>
      <c r="AU200">
        <v>0</v>
      </c>
      <c r="AV200">
        <v>26</v>
      </c>
      <c r="AW200" t="s">
        <v>540</v>
      </c>
      <c r="AX200" t="s">
        <v>314</v>
      </c>
      <c r="AY200" s="106" t="str">
        <f>INDEX(Pipes_result_save_V1!$G$2:$G$206,MATCH(AX200,Pipes_result_save_V1!$I$2:$I$206,0))</f>
        <v>N123</v>
      </c>
      <c r="AZ200" s="106" t="str">
        <f>INDEX(Pipes_result_save_V1!$H$2:$H$206,MATCH(AX200,Pipes_result_save_V1!$I$2:$I$206,0))</f>
        <v>N124</v>
      </c>
      <c r="BA200" s="106">
        <f t="shared" si="31"/>
        <v>4.1741454332255519E-2</v>
      </c>
      <c r="BB200">
        <v>400</v>
      </c>
      <c r="BC200">
        <v>150</v>
      </c>
      <c r="BD200">
        <v>123</v>
      </c>
      <c r="BE200">
        <v>10.633603643884726</v>
      </c>
      <c r="BF200">
        <v>-0.116116</v>
      </c>
      <c r="BG200">
        <v>-0.19717896196060131</v>
      </c>
      <c r="BH200">
        <v>3.1449191976216344</v>
      </c>
      <c r="BI200" s="107">
        <f>INDEX(Pipes_result_save_V1!$K$2:$K$206,MATCH(AX200,Pipes_result_save_V1!$I$2:$I$206,0)) *POWER(10,-3)</f>
        <v>5.3786315917968751E-2</v>
      </c>
      <c r="BJ200" s="78">
        <v>6.0988140748011324E-3</v>
      </c>
      <c r="BK200" s="78">
        <v>4.7687501843167619E-2</v>
      </c>
      <c r="BR200">
        <v>6</v>
      </c>
      <c r="BS200">
        <v>26</v>
      </c>
      <c r="BT200" t="s">
        <v>540</v>
      </c>
      <c r="BU200" t="s">
        <v>178</v>
      </c>
      <c r="BV200" s="106" t="str">
        <f>INDEX(Pipes_result_save_V1!$G$2:$G$206,MATCH(BU200,Pipes_result_save_V1!$I$2:$I$206,0))</f>
        <v>N75</v>
      </c>
      <c r="BW200" s="106" t="str">
        <f>INDEX(Pipes_result_save_V1!$H$2:$H$206,MATCH(BU200,Pipes_result_save_V1!$I$2:$I$206,0))</f>
        <v>N76</v>
      </c>
      <c r="BX200" s="106">
        <f t="shared" si="32"/>
        <v>5.1672739316531116E-2</v>
      </c>
      <c r="BY200">
        <v>250</v>
      </c>
      <c r="BZ200">
        <v>150</v>
      </c>
      <c r="CA200">
        <v>88</v>
      </c>
      <c r="CB200">
        <v>75.080380453699973</v>
      </c>
      <c r="CC200">
        <v>3.8250255700015404E-2</v>
      </c>
      <c r="CD200">
        <v>0.17805954831962142</v>
      </c>
      <c r="CE200">
        <v>8.6212831117833844</v>
      </c>
      <c r="CF200" s="107">
        <f>INDEX(Pipes_result_save_V1!$K$2:$K$206,MATCH(BU200,Pipes_result_save_V1!$I$2:$I$206,0)) *POWER(10,-3)</f>
        <v>6.0362876892089835E-2</v>
      </c>
      <c r="CG200" s="78">
        <v>5.0370317120216196E-3</v>
      </c>
      <c r="CH200" s="78">
        <v>5.5325845180068216E-2</v>
      </c>
      <c r="CN200">
        <v>5</v>
      </c>
      <c r="CO200">
        <v>26</v>
      </c>
      <c r="CP200" t="s">
        <v>540</v>
      </c>
      <c r="CQ200" t="s">
        <v>130</v>
      </c>
      <c r="CR200" s="106" t="str">
        <f>INDEX(Pipes_result_save_V1!$G$2:$G$206,MATCH(CQ200,Pipes_result_save_V1!$I$2:$I$206,0))</f>
        <v>N55</v>
      </c>
      <c r="CS200" s="106" t="str">
        <f>INDEX(Pipes_result_save_V1!$H$2:$H$206,MATCH(CQ200,Pipes_result_save_V1!$I$2:$I$206,0))</f>
        <v>N54</v>
      </c>
      <c r="CT200" s="106">
        <f t="shared" si="33"/>
        <v>1.9796960328362145E-2</v>
      </c>
      <c r="CU200">
        <v>250</v>
      </c>
      <c r="CV200">
        <v>150</v>
      </c>
      <c r="CW200">
        <v>77</v>
      </c>
      <c r="CX200">
        <v>65.695332896987466</v>
      </c>
      <c r="CY200">
        <v>2.3580796114934299E-2</v>
      </c>
      <c r="CZ200">
        <v>6.3608153967064318E-2</v>
      </c>
      <c r="DA200">
        <v>4.9956880409307294</v>
      </c>
      <c r="DB200" s="107">
        <f>INDEX(Pipes_result_save_V1!$K$2:$K$206,MATCH(CQ200,Pipes_result_save_V1!$I$2:$I$206,0)) *POWER(10,-3)</f>
        <v>-2.8550071716308592E-2</v>
      </c>
      <c r="DC200" s="78">
        <v>5.931736364790087E-3</v>
      </c>
      <c r="DD200" s="78">
        <v>-2.2618335351518505E-2</v>
      </c>
      <c r="DL200">
        <v>8</v>
      </c>
      <c r="DM200">
        <v>26</v>
      </c>
      <c r="DN200" t="s">
        <v>539</v>
      </c>
      <c r="DO200" t="s">
        <v>133</v>
      </c>
      <c r="DP200" s="106" t="str">
        <f>INDEX(Pipes_result_save_V1!$G$2:$G$206,MATCH(DO200,Pipes_result_save_V1!$I$2:$I$206,0))</f>
        <v>N37</v>
      </c>
      <c r="DQ200" s="106" t="str">
        <f>INDEX(Pipes_result_save_V1!$H$2:$H$206,MATCH(DO200,Pipes_result_save_V1!$I$2:$I$206,0))</f>
        <v>N36</v>
      </c>
      <c r="DR200" s="106">
        <f t="shared" si="34"/>
        <v>0.10603843925089894</v>
      </c>
      <c r="DS200">
        <v>350</v>
      </c>
      <c r="DT200">
        <v>150</v>
      </c>
      <c r="DU200">
        <v>81</v>
      </c>
      <c r="DV200">
        <v>13.419586980157902</v>
      </c>
      <c r="DW200">
        <v>-9.4864356265488253E-2</v>
      </c>
      <c r="DX200">
        <v>-0.17113310262385292</v>
      </c>
      <c r="DY200">
        <v>3.3409651268005076</v>
      </c>
      <c r="DZ200" s="107">
        <f>INDEX(Pipes_result_save_V1!$K$2:$K$206,MATCH(DO200,Pipes_result_save_V1!$I$2:$I$206,0)) *POWER(10,-3)</f>
        <v>-0.11441841125488281</v>
      </c>
      <c r="EA200" s="78">
        <v>5.6421909364428383E-3</v>
      </c>
      <c r="EB200" s="78">
        <v>-0.10877622031843998</v>
      </c>
      <c r="EI200">
        <v>13</v>
      </c>
      <c r="EJ200">
        <v>26</v>
      </c>
      <c r="EK200" t="s">
        <v>540</v>
      </c>
      <c r="EL200" t="s">
        <v>145</v>
      </c>
      <c r="EM200" s="106" t="str">
        <f>INDEX(Pipes_result_save_V1!$G$2:$G$206,MATCH(EL200,Pipes_result_save_V1!$I$2:$I$206,0))</f>
        <v>N25</v>
      </c>
      <c r="EN200" s="106" t="str">
        <f>INDEX(Pipes_result_save_V1!$H$2:$H$206,MATCH(EL200,Pipes_result_save_V1!$I$2:$I$206,0))</f>
        <v>N24</v>
      </c>
      <c r="EO200" s="106">
        <f t="shared" si="35"/>
        <v>0.19434220140296449</v>
      </c>
      <c r="EP200">
        <v>466</v>
      </c>
      <c r="EQ200">
        <v>150</v>
      </c>
      <c r="ER200">
        <v>75</v>
      </c>
      <c r="ES200">
        <v>3.0815061437013331</v>
      </c>
      <c r="ET200">
        <v>-0.11009435626548825</v>
      </c>
      <c r="EU200">
        <v>-5.1774024209395142E-2</v>
      </c>
      <c r="EV200">
        <v>0.87093922057708129</v>
      </c>
      <c r="EW200" s="107">
        <f>INDEX(Pipes_result_save_V1!$K$2:$K$206,MATCH(EL200,Pipes_result_save_V1!$I$2:$I$206,0)) *POWER(10,-3)</f>
        <v>-0.20200834655761718</v>
      </c>
      <c r="EX200" s="78">
        <v>5.3541484551490031E-3</v>
      </c>
      <c r="EY200" s="78">
        <v>-0.19665419810246818</v>
      </c>
    </row>
    <row r="201" spans="2:155" ht="30" x14ac:dyDescent="0.25">
      <c r="B201" s="106">
        <v>27</v>
      </c>
      <c r="C201" s="106" t="s">
        <v>539</v>
      </c>
      <c r="D201" s="106" t="s">
        <v>219</v>
      </c>
      <c r="E201" s="106" t="str">
        <f>INDEX(Pipes_result_save_V1!$G$2:$G$206,MATCH(D201,Pipes_result_save_V1!$I$2:$I$206,0))</f>
        <v>N149</v>
      </c>
      <c r="F201" s="106" t="str">
        <f>INDEX(Pipes_result_save_V1!$H$2:$H$206,MATCH(D201,Pipes_result_save_V1!$I$2:$I$206,0))</f>
        <v>N150</v>
      </c>
      <c r="G201" s="106">
        <f t="shared" si="29"/>
        <v>3.8800650493543433E-3</v>
      </c>
      <c r="H201" s="107">
        <v>200</v>
      </c>
      <c r="I201" s="107">
        <v>150</v>
      </c>
      <c r="J201" s="107">
        <v>30</v>
      </c>
      <c r="K201" s="107">
        <v>75.895097037358298</v>
      </c>
      <c r="L201" s="107">
        <v>0.03</v>
      </c>
      <c r="M201" s="107">
        <v>0.11477367408807007</v>
      </c>
      <c r="N201" s="107">
        <v>7.0853614803701932</v>
      </c>
      <c r="O201" s="107">
        <f>INDEX(Pipes_result_save_V1!$K$2:$K$206,MATCH(D201,Pipes_result_save_V1!$I$2:$I$206,0)) *POWER(10,-3)</f>
        <v>-1.3466668128967291E-2</v>
      </c>
      <c r="P201" s="78">
        <v>5.2595888376986517E-3</v>
      </c>
      <c r="Q201" s="78">
        <v>-8.2070792912686402E-3</v>
      </c>
      <c r="R201" s="78"/>
      <c r="S201" s="78"/>
      <c r="T201" s="78"/>
      <c r="U201" s="78"/>
      <c r="V201" s="78"/>
      <c r="W201" s="78">
        <v>25</v>
      </c>
      <c r="X201" s="78">
        <v>27</v>
      </c>
      <c r="Y201" s="78" t="s">
        <v>540</v>
      </c>
      <c r="Z201" s="78" t="s">
        <v>220</v>
      </c>
      <c r="AA201" s="106" t="str">
        <f>INDEX(Pipes_result_save_V1!$G$2:$G$206,MATCH(Z201,Pipes_result_save_V1!$I$2:$I$206,0))</f>
        <v>N148</v>
      </c>
      <c r="AB201" s="106" t="str">
        <f>INDEX(Pipes_result_save_V1!$H$2:$H$206,MATCH(Z201,Pipes_result_save_V1!$I$2:$I$206,0))</f>
        <v>N149</v>
      </c>
      <c r="AC201" s="106">
        <f t="shared" si="30"/>
        <v>6.3897729684181219E-3</v>
      </c>
      <c r="AD201" s="78">
        <v>200</v>
      </c>
      <c r="AE201" s="78">
        <v>150</v>
      </c>
      <c r="AF201" s="78">
        <v>91</v>
      </c>
      <c r="AG201" s="78">
        <v>230.21512767998681</v>
      </c>
      <c r="AH201" s="78">
        <v>9.7596935076183555E-2</v>
      </c>
      <c r="AI201" s="78">
        <v>1</v>
      </c>
      <c r="AJ201" s="78">
        <v>-1</v>
      </c>
      <c r="AK201" s="78">
        <v>3.0943516202637942</v>
      </c>
      <c r="AL201">
        <v>58.718434100980403</v>
      </c>
      <c r="AM201" s="107">
        <f>INDEX(Pipes_result_save_V1!$K$2:$K$206,MATCH(Z201,Pipes_result_save_V1!$I$2:$I$206,0)) *POWER(10,-3)</f>
        <v>-1.2776296615600589E-2</v>
      </c>
      <c r="AN201" s="78">
        <v>4.6413242317751551E-3</v>
      </c>
      <c r="AO201" s="78">
        <v>-8.134972383825434E-3</v>
      </c>
      <c r="AU201">
        <v>0</v>
      </c>
      <c r="AV201">
        <v>27</v>
      </c>
      <c r="AW201" t="s">
        <v>540</v>
      </c>
      <c r="AX201" t="s">
        <v>420</v>
      </c>
      <c r="AY201" s="106" t="str">
        <f>INDEX(Pipes_result_save_V1!$G$2:$G$206,MATCH(AX201,Pipes_result_save_V1!$I$2:$I$206,0))</f>
        <v>N124</v>
      </c>
      <c r="AZ201" s="106" t="str">
        <f>INDEX(Pipes_result_save_V1!$H$2:$H$206,MATCH(AX201,Pipes_result_save_V1!$I$2:$I$206,0))</f>
        <v>N125</v>
      </c>
      <c r="BA201" s="106">
        <f t="shared" si="31"/>
        <v>4.0927998178015158E-2</v>
      </c>
      <c r="BB201">
        <v>400</v>
      </c>
      <c r="BC201">
        <v>150</v>
      </c>
      <c r="BD201">
        <v>124</v>
      </c>
      <c r="BE201">
        <v>10.720055706030131</v>
      </c>
      <c r="BF201">
        <v>-0.116116</v>
      </c>
      <c r="BG201">
        <v>-0.19878204295215093</v>
      </c>
      <c r="BH201">
        <v>3.170487646382786</v>
      </c>
      <c r="BI201" s="107">
        <f>INDEX(Pipes_result_save_V1!$K$2:$K$206,MATCH(AX201,Pipes_result_save_V1!$I$2:$I$206,0)) *POWER(10,-3)</f>
        <v>5.1424217224121091E-2</v>
      </c>
      <c r="BJ201" s="78">
        <v>6.0980594748508751E-3</v>
      </c>
      <c r="BK201" s="78">
        <v>4.5326157749270214E-2</v>
      </c>
      <c r="BR201">
        <v>7</v>
      </c>
      <c r="BS201">
        <v>27</v>
      </c>
      <c r="BT201" t="s">
        <v>540</v>
      </c>
      <c r="BU201" t="s">
        <v>189</v>
      </c>
      <c r="BV201" s="106" t="str">
        <f>INDEX(Pipes_result_save_V1!$G$2:$G$206,MATCH(BU201,Pipes_result_save_V1!$I$2:$I$206,0))</f>
        <v>N76</v>
      </c>
      <c r="BW201" s="106" t="str">
        <f>INDEX(Pipes_result_save_V1!$H$2:$H$206,MATCH(BU201,Pipes_result_save_V1!$I$2:$I$206,0))</f>
        <v>N77</v>
      </c>
      <c r="BX201" s="106">
        <f t="shared" si="32"/>
        <v>5.1177619231551265E-2</v>
      </c>
      <c r="BY201">
        <v>250</v>
      </c>
      <c r="BZ201">
        <v>150</v>
      </c>
      <c r="CA201">
        <v>76</v>
      </c>
      <c r="CB201">
        <v>64.84214675546815</v>
      </c>
      <c r="CC201">
        <v>3.8250255700015404E-2</v>
      </c>
      <c r="CD201">
        <v>0.1537787008214912</v>
      </c>
      <c r="CE201">
        <v>7.4456535965401951</v>
      </c>
      <c r="CF201" s="107">
        <f>INDEX(Pipes_result_save_V1!$K$2:$K$206,MATCH(BU201,Pipes_result_save_V1!$I$2:$I$206,0)) *POWER(10,-3)</f>
        <v>5.9427165985107423E-2</v>
      </c>
      <c r="CG201" s="78">
        <v>5.2836406684327718E-3</v>
      </c>
      <c r="CH201" s="78">
        <v>5.414352531667465E-2</v>
      </c>
      <c r="CN201">
        <v>6</v>
      </c>
      <c r="CO201">
        <v>27</v>
      </c>
      <c r="CP201" t="s">
        <v>540</v>
      </c>
      <c r="CQ201" t="s">
        <v>129</v>
      </c>
      <c r="CR201" s="106" t="str">
        <f>INDEX(Pipes_result_save_V1!$G$2:$G$206,MATCH(CQ201,Pipes_result_save_V1!$I$2:$I$206,0))</f>
        <v>N56</v>
      </c>
      <c r="CS201" s="106" t="str">
        <f>INDEX(Pipes_result_save_V1!$H$2:$H$206,MATCH(CQ201,Pipes_result_save_V1!$I$2:$I$206,0))</f>
        <v>N55</v>
      </c>
      <c r="CT201" s="106">
        <f t="shared" si="33"/>
        <v>2.0181104574918406E-2</v>
      </c>
      <c r="CU201">
        <v>250</v>
      </c>
      <c r="CV201">
        <v>150</v>
      </c>
      <c r="CW201">
        <v>77</v>
      </c>
      <c r="CX201">
        <v>65.695332896987466</v>
      </c>
      <c r="CY201">
        <v>2.3580796114934299E-2</v>
      </c>
      <c r="CZ201">
        <v>6.3608153967064318E-2</v>
      </c>
      <c r="DA201">
        <v>4.9956880409307294</v>
      </c>
      <c r="DB201" s="107">
        <f>INDEX(Pipes_result_save_V1!$K$2:$K$206,MATCH(CQ201,Pipes_result_save_V1!$I$2:$I$206,0)) *POWER(10,-3)</f>
        <v>-2.7671417236328121E-2</v>
      </c>
      <c r="DC201" s="78">
        <v>5.062299104412759E-3</v>
      </c>
      <c r="DD201" s="78">
        <v>-2.2609118131915362E-2</v>
      </c>
      <c r="DL201">
        <v>9</v>
      </c>
      <c r="DM201">
        <v>27</v>
      </c>
      <c r="DN201" t="s">
        <v>539</v>
      </c>
      <c r="DO201" t="s">
        <v>132</v>
      </c>
      <c r="DP201" s="106" t="str">
        <f>INDEX(Pipes_result_save_V1!$G$2:$G$206,MATCH(DO201,Pipes_result_save_V1!$I$2:$I$206,0))</f>
        <v>N38</v>
      </c>
      <c r="DQ201" s="106" t="str">
        <f>INDEX(Pipes_result_save_V1!$H$2:$H$206,MATCH(DO201,Pipes_result_save_V1!$I$2:$I$206,0))</f>
        <v>N37</v>
      </c>
      <c r="DR201" s="106">
        <f t="shared" si="34"/>
        <v>0.10533089359635989</v>
      </c>
      <c r="DS201">
        <v>350</v>
      </c>
      <c r="DT201">
        <v>150</v>
      </c>
      <c r="DU201">
        <v>101</v>
      </c>
      <c r="DV201">
        <v>16.733065246863553</v>
      </c>
      <c r="DW201">
        <v>-9.4864356265488253E-2</v>
      </c>
      <c r="DX201">
        <v>-0.21338818969147089</v>
      </c>
      <c r="DY201">
        <v>4.1658947877389041</v>
      </c>
      <c r="DZ201" s="107">
        <f>INDEX(Pipes_result_save_V1!$K$2:$K$206,MATCH(DO201,Pipes_result_save_V1!$I$2:$I$206,0)) *POWER(10,-3)</f>
        <v>-0.1133800048828125</v>
      </c>
      <c r="EA201" s="78">
        <v>6.4922119596177389E-3</v>
      </c>
      <c r="EB201" s="78">
        <v>-0.10688779292319475</v>
      </c>
      <c r="EI201">
        <v>14</v>
      </c>
      <c r="EJ201">
        <v>27</v>
      </c>
      <c r="EK201" t="s">
        <v>540</v>
      </c>
      <c r="EL201" t="s">
        <v>144</v>
      </c>
      <c r="EM201" s="106" t="str">
        <f>INDEX(Pipes_result_save_V1!$G$2:$G$206,MATCH(EL201,Pipes_result_save_V1!$I$2:$I$206,0))</f>
        <v>N26</v>
      </c>
      <c r="EN201" s="106" t="str">
        <f>INDEX(Pipes_result_save_V1!$H$2:$H$206,MATCH(EL201,Pipes_result_save_V1!$I$2:$I$206,0))</f>
        <v>N25</v>
      </c>
      <c r="EO201" s="106">
        <f t="shared" si="35"/>
        <v>0.19316319259177056</v>
      </c>
      <c r="EP201">
        <v>466</v>
      </c>
      <c r="EQ201">
        <v>150</v>
      </c>
      <c r="ER201">
        <v>76</v>
      </c>
      <c r="ES201">
        <v>3.1225928922840178</v>
      </c>
      <c r="ET201">
        <v>1.1995439849446052E-2</v>
      </c>
      <c r="EU201">
        <v>8.6467584549903057E-4</v>
      </c>
      <c r="EV201">
        <v>0.13349903679756739</v>
      </c>
      <c r="EW201" s="107">
        <f>INDEX(Pipes_result_save_V1!$K$2:$K$206,MATCH(EL201,Pipes_result_save_V1!$I$2:$I$206,0)) *POWER(10,-3)</f>
        <v>-0.20114678955078119</v>
      </c>
      <c r="EX201" s="78">
        <v>5.4945029180460039E-3</v>
      </c>
      <c r="EY201" s="78">
        <v>-0.19565228663273518</v>
      </c>
    </row>
    <row r="202" spans="2:155" ht="30" x14ac:dyDescent="0.25">
      <c r="B202" s="106">
        <v>28</v>
      </c>
      <c r="C202" s="106" t="s">
        <v>539</v>
      </c>
      <c r="D202" s="106" t="s">
        <v>221</v>
      </c>
      <c r="E202" s="106" t="str">
        <f>INDEX(Pipes_result_save_V1!$G$2:$G$206,MATCH(D202,Pipes_result_save_V1!$I$2:$I$206,0))</f>
        <v>N150</v>
      </c>
      <c r="F202" s="106" t="str">
        <f>INDEX(Pipes_result_save_V1!$H$2:$H$206,MATCH(D202,Pipes_result_save_V1!$I$2:$I$206,0))</f>
        <v>N151</v>
      </c>
      <c r="G202" s="106">
        <f t="shared" si="29"/>
        <v>3.6561618921322654E-3</v>
      </c>
      <c r="H202" s="107">
        <v>250</v>
      </c>
      <c r="I202" s="107">
        <v>150</v>
      </c>
      <c r="J202" s="107">
        <v>35</v>
      </c>
      <c r="K202" s="107">
        <v>29.861514953176123</v>
      </c>
      <c r="L202" s="107">
        <v>3.5000000000000003E-2</v>
      </c>
      <c r="M202" s="107">
        <v>6.0079437098534257E-2</v>
      </c>
      <c r="N202" s="107">
        <v>3.1790605001852987</v>
      </c>
      <c r="O202" s="107">
        <f>INDEX(Pipes_result_save_V1!$K$2:$K$206,MATCH(D202,Pipes_result_save_V1!$I$2:$I$206,0)) *POWER(10,-3)</f>
        <v>-1.3837529182434081E-2</v>
      </c>
      <c r="P202" s="78">
        <v>6.2636550694442038E-3</v>
      </c>
      <c r="Q202" s="78">
        <v>-7.5738741129898774E-3</v>
      </c>
      <c r="R202" s="78"/>
      <c r="S202" s="78"/>
      <c r="T202" s="78"/>
      <c r="U202" s="78"/>
      <c r="V202" s="78"/>
      <c r="W202" s="78">
        <v>27</v>
      </c>
      <c r="X202" s="78">
        <v>28</v>
      </c>
      <c r="Y202" s="78" t="s">
        <v>540</v>
      </c>
      <c r="Z202" s="78" t="s">
        <v>219</v>
      </c>
      <c r="AA202" s="106" t="str">
        <f>INDEX(Pipes_result_save_V1!$G$2:$G$206,MATCH(Z202,Pipes_result_save_V1!$I$2:$I$206,0))</f>
        <v>N149</v>
      </c>
      <c r="AB202" s="106" t="str">
        <f>INDEX(Pipes_result_save_V1!$H$2:$H$206,MATCH(Z202,Pipes_result_save_V1!$I$2:$I$206,0))</f>
        <v>N150</v>
      </c>
      <c r="AC202" s="106">
        <f t="shared" si="30"/>
        <v>8.3728805994768805E-3</v>
      </c>
      <c r="AD202" s="78">
        <v>200</v>
      </c>
      <c r="AE202" s="78">
        <v>150</v>
      </c>
      <c r="AF202" s="78">
        <v>30</v>
      </c>
      <c r="AG202" s="78">
        <v>75.895097037358298</v>
      </c>
      <c r="AH202" s="78">
        <v>3.6596935076183557E-2</v>
      </c>
      <c r="AI202" s="78">
        <v>1</v>
      </c>
      <c r="AJ202" s="78">
        <v>-1</v>
      </c>
      <c r="AK202" s="78">
        <v>0.16584918199856438</v>
      </c>
      <c r="AL202">
        <v>8.392852691678792</v>
      </c>
      <c r="AM202" s="107">
        <f>INDEX(Pipes_result_save_V1!$K$2:$K$206,MATCH(Z202,Pipes_result_save_V1!$I$2:$I$206,0)) *POWER(10,-3)</f>
        <v>-1.3466668128967291E-2</v>
      </c>
      <c r="AN202" s="78">
        <v>1.8270960762708306E-3</v>
      </c>
      <c r="AO202" s="78">
        <v>-1.1639572052696461E-2</v>
      </c>
      <c r="AU202">
        <v>0</v>
      </c>
      <c r="AV202">
        <v>28</v>
      </c>
      <c r="AW202" t="s">
        <v>540</v>
      </c>
      <c r="AX202" t="s">
        <v>288</v>
      </c>
      <c r="AY202" s="106" t="str">
        <f>INDEX(Pipes_result_save_V1!$G$2:$G$206,MATCH(AX202,Pipes_result_save_V1!$I$2:$I$206,0))</f>
        <v>N125</v>
      </c>
      <c r="AZ202" s="106" t="str">
        <f>INDEX(Pipes_result_save_V1!$H$2:$H$206,MATCH(AX202,Pipes_result_save_V1!$I$2:$I$206,0))</f>
        <v>N126</v>
      </c>
      <c r="BA202" s="106">
        <f t="shared" si="31"/>
        <v>4.0713571704403463E-2</v>
      </c>
      <c r="BB202">
        <v>400</v>
      </c>
      <c r="BC202">
        <v>150</v>
      </c>
      <c r="BD202">
        <v>125</v>
      </c>
      <c r="BE202">
        <v>10.806507768175534</v>
      </c>
      <c r="BF202">
        <v>-0.116116</v>
      </c>
      <c r="BG202">
        <v>-0.2003851239437005</v>
      </c>
      <c r="BH202">
        <v>3.1960560951439372</v>
      </c>
      <c r="BI202" s="107">
        <f>INDEX(Pipes_result_save_V1!$K$2:$K$206,MATCH(AX202,Pipes_result_save_V1!$I$2:$I$206,0)) *POWER(10,-3)</f>
        <v>4.8223403930664065E-2</v>
      </c>
      <c r="BJ202" s="78">
        <v>6.2050964582661267E-3</v>
      </c>
      <c r="BK202" s="78">
        <v>4.2018307472397938E-2</v>
      </c>
      <c r="BR202">
        <v>8</v>
      </c>
      <c r="BS202">
        <v>28</v>
      </c>
      <c r="BT202" t="s">
        <v>540</v>
      </c>
      <c r="BU202" t="s">
        <v>188</v>
      </c>
      <c r="BV202" s="106" t="str">
        <f>INDEX(Pipes_result_save_V1!$G$2:$G$206,MATCH(BU202,Pipes_result_save_V1!$I$2:$I$206,0))</f>
        <v>N77</v>
      </c>
      <c r="BW202" s="106" t="str">
        <f>INDEX(Pipes_result_save_V1!$H$2:$H$206,MATCH(BU202,Pipes_result_save_V1!$I$2:$I$206,0))</f>
        <v>N78</v>
      </c>
      <c r="BX202" s="106">
        <f t="shared" si="32"/>
        <v>5.0298290403044552E-2</v>
      </c>
      <c r="BY202">
        <v>250</v>
      </c>
      <c r="BZ202">
        <v>150</v>
      </c>
      <c r="CA202">
        <v>80</v>
      </c>
      <c r="CB202">
        <v>68.254891321545429</v>
      </c>
      <c r="CC202">
        <v>3.8250255700015404E-2</v>
      </c>
      <c r="CD202">
        <v>0.16187231665420129</v>
      </c>
      <c r="CE202">
        <v>7.8375301016212582</v>
      </c>
      <c r="CF202" s="107">
        <f>INDEX(Pipes_result_save_V1!$K$2:$K$206,MATCH(BU202,Pipes_result_save_V1!$I$2:$I$206,0)) *POWER(10,-3)</f>
        <v>5.8537097930908201E-2</v>
      </c>
      <c r="CG202" s="78">
        <v>5.2488735653697808E-3</v>
      </c>
      <c r="CH202" s="78">
        <v>5.3288224365538421E-2</v>
      </c>
      <c r="CN202">
        <v>7</v>
      </c>
      <c r="CO202">
        <v>28</v>
      </c>
      <c r="CP202" t="s">
        <v>540</v>
      </c>
      <c r="CQ202" t="s">
        <v>128</v>
      </c>
      <c r="CR202" s="106" t="str">
        <f>INDEX(Pipes_result_save_V1!$G$2:$G$206,MATCH(CQ202,Pipes_result_save_V1!$I$2:$I$206,0))</f>
        <v>N57</v>
      </c>
      <c r="CS202" s="106" t="str">
        <f>INDEX(Pipes_result_save_V1!$H$2:$H$206,MATCH(CQ202,Pipes_result_save_V1!$I$2:$I$206,0))</f>
        <v>N56</v>
      </c>
      <c r="CT202" s="106">
        <f t="shared" si="33"/>
        <v>1.9352841685969003E-2</v>
      </c>
      <c r="CU202">
        <v>250</v>
      </c>
      <c r="CV202">
        <v>150</v>
      </c>
      <c r="CW202">
        <v>76</v>
      </c>
      <c r="CX202">
        <v>64.84214675546815</v>
      </c>
      <c r="CY202">
        <v>2.3580796114934299E-2</v>
      </c>
      <c r="CZ202">
        <v>6.2782074045414138E-2</v>
      </c>
      <c r="DA202">
        <v>4.930808975464096</v>
      </c>
      <c r="DB202" s="107">
        <f>INDEX(Pipes_result_save_V1!$K$2:$K$206,MATCH(CQ202,Pipes_result_save_V1!$I$2:$I$206,0)) *POWER(10,-3)</f>
        <v>-2.6798467636108398E-2</v>
      </c>
      <c r="DC202" s="78">
        <v>5.3714062733476991E-3</v>
      </c>
      <c r="DD202" s="78">
        <v>-2.1427061362760701E-2</v>
      </c>
      <c r="DL202">
        <v>10</v>
      </c>
      <c r="DM202">
        <v>28</v>
      </c>
      <c r="DN202" t="s">
        <v>539</v>
      </c>
      <c r="DO202" t="s">
        <v>408</v>
      </c>
      <c r="DP202" s="106" t="str">
        <f>INDEX(Pipes_result_save_V1!$G$2:$G$206,MATCH(DO202,Pipes_result_save_V1!$I$2:$I$206,0))</f>
        <v>N39</v>
      </c>
      <c r="DQ202" s="106" t="str">
        <f>INDEX(Pipes_result_save_V1!$H$2:$H$206,MATCH(DO202,Pipes_result_save_V1!$I$2:$I$206,0))</f>
        <v>N38</v>
      </c>
      <c r="DR202" s="106">
        <f t="shared" si="34"/>
        <v>0.10509449761539394</v>
      </c>
      <c r="DS202">
        <v>350</v>
      </c>
      <c r="DT202">
        <v>150</v>
      </c>
      <c r="DU202">
        <v>91</v>
      </c>
      <c r="DV202">
        <v>15.076326113510728</v>
      </c>
      <c r="DW202">
        <v>-9.4864356265488253E-2</v>
      </c>
      <c r="DX202">
        <v>-0.19226064615766192</v>
      </c>
      <c r="DY202">
        <v>3.7534299572697059</v>
      </c>
      <c r="DZ202" s="107">
        <f>INDEX(Pipes_result_save_V1!$K$2:$K$206,MATCH(DO202,Pipes_result_save_V1!$I$2:$I$206,0)) *POWER(10,-3)</f>
        <v>-0.112284538269043</v>
      </c>
      <c r="EA202" s="78">
        <v>5.4277349348454363E-3</v>
      </c>
      <c r="EB202" s="78">
        <v>-0.10685680333419756</v>
      </c>
      <c r="EI202">
        <v>15</v>
      </c>
      <c r="EJ202">
        <v>28</v>
      </c>
      <c r="EK202" t="s">
        <v>540</v>
      </c>
      <c r="EL202" t="s">
        <v>142</v>
      </c>
      <c r="EM202" s="106" t="str">
        <f>INDEX(Pipes_result_save_V1!$G$2:$G$206,MATCH(EL202,Pipes_result_save_V1!$I$2:$I$206,0))</f>
        <v>N27</v>
      </c>
      <c r="EN202" s="106" t="str">
        <f>INDEX(Pipes_result_save_V1!$H$2:$H$206,MATCH(EL202,Pipes_result_save_V1!$I$2:$I$206,0))</f>
        <v>N26</v>
      </c>
      <c r="EO202" s="106">
        <f t="shared" si="35"/>
        <v>0.1892810904984645</v>
      </c>
      <c r="EP202">
        <v>466</v>
      </c>
      <c r="EQ202">
        <v>150</v>
      </c>
      <c r="ER202">
        <v>76</v>
      </c>
      <c r="ES202">
        <v>3.1225928922840178</v>
      </c>
      <c r="ET202">
        <v>-0.17814435626548825</v>
      </c>
      <c r="EU202">
        <v>-0.1279219989031645</v>
      </c>
      <c r="EV202">
        <v>1.3298851949909192</v>
      </c>
      <c r="EW202" s="107">
        <f>INDEX(Pipes_result_save_V1!$K$2:$K$206,MATCH(EL202,Pipes_result_save_V1!$I$2:$I$206,0)) *POWER(10,-3)</f>
        <v>-0.2002795562744141</v>
      </c>
      <c r="EX202" s="78">
        <v>6.0250912181511705E-3</v>
      </c>
      <c r="EY202" s="78">
        <v>-0.19425446505626293</v>
      </c>
    </row>
    <row r="203" spans="2:155" ht="30" x14ac:dyDescent="0.25">
      <c r="B203" s="106">
        <v>29</v>
      </c>
      <c r="C203" s="106" t="s">
        <v>539</v>
      </c>
      <c r="D203" s="106" t="s">
        <v>222</v>
      </c>
      <c r="E203" s="106" t="str">
        <f>INDEX(Pipes_result_save_V1!$G$2:$G$206,MATCH(D203,Pipes_result_save_V1!$I$2:$I$206,0))</f>
        <v>N151</v>
      </c>
      <c r="F203" s="106" t="str">
        <f>INDEX(Pipes_result_save_V1!$H$2:$H$206,MATCH(D203,Pipes_result_save_V1!$I$2:$I$206,0))</f>
        <v>N152</v>
      </c>
      <c r="G203" s="106">
        <f t="shared" si="29"/>
        <v>1.0848954383891685E-3</v>
      </c>
      <c r="H203" s="107">
        <v>250</v>
      </c>
      <c r="I203" s="107">
        <v>150</v>
      </c>
      <c r="J203" s="107">
        <v>49</v>
      </c>
      <c r="K203" s="107">
        <v>41.806120934446568</v>
      </c>
      <c r="L203" s="107">
        <v>4.9000000000000002E-2</v>
      </c>
      <c r="M203" s="107">
        <v>0.15684945454255206</v>
      </c>
      <c r="N203" s="107">
        <v>5.9282691798531921</v>
      </c>
      <c r="O203" s="107">
        <f>INDEX(Pipes_result_save_V1!$K$2:$K$206,MATCH(D203,Pipes_result_save_V1!$I$2:$I$206,0)) *POWER(10,-3)</f>
        <v>-1.431679439544678E-2</v>
      </c>
      <c r="P203" s="78">
        <v>6.3015075509666851E-3</v>
      </c>
      <c r="Q203" s="78">
        <v>-8.0152868444800952E-3</v>
      </c>
      <c r="R203" s="78"/>
      <c r="S203" s="78"/>
      <c r="T203" s="78"/>
      <c r="U203" s="78"/>
      <c r="V203" s="78"/>
      <c r="W203" s="78">
        <v>28</v>
      </c>
      <c r="X203" s="78">
        <v>29</v>
      </c>
      <c r="Y203" s="78" t="s">
        <v>540</v>
      </c>
      <c r="Z203" s="78" t="s">
        <v>221</v>
      </c>
      <c r="AA203" s="106" t="str">
        <f>INDEX(Pipes_result_save_V1!$G$2:$G$206,MATCH(Z203,Pipes_result_save_V1!$I$2:$I$206,0))</f>
        <v>N150</v>
      </c>
      <c r="AB203" s="106" t="str">
        <f>INDEX(Pipes_result_save_V1!$H$2:$H$206,MATCH(Z203,Pipes_result_save_V1!$I$2:$I$206,0))</f>
        <v>N151</v>
      </c>
      <c r="AC203" s="106">
        <f t="shared" si="30"/>
        <v>1.0260132054539746E-2</v>
      </c>
      <c r="AD203" s="78">
        <v>200</v>
      </c>
      <c r="AE203" s="78">
        <v>150</v>
      </c>
      <c r="AF203" s="78">
        <v>35</v>
      </c>
      <c r="AG203" s="78">
        <v>88.544279876918011</v>
      </c>
      <c r="AH203" s="78">
        <v>4.1596935076183561E-2</v>
      </c>
      <c r="AI203" s="78">
        <v>1</v>
      </c>
      <c r="AJ203" s="78">
        <v>-1</v>
      </c>
      <c r="AK203" s="78">
        <v>0.24527997752358771</v>
      </c>
      <c r="AL203">
        <v>10.920480500347525</v>
      </c>
      <c r="AM203" s="107">
        <f>INDEX(Pipes_result_save_V1!$K$2:$K$206,MATCH(Z203,Pipes_result_save_V1!$I$2:$I$206,0)) *POWER(10,-3)</f>
        <v>-1.3837529182434081E-2</v>
      </c>
      <c r="AN203" s="78">
        <v>2.3840699958634017E-3</v>
      </c>
      <c r="AO203" s="78">
        <v>-1.145345918657068E-2</v>
      </c>
      <c r="AU203">
        <v>0</v>
      </c>
      <c r="AV203">
        <v>29</v>
      </c>
      <c r="AW203" t="s">
        <v>540</v>
      </c>
      <c r="AX203" t="s">
        <v>423</v>
      </c>
      <c r="AY203" s="106" t="str">
        <f>INDEX(Pipes_result_save_V1!$G$2:$G$206,MATCH(AX203,Pipes_result_save_V1!$I$2:$I$206,0))</f>
        <v>N126</v>
      </c>
      <c r="AZ203" s="106" t="str">
        <f>INDEX(Pipes_result_save_V1!$H$2:$H$206,MATCH(AX203,Pipes_result_save_V1!$I$2:$I$206,0))</f>
        <v>N127</v>
      </c>
      <c r="BA203" s="106">
        <f t="shared" si="31"/>
        <v>3.6942108789560085E-2</v>
      </c>
      <c r="BB203">
        <v>400</v>
      </c>
      <c r="BC203">
        <v>150</v>
      </c>
      <c r="BD203">
        <v>126</v>
      </c>
      <c r="BE203">
        <v>10.892959830320939</v>
      </c>
      <c r="BF203">
        <v>-0.116116</v>
      </c>
      <c r="BG203">
        <v>-0.20198820493525013</v>
      </c>
      <c r="BH203">
        <v>3.2216245439050888</v>
      </c>
      <c r="BI203" s="107">
        <f>INDEX(Pipes_result_save_V1!$K$2:$K$206,MATCH(AX203,Pipes_result_save_V1!$I$2:$I$206,0)) *POWER(10,-3)</f>
        <v>4.4782958984375003E-2</v>
      </c>
      <c r="BJ203" s="78">
        <v>6.0282994137934916E-3</v>
      </c>
      <c r="BK203" s="78">
        <v>3.8754659570581509E-2</v>
      </c>
      <c r="BR203">
        <v>9</v>
      </c>
      <c r="BS203">
        <v>29</v>
      </c>
      <c r="BT203" t="s">
        <v>540</v>
      </c>
      <c r="BU203" t="s">
        <v>186</v>
      </c>
      <c r="BV203" s="106" t="str">
        <f>INDEX(Pipes_result_save_V1!$G$2:$G$206,MATCH(BU203,Pipes_result_save_V1!$I$2:$I$206,0))</f>
        <v>N78</v>
      </c>
      <c r="BW203" s="106" t="str">
        <f>INDEX(Pipes_result_save_V1!$H$2:$H$206,MATCH(BU203,Pipes_result_save_V1!$I$2:$I$206,0))</f>
        <v>N79</v>
      </c>
      <c r="BX203" s="106">
        <f t="shared" si="32"/>
        <v>5.1011103941963523E-2</v>
      </c>
      <c r="BY203">
        <v>250</v>
      </c>
      <c r="BZ203">
        <v>150</v>
      </c>
      <c r="CA203">
        <v>158</v>
      </c>
      <c r="CB203">
        <v>134.80341036005223</v>
      </c>
      <c r="CC203">
        <v>3.8250255700015404E-2</v>
      </c>
      <c r="CD203">
        <v>0.31969782539204755</v>
      </c>
      <c r="CE203">
        <v>15.479121950701986</v>
      </c>
      <c r="CF203" s="107">
        <f>INDEX(Pipes_result_save_V1!$K$2:$K$206,MATCH(BU203,Pipes_result_save_V1!$I$2:$I$206,0)) *POWER(10,-3)</f>
        <v>5.7179180145263672E-2</v>
      </c>
      <c r="CG203" s="78">
        <v>5.6124939788949543E-3</v>
      </c>
      <c r="CH203" s="78">
        <v>5.1566686166368718E-2</v>
      </c>
      <c r="CN203">
        <v>8</v>
      </c>
      <c r="CO203">
        <v>29</v>
      </c>
      <c r="CP203" t="s">
        <v>540</v>
      </c>
      <c r="CQ203" t="s">
        <v>127</v>
      </c>
      <c r="CR203" s="106" t="str">
        <f>INDEX(Pipes_result_save_V1!$G$2:$G$206,MATCH(CQ203,Pipes_result_save_V1!$I$2:$I$206,0))</f>
        <v>N58</v>
      </c>
      <c r="CS203" s="106" t="str">
        <f>INDEX(Pipes_result_save_V1!$H$2:$H$206,MATCH(CQ203,Pipes_result_save_V1!$I$2:$I$206,0))</f>
        <v>N57</v>
      </c>
      <c r="CT203" s="106">
        <f t="shared" si="33"/>
        <v>1.4437370294097857E-2</v>
      </c>
      <c r="CU203">
        <v>250</v>
      </c>
      <c r="CV203">
        <v>150</v>
      </c>
      <c r="CW203">
        <v>36</v>
      </c>
      <c r="CX203">
        <v>30.714701094695442</v>
      </c>
      <c r="CY203">
        <v>2.3580796114934299E-2</v>
      </c>
      <c r="CZ203">
        <v>2.9738877179406698E-2</v>
      </c>
      <c r="DA203">
        <v>2.3356463567987826</v>
      </c>
      <c r="DB203" s="107">
        <f>INDEX(Pipes_result_save_V1!$K$2:$K$206,MATCH(CQ203,Pipes_result_save_V1!$I$2:$I$206,0)) *POWER(10,-3)</f>
        <v>-2.6159444808959962E-2</v>
      </c>
      <c r="DC203" s="78">
        <v>5.7711082707646308E-3</v>
      </c>
      <c r="DD203" s="78">
        <v>-2.0388336538195332E-2</v>
      </c>
      <c r="DL203">
        <v>11</v>
      </c>
      <c r="DM203">
        <v>29</v>
      </c>
      <c r="DN203" t="s">
        <v>539</v>
      </c>
      <c r="DO203" t="s">
        <v>172</v>
      </c>
      <c r="DP203" s="106" t="str">
        <f>INDEX(Pipes_result_save_V1!$G$2:$G$206,MATCH(DO203,Pipes_result_save_V1!$I$2:$I$206,0))</f>
        <v>N40</v>
      </c>
      <c r="DQ203" s="106" t="str">
        <f>INDEX(Pipes_result_save_V1!$H$2:$H$206,MATCH(DO203,Pipes_result_save_V1!$I$2:$I$206,0))</f>
        <v>N39</v>
      </c>
      <c r="DR203" s="106">
        <f t="shared" si="34"/>
        <v>0.10171598192724855</v>
      </c>
      <c r="DS203">
        <v>350</v>
      </c>
      <c r="DT203">
        <v>150</v>
      </c>
      <c r="DU203">
        <v>87</v>
      </c>
      <c r="DV203">
        <v>14.413630460169598</v>
      </c>
      <c r="DW203">
        <v>-9.4864356265488253E-2</v>
      </c>
      <c r="DX203">
        <v>-0.18380962874413831</v>
      </c>
      <c r="DY203">
        <v>3.5884440250820266</v>
      </c>
      <c r="DZ203" s="107">
        <f>INDEX(Pipes_result_save_V1!$K$2:$K$206,MATCH(DO203,Pipes_result_save_V1!$I$2:$I$206,0)) *POWER(10,-3)</f>
        <v>-0.1112689437866211</v>
      </c>
      <c r="EA203" s="78">
        <v>5.8751203523214196E-3</v>
      </c>
      <c r="EB203" s="78">
        <v>-0.10539382343429968</v>
      </c>
      <c r="EI203">
        <v>16</v>
      </c>
      <c r="EJ203">
        <v>29</v>
      </c>
      <c r="EK203" t="s">
        <v>540</v>
      </c>
      <c r="EL203" t="s">
        <v>143</v>
      </c>
      <c r="EM203" s="106" t="str">
        <f>INDEX(Pipes_result_save_V1!$G$2:$G$206,MATCH(EL203,Pipes_result_save_V1!$I$2:$I$206,0))</f>
        <v>N28</v>
      </c>
      <c r="EN203" s="106" t="str">
        <f>INDEX(Pipes_result_save_V1!$H$2:$H$206,MATCH(EL203,Pipes_result_save_V1!$I$2:$I$206,0))</f>
        <v>N27</v>
      </c>
      <c r="EO203" s="106">
        <f t="shared" si="35"/>
        <v>0.18749754345472944</v>
      </c>
      <c r="EP203">
        <v>466</v>
      </c>
      <c r="EQ203">
        <v>150</v>
      </c>
      <c r="ER203">
        <v>80</v>
      </c>
      <c r="ES203">
        <v>3.2869398866147552</v>
      </c>
      <c r="ET203">
        <v>0.15497564373451178</v>
      </c>
      <c r="EU203">
        <v>0.1040302564442831</v>
      </c>
      <c r="EV203">
        <v>1.2431891250270548</v>
      </c>
      <c r="EW203" s="107">
        <f>INDEX(Pipes_result_save_V1!$K$2:$K$206,MATCH(EL203,Pipes_result_save_V1!$I$2:$I$206,0)) *POWER(10,-3)</f>
        <v>-0.19938948059082032</v>
      </c>
      <c r="EX203" s="78">
        <v>6.4190839034113153E-3</v>
      </c>
      <c r="EY203" s="78">
        <v>-0.19297039668740901</v>
      </c>
    </row>
    <row r="204" spans="2:155" ht="30" x14ac:dyDescent="0.25">
      <c r="B204" s="106">
        <v>30</v>
      </c>
      <c r="C204" s="106" t="s">
        <v>539</v>
      </c>
      <c r="D204" s="106" t="s">
        <v>223</v>
      </c>
      <c r="E204" s="106" t="str">
        <f>INDEX(Pipes_result_save_V1!$G$2:$G$206,MATCH(D204,Pipes_result_save_V1!$I$2:$I$206,0))</f>
        <v>N152</v>
      </c>
      <c r="F204" s="106" t="str">
        <f>INDEX(Pipes_result_save_V1!$H$2:$H$206,MATCH(D204,Pipes_result_save_V1!$I$2:$I$206,0))</f>
        <v>N153</v>
      </c>
      <c r="G204" s="106">
        <f t="shared" si="29"/>
        <v>5.9681022591876161E-3</v>
      </c>
      <c r="H204" s="107">
        <v>350</v>
      </c>
      <c r="I204" s="107">
        <v>150</v>
      </c>
      <c r="J204" s="107">
        <v>89</v>
      </c>
      <c r="K204" s="107">
        <v>14.744978286840164</v>
      </c>
      <c r="L204" s="107">
        <v>8.8999999999999996E-2</v>
      </c>
      <c r="M204" s="107">
        <v>0.16707613867720356</v>
      </c>
      <c r="N204" s="107">
        <v>3.4766854924739459</v>
      </c>
      <c r="O204" s="107">
        <f>INDEX(Pipes_result_save_V1!$K$2:$K$206,MATCH(D204,Pipes_result_save_V1!$I$2:$I$206,0)) *POWER(10,-3)</f>
        <v>-1.5104161262512211E-2</v>
      </c>
      <c r="P204" s="78">
        <v>5.2604005576389985E-3</v>
      </c>
      <c r="Q204" s="78">
        <v>-9.8437607048732119E-3</v>
      </c>
      <c r="R204" s="78"/>
      <c r="S204" s="78"/>
      <c r="T204" s="78"/>
      <c r="U204" s="78"/>
      <c r="V204" s="78"/>
      <c r="W204" s="78">
        <v>29</v>
      </c>
      <c r="X204" s="78">
        <v>30</v>
      </c>
      <c r="Y204" s="78" t="s">
        <v>540</v>
      </c>
      <c r="Z204" s="78" t="s">
        <v>222</v>
      </c>
      <c r="AA204" s="106" t="str">
        <f>INDEX(Pipes_result_save_V1!$G$2:$G$206,MATCH(Z204,Pipes_result_save_V1!$I$2:$I$206,0))</f>
        <v>N151</v>
      </c>
      <c r="AB204" s="106" t="str">
        <f>INDEX(Pipes_result_save_V1!$H$2:$H$206,MATCH(Z204,Pipes_result_save_V1!$I$2:$I$206,0))</f>
        <v>N152</v>
      </c>
      <c r="AC204" s="106">
        <f t="shared" si="30"/>
        <v>8.4964982639479762E-3</v>
      </c>
      <c r="AD204" s="78">
        <v>200</v>
      </c>
      <c r="AE204" s="78">
        <v>150</v>
      </c>
      <c r="AF204" s="78">
        <v>49</v>
      </c>
      <c r="AG204" s="78">
        <v>123.9619918276852</v>
      </c>
      <c r="AH204" s="78">
        <v>5.559693507618356E-2</v>
      </c>
      <c r="AI204" s="78">
        <v>1</v>
      </c>
      <c r="AJ204" s="78">
        <v>-1</v>
      </c>
      <c r="AK204" s="78">
        <v>0.5876553864915437</v>
      </c>
      <c r="AL204">
        <v>19.575499517932183</v>
      </c>
      <c r="AM204" s="107">
        <f>INDEX(Pipes_result_save_V1!$K$2:$K$206,MATCH(Z204,Pipes_result_save_V1!$I$2:$I$206,0)) *POWER(10,-3)</f>
        <v>-1.431679439544678E-2</v>
      </c>
      <c r="AN204" s="78">
        <v>3.2517551055962412E-3</v>
      </c>
      <c r="AO204" s="78">
        <v>-1.1065039289850538E-2</v>
      </c>
      <c r="AU204">
        <v>7</v>
      </c>
      <c r="AV204">
        <v>30</v>
      </c>
      <c r="AW204" t="s">
        <v>540</v>
      </c>
      <c r="AX204" t="s">
        <v>292</v>
      </c>
      <c r="AY204" s="106" t="str">
        <f>INDEX(Pipes_result_save_V1!$G$2:$G$206,MATCH(AX204,Pipes_result_save_V1!$I$2:$I$206,0))</f>
        <v>N128</v>
      </c>
      <c r="AZ204" s="106" t="str">
        <f>INDEX(Pipes_result_save_V1!$H$2:$H$206,MATCH(AX204,Pipes_result_save_V1!$I$2:$I$206,0))</f>
        <v>N127</v>
      </c>
      <c r="BA204" s="106">
        <f t="shared" si="31"/>
        <v>8.373733775964903E-4</v>
      </c>
      <c r="BB204">
        <v>300</v>
      </c>
      <c r="BC204">
        <v>150</v>
      </c>
      <c r="BD204">
        <v>127</v>
      </c>
      <c r="BE204">
        <v>44.581601337707689</v>
      </c>
      <c r="BF204">
        <v>3.5211178482065772E-2</v>
      </c>
      <c r="BG204">
        <v>9.0700161921813224E-2</v>
      </c>
      <c r="BH204">
        <v>4.7705503513537426</v>
      </c>
      <c r="BI204" s="107">
        <f>INDEX(Pipes_result_save_V1!$K$2:$K$206,MATCH(AX204,Pipes_result_save_V1!$I$2:$I$206,0)) *POWER(10,-3)</f>
        <v>-9.0811767578125001E-3</v>
      </c>
      <c r="BJ204" s="78">
        <v>5.9779408338353681E-3</v>
      </c>
      <c r="BK204" s="78">
        <v>-3.103235923977132E-3</v>
      </c>
      <c r="BR204">
        <v>10</v>
      </c>
      <c r="BS204">
        <v>30</v>
      </c>
      <c r="BT204" t="s">
        <v>540</v>
      </c>
      <c r="BU204" t="s">
        <v>187</v>
      </c>
      <c r="BV204" s="106" t="str">
        <f>INDEX(Pipes_result_save_V1!$G$2:$G$206,MATCH(BU204,Pipes_result_save_V1!$I$2:$I$206,0))</f>
        <v>N80</v>
      </c>
      <c r="BW204" s="106" t="str">
        <f>INDEX(Pipes_result_save_V1!$H$2:$H$206,MATCH(BU204,Pipes_result_save_V1!$I$2:$I$206,0))</f>
        <v>N79</v>
      </c>
      <c r="BX204" s="106">
        <f t="shared" si="32"/>
        <v>4.7020599573514871E-2</v>
      </c>
      <c r="BY204">
        <v>250</v>
      </c>
      <c r="BZ204">
        <v>150</v>
      </c>
      <c r="CA204">
        <v>70</v>
      </c>
      <c r="CB204">
        <v>59.723029906352245</v>
      </c>
      <c r="CC204">
        <v>3.8250255700015404E-2</v>
      </c>
      <c r="CD204">
        <v>0.1416382770724261</v>
      </c>
      <c r="CE204">
        <v>6.8578388389186014</v>
      </c>
      <c r="CF204" s="107">
        <f>INDEX(Pipes_result_save_V1!$K$2:$K$206,MATCH(BU204,Pipes_result_save_V1!$I$2:$I$206,0)) *POWER(10,-3)</f>
        <v>-5.5878314971923831E-2</v>
      </c>
      <c r="CG204" s="78">
        <v>5.1138449131267567E-3</v>
      </c>
      <c r="CH204" s="78">
        <v>-5.0764470058797077E-2</v>
      </c>
      <c r="CN204">
        <v>9</v>
      </c>
      <c r="CO204">
        <v>30</v>
      </c>
      <c r="CP204" t="s">
        <v>540</v>
      </c>
      <c r="CQ204" t="s">
        <v>126</v>
      </c>
      <c r="CR204" s="106" t="str">
        <f>INDEX(Pipes_result_save_V1!$G$2:$G$206,MATCH(CQ204,Pipes_result_save_V1!$I$2:$I$206,0))</f>
        <v>N59</v>
      </c>
      <c r="CS204" s="106" t="str">
        <f>INDEX(Pipes_result_save_V1!$H$2:$H$206,MATCH(CQ204,Pipes_result_save_V1!$I$2:$I$206,0))</f>
        <v>N58</v>
      </c>
      <c r="CT204" s="106">
        <f t="shared" si="33"/>
        <v>1.5982695248365753E-2</v>
      </c>
      <c r="CU204">
        <v>250</v>
      </c>
      <c r="CV204">
        <v>150</v>
      </c>
      <c r="CW204">
        <v>32</v>
      </c>
      <c r="CX204">
        <v>27.30195652861817</v>
      </c>
      <c r="CY204">
        <v>2.3580796114934299E-2</v>
      </c>
      <c r="CZ204">
        <v>2.6434557492805953E-2</v>
      </c>
      <c r="DA204">
        <v>2.076130094932251</v>
      </c>
      <c r="DB204" s="107">
        <f>INDEX(Pipes_result_save_V1!$K$2:$K$206,MATCH(CQ204,Pipes_result_save_V1!$I$2:$I$206,0)) *POWER(10,-3)</f>
        <v>-2.5771469116210942E-2</v>
      </c>
      <c r="DC204" s="78">
        <v>6.1748074876278054E-3</v>
      </c>
      <c r="DD204" s="78">
        <v>-1.9596661628583138E-2</v>
      </c>
      <c r="DL204">
        <v>12</v>
      </c>
      <c r="DM204">
        <v>30</v>
      </c>
      <c r="DN204" t="s">
        <v>539</v>
      </c>
      <c r="DO204" t="s">
        <v>170</v>
      </c>
      <c r="DP204" s="106" t="str">
        <f>INDEX(Pipes_result_save_V1!$G$2:$G$206,MATCH(DO204,Pipes_result_save_V1!$I$2:$I$206,0))</f>
        <v>N41</v>
      </c>
      <c r="DQ204" s="106" t="str">
        <f>INDEX(Pipes_result_save_V1!$H$2:$H$206,MATCH(DO204,Pipes_result_save_V1!$I$2:$I$206,0))</f>
        <v>N40</v>
      </c>
      <c r="DR204" s="106">
        <f t="shared" si="34"/>
        <v>0.10123881059652005</v>
      </c>
      <c r="DS204">
        <v>350</v>
      </c>
      <c r="DT204">
        <v>150</v>
      </c>
      <c r="DU204">
        <v>94</v>
      </c>
      <c r="DV204">
        <v>15.573347853516577</v>
      </c>
      <c r="DW204">
        <v>-9.4864356265488253E-2</v>
      </c>
      <c r="DX204">
        <v>-0.19859890921780463</v>
      </c>
      <c r="DY204">
        <v>3.8771694064104656</v>
      </c>
      <c r="DZ204" s="107">
        <f>INDEX(Pipes_result_save_V1!$K$2:$K$206,MATCH(DO204,Pipes_result_save_V1!$I$2:$I$206,0)) *POWER(10,-3)</f>
        <v>-0.10984255981445309</v>
      </c>
      <c r="EA204" s="78">
        <v>5.9665416982164149E-3</v>
      </c>
      <c r="EB204" s="78">
        <v>-0.10387601811623667</v>
      </c>
      <c r="EI204">
        <v>17</v>
      </c>
      <c r="EJ204">
        <v>30</v>
      </c>
      <c r="EK204" t="s">
        <v>540</v>
      </c>
      <c r="EL204" t="s">
        <v>398</v>
      </c>
      <c r="EM204" s="106" t="str">
        <f>INDEX(Pipes_result_save_V1!$G$2:$G$206,MATCH(EL204,Pipes_result_save_V1!$I$2:$I$206,0))</f>
        <v>N196</v>
      </c>
      <c r="EN204" s="106" t="str">
        <f>INDEX(Pipes_result_save_V1!$H$2:$H$206,MATCH(EL204,Pipes_result_save_V1!$I$2:$I$206,0))</f>
        <v>N28</v>
      </c>
      <c r="EO204" s="106">
        <f t="shared" si="35"/>
        <v>0.18703494873323204</v>
      </c>
      <c r="EP204">
        <v>466</v>
      </c>
      <c r="EQ204">
        <v>150</v>
      </c>
      <c r="ER204">
        <v>75</v>
      </c>
      <c r="ES204">
        <v>3.0815061437013331</v>
      </c>
      <c r="ET204">
        <v>0.15497564373451178</v>
      </c>
      <c r="EU204">
        <v>9.7528365416515397E-2</v>
      </c>
      <c r="EV204">
        <v>1.1654898047128639</v>
      </c>
      <c r="EW204" s="107">
        <f>INDEX(Pipes_result_save_V1!$K$2:$K$206,MATCH(EL204,Pipes_result_save_V1!$I$2:$I$206,0)) *POWER(10,-3)</f>
        <v>-0.198505126953125</v>
      </c>
      <c r="EX204" s="78">
        <v>5.1566542572117607E-3</v>
      </c>
      <c r="EY204" s="78">
        <v>-0.19334847269591324</v>
      </c>
    </row>
    <row r="205" spans="2:155" ht="30" x14ac:dyDescent="0.25">
      <c r="B205" s="106">
        <v>31</v>
      </c>
      <c r="C205" s="106" t="s">
        <v>539</v>
      </c>
      <c r="D205" s="106" t="s">
        <v>224</v>
      </c>
      <c r="E205" s="106" t="str">
        <f>INDEX(Pipes_result_save_V1!$G$2:$G$206,MATCH(D205,Pipes_result_save_V1!$I$2:$I$206,0))</f>
        <v>N153</v>
      </c>
      <c r="F205" s="106" t="str">
        <f>INDEX(Pipes_result_save_V1!$H$2:$H$206,MATCH(D205,Pipes_result_save_V1!$I$2:$I$206,0))</f>
        <v>N154</v>
      </c>
      <c r="G205" s="106">
        <f t="shared" si="29"/>
        <v>2.812399133920263E-3</v>
      </c>
      <c r="H205" s="107">
        <v>350</v>
      </c>
      <c r="I205" s="107">
        <v>150</v>
      </c>
      <c r="J205" s="107">
        <v>77</v>
      </c>
      <c r="K205" s="107">
        <v>12.756891326816771</v>
      </c>
      <c r="L205" s="107">
        <v>7.6999999999999999E-2</v>
      </c>
      <c r="M205" s="107">
        <v>0.11054158283193545</v>
      </c>
      <c r="N205" s="107">
        <v>2.6587404078538244</v>
      </c>
      <c r="O205" s="107">
        <f>INDEX(Pipes_result_save_V1!$K$2:$K$206,MATCH(D205,Pipes_result_save_V1!$I$2:$I$206,0)) *POWER(10,-3)</f>
        <v>-1.6051282882690431E-2</v>
      </c>
      <c r="P205" s="78">
        <v>5.6065416861803604E-3</v>
      </c>
      <c r="Q205" s="78">
        <v>-1.0444741196510071E-2</v>
      </c>
      <c r="R205" s="78"/>
      <c r="S205" s="78"/>
      <c r="T205" s="78"/>
      <c r="U205" s="78"/>
      <c r="V205" s="78"/>
      <c r="W205" s="78">
        <v>30</v>
      </c>
      <c r="X205" s="78">
        <v>31</v>
      </c>
      <c r="Y205" s="78" t="s">
        <v>540</v>
      </c>
      <c r="Z205" s="78" t="s">
        <v>223</v>
      </c>
      <c r="AA205" s="106" t="str">
        <f>INDEX(Pipes_result_save_V1!$G$2:$G$206,MATCH(Z205,Pipes_result_save_V1!$I$2:$I$206,0))</f>
        <v>N152</v>
      </c>
      <c r="AB205" s="106" t="str">
        <f>INDEX(Pipes_result_save_V1!$H$2:$H$206,MATCH(Z205,Pipes_result_save_V1!$I$2:$I$206,0))</f>
        <v>N153</v>
      </c>
      <c r="AC205" s="106">
        <f t="shared" si="30"/>
        <v>1.2255022424471336E-2</v>
      </c>
      <c r="AD205" s="78">
        <v>200</v>
      </c>
      <c r="AE205" s="78">
        <v>150</v>
      </c>
      <c r="AF205" s="78">
        <v>89</v>
      </c>
      <c r="AG205" s="78">
        <v>225.15545454416295</v>
      </c>
      <c r="AH205" s="78">
        <v>9.5596935076183553E-2</v>
      </c>
      <c r="AI205" s="78">
        <v>1</v>
      </c>
      <c r="AJ205" s="78">
        <v>-1</v>
      </c>
      <c r="AK205" s="78">
        <v>2.912491740352483</v>
      </c>
      <c r="AL205">
        <v>56.423720057910209</v>
      </c>
      <c r="AM205" s="107">
        <f>INDEX(Pipes_result_save_V1!$K$2:$K$206,MATCH(Z205,Pipes_result_save_V1!$I$2:$I$206,0)) *POWER(10,-3)</f>
        <v>-1.5104161262512211E-2</v>
      </c>
      <c r="AN205" s="78">
        <v>1.4341748582684982E-3</v>
      </c>
      <c r="AO205" s="78">
        <v>-1.3669986404243713E-2</v>
      </c>
      <c r="AU205">
        <v>8</v>
      </c>
      <c r="AV205">
        <v>31</v>
      </c>
      <c r="AW205" t="s">
        <v>540</v>
      </c>
      <c r="AX205" t="s">
        <v>291</v>
      </c>
      <c r="AY205" s="106" t="str">
        <f>INDEX(Pipes_result_save_V1!$G$2:$G$206,MATCH(AX205,Pipes_result_save_V1!$I$2:$I$206,0))</f>
        <v>N129</v>
      </c>
      <c r="AZ205" s="106" t="str">
        <f>INDEX(Pipes_result_save_V1!$H$2:$H$206,MATCH(AX205,Pipes_result_save_V1!$I$2:$I$206,0))</f>
        <v>N128</v>
      </c>
      <c r="BA205" s="106">
        <f t="shared" si="31"/>
        <v>2.6813256758136889E-3</v>
      </c>
      <c r="BB205">
        <v>300</v>
      </c>
      <c r="BC205">
        <v>150</v>
      </c>
      <c r="BD205">
        <v>128</v>
      </c>
      <c r="BE205">
        <v>44.932637568713268</v>
      </c>
      <c r="BF205">
        <v>3.5211178482065772E-2</v>
      </c>
      <c r="BG205">
        <v>9.1414336425134607E-2</v>
      </c>
      <c r="BH205">
        <v>4.8081137399470801</v>
      </c>
      <c r="BI205" s="107">
        <f>INDEX(Pipes_result_save_V1!$K$2:$K$206,MATCH(AX205,Pipes_result_save_V1!$I$2:$I$206,0)) *POWER(10,-3)</f>
        <v>-6.3425126075744628E-3</v>
      </c>
      <c r="BJ205" s="78">
        <v>5.7627212719798737E-3</v>
      </c>
      <c r="BK205" s="78">
        <v>-5.7979133559458908E-4</v>
      </c>
      <c r="BR205">
        <v>11</v>
      </c>
      <c r="BS205">
        <v>31</v>
      </c>
      <c r="BT205" t="s">
        <v>540</v>
      </c>
      <c r="BU205" t="s">
        <v>185</v>
      </c>
      <c r="BV205" s="106" t="str">
        <f>INDEX(Pipes_result_save_V1!$G$2:$G$206,MATCH(BU205,Pipes_result_save_V1!$I$2:$I$206,0))</f>
        <v>N81</v>
      </c>
      <c r="BW205" s="106" t="str">
        <f>INDEX(Pipes_result_save_V1!$H$2:$H$206,MATCH(BU205,Pipes_result_save_V1!$I$2:$I$206,0))</f>
        <v>N80</v>
      </c>
      <c r="BX205" s="106">
        <f t="shared" si="32"/>
        <v>4.8075469137615179E-2</v>
      </c>
      <c r="BY205">
        <v>250</v>
      </c>
      <c r="BZ205">
        <v>150</v>
      </c>
      <c r="CA205">
        <v>80</v>
      </c>
      <c r="CB205">
        <v>68.254891321545429</v>
      </c>
      <c r="CC205">
        <v>3.8249255700015396E-2</v>
      </c>
      <c r="CD205">
        <v>0.16186447921138786</v>
      </c>
      <c r="CE205">
        <v>7.8373555253094676</v>
      </c>
      <c r="CF205" s="107">
        <f>INDEX(Pipes_result_save_V1!$K$2:$K$206,MATCH(BU205,Pipes_result_save_V1!$I$2:$I$206,0)) *POWER(10,-3)</f>
        <v>-5.5022480010986329E-2</v>
      </c>
      <c r="CG205" s="78">
        <v>6.4456821577140409E-3</v>
      </c>
      <c r="CH205" s="78">
        <v>-4.8576797853272291E-2</v>
      </c>
      <c r="CN205">
        <v>10</v>
      </c>
      <c r="CO205">
        <v>31</v>
      </c>
      <c r="CP205" t="s">
        <v>540</v>
      </c>
      <c r="CQ205" t="s">
        <v>125</v>
      </c>
      <c r="CR205" s="106" t="str">
        <f>INDEX(Pipes_result_save_V1!$G$2:$G$206,MATCH(CQ205,Pipes_result_save_V1!$I$2:$I$206,0))</f>
        <v>N60</v>
      </c>
      <c r="CS205" s="106" t="str">
        <f>INDEX(Pipes_result_save_V1!$H$2:$H$206,MATCH(CQ205,Pipes_result_save_V1!$I$2:$I$206,0))</f>
        <v>N59</v>
      </c>
      <c r="CT205" s="106">
        <f t="shared" si="33"/>
        <v>1.4376091724311804E-2</v>
      </c>
      <c r="CU205">
        <v>250</v>
      </c>
      <c r="CV205">
        <v>150</v>
      </c>
      <c r="CW205">
        <v>79</v>
      </c>
      <c r="CX205">
        <v>67.401705180026113</v>
      </c>
      <c r="CY205">
        <v>2.3580796114934299E-2</v>
      </c>
      <c r="CZ205">
        <v>6.5260313810364706E-2</v>
      </c>
      <c r="DA205">
        <v>5.1254461718639952</v>
      </c>
      <c r="DB205" s="107">
        <f>INDEX(Pipes_result_save_V1!$K$2:$K$206,MATCH(CQ205,Pipes_result_save_V1!$I$2:$I$206,0)) *POWER(10,-3)</f>
        <v>-2.5138153076171878E-2</v>
      </c>
      <c r="DC205" s="78">
        <v>5.5245864041679861E-3</v>
      </c>
      <c r="DD205" s="78">
        <v>-1.9613566672003892E-2</v>
      </c>
      <c r="DL205">
        <v>13</v>
      </c>
      <c r="DM205">
        <v>31</v>
      </c>
      <c r="DN205" t="s">
        <v>539</v>
      </c>
      <c r="DO205" t="s">
        <v>171</v>
      </c>
      <c r="DP205" s="106" t="str">
        <f>INDEX(Pipes_result_save_V1!$G$2:$G$206,MATCH(DO205,Pipes_result_save_V1!$I$2:$I$206,0))</f>
        <v>N41</v>
      </c>
      <c r="DQ205" s="106" t="str">
        <f>INDEX(Pipes_result_save_V1!$H$2:$H$206,MATCH(DO205,Pipes_result_save_V1!$I$2:$I$206,0))</f>
        <v>N42</v>
      </c>
      <c r="DR205" s="106">
        <f t="shared" si="34"/>
        <v>9.6632903452523053E-2</v>
      </c>
      <c r="DS205">
        <v>400</v>
      </c>
      <c r="DT205">
        <v>150</v>
      </c>
      <c r="DU205">
        <v>70</v>
      </c>
      <c r="DV205">
        <v>6.0516443501782993</v>
      </c>
      <c r="DW205">
        <v>-0.11009435626548825</v>
      </c>
      <c r="DX205">
        <v>-0.10167689645312228</v>
      </c>
      <c r="DY205">
        <v>1.7104020461965455</v>
      </c>
      <c r="DZ205" s="107">
        <f>INDEX(Pipes_result_save_V1!$K$2:$K$206,MATCH(DO205,Pipes_result_save_V1!$I$2:$I$206,0)) *POWER(10,-3)</f>
        <v>0.1084104309082031</v>
      </c>
      <c r="EA205" s="78">
        <v>6.4962339336872461E-3</v>
      </c>
      <c r="EB205" s="78">
        <v>0.10191419697451586</v>
      </c>
      <c r="EI205">
        <v>18</v>
      </c>
      <c r="EJ205">
        <v>31</v>
      </c>
      <c r="EK205" t="s">
        <v>540</v>
      </c>
      <c r="EL205" t="s">
        <v>140</v>
      </c>
      <c r="EM205" s="106" t="str">
        <f>INDEX(Pipes_result_save_V1!$G$2:$G$206,MATCH(EL205,Pipes_result_save_V1!$I$2:$I$206,0))</f>
        <v>N30</v>
      </c>
      <c r="EN205" s="106" t="str">
        <f>INDEX(Pipes_result_save_V1!$H$2:$H$206,MATCH(EL205,Pipes_result_save_V1!$I$2:$I$206,0))</f>
        <v>N29</v>
      </c>
      <c r="EO205" s="106">
        <f t="shared" si="35"/>
        <v>0.1894049105032844</v>
      </c>
      <c r="EP205">
        <v>466</v>
      </c>
      <c r="EQ205">
        <v>150</v>
      </c>
      <c r="ER205">
        <v>76</v>
      </c>
      <c r="ES205">
        <v>3.1225928922840178</v>
      </c>
      <c r="ET205">
        <v>0.15497564373451178</v>
      </c>
      <c r="EU205">
        <v>9.8828743622068949E-2</v>
      </c>
      <c r="EV205">
        <v>1.1810296687757023</v>
      </c>
      <c r="EW205" s="107">
        <f>INDEX(Pipes_result_save_V1!$K$2:$K$206,MATCH(EL205,Pipes_result_save_V1!$I$2:$I$206,0)) *POWER(10,-3)</f>
        <v>-0.19685621643066409</v>
      </c>
      <c r="EX205" s="78">
        <v>5.2115748229951296E-3</v>
      </c>
      <c r="EY205" s="78">
        <v>-0.19164464160766895</v>
      </c>
    </row>
    <row r="206" spans="2:155" ht="30" x14ac:dyDescent="0.25">
      <c r="B206" s="106">
        <v>32</v>
      </c>
      <c r="C206" s="106" t="s">
        <v>539</v>
      </c>
      <c r="D206" s="106" t="s">
        <v>225</v>
      </c>
      <c r="E206" s="106" t="str">
        <f>INDEX(Pipes_result_save_V1!$G$2:$G$206,MATCH(D206,Pipes_result_save_V1!$I$2:$I$206,0))</f>
        <v>N154</v>
      </c>
      <c r="F206" s="106" t="str">
        <f>INDEX(Pipes_result_save_V1!$H$2:$H$206,MATCH(D206,Pipes_result_save_V1!$I$2:$I$206,0))</f>
        <v>N155</v>
      </c>
      <c r="G206" s="106">
        <f t="shared" si="29"/>
        <v>8.8190093060296028E-4</v>
      </c>
      <c r="H206" s="107">
        <v>250</v>
      </c>
      <c r="I206" s="107">
        <v>150</v>
      </c>
      <c r="J206" s="107">
        <v>37</v>
      </c>
      <c r="K206" s="107">
        <v>31.567887236214759</v>
      </c>
      <c r="L206" s="107">
        <v>3.6999999999999998E-2</v>
      </c>
      <c r="M206" s="107">
        <v>7.0397155231682926E-2</v>
      </c>
      <c r="N206" s="107">
        <v>3.5236630132182909</v>
      </c>
      <c r="O206" s="107">
        <f>INDEX(Pipes_result_save_V1!$K$2:$K$206,MATCH(D206,Pipes_result_save_V1!$I$2:$I$206,0)) *POWER(10,-3)</f>
        <v>-1.6701713562011718E-2</v>
      </c>
      <c r="P206" s="78">
        <v>5.1311064243581162E-3</v>
      </c>
      <c r="Q206" s="78">
        <v>-1.1570607137653602E-2</v>
      </c>
      <c r="R206" s="78"/>
      <c r="S206" s="78"/>
      <c r="T206" s="78"/>
      <c r="U206" s="78"/>
      <c r="V206" s="78"/>
      <c r="W206" s="78">
        <v>31</v>
      </c>
      <c r="X206" s="78">
        <v>32</v>
      </c>
      <c r="Y206" s="78" t="s">
        <v>540</v>
      </c>
      <c r="Z206" s="78" t="s">
        <v>224</v>
      </c>
      <c r="AA206" s="106" t="str">
        <f>INDEX(Pipes_result_save_V1!$G$2:$G$206,MATCH(Z206,Pipes_result_save_V1!$I$2:$I$206,0))</f>
        <v>N153</v>
      </c>
      <c r="AB206" s="106" t="str">
        <f>INDEX(Pipes_result_save_V1!$H$2:$H$206,MATCH(Z206,Pipes_result_save_V1!$I$2:$I$206,0))</f>
        <v>N154</v>
      </c>
      <c r="AC206" s="106">
        <f t="shared" si="30"/>
        <v>1.1972398019293033E-2</v>
      </c>
      <c r="AD206" s="78">
        <v>200</v>
      </c>
      <c r="AE206" s="78">
        <v>150</v>
      </c>
      <c r="AF206" s="78">
        <v>77</v>
      </c>
      <c r="AG206" s="78">
        <v>194.79741572921961</v>
      </c>
      <c r="AH206" s="78">
        <v>8.3596935076183557E-2</v>
      </c>
      <c r="AI206" s="78">
        <v>1</v>
      </c>
      <c r="AJ206" s="78">
        <v>-1</v>
      </c>
      <c r="AK206" s="78">
        <v>1.9655302348454322</v>
      </c>
      <c r="AL206">
        <v>43.544204002412165</v>
      </c>
      <c r="AM206" s="107">
        <f>INDEX(Pipes_result_save_V1!$K$2:$K$206,MATCH(Z206,Pipes_result_save_V1!$I$2:$I$206,0)) *POWER(10,-3)</f>
        <v>-1.6051282882690431E-2</v>
      </c>
      <c r="AN206" s="78">
        <v>6.3091178139753311E-5</v>
      </c>
      <c r="AO206" s="78">
        <v>-1.5988191704550677E-2</v>
      </c>
      <c r="AU206">
        <v>9</v>
      </c>
      <c r="AV206">
        <v>32</v>
      </c>
      <c r="AW206" t="s">
        <v>540</v>
      </c>
      <c r="AX206" t="s">
        <v>293</v>
      </c>
      <c r="AY206" s="106" t="str">
        <f>INDEX(Pipes_result_save_V1!$G$2:$G$206,MATCH(AX206,Pipes_result_save_V1!$I$2:$I$206,0))</f>
        <v>N130</v>
      </c>
      <c r="AZ206" s="106" t="str">
        <f>INDEX(Pipes_result_save_V1!$H$2:$H$206,MATCH(AX206,Pipes_result_save_V1!$I$2:$I$206,0))</f>
        <v>N129</v>
      </c>
      <c r="BA206" s="106">
        <f t="shared" si="31"/>
        <v>1.9628006737929097E-3</v>
      </c>
      <c r="BB206">
        <v>300</v>
      </c>
      <c r="BC206">
        <v>150</v>
      </c>
      <c r="BD206">
        <v>129</v>
      </c>
      <c r="BE206">
        <v>45.283673799718841</v>
      </c>
      <c r="BF206">
        <v>3.5211178482065772E-2</v>
      </c>
      <c r="BG206">
        <v>9.2128510928455962E-2</v>
      </c>
      <c r="BH206">
        <v>4.8456771285404168</v>
      </c>
      <c r="BI206" s="107">
        <f>INDEX(Pipes_result_save_V1!$K$2:$K$206,MATCH(AX206,Pipes_result_save_V1!$I$2:$I$206,0)) *POWER(10,-3)</f>
        <v>-4.2200489044189457E-3</v>
      </c>
      <c r="BJ206" s="78">
        <v>5.2374224709856761E-3</v>
      </c>
      <c r="BK206" s="78">
        <v>1.0173735665667304E-3</v>
      </c>
      <c r="BR206">
        <v>0</v>
      </c>
      <c r="BS206">
        <v>32</v>
      </c>
      <c r="BT206" t="s">
        <v>540</v>
      </c>
      <c r="BU206" t="s">
        <v>184</v>
      </c>
      <c r="BV206" s="106" t="str">
        <f>INDEX(Pipes_result_save_V1!$G$2:$G$206,MATCH(BU206,Pipes_result_save_V1!$I$2:$I$206,0))</f>
        <v>N82</v>
      </c>
      <c r="BW206" s="106" t="str">
        <f>INDEX(Pipes_result_save_V1!$H$2:$H$206,MATCH(BU206,Pipes_result_save_V1!$I$2:$I$206,0))</f>
        <v>N81</v>
      </c>
      <c r="BX206" s="106">
        <f t="shared" si="32"/>
        <v>4.1550769333649699E-2</v>
      </c>
      <c r="BY206">
        <v>350</v>
      </c>
      <c r="BZ206">
        <v>150</v>
      </c>
      <c r="CA206">
        <v>68</v>
      </c>
      <c r="CB206">
        <v>11.265826106799226</v>
      </c>
      <c r="CC206">
        <v>-9.0894000000000003E-2</v>
      </c>
      <c r="CD206">
        <v>-0.13273035727434446</v>
      </c>
      <c r="CE206">
        <v>2.7044317740674404</v>
      </c>
      <c r="CF206" s="107">
        <f>INDEX(Pipes_result_save_V1!$K$2:$K$206,MATCH(BU206,Pipes_result_save_V1!$I$2:$I$206,0)) *POWER(10,-3)</f>
        <v>-5.1448749542236327E-2</v>
      </c>
      <c r="CG206" s="78">
        <v>6.2245582518286255E-3</v>
      </c>
      <c r="CH206" s="78">
        <v>-4.5224191290407702E-2</v>
      </c>
      <c r="CN206">
        <v>11</v>
      </c>
      <c r="CO206">
        <v>32</v>
      </c>
      <c r="CP206" t="s">
        <v>540</v>
      </c>
      <c r="CQ206" t="s">
        <v>124</v>
      </c>
      <c r="CR206" s="106" t="str">
        <f>INDEX(Pipes_result_save_V1!$G$2:$G$206,MATCH(CQ206,Pipes_result_save_V1!$I$2:$I$206,0))</f>
        <v>N61</v>
      </c>
      <c r="CS206" s="106" t="str">
        <f>INDEX(Pipes_result_save_V1!$H$2:$H$206,MATCH(CQ206,Pipes_result_save_V1!$I$2:$I$206,0))</f>
        <v>N60</v>
      </c>
      <c r="CT206" s="106">
        <f t="shared" si="33"/>
        <v>1.4348888461156563E-2</v>
      </c>
      <c r="CU206">
        <v>250</v>
      </c>
      <c r="CV206">
        <v>150</v>
      </c>
      <c r="CW206">
        <v>51</v>
      </c>
      <c r="CX206">
        <v>43.512493217485208</v>
      </c>
      <c r="CY206">
        <v>2.3580796114934299E-2</v>
      </c>
      <c r="CZ206">
        <v>4.2130076004159488E-2</v>
      </c>
      <c r="DA206">
        <v>3.3088323387982754</v>
      </c>
      <c r="DB206" s="107">
        <f>INDEX(Pipes_result_save_V1!$K$2:$K$206,MATCH(CQ206,Pipes_result_save_V1!$I$2:$I$206,0)) *POWER(10,-3)</f>
        <v>-2.439643096923828E-2</v>
      </c>
      <c r="DC206" s="78">
        <v>5.0495888253203908E-3</v>
      </c>
      <c r="DD206" s="78">
        <v>-1.9346842143917888E-2</v>
      </c>
      <c r="DL206">
        <v>0</v>
      </c>
      <c r="DM206">
        <v>32</v>
      </c>
      <c r="DN206" t="s">
        <v>539</v>
      </c>
      <c r="DO206" t="s">
        <v>413</v>
      </c>
      <c r="DP206" s="106" t="str">
        <f>INDEX(Pipes_result_save_V1!$G$2:$G$206,MATCH(DO206,Pipes_result_save_V1!$I$2:$I$206,0))</f>
        <v>N111</v>
      </c>
      <c r="DQ206" s="106" t="str">
        <f>INDEX(Pipes_result_save_V1!$H$2:$H$206,MATCH(DO206,Pipes_result_save_V1!$I$2:$I$206,0))</f>
        <v>N42</v>
      </c>
      <c r="DR206" s="106">
        <f t="shared" si="34"/>
        <v>1.1424956421477346E-3</v>
      </c>
      <c r="DS206">
        <v>250</v>
      </c>
      <c r="DT206">
        <v>150</v>
      </c>
      <c r="DU206">
        <v>59</v>
      </c>
      <c r="DV206">
        <v>50.337982349639752</v>
      </c>
      <c r="DW206">
        <v>3.2835999999999997E-2</v>
      </c>
      <c r="DX206">
        <v>8.9986313765935425E-2</v>
      </c>
      <c r="DY206">
        <v>5.0753640240745668</v>
      </c>
      <c r="DZ206" s="107">
        <f>INDEX(Pipes_result_save_V1!$K$2:$K$206,MATCH(DO206,Pipes_result_save_V1!$I$2:$I$206,0)) *POWER(10,-3)</f>
        <v>-8.0635652542114262E-3</v>
      </c>
      <c r="EA206" s="78">
        <v>6.0840025087572185E-3</v>
      </c>
      <c r="EB206" s="78">
        <v>-1.9795627454542077E-3</v>
      </c>
      <c r="EI206">
        <v>19</v>
      </c>
      <c r="EJ206">
        <v>32</v>
      </c>
      <c r="EK206" t="s">
        <v>540</v>
      </c>
      <c r="EL206" t="s">
        <v>909</v>
      </c>
      <c r="EM206" s="106" t="str">
        <f>INDEX(Pipes_result_save_V1!$G$2:$G$206,MATCH(EL206,Pipes_result_save_V1!$I$2:$I$206,0))</f>
        <v>N29</v>
      </c>
      <c r="EN206" s="106" t="str">
        <f>INDEX(Pipes_result_save_V1!$H$2:$H$206,MATCH(EL206,Pipes_result_save_V1!$I$2:$I$206,0))</f>
        <v>N196</v>
      </c>
      <c r="EO206" s="106">
        <f t="shared" si="35"/>
        <v>0.18765519608070916</v>
      </c>
      <c r="EP206">
        <v>466</v>
      </c>
      <c r="EQ206">
        <v>150</v>
      </c>
      <c r="ER206">
        <v>69</v>
      </c>
      <c r="ES206">
        <v>2.8349856522052264</v>
      </c>
      <c r="ET206">
        <v>0.15497564373451178</v>
      </c>
      <c r="EU206">
        <v>8.9726096183194159E-2</v>
      </c>
      <c r="EV206">
        <v>1.0722506203358348</v>
      </c>
      <c r="EW206" s="107">
        <f>INDEX(Pipes_result_save_V1!$K$2:$K$206,MATCH(EL206,Pipes_result_save_V1!$I$2:$I$206,0)) *POWER(10,-3)</f>
        <v>-0.19768353271484382</v>
      </c>
      <c r="EX206" s="78">
        <v>5.7368121714550975E-3</v>
      </c>
      <c r="EY206" s="78">
        <v>-0.19194672054338871</v>
      </c>
    </row>
    <row r="207" spans="2:155" ht="30" x14ac:dyDescent="0.25">
      <c r="B207" s="106">
        <v>33</v>
      </c>
      <c r="C207" s="106" t="s">
        <v>539</v>
      </c>
      <c r="D207" s="106" t="s">
        <v>226</v>
      </c>
      <c r="E207" s="106" t="str">
        <f>INDEX(Pipes_result_save_V1!$G$2:$G$206,MATCH(D207,Pipes_result_save_V1!$I$2:$I$206,0))</f>
        <v>N155</v>
      </c>
      <c r="F207" s="106" t="str">
        <f>INDEX(Pipes_result_save_V1!$H$2:$H$206,MATCH(D207,Pipes_result_save_V1!$I$2:$I$206,0))</f>
        <v>N156</v>
      </c>
      <c r="G207" s="106">
        <f t="shared" si="29"/>
        <v>1.1786586050762113E-3</v>
      </c>
      <c r="H207" s="107">
        <v>421</v>
      </c>
      <c r="I207" s="107">
        <v>150</v>
      </c>
      <c r="J207" s="107">
        <v>129</v>
      </c>
      <c r="K207" s="107">
        <v>8.6920295923619637</v>
      </c>
      <c r="L207" s="107">
        <v>0.129</v>
      </c>
      <c r="M207" s="107">
        <v>0.19585440315176539</v>
      </c>
      <c r="N207" s="107">
        <v>2.8118011987369731</v>
      </c>
      <c r="O207" s="107">
        <f>INDEX(Pipes_result_save_V1!$K$2:$K$206,MATCH(D207,Pipes_result_save_V1!$I$2:$I$206,0)) *POWER(10,-3)</f>
        <v>-1.7648836135864262E-2</v>
      </c>
      <c r="P207" s="78">
        <v>5.5686394034904756E-3</v>
      </c>
      <c r="Q207" s="78">
        <v>-1.2080196732373786E-2</v>
      </c>
      <c r="R207" s="78"/>
      <c r="S207" s="78"/>
      <c r="T207" s="78"/>
      <c r="U207" s="78"/>
      <c r="V207" s="78"/>
      <c r="W207" s="78">
        <v>32</v>
      </c>
      <c r="X207" s="78">
        <v>33</v>
      </c>
      <c r="Y207" s="78" t="s">
        <v>540</v>
      </c>
      <c r="Z207" s="78" t="s">
        <v>225</v>
      </c>
      <c r="AA207" s="106" t="str">
        <f>INDEX(Pipes_result_save_V1!$G$2:$G$206,MATCH(Z207,Pipes_result_save_V1!$I$2:$I$206,0))</f>
        <v>N154</v>
      </c>
      <c r="AB207" s="106" t="str">
        <f>INDEX(Pipes_result_save_V1!$H$2:$H$206,MATCH(Z207,Pipes_result_save_V1!$I$2:$I$206,0))</f>
        <v>N155</v>
      </c>
      <c r="AC207" s="106">
        <f t="shared" si="30"/>
        <v>1.0273219555557465E-2</v>
      </c>
      <c r="AD207" s="78">
        <v>200</v>
      </c>
      <c r="AE207" s="78">
        <v>150</v>
      </c>
      <c r="AF207" s="78">
        <v>37</v>
      </c>
      <c r="AG207" s="78">
        <v>93.603953012741897</v>
      </c>
      <c r="AH207" s="78">
        <v>4.3596935076183549E-2</v>
      </c>
      <c r="AI207" s="78">
        <v>1</v>
      </c>
      <c r="AJ207" s="78">
        <v>-1</v>
      </c>
      <c r="AK207" s="78">
        <v>0.28285680122909845</v>
      </c>
      <c r="AL207">
        <v>12.015771176595017</v>
      </c>
      <c r="AM207" s="107">
        <f>INDEX(Pipes_result_save_V1!$K$2:$K$206,MATCH(Z207,Pipes_result_save_V1!$I$2:$I$206,0)) *POWER(10,-3)</f>
        <v>-1.6701713562011718E-2</v>
      </c>
      <c r="AN207" s="78">
        <v>3.1214282543314542E-3</v>
      </c>
      <c r="AO207" s="78">
        <v>-1.3580285307680264E-2</v>
      </c>
      <c r="AU207">
        <v>10</v>
      </c>
      <c r="AV207">
        <v>33</v>
      </c>
      <c r="AW207" t="s">
        <v>540</v>
      </c>
      <c r="AX207" t="s">
        <v>294</v>
      </c>
      <c r="AY207" s="106" t="str">
        <f>INDEX(Pipes_result_save_V1!$G$2:$G$206,MATCH(AX207,Pipes_result_save_V1!$I$2:$I$206,0))</f>
        <v>N131</v>
      </c>
      <c r="AZ207" s="106" t="str">
        <f>INDEX(Pipes_result_save_V1!$H$2:$H$206,MATCH(AX207,Pipes_result_save_V1!$I$2:$I$206,0))</f>
        <v>N130</v>
      </c>
      <c r="BA207" s="106">
        <f t="shared" si="31"/>
        <v>3.8345006761912148E-4</v>
      </c>
      <c r="BB207">
        <v>300</v>
      </c>
      <c r="BC207">
        <v>150</v>
      </c>
      <c r="BD207">
        <v>130</v>
      </c>
      <c r="BE207">
        <v>45.634710030724406</v>
      </c>
      <c r="BF207">
        <v>3.5211178482065772E-2</v>
      </c>
      <c r="BG207">
        <v>9.2842685431777316E-2</v>
      </c>
      <c r="BH207">
        <v>4.8832405171337525</v>
      </c>
      <c r="BI207" s="107">
        <f>INDEX(Pipes_result_save_V1!$K$2:$K$206,MATCH(AX207,Pipes_result_save_V1!$I$2:$I$206,0)) *POWER(10,-3)</f>
        <v>-3.3242774009704591E-3</v>
      </c>
      <c r="BJ207" s="78">
        <v>5.0974508447499747E-3</v>
      </c>
      <c r="BK207" s="78">
        <v>1.7731734437795156E-3</v>
      </c>
      <c r="BR207">
        <v>0</v>
      </c>
      <c r="BS207">
        <v>33</v>
      </c>
      <c r="BT207" t="s">
        <v>540</v>
      </c>
      <c r="BU207" t="s">
        <v>200</v>
      </c>
      <c r="BV207" s="106" t="str">
        <f>INDEX(Pipes_result_save_V1!$G$2:$G$206,MATCH(BU207,Pipes_result_save_V1!$I$2:$I$206,0))</f>
        <v>N83</v>
      </c>
      <c r="BW207" s="106" t="str">
        <f>INDEX(Pipes_result_save_V1!$H$2:$H$206,MATCH(BU207,Pipes_result_save_V1!$I$2:$I$206,0))</f>
        <v>N82</v>
      </c>
      <c r="BX207" s="106">
        <f t="shared" si="32"/>
        <v>4.1488592102456361E-2</v>
      </c>
      <c r="BY207">
        <v>350</v>
      </c>
      <c r="BZ207">
        <v>150</v>
      </c>
      <c r="CA207">
        <v>152</v>
      </c>
      <c r="CB207">
        <v>25.182434826962975</v>
      </c>
      <c r="CC207">
        <v>-9.0894000000000003E-2</v>
      </c>
      <c r="CD207">
        <v>-0.29669138684853463</v>
      </c>
      <c r="CE207">
        <v>6.0452004361507479</v>
      </c>
      <c r="CF207" s="107">
        <f>INDEX(Pipes_result_save_V1!$K$2:$K$206,MATCH(BU207,Pipes_result_save_V1!$I$2:$I$206,0)) *POWER(10,-3)</f>
        <v>-5.0193531036376957E-2</v>
      </c>
      <c r="CG207" s="78">
        <v>5.7179486826130169E-3</v>
      </c>
      <c r="CH207" s="78">
        <v>-4.4475582353763941E-2</v>
      </c>
      <c r="CN207">
        <v>12</v>
      </c>
      <c r="CO207">
        <v>33</v>
      </c>
      <c r="CP207" t="s">
        <v>540</v>
      </c>
      <c r="CQ207" t="s">
        <v>123</v>
      </c>
      <c r="CR207" s="106" t="str">
        <f>INDEX(Pipes_result_save_V1!$G$2:$G$206,MATCH(CQ207,Pipes_result_save_V1!$I$2:$I$206,0))</f>
        <v>N62</v>
      </c>
      <c r="CS207" s="106" t="str">
        <f>INDEX(Pipes_result_save_V1!$H$2:$H$206,MATCH(CQ207,Pipes_result_save_V1!$I$2:$I$206,0))</f>
        <v>N61</v>
      </c>
      <c r="CT207" s="106">
        <f t="shared" si="33"/>
        <v>1.5616660380401097E-2</v>
      </c>
      <c r="CU207">
        <v>250</v>
      </c>
      <c r="CV207">
        <v>150</v>
      </c>
      <c r="CW207">
        <v>73</v>
      </c>
      <c r="CX207">
        <v>62.282588330910201</v>
      </c>
      <c r="CY207">
        <v>2.3580796114934299E-2</v>
      </c>
      <c r="CZ207">
        <v>6.0303834280463577E-2</v>
      </c>
      <c r="DA207">
        <v>4.7361717790641977</v>
      </c>
      <c r="DB207" s="107">
        <f>INDEX(Pipes_result_save_V1!$K$2:$K$206,MATCH(CQ207,Pipes_result_save_V1!$I$2:$I$206,0)) *POWER(10,-3)</f>
        <v>-2.3688943862915039E-2</v>
      </c>
      <c r="DC207" s="78">
        <v>5.7345845707195949E-3</v>
      </c>
      <c r="DD207" s="78">
        <v>-1.7954359292195445E-2</v>
      </c>
      <c r="DL207">
        <v>0</v>
      </c>
      <c r="DM207">
        <v>33</v>
      </c>
      <c r="DN207" t="s">
        <v>540</v>
      </c>
      <c r="DO207" t="s">
        <v>258</v>
      </c>
      <c r="DP207" s="106" t="str">
        <f>INDEX(Pipes_result_save_V1!$G$2:$G$206,MATCH(DO207,Pipes_result_save_V1!$I$2:$I$206,0))</f>
        <v>N106</v>
      </c>
      <c r="DQ207" s="106" t="str">
        <f>INDEX(Pipes_result_save_V1!$H$2:$H$206,MATCH(DO207,Pipes_result_save_V1!$I$2:$I$206,0))</f>
        <v>N107</v>
      </c>
      <c r="DR207" s="106">
        <f t="shared" si="34"/>
        <v>6.8077124404800848E-2</v>
      </c>
      <c r="DS207">
        <v>350</v>
      </c>
      <c r="DT207">
        <v>150</v>
      </c>
      <c r="DU207">
        <v>218</v>
      </c>
      <c r="DV207">
        <v>36.116913107091634</v>
      </c>
      <c r="DW207">
        <v>-8.3280000000000007E-2</v>
      </c>
      <c r="DX207">
        <v>-0.36186954243828162</v>
      </c>
      <c r="DY207">
        <v>8.0473390081135623</v>
      </c>
      <c r="DZ207" s="107">
        <f>INDEX(Pipes_result_save_V1!$K$2:$K$206,MATCH(DO207,Pipes_result_save_V1!$I$2:$I$206,0)) *POWER(10,-3)</f>
        <v>7.6201789855957033E-2</v>
      </c>
      <c r="EA207" s="78">
        <v>6.0680267644292844E-3</v>
      </c>
      <c r="EB207" s="78">
        <v>7.0133763091527745E-2</v>
      </c>
      <c r="EI207">
        <v>20</v>
      </c>
      <c r="EJ207">
        <v>33</v>
      </c>
      <c r="EK207" t="s">
        <v>540</v>
      </c>
      <c r="EL207" t="s">
        <v>139</v>
      </c>
      <c r="EM207" s="106" t="str">
        <f>INDEX(Pipes_result_save_V1!$G$2:$G$206,MATCH(EL207,Pipes_result_save_V1!$I$2:$I$206,0))</f>
        <v>N31</v>
      </c>
      <c r="EN207" s="106" t="str">
        <f>INDEX(Pipes_result_save_V1!$H$2:$H$206,MATCH(EL207,Pipes_result_save_V1!$I$2:$I$206,0))</f>
        <v>N30</v>
      </c>
      <c r="EO207" s="106">
        <f t="shared" si="35"/>
        <v>0.1859269421591519</v>
      </c>
      <c r="EP207">
        <v>466</v>
      </c>
      <c r="EQ207">
        <v>150</v>
      </c>
      <c r="ER207">
        <v>251</v>
      </c>
      <c r="ES207">
        <v>10.312773894253795</v>
      </c>
      <c r="ET207">
        <v>0.15497564373451178</v>
      </c>
      <c r="EU207">
        <v>0.32639492959393818</v>
      </c>
      <c r="EV207">
        <v>3.9005058797723851</v>
      </c>
      <c r="EW207" s="107">
        <f>INDEX(Pipes_result_save_V1!$K$2:$K$206,MATCH(EL207,Pipes_result_save_V1!$I$2:$I$206,0)) *POWER(10,-3)</f>
        <v>-0.19499050903320311</v>
      </c>
      <c r="EX207" s="78">
        <v>5.7979094211488783E-3</v>
      </c>
      <c r="EY207" s="78">
        <v>-0.18919259961205423</v>
      </c>
    </row>
    <row r="208" spans="2:155" ht="30" x14ac:dyDescent="0.25">
      <c r="B208" s="106">
        <v>34</v>
      </c>
      <c r="C208" s="106" t="s">
        <v>539</v>
      </c>
      <c r="D208" s="106" t="s">
        <v>228</v>
      </c>
      <c r="E208" s="106" t="str">
        <f>INDEX(Pipes_result_save_V1!$G$2:$G$206,MATCH(D208,Pipes_result_save_V1!$I$2:$I$206,0))</f>
        <v>N156</v>
      </c>
      <c r="F208" s="106" t="str">
        <f>INDEX(Pipes_result_save_V1!$H$2:$H$206,MATCH(D208,Pipes_result_save_V1!$I$2:$I$206,0))</f>
        <v>N157</v>
      </c>
      <c r="G208" s="106">
        <f t="shared" si="29"/>
        <v>6.0500131416196933E-3</v>
      </c>
      <c r="H208" s="107">
        <v>350</v>
      </c>
      <c r="I208" s="107">
        <v>150</v>
      </c>
      <c r="J208" s="107">
        <v>85</v>
      </c>
      <c r="K208" s="107">
        <v>14.082282633499032</v>
      </c>
      <c r="L208" s="107">
        <v>8.5000000000000006E-2</v>
      </c>
      <c r="M208" s="107">
        <v>0.14654024282313405</v>
      </c>
      <c r="N208" s="107">
        <v>3.1928532906875779</v>
      </c>
      <c r="O208" s="107">
        <f>INDEX(Pipes_result_save_V1!$K$2:$K$206,MATCH(D208,Pipes_result_save_V1!$I$2:$I$206,0)) *POWER(10,-3)</f>
        <v>-1.886982345581055E-2</v>
      </c>
      <c r="P208" s="78">
        <v>5.4293279142659211E-3</v>
      </c>
      <c r="Q208" s="78">
        <v>-1.3440495541544629E-2</v>
      </c>
      <c r="R208" s="78"/>
      <c r="S208" s="78"/>
      <c r="T208" s="78"/>
      <c r="U208" s="78"/>
      <c r="V208" s="78"/>
      <c r="W208" s="78">
        <v>33</v>
      </c>
      <c r="X208" s="78">
        <v>34</v>
      </c>
      <c r="Y208" s="78" t="s">
        <v>540</v>
      </c>
      <c r="Z208" s="78" t="s">
        <v>226</v>
      </c>
      <c r="AA208" s="106" t="str">
        <f>INDEX(Pipes_result_save_V1!$G$2:$G$206,MATCH(Z208,Pipes_result_save_V1!$I$2:$I$206,0))</f>
        <v>N155</v>
      </c>
      <c r="AB208" s="106" t="str">
        <f>INDEX(Pipes_result_save_V1!$H$2:$H$206,MATCH(Z208,Pipes_result_save_V1!$I$2:$I$206,0))</f>
        <v>N156</v>
      </c>
      <c r="AC208" s="106">
        <f t="shared" si="30"/>
        <v>1.0643885565989313E-2</v>
      </c>
      <c r="AD208" s="78">
        <v>200</v>
      </c>
      <c r="AE208" s="78">
        <v>150</v>
      </c>
      <c r="AF208" s="78">
        <v>129</v>
      </c>
      <c r="AG208" s="78">
        <v>326.34891726064069</v>
      </c>
      <c r="AH208" s="78">
        <v>0.13559693507618356</v>
      </c>
      <c r="AI208" s="78">
        <v>1</v>
      </c>
      <c r="AJ208" s="78">
        <v>-1</v>
      </c>
      <c r="AK208" s="78">
        <v>8.0650848595285289</v>
      </c>
      <c r="AL208">
        <v>110.15394375584465</v>
      </c>
      <c r="AM208" s="107">
        <f>INDEX(Pipes_result_save_V1!$K$2:$K$206,MATCH(Z208,Pipes_result_save_V1!$I$2:$I$206,0)) *POWER(10,-3)</f>
        <v>-1.7648836135864262E-2</v>
      </c>
      <c r="AN208" s="78">
        <v>3.0377401053966386E-3</v>
      </c>
      <c r="AO208" s="78">
        <v>-1.4611096030467624E-2</v>
      </c>
      <c r="AU208">
        <v>11</v>
      </c>
      <c r="AV208">
        <v>34</v>
      </c>
      <c r="AW208" t="s">
        <v>540</v>
      </c>
      <c r="AX208" t="s">
        <v>295</v>
      </c>
      <c r="AY208" s="106" t="str">
        <f>INDEX(Pipes_result_save_V1!$G$2:$G$206,MATCH(AX208,Pipes_result_save_V1!$I$2:$I$206,0))</f>
        <v>N132</v>
      </c>
      <c r="AZ208" s="106" t="str">
        <f>INDEX(Pipes_result_save_V1!$H$2:$H$206,MATCH(AX208,Pipes_result_save_V1!$I$2:$I$206,0))</f>
        <v>N131</v>
      </c>
      <c r="BA208" s="106">
        <f t="shared" si="31"/>
        <v>1.4882688540673672E-3</v>
      </c>
      <c r="BB208">
        <v>300</v>
      </c>
      <c r="BC208">
        <v>150</v>
      </c>
      <c r="BD208">
        <v>131</v>
      </c>
      <c r="BE208">
        <v>45.985746261729986</v>
      </c>
      <c r="BF208">
        <v>3.5211178482065772E-2</v>
      </c>
      <c r="BG208">
        <v>9.3556859935098699E-2</v>
      </c>
      <c r="BH208">
        <v>4.92080390572709</v>
      </c>
      <c r="BI208" s="107">
        <f>INDEX(Pipes_result_save_V1!$K$2:$K$206,MATCH(AX208,Pipes_result_save_V1!$I$2:$I$206,0)) *POWER(10,-3)</f>
        <v>-2.2801618576049803E-3</v>
      </c>
      <c r="BJ208" s="78">
        <v>6.4665696020147385E-3</v>
      </c>
      <c r="BK208" s="78">
        <v>4.1864077444097583E-3</v>
      </c>
      <c r="BR208">
        <v>0</v>
      </c>
      <c r="BS208">
        <v>34</v>
      </c>
      <c r="BT208" t="s">
        <v>540</v>
      </c>
      <c r="BU208" t="s">
        <v>202</v>
      </c>
      <c r="BV208" s="106" t="str">
        <f>INDEX(Pipes_result_save_V1!$G$2:$G$206,MATCH(BU208,Pipes_result_save_V1!$I$2:$I$206,0))</f>
        <v>N84</v>
      </c>
      <c r="BW208" s="106" t="str">
        <f>INDEX(Pipes_result_save_V1!$H$2:$H$206,MATCH(BU208,Pipes_result_save_V1!$I$2:$I$206,0))</f>
        <v>N83</v>
      </c>
      <c r="BX208" s="106">
        <f t="shared" si="32"/>
        <v>3.9120946966339637E-2</v>
      </c>
      <c r="BY208">
        <v>350</v>
      </c>
      <c r="BZ208">
        <v>150</v>
      </c>
      <c r="CA208">
        <v>75</v>
      </c>
      <c r="CB208">
        <v>12.425543500146206</v>
      </c>
      <c r="CC208">
        <v>-9.0894000000000003E-2</v>
      </c>
      <c r="CD208">
        <v>-0.14639377640552698</v>
      </c>
      <c r="CE208">
        <v>2.982829162574383</v>
      </c>
      <c r="CF208" s="107">
        <f>INDEX(Pipes_result_save_V1!$K$2:$K$206,MATCH(BU208,Pipes_result_save_V1!$I$2:$I$206,0)) *POWER(10,-3)</f>
        <v>-4.8898372650146481E-2</v>
      </c>
      <c r="CG208" s="78">
        <v>5.1004257933387814E-3</v>
      </c>
      <c r="CH208" s="78">
        <v>-4.3797946856807699E-2</v>
      </c>
      <c r="CN208">
        <v>13</v>
      </c>
      <c r="CO208">
        <v>34</v>
      </c>
      <c r="CP208" t="s">
        <v>540</v>
      </c>
      <c r="CQ208" t="s">
        <v>122</v>
      </c>
      <c r="CR208" s="106" t="str">
        <f>INDEX(Pipes_result_save_V1!$G$2:$G$206,MATCH(CQ208,Pipes_result_save_V1!$I$2:$I$206,0))</f>
        <v>N63</v>
      </c>
      <c r="CS208" s="106" t="str">
        <f>INDEX(Pipes_result_save_V1!$H$2:$H$206,MATCH(CQ208,Pipes_result_save_V1!$I$2:$I$206,0))</f>
        <v>N62</v>
      </c>
      <c r="CT208" s="106">
        <f t="shared" si="33"/>
        <v>1.6618537105270559E-2</v>
      </c>
      <c r="CU208">
        <v>250</v>
      </c>
      <c r="CV208">
        <v>150</v>
      </c>
      <c r="CW208">
        <v>58</v>
      </c>
      <c r="CX208">
        <v>49.484796208120436</v>
      </c>
      <c r="CY208">
        <v>2.3580796114934299E-2</v>
      </c>
      <c r="CZ208">
        <v>4.7912635455710791E-2</v>
      </c>
      <c r="DA208">
        <v>3.7629857970647054</v>
      </c>
      <c r="DB208" s="107">
        <f>INDEX(Pipes_result_save_V1!$K$2:$K$206,MATCH(CQ208,Pipes_result_save_V1!$I$2:$I$206,0)) *POWER(10,-3)</f>
        <v>-2.2941516876220699E-2</v>
      </c>
      <c r="DC208" s="78">
        <v>5.1233106297051663E-3</v>
      </c>
      <c r="DD208" s="78">
        <v>-1.7818206246515533E-2</v>
      </c>
      <c r="DL208">
        <v>0</v>
      </c>
      <c r="DM208">
        <v>34</v>
      </c>
      <c r="DN208" t="s">
        <v>540</v>
      </c>
      <c r="DO208" t="s">
        <v>259</v>
      </c>
      <c r="DP208" s="106" t="str">
        <f>INDEX(Pipes_result_save_V1!$G$2:$G$206,MATCH(DO208,Pipes_result_save_V1!$I$2:$I$206,0))</f>
        <v>N107</v>
      </c>
      <c r="DQ208" s="106" t="str">
        <f>INDEX(Pipes_result_save_V1!$H$2:$H$206,MATCH(DO208,Pipes_result_save_V1!$I$2:$I$206,0))</f>
        <v>N108</v>
      </c>
      <c r="DR208" s="106">
        <f t="shared" si="34"/>
        <v>6.4796491517653418E-2</v>
      </c>
      <c r="DS208">
        <v>350</v>
      </c>
      <c r="DT208">
        <v>150</v>
      </c>
      <c r="DU208">
        <v>101</v>
      </c>
      <c r="DV208">
        <v>16.733065246863553</v>
      </c>
      <c r="DW208">
        <v>-8.3280000000000007E-2</v>
      </c>
      <c r="DX208">
        <v>-0.16765515498287359</v>
      </c>
      <c r="DY208">
        <v>3.7283543110984856</v>
      </c>
      <c r="DZ208" s="107">
        <f>INDEX(Pipes_result_save_V1!$K$2:$K$206,MATCH(DO208,Pipes_result_save_V1!$I$2:$I$206,0)) *POWER(10,-3)</f>
        <v>7.4381721496582037E-2</v>
      </c>
      <c r="EA208" s="78">
        <v>6.5728772994273228E-3</v>
      </c>
      <c r="EB208" s="78">
        <v>6.7808844197154716E-2</v>
      </c>
      <c r="EL208" t="s">
        <v>380</v>
      </c>
      <c r="EU208">
        <v>5.9017424167719028</v>
      </c>
      <c r="EV208">
        <v>157.76590768049459</v>
      </c>
    </row>
    <row r="209" spans="2:145" ht="30" x14ac:dyDescent="0.25">
      <c r="B209" s="106">
        <v>35</v>
      </c>
      <c r="C209" s="106" t="s">
        <v>539</v>
      </c>
      <c r="D209" s="106" t="s">
        <v>227</v>
      </c>
      <c r="E209" s="106" t="str">
        <f>INDEX(Pipes_result_save_V1!$G$2:$G$206,MATCH(D209,Pipes_result_save_V1!$I$2:$I$206,0))</f>
        <v>N157</v>
      </c>
      <c r="F209" s="106" t="str">
        <f>INDEX(Pipes_result_save_V1!$H$2:$H$206,MATCH(D209,Pipes_result_save_V1!$I$2:$I$206,0))</f>
        <v>N158</v>
      </c>
      <c r="G209" s="106">
        <f t="shared" si="29"/>
        <v>2.8710848742821513E-3</v>
      </c>
      <c r="H209" s="107">
        <v>350</v>
      </c>
      <c r="I209" s="107">
        <v>150</v>
      </c>
      <c r="J209" s="107">
        <v>75</v>
      </c>
      <c r="K209" s="107">
        <v>12.425543500146206</v>
      </c>
      <c r="L209" s="107">
        <v>7.4999999999999997E-2</v>
      </c>
      <c r="M209" s="107">
        <v>0.10254839177742346</v>
      </c>
      <c r="N209" s="107">
        <v>2.5322616209571787</v>
      </c>
      <c r="O209" s="107">
        <f>INDEX(Pipes_result_save_V1!$K$2:$K$206,MATCH(D209,Pipes_result_save_V1!$I$2:$I$206,0)) *POWER(10,-3)</f>
        <v>-1.9782709121704101E-2</v>
      </c>
      <c r="P209" s="78">
        <v>6.2309036161130888E-3</v>
      </c>
      <c r="Q209" s="78">
        <v>-1.3551805505591012E-2</v>
      </c>
      <c r="R209" s="78"/>
      <c r="S209" s="78"/>
      <c r="T209" s="78"/>
      <c r="U209" s="78"/>
      <c r="V209" s="78"/>
      <c r="W209" s="78">
        <v>34</v>
      </c>
      <c r="X209" s="78">
        <v>35</v>
      </c>
      <c r="Y209" s="78" t="s">
        <v>540</v>
      </c>
      <c r="Z209" s="78" t="s">
        <v>228</v>
      </c>
      <c r="AA209" s="106" t="str">
        <f>INDEX(Pipes_result_save_V1!$G$2:$G$206,MATCH(Z209,Pipes_result_save_V1!$I$2:$I$206,0))</f>
        <v>N156</v>
      </c>
      <c r="AB209" s="106" t="str">
        <f>INDEX(Pipes_result_save_V1!$H$2:$H$206,MATCH(Z209,Pipes_result_save_V1!$I$2:$I$206,0))</f>
        <v>N157</v>
      </c>
      <c r="AC209" s="106">
        <f t="shared" si="30"/>
        <v>1.3398721376304008E-2</v>
      </c>
      <c r="AD209" s="78">
        <v>200</v>
      </c>
      <c r="AE209" s="78">
        <v>150</v>
      </c>
      <c r="AF209" s="78">
        <v>85</v>
      </c>
      <c r="AG209" s="78">
        <v>215.03610827251518</v>
      </c>
      <c r="AH209" s="78">
        <v>9.1596935076183564E-2</v>
      </c>
      <c r="AI209" s="78">
        <v>1</v>
      </c>
      <c r="AJ209" s="78">
        <v>-1</v>
      </c>
      <c r="AK209" s="78">
        <v>2.5698921402347308</v>
      </c>
      <c r="AL209">
        <v>51.960693223590631</v>
      </c>
      <c r="AM209" s="107">
        <f>INDEX(Pipes_result_save_V1!$K$2:$K$206,MATCH(Z209,Pipes_result_save_V1!$I$2:$I$206,0)) *POWER(10,-3)</f>
        <v>-1.886982345581055E-2</v>
      </c>
      <c r="AN209" s="78">
        <v>1.7063509188828007E-3</v>
      </c>
      <c r="AO209" s="78">
        <v>-1.7163472536927748E-2</v>
      </c>
      <c r="AU209">
        <v>12</v>
      </c>
      <c r="AV209">
        <v>35</v>
      </c>
      <c r="AW209" t="s">
        <v>540</v>
      </c>
      <c r="AX209" t="s">
        <v>296</v>
      </c>
      <c r="AY209" s="106" t="str">
        <f>INDEX(Pipes_result_save_V1!$G$2:$G$206,MATCH(AX209,Pipes_result_save_V1!$I$2:$I$206,0))</f>
        <v>N133</v>
      </c>
      <c r="AZ209" s="106" t="str">
        <f>INDEX(Pipes_result_save_V1!$H$2:$H$206,MATCH(AX209,Pipes_result_save_V1!$I$2:$I$206,0))</f>
        <v>N132</v>
      </c>
      <c r="BA209" s="106">
        <f t="shared" si="31"/>
        <v>7.6175364067715239E-4</v>
      </c>
      <c r="BB209">
        <v>300</v>
      </c>
      <c r="BC209">
        <v>150</v>
      </c>
      <c r="BD209">
        <v>132</v>
      </c>
      <c r="BE209">
        <v>46.336782492735551</v>
      </c>
      <c r="BF209">
        <v>3.5211178482065772E-2</v>
      </c>
      <c r="BG209">
        <v>9.4271034438420054E-2</v>
      </c>
      <c r="BH209">
        <v>4.9583672943204258</v>
      </c>
      <c r="BI209" s="107">
        <f>INDEX(Pipes_result_save_V1!$K$2:$K$206,MATCH(AX209,Pipes_result_save_V1!$I$2:$I$206,0)) *POWER(10,-3)</f>
        <v>-8.0813032388687132E-4</v>
      </c>
      <c r="BJ209" s="78">
        <v>5.7369006507098433E-3</v>
      </c>
      <c r="BK209" s="78">
        <v>4.9287703268229722E-3</v>
      </c>
      <c r="BR209">
        <v>0</v>
      </c>
      <c r="BS209">
        <v>35</v>
      </c>
      <c r="BT209" t="s">
        <v>540</v>
      </c>
      <c r="BU209" t="s">
        <v>201</v>
      </c>
      <c r="BV209" s="106" t="str">
        <f>INDEX(Pipes_result_save_V1!$G$2:$G$206,MATCH(BU209,Pipes_result_save_V1!$I$2:$I$206,0))</f>
        <v>N84</v>
      </c>
      <c r="BW209" s="106" t="str">
        <f>INDEX(Pipes_result_save_V1!$H$2:$H$206,MATCH(BU209,Pipes_result_save_V1!$I$2:$I$206,0))</f>
        <v>N85</v>
      </c>
      <c r="BX209" s="106">
        <f t="shared" si="32"/>
        <v>8.8012712449724948E-3</v>
      </c>
      <c r="BY209">
        <v>400</v>
      </c>
      <c r="BZ209">
        <v>150</v>
      </c>
      <c r="CA209">
        <v>95</v>
      </c>
      <c r="CB209">
        <v>8.2129459038134058</v>
      </c>
      <c r="CC209">
        <v>-0.119923</v>
      </c>
      <c r="CD209">
        <v>-0.16166885526910485</v>
      </c>
      <c r="CE209">
        <v>2.4966913766198493</v>
      </c>
      <c r="CF209" s="107">
        <f>INDEX(Pipes_result_save_V1!$K$2:$K$206,MATCH(BU209,Pipes_result_save_V1!$I$2:$I$206,0)) *POWER(10,-3)</f>
        <v>2.0083776473999022E-2</v>
      </c>
      <c r="CG209" s="78">
        <v>5.0835109302906677E-3</v>
      </c>
      <c r="CH209" s="78">
        <v>1.5000265543708355E-2</v>
      </c>
      <c r="CN209">
        <v>14</v>
      </c>
      <c r="CO209">
        <v>35</v>
      </c>
      <c r="CP209" t="s">
        <v>540</v>
      </c>
      <c r="CQ209" t="s">
        <v>121</v>
      </c>
      <c r="CR209" s="106" t="str">
        <f>INDEX(Pipes_result_save_V1!$G$2:$G$206,MATCH(CQ209,Pipes_result_save_V1!$I$2:$I$206,0))</f>
        <v>N64</v>
      </c>
      <c r="CS209" s="106" t="str">
        <f>INDEX(Pipes_result_save_V1!$H$2:$H$206,MATCH(CQ209,Pipes_result_save_V1!$I$2:$I$206,0))</f>
        <v>N63</v>
      </c>
      <c r="CT209" s="106">
        <f t="shared" si="33"/>
        <v>1.0996206079319582E-2</v>
      </c>
      <c r="CU209">
        <v>250</v>
      </c>
      <c r="CV209">
        <v>150</v>
      </c>
      <c r="CW209">
        <v>216</v>
      </c>
      <c r="CX209">
        <v>184.28820656817265</v>
      </c>
      <c r="CY209">
        <v>2.3580796114934299E-2</v>
      </c>
      <c r="CZ209">
        <v>0.1784332630764402</v>
      </c>
      <c r="DA209">
        <v>14.013878140792695</v>
      </c>
      <c r="DB209" s="107">
        <f>INDEX(Pipes_result_save_V1!$K$2:$K$206,MATCH(CQ209,Pipes_result_save_V1!$I$2:$I$206,0)) *POWER(10,-3)</f>
        <v>-2.1378194808959961E-2</v>
      </c>
      <c r="DC209" s="78">
        <v>5.6284866141425791E-3</v>
      </c>
      <c r="DD209" s="78">
        <v>-1.5749708194817382E-2</v>
      </c>
      <c r="DL209">
        <v>0</v>
      </c>
      <c r="DM209">
        <v>35</v>
      </c>
      <c r="DN209" t="s">
        <v>540</v>
      </c>
      <c r="DO209" t="s">
        <v>261</v>
      </c>
      <c r="DP209" s="106" t="str">
        <f>INDEX(Pipes_result_save_V1!$G$2:$G$206,MATCH(DO209,Pipes_result_save_V1!$I$2:$I$206,0))</f>
        <v>N108</v>
      </c>
      <c r="DQ209" s="106" t="str">
        <f>INDEX(Pipes_result_save_V1!$H$2:$H$206,MATCH(DO209,Pipes_result_save_V1!$I$2:$I$206,0))</f>
        <v>N109</v>
      </c>
      <c r="DR209" s="106">
        <f t="shared" si="34"/>
        <v>6.1482504223788384E-2</v>
      </c>
      <c r="DS209">
        <v>350</v>
      </c>
      <c r="DT209">
        <v>150</v>
      </c>
      <c r="DU209">
        <v>149</v>
      </c>
      <c r="DV209">
        <v>24.685413086957126</v>
      </c>
      <c r="DW209">
        <v>-8.3280000000000007E-2</v>
      </c>
      <c r="DX209">
        <v>-0.24733285240047689</v>
      </c>
      <c r="DY209">
        <v>5.5002454688482612</v>
      </c>
      <c r="DZ209" s="107">
        <f>INDEX(Pipes_result_save_V1!$K$2:$K$206,MATCH(DO209,Pipes_result_save_V1!$I$2:$I$206,0)) *POWER(10,-3)</f>
        <v>7.295532989501953E-2</v>
      </c>
      <c r="EA209" s="78">
        <v>6.2694249887128095E-3</v>
      </c>
      <c r="EB209" s="78">
        <v>6.6685904906306714E-2</v>
      </c>
      <c r="EL209" t="s">
        <v>381</v>
      </c>
      <c r="EO209">
        <v>-3.7408224017092671E-2</v>
      </c>
    </row>
    <row r="210" spans="2:145" ht="30" x14ac:dyDescent="0.25">
      <c r="B210" s="106">
        <v>36</v>
      </c>
      <c r="C210" s="106" t="s">
        <v>539</v>
      </c>
      <c r="D210" s="106" t="s">
        <v>429</v>
      </c>
      <c r="E210" s="106" t="str">
        <f>INDEX(Pipes_result_save_V1!$G$2:$G$206,MATCH(D210,Pipes_result_save_V1!$I$2:$I$206,0))</f>
        <v>N158</v>
      </c>
      <c r="F210" s="106" t="str">
        <f>INDEX(Pipes_result_save_V1!$H$2:$H$206,MATCH(D210,Pipes_result_save_V1!$I$2:$I$206,0))</f>
        <v>N159</v>
      </c>
      <c r="G210" s="106">
        <f t="shared" si="29"/>
        <v>5.874093910898933E-3</v>
      </c>
      <c r="H210" s="107">
        <v>350</v>
      </c>
      <c r="I210" s="107">
        <v>150</v>
      </c>
      <c r="J210" s="107">
        <v>83</v>
      </c>
      <c r="K210" s="107">
        <v>13.750934806828466</v>
      </c>
      <c r="L210" s="107">
        <v>8.3000000000000004E-2</v>
      </c>
      <c r="M210" s="107">
        <v>0.13691935675646288</v>
      </c>
      <c r="N210" s="107">
        <v>3.0551162495538478</v>
      </c>
      <c r="O210" s="107">
        <f>INDEX(Pipes_result_save_V1!$K$2:$K$206,MATCH(D210,Pipes_result_save_V1!$I$2:$I$206,0)) *POWER(10,-3)</f>
        <v>-2.06841869354248E-2</v>
      </c>
      <c r="P210" s="78">
        <v>5.5030844016331062E-3</v>
      </c>
      <c r="Q210" s="78">
        <v>-1.5181102533791693E-2</v>
      </c>
      <c r="R210" s="78"/>
      <c r="S210" s="78"/>
      <c r="T210" s="78"/>
      <c r="U210" s="78"/>
      <c r="V210" s="78"/>
      <c r="W210" s="78">
        <v>35</v>
      </c>
      <c r="X210" s="78">
        <v>36</v>
      </c>
      <c r="Y210" s="78" t="s">
        <v>540</v>
      </c>
      <c r="Z210" s="78" t="s">
        <v>227</v>
      </c>
      <c r="AA210" s="106" t="str">
        <f>INDEX(Pipes_result_save_V1!$G$2:$G$206,MATCH(Z210,Pipes_result_save_V1!$I$2:$I$206,0))</f>
        <v>N157</v>
      </c>
      <c r="AB210" s="106" t="str">
        <f>INDEX(Pipes_result_save_V1!$H$2:$H$206,MATCH(Z210,Pipes_result_save_V1!$I$2:$I$206,0))</f>
        <v>N158</v>
      </c>
      <c r="AC210" s="106">
        <f t="shared" si="30"/>
        <v>1.2200085846767166E-2</v>
      </c>
      <c r="AD210" s="78">
        <v>200</v>
      </c>
      <c r="AE210" s="78">
        <v>150</v>
      </c>
      <c r="AF210" s="78">
        <v>75</v>
      </c>
      <c r="AG210" s="78">
        <v>189.73774259339575</v>
      </c>
      <c r="AH210" s="78">
        <v>8.1596935076183555E-2</v>
      </c>
      <c r="AI210" s="78">
        <v>1</v>
      </c>
      <c r="AJ210" s="78">
        <v>-1</v>
      </c>
      <c r="AK210" s="78">
        <v>1.8305166876164278</v>
      </c>
      <c r="AL210">
        <v>41.547110835724631</v>
      </c>
      <c r="AM210" s="107">
        <f>INDEX(Pipes_result_save_V1!$K$2:$K$206,MATCH(Z210,Pipes_result_save_V1!$I$2:$I$206,0)) *POWER(10,-3)</f>
        <v>-1.9782709121704101E-2</v>
      </c>
      <c r="AN210" s="78">
        <v>4.0315823443348416E-3</v>
      </c>
      <c r="AO210" s="78">
        <v>-1.575112677736926E-2</v>
      </c>
      <c r="AU210">
        <v>13</v>
      </c>
      <c r="AV210">
        <v>36</v>
      </c>
      <c r="AW210" t="s">
        <v>540</v>
      </c>
      <c r="AX210" t="s">
        <v>297</v>
      </c>
      <c r="AY210" s="106" t="str">
        <f>INDEX(Pipes_result_save_V1!$G$2:$G$206,MATCH(AX210,Pipes_result_save_V1!$I$2:$I$206,0))</f>
        <v>N134</v>
      </c>
      <c r="AZ210" s="106" t="str">
        <f>INDEX(Pipes_result_save_V1!$H$2:$H$206,MATCH(AX210,Pipes_result_save_V1!$I$2:$I$206,0))</f>
        <v>N133</v>
      </c>
      <c r="BA210" s="106">
        <f t="shared" si="31"/>
        <v>1.2779109625727508E-4</v>
      </c>
      <c r="BB210">
        <v>300</v>
      </c>
      <c r="BC210">
        <v>150</v>
      </c>
      <c r="BD210">
        <v>133</v>
      </c>
      <c r="BE210">
        <v>46.687818723741124</v>
      </c>
      <c r="BF210">
        <v>3.5211178482065772E-2</v>
      </c>
      <c r="BG210">
        <v>9.4985208941741409E-2</v>
      </c>
      <c r="BH210">
        <v>4.9959306829137624</v>
      </c>
      <c r="BI210" s="107">
        <f>INDEX(Pipes_result_save_V1!$K$2:$K$206,MATCH(AX210,Pipes_result_save_V1!$I$2:$I$206,0)) *POWER(10,-3)</f>
        <v>3.558016419410706E-4</v>
      </c>
      <c r="BJ210" s="78">
        <v>5.8762851799060364E-3</v>
      </c>
      <c r="BK210" s="78">
        <v>-5.5204835379649656E-3</v>
      </c>
      <c r="BR210">
        <v>0</v>
      </c>
      <c r="BS210">
        <v>36</v>
      </c>
      <c r="BT210" t="s">
        <v>540</v>
      </c>
      <c r="BU210" t="s">
        <v>199</v>
      </c>
      <c r="BV210" s="106" t="str">
        <f>INDEX(Pipes_result_save_V1!$G$2:$G$206,MATCH(BU210,Pipes_result_save_V1!$I$2:$I$206,0))</f>
        <v>N85</v>
      </c>
      <c r="BW210" s="106" t="str">
        <f>INDEX(Pipes_result_save_V1!$H$2:$H$206,MATCH(BU210,Pipes_result_save_V1!$I$2:$I$206,0))</f>
        <v>N86</v>
      </c>
      <c r="BX210" s="106">
        <f t="shared" si="32"/>
        <v>7.7970670219312029E-3</v>
      </c>
      <c r="BY210">
        <v>400</v>
      </c>
      <c r="BZ210">
        <v>150</v>
      </c>
      <c r="CA210">
        <v>73</v>
      </c>
      <c r="CB210">
        <v>6.3110005366145119</v>
      </c>
      <c r="CC210">
        <v>-0.119923</v>
      </c>
      <c r="CD210">
        <v>-0.12422975194362795</v>
      </c>
      <c r="CE210">
        <v>1.9185102157184104</v>
      </c>
      <c r="CF210" s="107">
        <f>INDEX(Pipes_result_save_V1!$K$2:$K$206,MATCH(BU210,Pipes_result_save_V1!$I$2:$I$206,0)) *POWER(10,-3)</f>
        <v>1.9125244140625001E-2</v>
      </c>
      <c r="CG210" s="78">
        <v>6.12665318303862E-3</v>
      </c>
      <c r="CH210" s="78">
        <v>1.2998590957586381E-2</v>
      </c>
      <c r="CN210">
        <v>15</v>
      </c>
      <c r="CO210">
        <v>36</v>
      </c>
      <c r="CP210" t="s">
        <v>540</v>
      </c>
      <c r="CQ210" t="s">
        <v>119</v>
      </c>
      <c r="CR210" s="106" t="str">
        <f>INDEX(Pipes_result_save_V1!$G$2:$G$206,MATCH(CQ210,Pipes_result_save_V1!$I$2:$I$206,0))</f>
        <v>N65</v>
      </c>
      <c r="CS210" s="106" t="str">
        <f>INDEX(Pipes_result_save_V1!$H$2:$H$206,MATCH(CQ210,Pipes_result_save_V1!$I$2:$I$206,0))</f>
        <v>N64</v>
      </c>
      <c r="CT210" s="106">
        <f t="shared" si="33"/>
        <v>1.1244200044908184E-2</v>
      </c>
      <c r="CU210">
        <v>250</v>
      </c>
      <c r="CV210">
        <v>150</v>
      </c>
      <c r="CW210">
        <v>73</v>
      </c>
      <c r="CX210">
        <v>62.282588330910201</v>
      </c>
      <c r="CY210">
        <v>2.3580796114934299E-2</v>
      </c>
      <c r="CZ210">
        <v>6.0303834280463577E-2</v>
      </c>
      <c r="DA210">
        <v>4.7361717790641977</v>
      </c>
      <c r="DB210" s="107">
        <f>INDEX(Pipes_result_save_V1!$K$2:$K$206,MATCH(CQ210,Pipes_result_save_V1!$I$2:$I$206,0)) *POWER(10,-3)</f>
        <v>-1.9729291915893551E-2</v>
      </c>
      <c r="DC210" s="78">
        <v>5.4144210163477183E-3</v>
      </c>
      <c r="DD210" s="78">
        <v>-1.4314870899545834E-2</v>
      </c>
      <c r="DL210">
        <v>0</v>
      </c>
      <c r="DM210">
        <v>36</v>
      </c>
      <c r="DN210" t="s">
        <v>540</v>
      </c>
      <c r="DO210" t="s">
        <v>260</v>
      </c>
      <c r="DP210" s="106" t="str">
        <f>INDEX(Pipes_result_save_V1!$G$2:$G$206,MATCH(DO210,Pipes_result_save_V1!$I$2:$I$206,0))</f>
        <v>N109</v>
      </c>
      <c r="DQ210" s="106" t="str">
        <f>INDEX(Pipes_result_save_V1!$H$2:$H$206,MATCH(DO210,Pipes_result_save_V1!$I$2:$I$206,0))</f>
        <v>N110</v>
      </c>
      <c r="DR210" s="106">
        <f t="shared" si="34"/>
        <v>6.1557235818182801E-2</v>
      </c>
      <c r="DS210">
        <v>350</v>
      </c>
      <c r="DT210">
        <v>150</v>
      </c>
      <c r="DU210">
        <v>260</v>
      </c>
      <c r="DV210">
        <v>43.075217467173509</v>
      </c>
      <c r="DW210">
        <v>-8.3280000000000007E-2</v>
      </c>
      <c r="DX210">
        <v>-0.43158752767868452</v>
      </c>
      <c r="DY210">
        <v>9.5977437711446161</v>
      </c>
      <c r="DZ210" s="107">
        <f>INDEX(Pipes_result_save_V1!$K$2:$K$206,MATCH(DO210,Pipes_result_save_V1!$I$2:$I$206,0)) *POWER(10,-3)</f>
        <v>7.062176513671875E-2</v>
      </c>
      <c r="EA210" s="78">
        <v>6.4094585841618628E-3</v>
      </c>
      <c r="EB210" s="78">
        <v>6.4212306552556886E-2</v>
      </c>
    </row>
    <row r="211" spans="2:145" ht="30" x14ac:dyDescent="0.25">
      <c r="B211" s="106">
        <v>37</v>
      </c>
      <c r="C211" s="106" t="s">
        <v>539</v>
      </c>
      <c r="D211" s="106" t="s">
        <v>285</v>
      </c>
      <c r="E211" s="106" t="str">
        <f>INDEX(Pipes_result_save_V1!$G$2:$G$206,MATCH(D211,Pipes_result_save_V1!$I$2:$I$206,0))</f>
        <v>N159</v>
      </c>
      <c r="F211" s="106" t="str">
        <f>INDEX(Pipes_result_save_V1!$H$2:$H$206,MATCH(D211,Pipes_result_save_V1!$I$2:$I$206,0))</f>
        <v>N160</v>
      </c>
      <c r="G211" s="106">
        <f t="shared" si="29"/>
        <v>4.11390659501123E-3</v>
      </c>
      <c r="H211" s="107">
        <v>350</v>
      </c>
      <c r="I211" s="107">
        <v>150</v>
      </c>
      <c r="J211" s="107">
        <v>84</v>
      </c>
      <c r="K211" s="107">
        <v>13.916608720163751</v>
      </c>
      <c r="L211" s="107">
        <v>8.4000000000000005E-2</v>
      </c>
      <c r="M211" s="107">
        <v>0.14167677243743118</v>
      </c>
      <c r="N211" s="107">
        <v>3.1236355065966972</v>
      </c>
      <c r="O211" s="107">
        <f>INDEX(Pipes_result_save_V1!$K$2:$K$206,MATCH(D211,Pipes_result_save_V1!$I$2:$I$206,0)) *POWER(10,-3)</f>
        <v>-2.1637012481689449E-2</v>
      </c>
      <c r="P211" s="78">
        <v>5.9838715727968542E-3</v>
      </c>
      <c r="Q211" s="78">
        <v>-1.5653140908892596E-2</v>
      </c>
      <c r="R211" s="78"/>
      <c r="S211" s="78"/>
      <c r="T211" s="78"/>
      <c r="U211" s="78"/>
      <c r="V211" s="78"/>
      <c r="W211" s="78">
        <v>36</v>
      </c>
      <c r="X211" s="78">
        <v>37</v>
      </c>
      <c r="Y211" s="78" t="s">
        <v>540</v>
      </c>
      <c r="Z211" s="78" t="s">
        <v>429</v>
      </c>
      <c r="AA211" s="106" t="str">
        <f>INDEX(Pipes_result_save_V1!$G$2:$G$206,MATCH(Z211,Pipes_result_save_V1!$I$2:$I$206,0))</f>
        <v>N158</v>
      </c>
      <c r="AB211" s="106" t="str">
        <f>INDEX(Pipes_result_save_V1!$H$2:$H$206,MATCH(Z211,Pipes_result_save_V1!$I$2:$I$206,0))</f>
        <v>N159</v>
      </c>
      <c r="AC211" s="106">
        <f t="shared" si="30"/>
        <v>1.6112122485635583E-2</v>
      </c>
      <c r="AD211" s="78">
        <v>200</v>
      </c>
      <c r="AE211" s="78">
        <v>150</v>
      </c>
      <c r="AF211" s="78">
        <v>83</v>
      </c>
      <c r="AG211" s="78">
        <v>209.97643513669126</v>
      </c>
      <c r="AH211" s="78">
        <v>8.9596935076183562E-2</v>
      </c>
      <c r="AI211" s="78">
        <v>1</v>
      </c>
      <c r="AJ211" s="78">
        <v>-1</v>
      </c>
      <c r="AK211" s="78">
        <v>2.4088928286696114</v>
      </c>
      <c r="AL211">
        <v>49.792657694180491</v>
      </c>
      <c r="AM211" s="107">
        <f>INDEX(Pipes_result_save_V1!$K$2:$K$206,MATCH(Z211,Pipes_result_save_V1!$I$2:$I$206,0)) *POWER(10,-3)</f>
        <v>-2.06841869354248E-2</v>
      </c>
      <c r="AN211" s="78">
        <v>2.814923854076108E-3</v>
      </c>
      <c r="AO211" s="78">
        <v>-1.7869263081348691E-2</v>
      </c>
      <c r="AU211">
        <v>14</v>
      </c>
      <c r="AV211">
        <v>37</v>
      </c>
      <c r="AW211" t="s">
        <v>540</v>
      </c>
      <c r="AX211" t="s">
        <v>298</v>
      </c>
      <c r="AY211" s="106" t="str">
        <f>INDEX(Pipes_result_save_V1!$G$2:$G$206,MATCH(AX211,Pipes_result_save_V1!$I$2:$I$206,0))</f>
        <v>N135</v>
      </c>
      <c r="AZ211" s="106" t="str">
        <f>INDEX(Pipes_result_save_V1!$H$2:$H$206,MATCH(AX211,Pipes_result_save_V1!$I$2:$I$206,0))</f>
        <v>N134</v>
      </c>
      <c r="BA211" s="106">
        <f t="shared" si="31"/>
        <v>3.5322898625659177E-3</v>
      </c>
      <c r="BB211">
        <v>300</v>
      </c>
      <c r="BC211">
        <v>150</v>
      </c>
      <c r="BD211">
        <v>134</v>
      </c>
      <c r="BE211">
        <v>47.038854954746704</v>
      </c>
      <c r="BF211">
        <v>3.5211178482065772E-2</v>
      </c>
      <c r="BG211">
        <v>9.5699383445062791E-2</v>
      </c>
      <c r="BH211">
        <v>5.0334940715070999</v>
      </c>
      <c r="BI211" s="107">
        <f>INDEX(Pipes_result_save_V1!$K$2:$K$206,MATCH(AX211,Pipes_result_save_V1!$I$2:$I$206,0)) *POWER(10,-3)</f>
        <v>1.194517374038696E-3</v>
      </c>
      <c r="BJ211" s="78">
        <v>5.8390557936610311E-3</v>
      </c>
      <c r="BK211" s="78">
        <v>-4.6445384196223353E-3</v>
      </c>
      <c r="BR211">
        <v>0</v>
      </c>
      <c r="BS211">
        <v>37</v>
      </c>
      <c r="BT211" t="s">
        <v>540</v>
      </c>
      <c r="BU211" t="s">
        <v>198</v>
      </c>
      <c r="BV211" s="106" t="str">
        <f>INDEX(Pipes_result_save_V1!$G$2:$G$206,MATCH(BU211,Pipes_result_save_V1!$I$2:$I$206,0))</f>
        <v>N86</v>
      </c>
      <c r="BW211" s="106" t="str">
        <f>INDEX(Pipes_result_save_V1!$H$2:$H$206,MATCH(BU211,Pipes_result_save_V1!$I$2:$I$206,0))</f>
        <v>N87</v>
      </c>
      <c r="BX211" s="106">
        <f t="shared" si="32"/>
        <v>6.9973070209547825E-3</v>
      </c>
      <c r="BY211">
        <v>400</v>
      </c>
      <c r="BZ211">
        <v>150</v>
      </c>
      <c r="CA211">
        <v>77</v>
      </c>
      <c r="CB211">
        <v>6.6568087851961293</v>
      </c>
      <c r="CC211">
        <v>-0.119923</v>
      </c>
      <c r="CD211">
        <v>-0.13103686163916922</v>
      </c>
      <c r="CE211">
        <v>2.0236340631550358</v>
      </c>
      <c r="CF211" s="107">
        <f>INDEX(Pipes_result_save_V1!$K$2:$K$206,MATCH(BU211,Pipes_result_save_V1!$I$2:$I$206,0)) *POWER(10,-3)</f>
        <v>1.8269411087036131E-2</v>
      </c>
      <c r="CG211" s="78">
        <v>5.4780433752761645E-3</v>
      </c>
      <c r="CH211" s="78">
        <v>1.2791367711759967E-2</v>
      </c>
      <c r="CN211">
        <v>16</v>
      </c>
      <c r="CO211">
        <v>37</v>
      </c>
      <c r="CP211" t="s">
        <v>540</v>
      </c>
      <c r="CQ211" t="s">
        <v>120</v>
      </c>
      <c r="CR211" s="106" t="str">
        <f>INDEX(Pipes_result_save_V1!$G$2:$G$206,MATCH(CQ211,Pipes_result_save_V1!$I$2:$I$206,0))</f>
        <v>N66</v>
      </c>
      <c r="CS211" s="106" t="str">
        <f>INDEX(Pipes_result_save_V1!$H$2:$H$206,MATCH(CQ211,Pipes_result_save_V1!$I$2:$I$206,0))</f>
        <v>N65</v>
      </c>
      <c r="CT211" s="106">
        <f t="shared" si="33"/>
        <v>1.0854391405838555E-2</v>
      </c>
      <c r="CU211">
        <v>250</v>
      </c>
      <c r="CV211">
        <v>150</v>
      </c>
      <c r="CW211">
        <v>65</v>
      </c>
      <c r="CX211">
        <v>55.457099198755657</v>
      </c>
      <c r="CY211">
        <v>2.3580796114934299E-2</v>
      </c>
      <c r="CZ211">
        <v>5.3695194907262093E-2</v>
      </c>
      <c r="DA211">
        <v>4.2171392553311353</v>
      </c>
      <c r="DB211" s="107">
        <f>INDEX(Pipes_result_save_V1!$K$2:$K$206,MATCH(CQ211,Pipes_result_save_V1!$I$2:$I$206,0)) *POWER(10,-3)</f>
        <v>-1.8941926956176761E-2</v>
      </c>
      <c r="DC211" s="78">
        <v>5.8905627993842656E-3</v>
      </c>
      <c r="DD211" s="78">
        <v>-1.3051364156792495E-2</v>
      </c>
      <c r="DL211">
        <v>0</v>
      </c>
      <c r="DM211">
        <v>37</v>
      </c>
      <c r="DN211" t="s">
        <v>540</v>
      </c>
      <c r="DO211" t="s">
        <v>410</v>
      </c>
      <c r="DP211" s="106" t="str">
        <f>INDEX(Pipes_result_save_V1!$G$2:$G$206,MATCH(DO211,Pipes_result_save_V1!$I$2:$I$206,0))</f>
        <v>N110</v>
      </c>
      <c r="DQ211" s="106" t="str">
        <f>INDEX(Pipes_result_save_V1!$H$2:$H$206,MATCH(DO211,Pipes_result_save_V1!$I$2:$I$206,0))</f>
        <v>N121</v>
      </c>
      <c r="DR211" s="106">
        <f t="shared" si="34"/>
        <v>5.5805420826983101E-2</v>
      </c>
      <c r="DS211">
        <v>350</v>
      </c>
      <c r="DT211">
        <v>150</v>
      </c>
      <c r="DU211">
        <v>81</v>
      </c>
      <c r="DV211">
        <v>13.419586980157902</v>
      </c>
      <c r="DW211">
        <v>-8.3280000000000007E-2</v>
      </c>
      <c r="DX211">
        <v>-0.13445611439220556</v>
      </c>
      <c r="DY211">
        <v>2.9900663287027465</v>
      </c>
      <c r="DZ211" s="107">
        <f>INDEX(Pipes_result_save_V1!$K$2:$K$206,MATCH(DO211,Pipes_result_save_V1!$I$2:$I$206,0)) *POWER(10,-3)</f>
        <v>6.8676170349121102E-2</v>
      </c>
      <c r="EA211" s="78">
        <v>6.5900998131799863E-3</v>
      </c>
      <c r="EB211" s="78">
        <v>6.2086070535941118E-2</v>
      </c>
    </row>
    <row r="212" spans="2:145" ht="30" x14ac:dyDescent="0.25">
      <c r="B212" s="106">
        <v>38</v>
      </c>
      <c r="C212" s="106" t="s">
        <v>539</v>
      </c>
      <c r="D212" s="106" t="s">
        <v>284</v>
      </c>
      <c r="E212" s="106" t="str">
        <f>INDEX(Pipes_result_save_V1!$G$2:$G$206,MATCH(D212,Pipes_result_save_V1!$I$2:$I$206,0))</f>
        <v>N160</v>
      </c>
      <c r="F212" s="106" t="str">
        <f>INDEX(Pipes_result_save_V1!$H$2:$H$206,MATCH(D212,Pipes_result_save_V1!$I$2:$I$206,0))</f>
        <v>N161</v>
      </c>
      <c r="G212" s="106">
        <f t="shared" si="29"/>
        <v>2.7476875827474601E-3</v>
      </c>
      <c r="H212" s="107">
        <v>350</v>
      </c>
      <c r="I212" s="107">
        <v>150</v>
      </c>
      <c r="J212" s="107">
        <v>78</v>
      </c>
      <c r="K212" s="107">
        <v>12.922565240152053</v>
      </c>
      <c r="L212" s="107">
        <v>7.8E-2</v>
      </c>
      <c r="M212" s="107">
        <v>0.11468534822271816</v>
      </c>
      <c r="N212" s="107">
        <v>2.7230418578009496</v>
      </c>
      <c r="O212" s="107">
        <f>INDEX(Pipes_result_save_V1!$K$2:$K$206,MATCH(D212,Pipes_result_save_V1!$I$2:$I$206,0)) *POWER(10,-3)</f>
        <v>-2.2561313629150391E-2</v>
      </c>
      <c r="P212" s="78">
        <v>6.1283395102213912E-3</v>
      </c>
      <c r="Q212" s="78">
        <v>-1.6432974118929002E-2</v>
      </c>
      <c r="R212" s="78"/>
      <c r="S212" s="78"/>
      <c r="T212" s="78"/>
      <c r="U212" s="78"/>
      <c r="V212" s="78"/>
      <c r="W212" s="78">
        <v>37</v>
      </c>
      <c r="X212" s="78">
        <v>38</v>
      </c>
      <c r="Y212" s="78" t="s">
        <v>540</v>
      </c>
      <c r="Z212" s="78" t="s">
        <v>285</v>
      </c>
      <c r="AA212" s="106" t="str">
        <f>INDEX(Pipes_result_save_V1!$G$2:$G$206,MATCH(Z212,Pipes_result_save_V1!$I$2:$I$206,0))</f>
        <v>N159</v>
      </c>
      <c r="AB212" s="106" t="str">
        <f>INDEX(Pipes_result_save_V1!$H$2:$H$206,MATCH(Z212,Pipes_result_save_V1!$I$2:$I$206,0))</f>
        <v>N160</v>
      </c>
      <c r="AC212" s="106">
        <f t="shared" si="30"/>
        <v>1.2589199694397009E-2</v>
      </c>
      <c r="AD212" s="78">
        <v>200</v>
      </c>
      <c r="AE212" s="78">
        <v>150</v>
      </c>
      <c r="AF212" s="78">
        <v>84</v>
      </c>
      <c r="AG212" s="78">
        <v>212.50627170460322</v>
      </c>
      <c r="AH212" s="78">
        <v>9.0596935076183563E-2</v>
      </c>
      <c r="AI212" s="78">
        <v>1</v>
      </c>
      <c r="AJ212" s="78">
        <v>-1</v>
      </c>
      <c r="AK212" s="78">
        <v>2.4885476694281339</v>
      </c>
      <c r="AL212">
        <v>50.871370868179383</v>
      </c>
      <c r="AM212" s="107">
        <f>INDEX(Pipes_result_save_V1!$K$2:$K$206,MATCH(Z212,Pipes_result_save_V1!$I$2:$I$206,0)) *POWER(10,-3)</f>
        <v>-2.1637012481689449E-2</v>
      </c>
      <c r="AN212" s="78">
        <v>4.1937443302070467E-3</v>
      </c>
      <c r="AO212" s="78">
        <v>-1.7443268151482401E-2</v>
      </c>
      <c r="AU212">
        <v>9</v>
      </c>
      <c r="AX212" t="s">
        <v>380</v>
      </c>
      <c r="AY212" s="233"/>
      <c r="AZ212" s="233"/>
      <c r="BA212" s="233"/>
      <c r="BB212" s="233"/>
      <c r="BC212" s="233"/>
      <c r="BD212" s="233"/>
      <c r="BE212" s="233"/>
      <c r="BF212" s="233"/>
      <c r="BG212">
        <v>-1.2812965939244099</v>
      </c>
      <c r="BH212">
        <v>236.69611504233305</v>
      </c>
      <c r="BR212">
        <v>0</v>
      </c>
      <c r="BS212">
        <v>38</v>
      </c>
      <c r="BT212" t="s">
        <v>540</v>
      </c>
      <c r="BU212" t="s">
        <v>197</v>
      </c>
      <c r="BV212" s="106" t="str">
        <f>INDEX(Pipes_result_save_V1!$G$2:$G$206,MATCH(BU212,Pipes_result_save_V1!$I$2:$I$206,0))</f>
        <v>N87</v>
      </c>
      <c r="BW212" s="106" t="str">
        <f>INDEX(Pipes_result_save_V1!$H$2:$H$206,MATCH(BU212,Pipes_result_save_V1!$I$2:$I$206,0))</f>
        <v>N88</v>
      </c>
      <c r="BX212" s="106">
        <f t="shared" si="32"/>
        <v>8.3325347248910803E-3</v>
      </c>
      <c r="BY212">
        <v>400</v>
      </c>
      <c r="BZ212">
        <v>150</v>
      </c>
      <c r="CA212">
        <v>250</v>
      </c>
      <c r="CB212">
        <v>21.613015536351067</v>
      </c>
      <c r="CC212">
        <v>-0.119923</v>
      </c>
      <c r="CD212">
        <v>-0.42544435597132857</v>
      </c>
      <c r="CE212">
        <v>6.5702404647890766</v>
      </c>
      <c r="CF212" s="107">
        <f>INDEX(Pipes_result_save_V1!$K$2:$K$206,MATCH(BU212,Pipes_result_save_V1!$I$2:$I$206,0)) *POWER(10,-3)</f>
        <v>1.6403696060180661E-2</v>
      </c>
      <c r="CG212" s="78">
        <v>6.0888720627317316E-3</v>
      </c>
      <c r="CH212" s="78">
        <v>1.031482399744893E-2</v>
      </c>
      <c r="CN212">
        <v>17</v>
      </c>
      <c r="CO212">
        <v>38</v>
      </c>
      <c r="CP212" t="s">
        <v>540</v>
      </c>
      <c r="CQ212" t="s">
        <v>118</v>
      </c>
      <c r="CR212" s="106" t="str">
        <f>INDEX(Pipes_result_save_V1!$G$2:$G$206,MATCH(CQ212,Pipes_result_save_V1!$I$2:$I$206,0))</f>
        <v>N67</v>
      </c>
      <c r="CS212" s="106" t="str">
        <f>INDEX(Pipes_result_save_V1!$H$2:$H$206,MATCH(CQ212,Pipes_result_save_V1!$I$2:$I$206,0))</f>
        <v>N66</v>
      </c>
      <c r="CT212" s="106">
        <f t="shared" si="33"/>
        <v>6.1716577514044184E-3</v>
      </c>
      <c r="CU212">
        <v>250</v>
      </c>
      <c r="CV212">
        <v>150</v>
      </c>
      <c r="CW212">
        <v>45</v>
      </c>
      <c r="CX212">
        <v>38.393376368369303</v>
      </c>
      <c r="CY212">
        <v>2.3580796114934299E-2</v>
      </c>
      <c r="CZ212">
        <v>3.7173596474258372E-2</v>
      </c>
      <c r="DA212">
        <v>2.9195579459984784</v>
      </c>
      <c r="DB212" s="107">
        <f>INDEX(Pipes_result_save_V1!$K$2:$K$206,MATCH(CQ212,Pipes_result_save_V1!$I$2:$I$206,0)) *POWER(10,-3)</f>
        <v>-1.8314315795898442E-2</v>
      </c>
      <c r="DC212" s="78">
        <v>6.5811502898759523E-3</v>
      </c>
      <c r="DD212" s="78">
        <v>-1.173316550602249E-2</v>
      </c>
      <c r="DL212">
        <v>0</v>
      </c>
      <c r="DM212">
        <v>38</v>
      </c>
      <c r="DN212" t="s">
        <v>539</v>
      </c>
      <c r="DO212" t="s">
        <v>263</v>
      </c>
      <c r="DP212" s="106" t="str">
        <f>INDEX(Pipes_result_save_V1!$G$2:$G$206,MATCH(DO212,Pipes_result_save_V1!$I$2:$I$206,0))</f>
        <v>N112</v>
      </c>
      <c r="DQ212" s="106" t="str">
        <f>INDEX(Pipes_result_save_V1!$H$2:$H$206,MATCH(DO212,Pipes_result_save_V1!$I$2:$I$206,0))</f>
        <v>N111</v>
      </c>
      <c r="DR212" s="106">
        <f t="shared" si="34"/>
        <v>2.5927165947977919E-3</v>
      </c>
      <c r="DS212">
        <v>250</v>
      </c>
      <c r="DT212">
        <v>150</v>
      </c>
      <c r="DU212">
        <v>234</v>
      </c>
      <c r="DV212">
        <v>199.64555711552038</v>
      </c>
      <c r="DW212">
        <v>3.2837000000000005E-2</v>
      </c>
      <c r="DX212">
        <v>0.35691500121726061</v>
      </c>
      <c r="DY212">
        <v>20.12993215745551</v>
      </c>
      <c r="DZ212" s="107">
        <f>INDEX(Pipes_result_save_V1!$K$2:$K$206,MATCH(DO212,Pipes_result_save_V1!$I$2:$I$206,0)) *POWER(10,-3)</f>
        <v>-6.3918390274047849E-3</v>
      </c>
      <c r="EA212" s="78">
        <v>5.6339332133300106E-3</v>
      </c>
      <c r="EB212" s="78">
        <v>-7.5790581407477429E-4</v>
      </c>
    </row>
    <row r="213" spans="2:145" ht="30" x14ac:dyDescent="0.25">
      <c r="B213" s="106">
        <v>39</v>
      </c>
      <c r="C213" s="106" t="s">
        <v>539</v>
      </c>
      <c r="D213" s="106" t="s">
        <v>283</v>
      </c>
      <c r="E213" s="106" t="str">
        <f>INDEX(Pipes_result_save_V1!$G$2:$G$206,MATCH(D213,Pipes_result_save_V1!$I$2:$I$206,0))</f>
        <v>N161</v>
      </c>
      <c r="F213" s="106" t="str">
        <f>INDEX(Pipes_result_save_V1!$H$2:$H$206,MATCH(D213,Pipes_result_save_V1!$I$2:$I$206,0))</f>
        <v>N162</v>
      </c>
      <c r="G213" s="106">
        <f t="shared" si="29"/>
        <v>2.4049893589310409E-3</v>
      </c>
      <c r="H213" s="107">
        <v>466</v>
      </c>
      <c r="I213" s="107">
        <v>150</v>
      </c>
      <c r="J213" s="107">
        <v>151</v>
      </c>
      <c r="K213" s="107">
        <v>6.204099035985351</v>
      </c>
      <c r="L213" s="107">
        <v>0.151</v>
      </c>
      <c r="M213" s="107">
        <v>0.18713026311110245</v>
      </c>
      <c r="N213" s="107">
        <v>2.2951340879586879</v>
      </c>
      <c r="O213" s="107">
        <f>INDEX(Pipes_result_save_V1!$K$2:$K$206,MATCH(D213,Pipes_result_save_V1!$I$2:$I$206,0)) *POWER(10,-3)</f>
        <v>-2.3867883682250981E-2</v>
      </c>
      <c r="P213" s="78">
        <v>6.5314458135635354E-3</v>
      </c>
      <c r="Q213" s="78">
        <v>-1.7336437868687445E-2</v>
      </c>
      <c r="R213" s="78"/>
      <c r="S213" s="78"/>
      <c r="T213" s="78"/>
      <c r="U213" s="78"/>
      <c r="V213" s="78"/>
      <c r="W213" s="78">
        <v>38</v>
      </c>
      <c r="X213" s="78">
        <v>39</v>
      </c>
      <c r="Y213" s="78" t="s">
        <v>540</v>
      </c>
      <c r="Z213" s="78" t="s">
        <v>284</v>
      </c>
      <c r="AA213" s="106" t="str">
        <f>INDEX(Pipes_result_save_V1!$G$2:$G$206,MATCH(Z213,Pipes_result_save_V1!$I$2:$I$206,0))</f>
        <v>N160</v>
      </c>
      <c r="AB213" s="106" t="str">
        <f>INDEX(Pipes_result_save_V1!$H$2:$H$206,MATCH(Z213,Pipes_result_save_V1!$I$2:$I$206,0))</f>
        <v>N161</v>
      </c>
      <c r="AC213" s="106">
        <f t="shared" si="30"/>
        <v>1.736603009755798E-2</v>
      </c>
      <c r="AD213" s="78">
        <v>200</v>
      </c>
      <c r="AE213" s="78">
        <v>150</v>
      </c>
      <c r="AF213" s="78">
        <v>78</v>
      </c>
      <c r="AG213" s="78">
        <v>197.32725229713157</v>
      </c>
      <c r="AH213" s="78">
        <v>8.4596935076183558E-2</v>
      </c>
      <c r="AI213" s="78">
        <v>1</v>
      </c>
      <c r="AJ213" s="78">
        <v>-1</v>
      </c>
      <c r="AK213" s="78">
        <v>2.0353909603128959</v>
      </c>
      <c r="AL213">
        <v>44.558872671980723</v>
      </c>
      <c r="AM213" s="107">
        <f>INDEX(Pipes_result_save_V1!$K$2:$K$206,MATCH(Z213,Pipes_result_save_V1!$I$2:$I$206,0)) *POWER(10,-3)</f>
        <v>-2.2561313629150391E-2</v>
      </c>
      <c r="AN213" s="78">
        <v>5.5915740305501321E-4</v>
      </c>
      <c r="AO213" s="78">
        <v>-2.2002156226095377E-2</v>
      </c>
      <c r="AX213" t="s">
        <v>381</v>
      </c>
      <c r="AY213" s="233">
        <v>5.4132557000153986E-3</v>
      </c>
      <c r="AZ213" s="233"/>
      <c r="BA213" s="233"/>
      <c r="BB213" s="233"/>
      <c r="BC213" s="233"/>
      <c r="BD213" s="233"/>
      <c r="BE213" s="233"/>
      <c r="BF213" s="233"/>
      <c r="BG213" s="233"/>
      <c r="BH213" s="233"/>
      <c r="BR213">
        <v>0</v>
      </c>
      <c r="BS213">
        <v>39</v>
      </c>
      <c r="BT213" t="s">
        <v>540</v>
      </c>
      <c r="BU213" t="s">
        <v>196</v>
      </c>
      <c r="BV213" s="106" t="str">
        <f>INDEX(Pipes_result_save_V1!$G$2:$G$206,MATCH(BU213,Pipes_result_save_V1!$I$2:$I$206,0))</f>
        <v>N88</v>
      </c>
      <c r="BW213" s="106" t="str">
        <f>INDEX(Pipes_result_save_V1!$H$2:$H$206,MATCH(BU213,Pipes_result_save_V1!$I$2:$I$206,0))</f>
        <v>N89</v>
      </c>
      <c r="BX213" s="106">
        <f t="shared" si="32"/>
        <v>5.9643328863446541E-3</v>
      </c>
      <c r="BY213">
        <v>400</v>
      </c>
      <c r="BZ213">
        <v>150</v>
      </c>
      <c r="CA213">
        <v>63</v>
      </c>
      <c r="CB213">
        <v>5.4464799151604693</v>
      </c>
      <c r="CC213">
        <v>-0.119923</v>
      </c>
      <c r="CD213">
        <v>-0.10721197770477481</v>
      </c>
      <c r="CE213">
        <v>1.6557005971268473</v>
      </c>
      <c r="CF213" s="107">
        <f>INDEX(Pipes_result_save_V1!$K$2:$K$206,MATCH(BU213,Pipes_result_save_V1!$I$2:$I$206,0)) *POWER(10,-3)</f>
        <v>1.461785984039307E-2</v>
      </c>
      <c r="CG213" s="78">
        <v>5.6274837406080575E-3</v>
      </c>
      <c r="CH213" s="78">
        <v>8.9903760997850114E-3</v>
      </c>
      <c r="CN213">
        <v>18</v>
      </c>
      <c r="CO213">
        <v>39</v>
      </c>
      <c r="CP213" t="s">
        <v>540</v>
      </c>
      <c r="CQ213" t="s">
        <v>117</v>
      </c>
      <c r="CR213" s="106" t="str">
        <f>INDEX(Pipes_result_save_V1!$G$2:$G$206,MATCH(CQ213,Pipes_result_save_V1!$I$2:$I$206,0))</f>
        <v>N68</v>
      </c>
      <c r="CS213" s="106" t="str">
        <f>INDEX(Pipes_result_save_V1!$H$2:$H$206,MATCH(CQ213,Pipes_result_save_V1!$I$2:$I$206,0))</f>
        <v>N67</v>
      </c>
      <c r="CT213" s="106">
        <f t="shared" si="33"/>
        <v>7.9626094337517453E-3</v>
      </c>
      <c r="CU213">
        <v>250</v>
      </c>
      <c r="CV213">
        <v>150</v>
      </c>
      <c r="CW213">
        <v>100</v>
      </c>
      <c r="CX213">
        <v>85.318614151931783</v>
      </c>
      <c r="CY213">
        <v>2.3580796114934299E-2</v>
      </c>
      <c r="CZ213">
        <v>8.2607992165018601E-2</v>
      </c>
      <c r="DA213">
        <v>6.487906546663285</v>
      </c>
      <c r="DB213" s="107">
        <f>INDEX(Pipes_result_save_V1!$K$2:$K$206,MATCH(CQ213,Pipes_result_save_V1!$I$2:$I$206,0)) *POWER(10,-3)</f>
        <v>-1.748701095581055E-2</v>
      </c>
      <c r="DC213" s="78">
        <v>6.1188648398937239E-3</v>
      </c>
      <c r="DD213" s="78">
        <v>-1.1368146115916826E-2</v>
      </c>
      <c r="DL213">
        <v>0</v>
      </c>
      <c r="DM213">
        <v>39</v>
      </c>
      <c r="DN213" t="s">
        <v>539</v>
      </c>
      <c r="DO213" t="s">
        <v>264</v>
      </c>
      <c r="DP213" s="106" t="str">
        <f>INDEX(Pipes_result_save_V1!$G$2:$G$206,MATCH(DO213,Pipes_result_save_V1!$I$2:$I$206,0))</f>
        <v>N113</v>
      </c>
      <c r="DQ213" s="106" t="str">
        <f>INDEX(Pipes_result_save_V1!$H$2:$H$206,MATCH(DO213,Pipes_result_save_V1!$I$2:$I$206,0))</f>
        <v>N112</v>
      </c>
      <c r="DR213" s="106">
        <f t="shared" si="34"/>
        <v>2.026191610472208E-3</v>
      </c>
      <c r="DS213">
        <v>250</v>
      </c>
      <c r="DT213">
        <v>150</v>
      </c>
      <c r="DU213">
        <v>74</v>
      </c>
      <c r="DV213">
        <v>63.135774472429517</v>
      </c>
      <c r="DW213">
        <v>3.2837000000000005E-2</v>
      </c>
      <c r="DX213">
        <v>0.1128705559405012</v>
      </c>
      <c r="DY213">
        <v>6.3658759814175534</v>
      </c>
      <c r="DZ213" s="107">
        <f>INDEX(Pipes_result_save_V1!$K$2:$K$206,MATCH(DO213,Pipes_result_save_V1!$I$2:$I$206,0)) *POWER(10,-3)</f>
        <v>-4.6345300674438478E-3</v>
      </c>
      <c r="EA213" s="78">
        <v>6.322056607243034E-3</v>
      </c>
      <c r="EB213" s="78">
        <v>1.6875265397991862E-3</v>
      </c>
    </row>
    <row r="214" spans="2:145" ht="30" x14ac:dyDescent="0.25">
      <c r="B214" s="106">
        <v>40</v>
      </c>
      <c r="C214" s="106" t="s">
        <v>539</v>
      </c>
      <c r="D214" s="106" t="s">
        <v>280</v>
      </c>
      <c r="E214" s="106" t="str">
        <f>INDEX(Pipes_result_save_V1!$G$2:$G$206,MATCH(D214,Pipes_result_save_V1!$I$2:$I$206,0))</f>
        <v>N162</v>
      </c>
      <c r="F214" s="106" t="str">
        <f>INDEX(Pipes_result_save_V1!$H$2:$H$206,MATCH(D214,Pipes_result_save_V1!$I$2:$I$206,0))</f>
        <v>N163</v>
      </c>
      <c r="G214" s="106">
        <f t="shared" si="29"/>
        <v>2.4007604242235366E-3</v>
      </c>
      <c r="H214" s="107">
        <v>300</v>
      </c>
      <c r="I214" s="107">
        <v>150</v>
      </c>
      <c r="J214" s="107">
        <v>54</v>
      </c>
      <c r="K214" s="107">
        <v>18.955956474300912</v>
      </c>
      <c r="L214" s="107">
        <v>5.3999999999999999E-2</v>
      </c>
      <c r="M214" s="107">
        <v>8.5141039063695509E-2</v>
      </c>
      <c r="N214" s="107">
        <v>2.9200223027030376</v>
      </c>
      <c r="O214" s="107">
        <f>INDEX(Pipes_result_save_V1!$K$2:$K$206,MATCH(D214,Pipes_result_save_V1!$I$2:$I$206,0)) *POWER(10,-3)</f>
        <v>-2.5037521362304693E-2</v>
      </c>
      <c r="P214" s="78">
        <v>5.4713251562226988E-3</v>
      </c>
      <c r="Q214" s="78">
        <v>-1.9566196206081993E-2</v>
      </c>
      <c r="R214" s="78"/>
      <c r="S214" s="78"/>
      <c r="T214" s="78"/>
      <c r="U214" s="78"/>
      <c r="V214" s="78"/>
      <c r="W214" s="78">
        <v>39</v>
      </c>
      <c r="X214" s="78">
        <v>40</v>
      </c>
      <c r="Y214" s="78" t="s">
        <v>540</v>
      </c>
      <c r="Z214" s="78" t="s">
        <v>283</v>
      </c>
      <c r="AA214" s="106" t="str">
        <f>INDEX(Pipes_result_save_V1!$G$2:$G$206,MATCH(Z214,Pipes_result_save_V1!$I$2:$I$206,0))</f>
        <v>N161</v>
      </c>
      <c r="AB214" s="106" t="str">
        <f>INDEX(Pipes_result_save_V1!$H$2:$H$206,MATCH(Z214,Pipes_result_save_V1!$I$2:$I$206,0))</f>
        <v>N162</v>
      </c>
      <c r="AC214" s="106">
        <f t="shared" si="30"/>
        <v>1.9434954817451989E-2</v>
      </c>
      <c r="AD214" s="78">
        <v>200</v>
      </c>
      <c r="AE214" s="78">
        <v>150</v>
      </c>
      <c r="AF214" s="78">
        <v>151</v>
      </c>
      <c r="AG214" s="78">
        <v>382.0053217547034</v>
      </c>
      <c r="AH214" s="78">
        <v>0.15759693507618355</v>
      </c>
      <c r="AI214" s="78">
        <v>1</v>
      </c>
      <c r="AJ214" s="78">
        <v>-1</v>
      </c>
      <c r="AK214" s="78">
        <v>12.471763818331654</v>
      </c>
      <c r="AL214">
        <v>146.56190223740467</v>
      </c>
      <c r="AM214" s="107">
        <f>INDEX(Pipes_result_save_V1!$K$2:$K$206,MATCH(Z214,Pipes_result_save_V1!$I$2:$I$206,0)) *POWER(10,-3)</f>
        <v>-2.3867883682250981E-2</v>
      </c>
      <c r="AN214" s="78">
        <v>2.4399633518748689E-3</v>
      </c>
      <c r="AO214" s="78">
        <v>-2.1427920330376111E-2</v>
      </c>
      <c r="BR214">
        <v>0</v>
      </c>
      <c r="BS214">
        <v>40</v>
      </c>
      <c r="BT214" t="s">
        <v>540</v>
      </c>
      <c r="BU214" t="s">
        <v>195</v>
      </c>
      <c r="BV214" s="106" t="str">
        <f>INDEX(Pipes_result_save_V1!$G$2:$G$206,MATCH(BU214,Pipes_result_save_V1!$I$2:$I$206,0))</f>
        <v>N89</v>
      </c>
      <c r="BW214" s="106" t="str">
        <f>INDEX(Pipes_result_save_V1!$H$2:$H$206,MATCH(BU214,Pipes_result_save_V1!$I$2:$I$206,0))</f>
        <v>N90</v>
      </c>
      <c r="BX214" s="106">
        <f t="shared" si="32"/>
        <v>3.4836224920138693E-3</v>
      </c>
      <c r="BY214">
        <v>400</v>
      </c>
      <c r="BZ214">
        <v>150</v>
      </c>
      <c r="CA214">
        <v>41</v>
      </c>
      <c r="CB214">
        <v>3.5445345479615753</v>
      </c>
      <c r="CC214">
        <v>-0.119923</v>
      </c>
      <c r="CD214">
        <v>-6.9772874379297897E-2</v>
      </c>
      <c r="CE214">
        <v>1.0775194362254086</v>
      </c>
      <c r="CF214" s="107">
        <f>INDEX(Pipes_result_save_V1!$K$2:$K$206,MATCH(BU214,Pipes_result_save_V1!$I$2:$I$206,0)) *POWER(10,-3)</f>
        <v>1.402448272705078E-2</v>
      </c>
      <c r="CG214" s="78">
        <v>5.8155244189792895E-3</v>
      </c>
      <c r="CH214" s="78">
        <v>8.2089583080714908E-3</v>
      </c>
      <c r="CN214">
        <v>19</v>
      </c>
      <c r="CO214">
        <v>40</v>
      </c>
      <c r="CP214" t="s">
        <v>540</v>
      </c>
      <c r="CQ214" t="s">
        <v>116</v>
      </c>
      <c r="CR214" s="106" t="str">
        <f>INDEX(Pipes_result_save_V1!$G$2:$G$206,MATCH(CQ214,Pipes_result_save_V1!$I$2:$I$206,0))</f>
        <v>N69</v>
      </c>
      <c r="CS214" s="106" t="str">
        <f>INDEX(Pipes_result_save_V1!$H$2:$H$206,MATCH(CQ214,Pipes_result_save_V1!$I$2:$I$206,0))</f>
        <v>N68</v>
      </c>
      <c r="CT214" s="106">
        <f t="shared" si="33"/>
        <v>3.456732258007857E-3</v>
      </c>
      <c r="CU214">
        <v>250</v>
      </c>
      <c r="CV214">
        <v>150</v>
      </c>
      <c r="CW214">
        <v>202</v>
      </c>
      <c r="CX214">
        <v>172.3436005869022</v>
      </c>
      <c r="CY214">
        <v>2.3579796114934291E-2</v>
      </c>
      <c r="CZ214">
        <v>0.1668550388388729</v>
      </c>
      <c r="DA214">
        <v>13.105097704126349</v>
      </c>
      <c r="DB214" s="107">
        <f>INDEX(Pipes_result_save_V1!$K$2:$K$206,MATCH(CQ214,Pipes_result_save_V1!$I$2:$I$206,0)) *POWER(10,-3)</f>
        <v>-1.5763935089111329E-2</v>
      </c>
      <c r="DC214" s="78">
        <v>6.1704841590305539E-3</v>
      </c>
      <c r="DD214" s="78">
        <v>-9.5934509300807762E-3</v>
      </c>
      <c r="DL214">
        <v>0</v>
      </c>
      <c r="DM214">
        <v>40</v>
      </c>
      <c r="DN214" t="s">
        <v>539</v>
      </c>
      <c r="DO214" t="s">
        <v>266</v>
      </c>
      <c r="DP214" s="106" t="str">
        <f>INDEX(Pipes_result_save_V1!$G$2:$G$206,MATCH(DO214,Pipes_result_save_V1!$I$2:$I$206,0))</f>
        <v>N114</v>
      </c>
      <c r="DQ214" s="106" t="str">
        <f>INDEX(Pipes_result_save_V1!$H$2:$H$206,MATCH(DO214,Pipes_result_save_V1!$I$2:$I$206,0))</f>
        <v>N113</v>
      </c>
      <c r="DR214" s="106">
        <f t="shared" si="34"/>
        <v>2.6785960308894703E-3</v>
      </c>
      <c r="DS214">
        <v>250</v>
      </c>
      <c r="DT214">
        <v>150</v>
      </c>
      <c r="DU214">
        <v>79</v>
      </c>
      <c r="DV214">
        <v>67.401705180026113</v>
      </c>
      <c r="DW214">
        <v>3.2837000000000005E-2</v>
      </c>
      <c r="DX214">
        <v>0.12049694485539995</v>
      </c>
      <c r="DY214">
        <v>6.7960027369187399</v>
      </c>
      <c r="DZ214" s="107">
        <f>INDEX(Pipes_result_save_V1!$K$2:$K$206,MATCH(DO214,Pipes_result_save_V1!$I$2:$I$206,0)) *POWER(10,-3)</f>
        <v>-3.761581182479858E-3</v>
      </c>
      <c r="EA214" s="78">
        <v>5.3573692531348055E-3</v>
      </c>
      <c r="EB214" s="78">
        <v>1.5957880706549475E-3</v>
      </c>
    </row>
    <row r="215" spans="2:145" ht="30" x14ac:dyDescent="0.25">
      <c r="B215" s="106">
        <v>41</v>
      </c>
      <c r="C215" s="106" t="s">
        <v>539</v>
      </c>
      <c r="D215" s="106" t="s">
        <v>282</v>
      </c>
      <c r="E215" s="106" t="str">
        <f>INDEX(Pipes_result_save_V1!$G$2:$G$206,MATCH(D215,Pipes_result_save_V1!$I$2:$I$206,0))</f>
        <v>N163</v>
      </c>
      <c r="F215" s="106" t="str">
        <f>INDEX(Pipes_result_save_V1!$H$2:$H$206,MATCH(D215,Pipes_result_save_V1!$I$2:$I$206,0))</f>
        <v>N164</v>
      </c>
      <c r="G215" s="106">
        <f t="shared" si="29"/>
        <v>4.2083971090502133E-3</v>
      </c>
      <c r="H215" s="107">
        <v>250</v>
      </c>
      <c r="I215" s="107">
        <v>150</v>
      </c>
      <c r="J215" s="107">
        <v>35</v>
      </c>
      <c r="K215" s="107">
        <v>29.861514953176123</v>
      </c>
      <c r="L215" s="107">
        <v>3.5000000000000003E-2</v>
      </c>
      <c r="M215" s="107">
        <v>6.0079437098534257E-2</v>
      </c>
      <c r="N215" s="107">
        <v>3.1790605001852987</v>
      </c>
      <c r="O215" s="107">
        <f>INDEX(Pipes_result_save_V1!$K$2:$K$206,MATCH(D215,Pipes_result_save_V1!$I$2:$I$206,0)) *POWER(10,-3)</f>
        <v>-2.5545314788818361E-2</v>
      </c>
      <c r="P215" s="78">
        <v>5.8142214698149782E-3</v>
      </c>
      <c r="Q215" s="78">
        <v>-1.9731093319003384E-2</v>
      </c>
      <c r="R215" s="78"/>
      <c r="S215" s="78"/>
      <c r="T215" s="78"/>
      <c r="U215" s="78"/>
      <c r="V215" s="78"/>
      <c r="W215" s="78">
        <v>40</v>
      </c>
      <c r="X215" s="78">
        <v>41</v>
      </c>
      <c r="Y215" s="78" t="s">
        <v>540</v>
      </c>
      <c r="Z215" s="78" t="s">
        <v>280</v>
      </c>
      <c r="AA215" s="106" t="str">
        <f>INDEX(Pipes_result_save_V1!$G$2:$G$206,MATCH(Z215,Pipes_result_save_V1!$I$2:$I$206,0))</f>
        <v>N162</v>
      </c>
      <c r="AB215" s="106" t="str">
        <f>INDEX(Pipes_result_save_V1!$H$2:$H$206,MATCH(Z215,Pipes_result_save_V1!$I$2:$I$206,0))</f>
        <v>N163</v>
      </c>
      <c r="AC215" s="106">
        <f t="shared" si="30"/>
        <v>2.0299806896320896E-2</v>
      </c>
      <c r="AD215" s="78">
        <v>200</v>
      </c>
      <c r="AE215" s="78">
        <v>150</v>
      </c>
      <c r="AF215" s="78">
        <v>54</v>
      </c>
      <c r="AG215" s="78">
        <v>136.61117466724494</v>
      </c>
      <c r="AH215" s="78">
        <v>6.059693507618355E-2</v>
      </c>
      <c r="AI215" s="78">
        <v>1</v>
      </c>
      <c r="AJ215" s="78">
        <v>-1</v>
      </c>
      <c r="AK215" s="78">
        <v>0.75959980646985081</v>
      </c>
      <c r="AL215">
        <v>23.215346449676638</v>
      </c>
      <c r="AM215" s="107">
        <f>INDEX(Pipes_result_save_V1!$K$2:$K$206,MATCH(Z215,Pipes_result_save_V1!$I$2:$I$206,0)) *POWER(10,-3)</f>
        <v>-2.5037521362304693E-2</v>
      </c>
      <c r="AN215" s="78">
        <v>2.1572128217552228E-3</v>
      </c>
      <c r="AO215" s="78">
        <v>-2.2880308540549472E-2</v>
      </c>
      <c r="BR215">
        <v>0</v>
      </c>
      <c r="BS215">
        <v>41</v>
      </c>
      <c r="BT215" t="s">
        <v>540</v>
      </c>
      <c r="BU215" t="s">
        <v>194</v>
      </c>
      <c r="BV215" s="106" t="str">
        <f>INDEX(Pipes_result_save_V1!$G$2:$G$206,MATCH(BU215,Pipes_result_save_V1!$I$2:$I$206,0))</f>
        <v>N90</v>
      </c>
      <c r="BW215" s="106" t="str">
        <f>INDEX(Pipes_result_save_V1!$H$2:$H$206,MATCH(BU215,Pipes_result_save_V1!$I$2:$I$206,0))</f>
        <v>N91</v>
      </c>
      <c r="BX215" s="106">
        <f t="shared" si="32"/>
        <v>2.4069547139543637E-3</v>
      </c>
      <c r="BY215">
        <v>400</v>
      </c>
      <c r="BZ215">
        <v>150</v>
      </c>
      <c r="CA215">
        <v>201</v>
      </c>
      <c r="CB215">
        <v>17.376864491226261</v>
      </c>
      <c r="CC215">
        <v>-0.119923</v>
      </c>
      <c r="CD215">
        <v>-0.34205726220094823</v>
      </c>
      <c r="CE215">
        <v>5.2824733336904179</v>
      </c>
      <c r="CF215" s="107">
        <f>INDEX(Pipes_result_save_V1!$K$2:$K$206,MATCH(BU215,Pipes_result_save_V1!$I$2:$I$206,0)) *POWER(10,-3)</f>
        <v>1.264373970031738E-2</v>
      </c>
      <c r="CG215" s="78">
        <v>5.4720869442523943E-3</v>
      </c>
      <c r="CH215" s="78">
        <v>7.1716527560649855E-3</v>
      </c>
      <c r="CN215">
        <v>0</v>
      </c>
      <c r="CO215">
        <v>41</v>
      </c>
      <c r="CP215" t="s">
        <v>539</v>
      </c>
      <c r="CQ215" t="s">
        <v>417</v>
      </c>
      <c r="CR215" s="106" t="str">
        <f>INDEX(Pipes_result_save_V1!$G$2:$G$206,MATCH(CQ215,Pipes_result_save_V1!$I$2:$I$206,0))</f>
        <v>R2</v>
      </c>
      <c r="CS215" s="106" t="str">
        <f>INDEX(Pipes_result_save_V1!$H$2:$H$206,MATCH(CQ215,Pipes_result_save_V1!$I$2:$I$206,0))</f>
        <v>N41</v>
      </c>
      <c r="CT215" s="106">
        <f t="shared" si="33"/>
        <v>8.6925643734511754E-2</v>
      </c>
      <c r="CU215">
        <v>400</v>
      </c>
      <c r="CV215">
        <v>150</v>
      </c>
      <c r="CW215">
        <v>9</v>
      </c>
      <c r="CX215">
        <v>0.7780685593086385</v>
      </c>
      <c r="CY215">
        <v>9.851E-2</v>
      </c>
      <c r="CZ215">
        <v>1.0640043839006231E-2</v>
      </c>
      <c r="DA215">
        <v>0.20003412029072726</v>
      </c>
      <c r="DB215" s="107">
        <v>8.6925643734511754E-2</v>
      </c>
      <c r="DC215" s="78">
        <v>6.5493759904765017E-3</v>
      </c>
      <c r="DD215" s="107">
        <v>8.6925643734511754E-2</v>
      </c>
      <c r="DL215">
        <v>0</v>
      </c>
      <c r="DM215">
        <v>41</v>
      </c>
      <c r="DN215" t="s">
        <v>539</v>
      </c>
      <c r="DO215" t="s">
        <v>276</v>
      </c>
      <c r="DP215" s="106" t="str">
        <f>INDEX(Pipes_result_save_V1!$G$2:$G$206,MATCH(DO215,Pipes_result_save_V1!$I$2:$I$206,0))</f>
        <v>N115</v>
      </c>
      <c r="DQ215" s="106" t="str">
        <f>INDEX(Pipes_result_save_V1!$H$2:$H$206,MATCH(DO215,Pipes_result_save_V1!$I$2:$I$206,0))</f>
        <v>N114</v>
      </c>
      <c r="DR215" s="106">
        <f t="shared" si="34"/>
        <v>1.2449295073102503E-3</v>
      </c>
      <c r="DS215">
        <v>250</v>
      </c>
      <c r="DT215">
        <v>150</v>
      </c>
      <c r="DU215">
        <v>241</v>
      </c>
      <c r="DV215">
        <v>205.6178601061556</v>
      </c>
      <c r="DW215">
        <v>3.2837000000000005E-2</v>
      </c>
      <c r="DX215">
        <v>0.36759194569811882</v>
      </c>
      <c r="DY215">
        <v>20.732109615157171</v>
      </c>
      <c r="DZ215" s="107">
        <f>INDEX(Pipes_result_save_V1!$K$2:$K$206,MATCH(DO215,Pipes_result_save_V1!$I$2:$I$206,0)) *POWER(10,-3)</f>
        <v>-1.935805678367615E-3</v>
      </c>
      <c r="EA215" s="78">
        <v>5.8139980983665986E-3</v>
      </c>
      <c r="EB215" s="78">
        <v>3.8781924199989834E-3</v>
      </c>
    </row>
    <row r="216" spans="2:145" ht="30" x14ac:dyDescent="0.25">
      <c r="B216" s="106">
        <v>42</v>
      </c>
      <c r="C216" s="106" t="s">
        <v>539</v>
      </c>
      <c r="D216" s="106" t="s">
        <v>430</v>
      </c>
      <c r="E216" s="106" t="str">
        <f>INDEX(Pipes_result_save_V1!$G$2:$G$206,MATCH(D216,Pipes_result_save_V1!$I$2:$I$206,0))</f>
        <v>N164</v>
      </c>
      <c r="F216" s="106" t="str">
        <f>INDEX(Pipes_result_save_V1!$H$2:$H$206,MATCH(D216,Pipes_result_save_V1!$I$2:$I$206,0))</f>
        <v>N165</v>
      </c>
      <c r="G216" s="106">
        <f t="shared" si="29"/>
        <v>7.6131039060826191E-3</v>
      </c>
      <c r="H216" s="107">
        <v>350</v>
      </c>
      <c r="I216" s="107">
        <v>150</v>
      </c>
      <c r="J216" s="107">
        <v>88</v>
      </c>
      <c r="K216" s="107">
        <v>14.579304373504881</v>
      </c>
      <c r="L216" s="107">
        <v>8.7999999999999995E-2</v>
      </c>
      <c r="M216" s="107">
        <v>0.16177772046556005</v>
      </c>
      <c r="N216" s="107">
        <v>3.4046856625251967</v>
      </c>
      <c r="O216" s="107">
        <f>INDEX(Pipes_result_save_V1!$K$2:$K$206,MATCH(D216,Pipes_result_save_V1!$I$2:$I$206,0)) *POWER(10,-3)</f>
        <v>-2.624709701538086E-2</v>
      </c>
      <c r="P216" s="78">
        <v>5.1295262473634706E-3</v>
      </c>
      <c r="Q216" s="78">
        <v>-2.1117570768017388E-2</v>
      </c>
      <c r="R216" s="78"/>
      <c r="S216" s="78"/>
      <c r="T216" s="78"/>
      <c r="U216" s="78"/>
      <c r="V216" s="78"/>
      <c r="W216" s="78">
        <v>41</v>
      </c>
      <c r="X216" s="78">
        <v>42</v>
      </c>
      <c r="Y216" s="78" t="s">
        <v>540</v>
      </c>
      <c r="Z216" s="78" t="s">
        <v>282</v>
      </c>
      <c r="AA216" s="106" t="str">
        <f>INDEX(Pipes_result_save_V1!$G$2:$G$206,MATCH(Z216,Pipes_result_save_V1!$I$2:$I$206,0))</f>
        <v>N163</v>
      </c>
      <c r="AB216" s="106" t="str">
        <f>INDEX(Pipes_result_save_V1!$H$2:$H$206,MATCH(Z216,Pipes_result_save_V1!$I$2:$I$206,0))</f>
        <v>N164</v>
      </c>
      <c r="AC216" s="106">
        <f t="shared" si="30"/>
        <v>1.4737859875302411E-2</v>
      </c>
      <c r="AD216" s="78">
        <v>200</v>
      </c>
      <c r="AE216" s="78">
        <v>150</v>
      </c>
      <c r="AF216" s="78">
        <v>35</v>
      </c>
      <c r="AG216" s="78">
        <v>88.544279876918011</v>
      </c>
      <c r="AH216" s="78">
        <v>4.1596935076183561E-2</v>
      </c>
      <c r="AI216" s="78">
        <v>1</v>
      </c>
      <c r="AJ216" s="78">
        <v>-1</v>
      </c>
      <c r="AK216" s="78">
        <v>0.24527997752358771</v>
      </c>
      <c r="AL216">
        <v>10.920480500347525</v>
      </c>
      <c r="AM216" s="107">
        <f>INDEX(Pipes_result_save_V1!$K$2:$K$206,MATCH(Z216,Pipes_result_save_V1!$I$2:$I$206,0)) *POWER(10,-3)</f>
        <v>-2.5545314788818361E-2</v>
      </c>
      <c r="AN216" s="78">
        <v>4.4473267180016995E-3</v>
      </c>
      <c r="AO216" s="78">
        <v>-2.1097988070816663E-2</v>
      </c>
      <c r="BR216">
        <v>0</v>
      </c>
      <c r="BS216">
        <v>42</v>
      </c>
      <c r="BT216" t="s">
        <v>540</v>
      </c>
      <c r="BU216" t="s">
        <v>425</v>
      </c>
      <c r="BV216" s="106" t="str">
        <f>INDEX(Pipes_result_save_V1!$G$2:$G$206,MATCH(BU216,Pipes_result_save_V1!$I$2:$I$206,0))</f>
        <v>N91</v>
      </c>
      <c r="BW216" s="106" t="str">
        <f>INDEX(Pipes_result_save_V1!$H$2:$H$206,MATCH(BU216,Pipes_result_save_V1!$I$2:$I$206,0))</f>
        <v>N92</v>
      </c>
      <c r="BX216" s="106">
        <f t="shared" si="32"/>
        <v>2.2673251344828373E-3</v>
      </c>
      <c r="BY216">
        <v>400</v>
      </c>
      <c r="BZ216">
        <v>150</v>
      </c>
      <c r="CA216">
        <v>129</v>
      </c>
      <c r="CB216">
        <v>11.152316016757153</v>
      </c>
      <c r="CC216">
        <v>-0.119923</v>
      </c>
      <c r="CD216">
        <v>-0.21952928768120558</v>
      </c>
      <c r="CE216">
        <v>3.3902440798311639</v>
      </c>
      <c r="CF216" s="107">
        <f>INDEX(Pipes_result_save_V1!$K$2:$K$206,MATCH(BU216,Pipes_result_save_V1!$I$2:$I$206,0)) *POWER(10,-3)</f>
        <v>1.0760909080505369E-2</v>
      </c>
      <c r="CG216" s="78">
        <v>6.3134524301300537E-3</v>
      </c>
      <c r="CH216" s="78">
        <v>4.447456650375315E-3</v>
      </c>
      <c r="CQ216" t="s">
        <v>380</v>
      </c>
      <c r="CZ216">
        <v>2.2952384014795748</v>
      </c>
      <c r="DA216">
        <v>198.13258060074335</v>
      </c>
      <c r="DL216">
        <v>0</v>
      </c>
      <c r="DM216">
        <v>42</v>
      </c>
      <c r="DN216" t="s">
        <v>539</v>
      </c>
      <c r="DO216" t="s">
        <v>316</v>
      </c>
      <c r="DP216" s="106" t="str">
        <f>INDEX(Pipes_result_save_V1!$G$2:$G$206,MATCH(DO216,Pipes_result_save_V1!$I$2:$I$206,0))</f>
        <v>N116</v>
      </c>
      <c r="DQ216" s="106" t="str">
        <f>INDEX(Pipes_result_save_V1!$H$2:$H$206,MATCH(DO216,Pipes_result_save_V1!$I$2:$I$206,0))</f>
        <v>N115</v>
      </c>
      <c r="DR216" s="106">
        <f t="shared" si="34"/>
        <v>1.0234489265332092E-4</v>
      </c>
      <c r="DS216">
        <v>250</v>
      </c>
      <c r="DT216">
        <v>150</v>
      </c>
      <c r="DU216">
        <v>61</v>
      </c>
      <c r="DV216">
        <v>52.044354632678385</v>
      </c>
      <c r="DW216">
        <v>3.2837000000000005E-2</v>
      </c>
      <c r="DX216">
        <v>9.30419447617645E-2</v>
      </c>
      <c r="DY216">
        <v>5.2475464171144699</v>
      </c>
      <c r="DZ216" s="107">
        <f>INDEX(Pipes_result_save_V1!$K$2:$K$206,MATCH(DO216,Pipes_result_save_V1!$I$2:$I$206,0)) *POWER(10,-3)</f>
        <v>-2.1272979676723481E-4</v>
      </c>
      <c r="EA216" s="78">
        <v>6.5067774447843396E-3</v>
      </c>
      <c r="EB216" s="78">
        <v>6.2940476480171049E-3</v>
      </c>
    </row>
    <row r="217" spans="2:145" ht="30" x14ac:dyDescent="0.25">
      <c r="B217" s="106">
        <v>43</v>
      </c>
      <c r="C217" s="106" t="s">
        <v>540</v>
      </c>
      <c r="D217" s="106" t="s">
        <v>252</v>
      </c>
      <c r="E217" s="106" t="str">
        <f>INDEX(Pipes_result_save_V1!$G$2:$G$206,MATCH(D217,Pipes_result_save_V1!$I$2:$I$206,0))</f>
        <v>N166</v>
      </c>
      <c r="F217" s="106" t="str">
        <f>INDEX(Pipes_result_save_V1!$H$2:$H$206,MATCH(D217,Pipes_result_save_V1!$I$2:$I$206,0))</f>
        <v>N167</v>
      </c>
      <c r="G217" s="106">
        <f t="shared" si="29"/>
        <v>3.045157985819091E-3</v>
      </c>
      <c r="H217" s="107">
        <v>565</v>
      </c>
      <c r="I217" s="107">
        <v>150</v>
      </c>
      <c r="J217" s="107">
        <v>230</v>
      </c>
      <c r="K217" s="107">
        <v>3.6975105465835916</v>
      </c>
      <c r="L217" s="107">
        <v>-0.23</v>
      </c>
      <c r="M217" s="107">
        <v>-0.24312486288101076</v>
      </c>
      <c r="N217" s="107">
        <v>1.9576836785027469</v>
      </c>
      <c r="O217" s="107">
        <f>INDEX(Pipes_result_save_V1!$K$2:$K$206,MATCH(D217,Pipes_result_save_V1!$I$2:$I$206,0)) *POWER(10,-3)</f>
        <v>1.17913990020752E-2</v>
      </c>
      <c r="P217" s="78">
        <v>6.070937579094801E-3</v>
      </c>
      <c r="Q217" s="78">
        <v>5.7204614229803994E-3</v>
      </c>
      <c r="R217" s="78"/>
      <c r="S217" s="78"/>
      <c r="T217" s="78"/>
      <c r="U217" s="78"/>
      <c r="V217" s="78"/>
      <c r="W217" s="78">
        <v>42</v>
      </c>
      <c r="X217" s="78">
        <v>43</v>
      </c>
      <c r="Y217" s="78" t="s">
        <v>540</v>
      </c>
      <c r="Z217" s="78" t="s">
        <v>430</v>
      </c>
      <c r="AA217" s="106" t="str">
        <f>INDEX(Pipes_result_save_V1!$G$2:$G$206,MATCH(Z217,Pipes_result_save_V1!$I$2:$I$206,0))</f>
        <v>N164</v>
      </c>
      <c r="AB217" s="106" t="str">
        <f>INDEX(Pipes_result_save_V1!$H$2:$H$206,MATCH(Z217,Pipes_result_save_V1!$I$2:$I$206,0))</f>
        <v>N165</v>
      </c>
      <c r="AC217" s="106">
        <f t="shared" si="30"/>
        <v>1.9337176701296178E-2</v>
      </c>
      <c r="AD217" s="78">
        <v>200</v>
      </c>
      <c r="AE217" s="78">
        <v>150</v>
      </c>
      <c r="AF217" s="78">
        <v>88</v>
      </c>
      <c r="AG217" s="78">
        <v>222.62561797625102</v>
      </c>
      <c r="AH217" s="78">
        <v>9.4596935076183553E-2</v>
      </c>
      <c r="AI217" s="78">
        <v>1</v>
      </c>
      <c r="AJ217" s="78">
        <v>-1</v>
      </c>
      <c r="AK217" s="78">
        <v>2.8242261078771005</v>
      </c>
      <c r="AL217">
        <v>55.29213761075917</v>
      </c>
      <c r="AM217" s="107">
        <f>INDEX(Pipes_result_save_V1!$K$2:$K$206,MATCH(Z217,Pipes_result_save_V1!$I$2:$I$206,0)) *POWER(10,-3)</f>
        <v>-2.624709701538086E-2</v>
      </c>
      <c r="AN217" s="78">
        <v>2.9347842678458646E-3</v>
      </c>
      <c r="AO217" s="78">
        <v>-2.3312312747534994E-2</v>
      </c>
      <c r="BR217">
        <v>0</v>
      </c>
      <c r="BS217">
        <v>43</v>
      </c>
      <c r="BT217" t="s">
        <v>540</v>
      </c>
      <c r="BU217" t="s">
        <v>183</v>
      </c>
      <c r="BV217" s="106" t="str">
        <f>INDEX(Pipes_result_save_V1!$G$2:$G$206,MATCH(BU217,Pipes_result_save_V1!$I$2:$I$206,0))</f>
        <v>N92</v>
      </c>
      <c r="BW217" s="106" t="str">
        <f>INDEX(Pipes_result_save_V1!$H$2:$H$206,MATCH(BU217,Pipes_result_save_V1!$I$2:$I$206,0))</f>
        <v>N93</v>
      </c>
      <c r="BX217" s="106">
        <f t="shared" si="32"/>
        <v>3.0429470161628122E-3</v>
      </c>
      <c r="BY217">
        <v>400</v>
      </c>
      <c r="BZ217">
        <v>150</v>
      </c>
      <c r="CA217">
        <v>111</v>
      </c>
      <c r="CB217">
        <v>9.5961788981398755</v>
      </c>
      <c r="CC217">
        <v>-0.119923</v>
      </c>
      <c r="CD217">
        <v>-0.18889729405126993</v>
      </c>
      <c r="CE217">
        <v>2.9171867663663504</v>
      </c>
      <c r="CF217" s="107">
        <f>INDEX(Pipes_result_save_V1!$K$2:$K$206,MATCH(BU217,Pipes_result_save_V1!$I$2:$I$206,0)) *POWER(10,-3)</f>
        <v>9.3915777206420893E-3</v>
      </c>
      <c r="CG217" s="78">
        <v>5.1921217048708466E-3</v>
      </c>
      <c r="CH217" s="78">
        <v>4.1994560157712427E-3</v>
      </c>
      <c r="CQ217" t="s">
        <v>381</v>
      </c>
      <c r="CT217">
        <v>-1.158435626548824E-2</v>
      </c>
      <c r="DL217">
        <v>0</v>
      </c>
      <c r="DM217">
        <v>43</v>
      </c>
      <c r="DN217" t="s">
        <v>539</v>
      </c>
      <c r="DO217" t="s">
        <v>412</v>
      </c>
      <c r="DP217" s="106" t="str">
        <f>INDEX(Pipes_result_save_V1!$G$2:$G$206,MATCH(DO217,Pipes_result_save_V1!$I$2:$I$206,0))</f>
        <v>N195</v>
      </c>
      <c r="DQ217" s="106" t="str">
        <f>INDEX(Pipes_result_save_V1!$H$2:$H$206,MATCH(DO217,Pipes_result_save_V1!$I$2:$I$206,0))</f>
        <v>N116</v>
      </c>
      <c r="DR217" s="106">
        <f t="shared" si="34"/>
        <v>4.0181475949918272E-3</v>
      </c>
      <c r="DS217">
        <v>250</v>
      </c>
      <c r="DT217">
        <v>150</v>
      </c>
      <c r="DU217">
        <v>76</v>
      </c>
      <c r="DV217">
        <v>64.84214675546815</v>
      </c>
      <c r="DW217">
        <v>3.2837000000000005E-2</v>
      </c>
      <c r="DX217">
        <v>0.1159211115064607</v>
      </c>
      <c r="DY217">
        <v>6.5379266836180276</v>
      </c>
      <c r="DZ217" s="107">
        <f>INDEX(Pipes_result_save_V1!$K$2:$K$206,MATCH(DO217,Pipes_result_save_V1!$I$2:$I$206,0)) *POWER(10,-3)</f>
        <v>5.689303874969482E-4</v>
      </c>
      <c r="EA217" s="78">
        <v>5.3893487469222137E-3</v>
      </c>
      <c r="EB217" s="78">
        <v>-4.8204183594252655E-3</v>
      </c>
    </row>
    <row r="218" spans="2:145" ht="30" x14ac:dyDescent="0.25">
      <c r="B218" s="106">
        <v>44</v>
      </c>
      <c r="C218" s="106" t="s">
        <v>540</v>
      </c>
      <c r="D218" s="106" t="s">
        <v>253</v>
      </c>
      <c r="E218" s="106" t="str">
        <f>INDEX(Pipes_result_save_V1!$G$2:$G$206,MATCH(D218,Pipes_result_save_V1!$I$2:$I$206,0))</f>
        <v>N167</v>
      </c>
      <c r="F218" s="106" t="str">
        <f>INDEX(Pipes_result_save_V1!$H$2:$H$206,MATCH(D218,Pipes_result_save_V1!$I$2:$I$206,0))</f>
        <v>N168</v>
      </c>
      <c r="G218" s="106">
        <f t="shared" si="29"/>
        <v>2.8267532485382763E-3</v>
      </c>
      <c r="H218" s="107">
        <v>200</v>
      </c>
      <c r="I218" s="107">
        <v>150</v>
      </c>
      <c r="J218" s="107">
        <v>145</v>
      </c>
      <c r="K218" s="107">
        <v>366.82630234723172</v>
      </c>
      <c r="L218" s="107">
        <v>-2.9028999999999999E-2</v>
      </c>
      <c r="M218" s="107">
        <v>-0.52194587745420518</v>
      </c>
      <c r="N218" s="107">
        <v>33.299244377870004</v>
      </c>
      <c r="O218" s="107">
        <f>INDEX(Pipes_result_save_V1!$K$2:$K$206,MATCH(D218,Pipes_result_save_V1!$I$2:$I$206,0)) *POWER(10,-3)</f>
        <v>9.6518192291259776E-3</v>
      </c>
      <c r="P218" s="78">
        <v>6.235923230736783E-3</v>
      </c>
      <c r="Q218" s="78">
        <v>3.4158959983891946E-3</v>
      </c>
      <c r="R218" s="78"/>
      <c r="S218" s="78"/>
      <c r="T218" s="78"/>
      <c r="U218" s="78"/>
      <c r="V218" s="78"/>
      <c r="W218" s="78">
        <v>44</v>
      </c>
      <c r="X218" s="78">
        <v>44</v>
      </c>
      <c r="Y218" s="78" t="s">
        <v>540</v>
      </c>
      <c r="Z218" s="78" t="s">
        <v>253</v>
      </c>
      <c r="AA218" s="106" t="str">
        <f>INDEX(Pipes_result_save_V1!$G$2:$G$206,MATCH(Z218,Pipes_result_save_V1!$I$2:$I$206,0))</f>
        <v>N167</v>
      </c>
      <c r="AB218" s="106" t="str">
        <f>INDEX(Pipes_result_save_V1!$H$2:$H$206,MATCH(Z218,Pipes_result_save_V1!$I$2:$I$206,0))</f>
        <v>N168</v>
      </c>
      <c r="AC218" s="106">
        <f t="shared" si="30"/>
        <v>2.0384987317278768E-3</v>
      </c>
      <c r="AD218" s="78">
        <v>200</v>
      </c>
      <c r="AE218" s="78">
        <v>150</v>
      </c>
      <c r="AF218" s="78">
        <v>145</v>
      </c>
      <c r="AG218" s="78">
        <v>366.82630234723172</v>
      </c>
      <c r="AH218" s="78">
        <v>-2.2432064923816445E-2</v>
      </c>
      <c r="AI218" s="78">
        <v>-1</v>
      </c>
      <c r="AJ218" s="78">
        <v>-1</v>
      </c>
      <c r="AK218" s="78">
        <v>-0.3237951393825354</v>
      </c>
      <c r="AL218">
        <v>26.732652574475175</v>
      </c>
      <c r="AM218" s="107">
        <f>INDEX(Pipes_result_save_V1!$K$2:$K$206,MATCH(Z218,Pipes_result_save_V1!$I$2:$I$206,0)) *POWER(10,-3)</f>
        <v>9.6518192291259776E-3</v>
      </c>
      <c r="AN218" s="78">
        <v>3.934008477086714E-3</v>
      </c>
      <c r="AO218" s="78">
        <v>5.7178107520392636E-3</v>
      </c>
      <c r="BR218">
        <v>0</v>
      </c>
      <c r="BS218">
        <v>44</v>
      </c>
      <c r="BT218" t="s">
        <v>540</v>
      </c>
      <c r="BU218" t="s">
        <v>192</v>
      </c>
      <c r="BV218" s="106" t="str">
        <f>INDEX(Pipes_result_save_V1!$G$2:$G$206,MATCH(BU218,Pipes_result_save_V1!$I$2:$I$206,0))</f>
        <v>N93</v>
      </c>
      <c r="BW218" s="106" t="str">
        <f>INDEX(Pipes_result_save_V1!$H$2:$H$206,MATCH(BU218,Pipes_result_save_V1!$I$2:$I$206,0))</f>
        <v>N94</v>
      </c>
      <c r="BX218" s="106">
        <f t="shared" si="32"/>
        <v>1.349156718550449E-4</v>
      </c>
      <c r="BY218">
        <v>466</v>
      </c>
      <c r="BZ218">
        <v>150</v>
      </c>
      <c r="CA218">
        <v>88</v>
      </c>
      <c r="CB218">
        <v>3.6156338752762309</v>
      </c>
      <c r="CC218">
        <v>-0.14499999999999999</v>
      </c>
      <c r="CD218">
        <v>-0.10116679388747182</v>
      </c>
      <c r="CE218">
        <v>1.2921441536523988</v>
      </c>
      <c r="CF218" s="107">
        <f>INDEX(Pipes_result_save_V1!$K$2:$K$206,MATCH(BU218,Pipes_result_save_V1!$I$2:$I$206,0)) *POWER(10,-3)</f>
        <v>8.256173133850098E-3</v>
      </c>
      <c r="CG218" s="78">
        <v>5.8606262622185722E-3</v>
      </c>
      <c r="CH218" s="78">
        <v>2.3955468716315258E-3</v>
      </c>
      <c r="DL218">
        <v>0</v>
      </c>
      <c r="DM218">
        <v>44</v>
      </c>
      <c r="DN218" t="s">
        <v>539</v>
      </c>
      <c r="DO218" t="s">
        <v>308</v>
      </c>
      <c r="DP218" s="106" t="str">
        <f>INDEX(Pipes_result_save_V1!$G$2:$G$206,MATCH(DO218,Pipes_result_save_V1!$I$2:$I$206,0))</f>
        <v>N118</v>
      </c>
      <c r="DQ218" s="106" t="str">
        <f>INDEX(Pipes_result_save_V1!$H$2:$H$206,MATCH(DO218,Pipes_result_save_V1!$I$2:$I$206,0))</f>
        <v>N117</v>
      </c>
      <c r="DR218" s="106">
        <f t="shared" si="34"/>
        <v>2.8158947069306345E-3</v>
      </c>
      <c r="DS218">
        <v>250</v>
      </c>
      <c r="DT218">
        <v>150</v>
      </c>
      <c r="DU218">
        <v>132</v>
      </c>
      <c r="DV218">
        <v>112.62057068054995</v>
      </c>
      <c r="DW218">
        <v>3.2837000000000005E-2</v>
      </c>
      <c r="DX218">
        <v>0.20133666735332648</v>
      </c>
      <c r="DY218">
        <v>11.355346345231313</v>
      </c>
      <c r="DZ218" s="107">
        <f>INDEX(Pipes_result_save_V1!$K$2:$K$206,MATCH(DO218,Pipes_result_save_V1!$I$2:$I$206,0)) *POWER(10,-3)</f>
        <v>3.5129935741424561E-3</v>
      </c>
      <c r="EA218" s="78">
        <v>6.3061611368338856E-3</v>
      </c>
      <c r="EB218" s="78">
        <v>-2.7931675626914295E-3</v>
      </c>
    </row>
    <row r="219" spans="2:145" ht="30" x14ac:dyDescent="0.25">
      <c r="B219" s="106">
        <v>45</v>
      </c>
      <c r="C219" s="106" t="s">
        <v>540</v>
      </c>
      <c r="D219" s="106" t="s">
        <v>235</v>
      </c>
      <c r="E219" s="106" t="str">
        <f>INDEX(Pipes_result_save_V1!$G$2:$G$206,MATCH(D219,Pipes_result_save_V1!$I$2:$I$206,0))</f>
        <v>N168</v>
      </c>
      <c r="F219" s="106" t="str">
        <f>INDEX(Pipes_result_save_V1!$H$2:$H$206,MATCH(D219,Pipes_result_save_V1!$I$2:$I$206,0))</f>
        <v>N169</v>
      </c>
      <c r="G219" s="106">
        <f t="shared" si="29"/>
        <v>1.1909206307665777E-3</v>
      </c>
      <c r="H219" s="107">
        <v>200</v>
      </c>
      <c r="I219" s="107">
        <v>150</v>
      </c>
      <c r="J219" s="107">
        <v>129</v>
      </c>
      <c r="K219" s="107">
        <v>326.34891726064069</v>
      </c>
      <c r="L219" s="107">
        <v>-2.9028999999999999E-2</v>
      </c>
      <c r="M219" s="107">
        <v>-0.46435184959718945</v>
      </c>
      <c r="N219" s="107">
        <v>29.624844998242978</v>
      </c>
      <c r="O219" s="107">
        <f>INDEX(Pipes_result_save_V1!$K$2:$K$206,MATCH(D219,Pipes_result_save_V1!$I$2:$I$206,0)) *POWER(10,-3)</f>
        <v>8.0884981155395514E-3</v>
      </c>
      <c r="P219" s="78">
        <v>5.240119024098237E-3</v>
      </c>
      <c r="Q219" s="78">
        <v>2.8483790914413144E-3</v>
      </c>
      <c r="R219" s="78"/>
      <c r="S219" s="78"/>
      <c r="T219" s="78"/>
      <c r="U219" s="78"/>
      <c r="V219" s="78"/>
      <c r="W219" s="78">
        <v>45</v>
      </c>
      <c r="X219" s="78">
        <v>45</v>
      </c>
      <c r="Y219" s="78" t="s">
        <v>540</v>
      </c>
      <c r="Z219" s="78" t="s">
        <v>235</v>
      </c>
      <c r="AA219" s="106" t="str">
        <f>INDEX(Pipes_result_save_V1!$G$2:$G$206,MATCH(Z219,Pipes_result_save_V1!$I$2:$I$206,0))</f>
        <v>N168</v>
      </c>
      <c r="AB219" s="106" t="str">
        <f>INDEX(Pipes_result_save_V1!$H$2:$H$206,MATCH(Z219,Pipes_result_save_V1!$I$2:$I$206,0))</f>
        <v>N169</v>
      </c>
      <c r="AC219" s="106">
        <f t="shared" si="30"/>
        <v>4.4389639463412256E-3</v>
      </c>
      <c r="AD219" s="78">
        <v>200</v>
      </c>
      <c r="AE219" s="78">
        <v>150</v>
      </c>
      <c r="AF219" s="78">
        <v>129</v>
      </c>
      <c r="AG219" s="78">
        <v>326.34891726064069</v>
      </c>
      <c r="AH219" s="78">
        <v>-2.2432064923816445E-2</v>
      </c>
      <c r="AI219" s="78">
        <v>-1</v>
      </c>
      <c r="AJ219" s="78">
        <v>-1</v>
      </c>
      <c r="AK219" s="78">
        <v>-0.28806602055411779</v>
      </c>
      <c r="AL219">
        <v>23.782842635222746</v>
      </c>
      <c r="AM219" s="107">
        <f>INDEX(Pipes_result_save_V1!$K$2:$K$206,MATCH(Z219,Pipes_result_save_V1!$I$2:$I$206,0)) *POWER(10,-3)</f>
        <v>8.0884981155395514E-3</v>
      </c>
      <c r="AN219" s="78">
        <v>6.8805551372415254E-4</v>
      </c>
      <c r="AO219" s="78">
        <v>7.4004426018153989E-3</v>
      </c>
      <c r="BR219">
        <v>0</v>
      </c>
      <c r="BS219">
        <v>45</v>
      </c>
      <c r="BT219" t="s">
        <v>540</v>
      </c>
      <c r="BU219" t="s">
        <v>230</v>
      </c>
      <c r="BV219" s="106" t="str">
        <f>INDEX(Pipes_result_save_V1!$G$2:$G$206,MATCH(BU219,Pipes_result_save_V1!$I$2:$I$206,0))</f>
        <v>N94</v>
      </c>
      <c r="BW219" s="106" t="str">
        <f>INDEX(Pipes_result_save_V1!$H$2:$H$206,MATCH(BU219,Pipes_result_save_V1!$I$2:$I$206,0))</f>
        <v>N95</v>
      </c>
      <c r="BX219" s="106">
        <f t="shared" si="32"/>
        <v>4.5614753673898058E-4</v>
      </c>
      <c r="BY219">
        <v>421</v>
      </c>
      <c r="BZ219">
        <v>150</v>
      </c>
      <c r="CA219">
        <v>74</v>
      </c>
      <c r="CB219">
        <v>4.9861255025952351</v>
      </c>
      <c r="CC219">
        <v>-0.129</v>
      </c>
      <c r="CD219">
        <v>-0.11235058785450108</v>
      </c>
      <c r="CE219">
        <v>1.6129712302832246</v>
      </c>
      <c r="CF219" s="107">
        <f>INDEX(Pipes_result_save_V1!$K$2:$K$206,MATCH(BU219,Pipes_result_save_V1!$I$2:$I$206,0)) *POWER(10,-3)</f>
        <v>7.3318743705749513E-3</v>
      </c>
      <c r="CG219" s="78">
        <v>5.8083044804732907E-3</v>
      </c>
      <c r="CH219" s="78">
        <v>1.5235698901016606E-3</v>
      </c>
      <c r="DL219">
        <v>0</v>
      </c>
      <c r="DM219">
        <v>45</v>
      </c>
      <c r="DN219" t="s">
        <v>539</v>
      </c>
      <c r="DO219" t="s">
        <v>411</v>
      </c>
      <c r="DP219" s="106" t="str">
        <f>INDEX(Pipes_result_save_V1!$G$2:$G$206,MATCH(DO219,Pipes_result_save_V1!$I$2:$I$206,0))</f>
        <v>N117</v>
      </c>
      <c r="DQ219" s="106" t="str">
        <f>INDEX(Pipes_result_save_V1!$H$2:$H$206,MATCH(DO219,Pipes_result_save_V1!$I$2:$I$206,0))</f>
        <v>N195</v>
      </c>
      <c r="DR219" s="106">
        <f t="shared" si="34"/>
        <v>9.1472639257886377E-4</v>
      </c>
      <c r="DS219">
        <v>250</v>
      </c>
      <c r="DT219">
        <v>150</v>
      </c>
      <c r="DU219">
        <v>154</v>
      </c>
      <c r="DV219">
        <v>131.39066579397493</v>
      </c>
      <c r="DW219">
        <v>3.2837000000000005E-2</v>
      </c>
      <c r="DX219">
        <v>0.23489277857888088</v>
      </c>
      <c r="DY219">
        <v>13.24790406943653</v>
      </c>
      <c r="DZ219" s="107">
        <f>INDEX(Pipes_result_save_V1!$K$2:$K$206,MATCH(DO219,Pipes_result_save_V1!$I$2:$I$206,0)) *POWER(10,-3)</f>
        <v>1.881206631660461E-3</v>
      </c>
      <c r="EA219" s="78">
        <v>5.6025911367785083E-3</v>
      </c>
      <c r="EB219" s="78">
        <v>-3.7213845051180475E-3</v>
      </c>
    </row>
    <row r="220" spans="2:145" ht="30" x14ac:dyDescent="0.25">
      <c r="B220" s="106">
        <v>46</v>
      </c>
      <c r="C220" s="106" t="s">
        <v>540</v>
      </c>
      <c r="D220" s="106" t="s">
        <v>236</v>
      </c>
      <c r="E220" s="106" t="str">
        <f>INDEX(Pipes_result_save_V1!$G$2:$G$206,MATCH(D220,Pipes_result_save_V1!$I$2:$I$206,0))</f>
        <v>N169</v>
      </c>
      <c r="F220" s="106" t="str">
        <f>INDEX(Pipes_result_save_V1!$H$2:$H$206,MATCH(D220,Pipes_result_save_V1!$I$2:$I$206,0))</f>
        <v>N170</v>
      </c>
      <c r="G220" s="106">
        <f t="shared" si="29"/>
        <v>6.8021459484144797E-4</v>
      </c>
      <c r="H220" s="107">
        <v>200</v>
      </c>
      <c r="I220" s="107">
        <v>150</v>
      </c>
      <c r="J220" s="107">
        <v>104</v>
      </c>
      <c r="K220" s="107">
        <v>263.10300306284211</v>
      </c>
      <c r="L220" s="107">
        <v>-2.9028999999999999E-2</v>
      </c>
      <c r="M220" s="107">
        <v>-0.37436118107060234</v>
      </c>
      <c r="N220" s="107">
        <v>23.883595967575733</v>
      </c>
      <c r="O220" s="107">
        <f>INDEX(Pipes_result_save_V1!$K$2:$K$206,MATCH(D220,Pipes_result_save_V1!$I$2:$I$206,0)) *POWER(10,-3)</f>
        <v>6.7591056823730466E-3</v>
      </c>
      <c r="P220" s="78">
        <v>5.9338494150622065E-3</v>
      </c>
      <c r="Q220" s="78">
        <v>8.2525626731084004E-4</v>
      </c>
      <c r="R220" s="78"/>
      <c r="S220" s="78"/>
      <c r="T220" s="78"/>
      <c r="U220" s="78"/>
      <c r="V220" s="78"/>
      <c r="W220" s="78">
        <v>46</v>
      </c>
      <c r="X220" s="78">
        <v>46</v>
      </c>
      <c r="Y220" s="78" t="s">
        <v>540</v>
      </c>
      <c r="Z220" s="78" t="s">
        <v>236</v>
      </c>
      <c r="AA220" s="106" t="str">
        <f>INDEX(Pipes_result_save_V1!$G$2:$G$206,MATCH(Z220,Pipes_result_save_V1!$I$2:$I$206,0))</f>
        <v>N169</v>
      </c>
      <c r="AB220" s="106" t="str">
        <f>INDEX(Pipes_result_save_V1!$H$2:$H$206,MATCH(Z220,Pipes_result_save_V1!$I$2:$I$206,0))</f>
        <v>N170</v>
      </c>
      <c r="AC220" s="106">
        <f t="shared" si="30"/>
        <v>6.6259324836269885E-4</v>
      </c>
      <c r="AD220" s="78">
        <v>200</v>
      </c>
      <c r="AE220" s="78">
        <v>150</v>
      </c>
      <c r="AF220" s="78">
        <v>104</v>
      </c>
      <c r="AG220" s="78">
        <v>263.10300306284211</v>
      </c>
      <c r="AH220" s="78">
        <v>-2.2432064923816445E-2</v>
      </c>
      <c r="AI220" s="78">
        <v>-1</v>
      </c>
      <c r="AJ220" s="78">
        <v>-1</v>
      </c>
      <c r="AK220" s="78">
        <v>-0.23223927238471509</v>
      </c>
      <c r="AL220">
        <v>19.173764605140818</v>
      </c>
      <c r="AM220" s="107">
        <f>INDEX(Pipes_result_save_V1!$K$2:$K$206,MATCH(Z220,Pipes_result_save_V1!$I$2:$I$206,0)) *POWER(10,-3)</f>
        <v>6.7591056823730466E-3</v>
      </c>
      <c r="AN220" s="78">
        <v>4.0140195111003389E-3</v>
      </c>
      <c r="AO220" s="78">
        <v>2.7450861712727077E-3</v>
      </c>
      <c r="BR220">
        <v>0</v>
      </c>
      <c r="BS220">
        <v>46</v>
      </c>
      <c r="BT220" t="s">
        <v>540</v>
      </c>
      <c r="BU220" t="s">
        <v>215</v>
      </c>
      <c r="BV220" s="106" t="str">
        <f>INDEX(Pipes_result_save_V1!$G$2:$G$206,MATCH(BU220,Pipes_result_save_V1!$I$2:$I$206,0))</f>
        <v>N95</v>
      </c>
      <c r="BW220" s="106" t="str">
        <f>INDEX(Pipes_result_save_V1!$H$2:$H$206,MATCH(BU220,Pipes_result_save_V1!$I$2:$I$206,0))</f>
        <v>N96</v>
      </c>
      <c r="BX220" s="106">
        <f t="shared" si="32"/>
        <v>1.6837360474489835E-4</v>
      </c>
      <c r="BY220">
        <v>400</v>
      </c>
      <c r="BZ220">
        <v>150</v>
      </c>
      <c r="CA220">
        <v>248</v>
      </c>
      <c r="CB220">
        <v>21.440111412060261</v>
      </c>
      <c r="CC220">
        <v>-0.104</v>
      </c>
      <c r="CD220">
        <v>-0.32416997102445538</v>
      </c>
      <c r="CE220">
        <v>5.7727190993970323</v>
      </c>
      <c r="CF220" s="107">
        <f>INDEX(Pipes_result_save_V1!$K$2:$K$206,MATCH(BU220,Pipes_result_save_V1!$I$2:$I$206,0)) *POWER(10,-3)</f>
        <v>5.4946870803833005E-3</v>
      </c>
      <c r="CG220" s="78">
        <v>6.0099784626388474E-3</v>
      </c>
      <c r="CH220" s="78">
        <v>-5.1529138225554685E-4</v>
      </c>
      <c r="DL220">
        <v>0</v>
      </c>
      <c r="DM220">
        <v>46</v>
      </c>
      <c r="DN220" t="s">
        <v>539</v>
      </c>
      <c r="DO220" t="s">
        <v>309</v>
      </c>
      <c r="DP220" s="106" t="str">
        <f>INDEX(Pipes_result_save_V1!$G$2:$G$206,MATCH(DO220,Pipes_result_save_V1!$I$2:$I$206,0))</f>
        <v>N119</v>
      </c>
      <c r="DQ220" s="106" t="str">
        <f>INDEX(Pipes_result_save_V1!$H$2:$H$206,MATCH(DO220,Pipes_result_save_V1!$I$2:$I$206,0))</f>
        <v>N118</v>
      </c>
      <c r="DR220" s="106">
        <f t="shared" si="34"/>
        <v>2.8354702269232581E-3</v>
      </c>
      <c r="DS220">
        <v>250</v>
      </c>
      <c r="DT220">
        <v>150</v>
      </c>
      <c r="DU220">
        <v>212</v>
      </c>
      <c r="DV220">
        <v>180.87546200209536</v>
      </c>
      <c r="DW220">
        <v>3.2837000000000005E-2</v>
      </c>
      <c r="DX220">
        <v>0.32335888999170614</v>
      </c>
      <c r="DY220">
        <v>18.237374433250288</v>
      </c>
      <c r="DZ220" s="107">
        <f>INDEX(Pipes_result_save_V1!$K$2:$K$206,MATCH(DO220,Pipes_result_save_V1!$I$2:$I$206,0)) *POWER(10,-3)</f>
        <v>5.4757027626037595E-3</v>
      </c>
      <c r="EA220" s="78">
        <v>5.4766907074032777E-3</v>
      </c>
      <c r="EB220" s="78">
        <v>-9.8794479951817143E-7</v>
      </c>
    </row>
    <row r="221" spans="2:145" ht="30" x14ac:dyDescent="0.25">
      <c r="B221" s="106">
        <v>47</v>
      </c>
      <c r="C221" s="106" t="s">
        <v>540</v>
      </c>
      <c r="D221" s="106" t="s">
        <v>237</v>
      </c>
      <c r="E221" s="106" t="str">
        <f>INDEX(Pipes_result_save_V1!$G$2:$G$206,MATCH(D221,Pipes_result_save_V1!$I$2:$I$206,0))</f>
        <v>N170</v>
      </c>
      <c r="F221" s="106" t="str">
        <f>INDEX(Pipes_result_save_V1!$H$2:$H$206,MATCH(D221,Pipes_result_save_V1!$I$2:$I$206,0))</f>
        <v>N171</v>
      </c>
      <c r="G221" s="106">
        <f t="shared" si="29"/>
        <v>1.4541668274179373E-3</v>
      </c>
      <c r="H221" s="107">
        <v>200</v>
      </c>
      <c r="I221" s="107">
        <v>150</v>
      </c>
      <c r="J221" s="107">
        <v>79</v>
      </c>
      <c r="K221" s="107">
        <v>199.85708886504352</v>
      </c>
      <c r="L221" s="107">
        <v>-2.9028999999999999E-2</v>
      </c>
      <c r="M221" s="107">
        <v>-0.28437051254401524</v>
      </c>
      <c r="N221" s="107">
        <v>18.142346936908488</v>
      </c>
      <c r="O221" s="107">
        <f>INDEX(Pipes_result_save_V1!$K$2:$K$206,MATCH(D221,Pipes_result_save_V1!$I$2:$I$206,0)) *POWER(10,-3)</f>
        <v>5.7149901390075681E-3</v>
      </c>
      <c r="P221" s="78">
        <v>5.1643131572267926E-3</v>
      </c>
      <c r="Q221" s="78">
        <v>5.5067698178077554E-4</v>
      </c>
      <c r="R221" s="78"/>
      <c r="S221" s="78"/>
      <c r="T221" s="78"/>
      <c r="U221" s="78"/>
      <c r="V221" s="78"/>
      <c r="W221" s="78">
        <v>47</v>
      </c>
      <c r="X221" s="78">
        <v>47</v>
      </c>
      <c r="Y221" s="78" t="s">
        <v>540</v>
      </c>
      <c r="Z221" s="78" t="s">
        <v>237</v>
      </c>
      <c r="AA221" s="106" t="str">
        <f>INDEX(Pipes_result_save_V1!$G$2:$G$206,MATCH(Z221,Pipes_result_save_V1!$I$2:$I$206,0))</f>
        <v>N170</v>
      </c>
      <c r="AB221" s="106" t="str">
        <f>INDEX(Pipes_result_save_V1!$H$2:$H$206,MATCH(Z221,Pipes_result_save_V1!$I$2:$I$206,0))</f>
        <v>N171</v>
      </c>
      <c r="AC221" s="106">
        <f t="shared" si="30"/>
        <v>1.5154713795662517E-3</v>
      </c>
      <c r="AD221" s="78">
        <v>200</v>
      </c>
      <c r="AE221" s="78">
        <v>150</v>
      </c>
      <c r="AF221" s="78">
        <v>79</v>
      </c>
      <c r="AG221" s="78">
        <v>199.85708886504352</v>
      </c>
      <c r="AH221" s="78">
        <v>-2.2432064923816445E-2</v>
      </c>
      <c r="AI221" s="78">
        <v>-1</v>
      </c>
      <c r="AJ221" s="78">
        <v>-1</v>
      </c>
      <c r="AK221" s="78">
        <v>-0.17641252421531242</v>
      </c>
      <c r="AL221">
        <v>14.564686575058891</v>
      </c>
      <c r="AM221" s="107">
        <f>INDEX(Pipes_result_save_V1!$K$2:$K$206,MATCH(Z221,Pipes_result_save_V1!$I$2:$I$206,0)) *POWER(10,-3)</f>
        <v>5.7149901390075681E-3</v>
      </c>
      <c r="AN221" s="78">
        <v>1.2265447451526544E-3</v>
      </c>
      <c r="AO221" s="78">
        <v>4.4884453938549137E-3</v>
      </c>
      <c r="BR221">
        <v>0</v>
      </c>
      <c r="BS221">
        <v>47</v>
      </c>
      <c r="BT221" t="s">
        <v>540</v>
      </c>
      <c r="BU221" t="s">
        <v>214</v>
      </c>
      <c r="BV221" s="106" t="str">
        <f>INDEX(Pipes_result_save_V1!$G$2:$G$206,MATCH(BU221,Pipes_result_save_V1!$I$2:$I$206,0))</f>
        <v>N96</v>
      </c>
      <c r="BW221" s="106" t="str">
        <f>INDEX(Pipes_result_save_V1!$H$2:$H$206,MATCH(BU221,Pipes_result_save_V1!$I$2:$I$206,0))</f>
        <v>N97</v>
      </c>
      <c r="BX221" s="106">
        <f t="shared" si="32"/>
        <v>5.9331364775120927E-4</v>
      </c>
      <c r="BY221">
        <v>350</v>
      </c>
      <c r="BZ221">
        <v>150</v>
      </c>
      <c r="CA221">
        <v>116</v>
      </c>
      <c r="CB221">
        <v>19.218173946892797</v>
      </c>
      <c r="CC221">
        <v>-7.9000000000000001E-2</v>
      </c>
      <c r="CD221">
        <v>-0.17462945274308583</v>
      </c>
      <c r="CE221">
        <v>4.0938448921543662</v>
      </c>
      <c r="CF221" s="107">
        <f>INDEX(Pipes_result_save_V1!$K$2:$K$206,MATCH(BU221,Pipes_result_save_V1!$I$2:$I$206,0)) *POWER(10,-3)</f>
        <v>3.417867422103882E-3</v>
      </c>
      <c r="CG221" s="78">
        <v>6.2132982275733047E-3</v>
      </c>
      <c r="CH221" s="78">
        <v>-2.7954308054694227E-3</v>
      </c>
      <c r="DL221">
        <v>0</v>
      </c>
      <c r="DM221">
        <v>47</v>
      </c>
      <c r="DN221" t="s">
        <v>539</v>
      </c>
      <c r="DO221" t="s">
        <v>310</v>
      </c>
      <c r="DP221" s="106" t="str">
        <f>INDEX(Pipes_result_save_V1!$G$2:$G$206,MATCH(DO221,Pipes_result_save_V1!$I$2:$I$206,0))</f>
        <v>N120</v>
      </c>
      <c r="DQ221" s="106" t="str">
        <f>INDEX(Pipes_result_save_V1!$H$2:$H$206,MATCH(DO221,Pipes_result_save_V1!$I$2:$I$206,0))</f>
        <v>N119</v>
      </c>
      <c r="DR221" s="106">
        <f t="shared" si="34"/>
        <v>2.3246750615600236E-3</v>
      </c>
      <c r="DS221">
        <v>250</v>
      </c>
      <c r="DT221">
        <v>150</v>
      </c>
      <c r="DU221">
        <v>173</v>
      </c>
      <c r="DV221">
        <v>147.60120248284198</v>
      </c>
      <c r="DW221">
        <v>3.2837000000000005E-2</v>
      </c>
      <c r="DX221">
        <v>0.26387305645549608</v>
      </c>
      <c r="DY221">
        <v>14.882385740341039</v>
      </c>
      <c r="DZ221" s="107">
        <f>INDEX(Pipes_result_save_V1!$K$2:$K$206,MATCH(DO221,Pipes_result_save_V1!$I$2:$I$206,0)) *POWER(10,-3)</f>
        <v>7.6723389625549315E-3</v>
      </c>
      <c r="EA221" s="78">
        <v>5.3526500938305393E-3</v>
      </c>
      <c r="EB221" s="78">
        <v>2.3196888687243922E-3</v>
      </c>
    </row>
    <row r="222" spans="2:145" ht="30" x14ac:dyDescent="0.25">
      <c r="B222" s="106">
        <v>48</v>
      </c>
      <c r="C222" s="106" t="s">
        <v>540</v>
      </c>
      <c r="D222" s="106" t="s">
        <v>238</v>
      </c>
      <c r="E222" s="106" t="str">
        <f>INDEX(Pipes_result_save_V1!$G$2:$G$206,MATCH(D222,Pipes_result_save_V1!$I$2:$I$206,0))</f>
        <v>N171</v>
      </c>
      <c r="F222" s="106" t="str">
        <f>INDEX(Pipes_result_save_V1!$H$2:$H$206,MATCH(D222,Pipes_result_save_V1!$I$2:$I$206,0))</f>
        <v>N172</v>
      </c>
      <c r="G222" s="106">
        <f t="shared" si="29"/>
        <v>4.047579439717129E-3</v>
      </c>
      <c r="H222" s="107">
        <v>200</v>
      </c>
      <c r="I222" s="107">
        <v>150</v>
      </c>
      <c r="J222" s="107">
        <v>89</v>
      </c>
      <c r="K222" s="107">
        <v>225.15545454416295</v>
      </c>
      <c r="L222" s="107">
        <v>-2.9028999999999999E-2</v>
      </c>
      <c r="M222" s="107">
        <v>-0.32036677995465007</v>
      </c>
      <c r="N222" s="107">
        <v>20.438846549175388</v>
      </c>
      <c r="O222" s="107">
        <f>INDEX(Pipes_result_save_V1!$K$2:$K$206,MATCH(D222,Pipes_result_save_V1!$I$2:$I$206,0)) *POWER(10,-3)</f>
        <v>4.7564578056335446E-3</v>
      </c>
      <c r="P222" s="78">
        <v>5.7854335335074678E-3</v>
      </c>
      <c r="Q222" s="78">
        <v>-1.0289757278739231E-3</v>
      </c>
      <c r="R222" s="78"/>
      <c r="S222" s="78"/>
      <c r="T222" s="78"/>
      <c r="U222" s="78"/>
      <c r="V222" s="78"/>
      <c r="W222" s="78">
        <v>48</v>
      </c>
      <c r="X222" s="78">
        <v>48</v>
      </c>
      <c r="Y222" s="78" t="s">
        <v>540</v>
      </c>
      <c r="Z222" s="78" t="s">
        <v>238</v>
      </c>
      <c r="AA222" s="106" t="str">
        <f>INDEX(Pipes_result_save_V1!$G$2:$G$206,MATCH(Z222,Pipes_result_save_V1!$I$2:$I$206,0))</f>
        <v>N171</v>
      </c>
      <c r="AB222" s="106" t="str">
        <f>INDEX(Pipes_result_save_V1!$H$2:$H$206,MATCH(Z222,Pipes_result_save_V1!$I$2:$I$206,0))</f>
        <v>N172</v>
      </c>
      <c r="AC222" s="106">
        <f t="shared" si="30"/>
        <v>3.3953557789144716E-3</v>
      </c>
      <c r="AD222" s="78">
        <v>200</v>
      </c>
      <c r="AE222" s="78">
        <v>150</v>
      </c>
      <c r="AF222" s="78">
        <v>89</v>
      </c>
      <c r="AG222" s="78">
        <v>225.15545454416295</v>
      </c>
      <c r="AH222" s="78">
        <v>-2.2432064923816445E-2</v>
      </c>
      <c r="AI222" s="78">
        <v>-1</v>
      </c>
      <c r="AJ222" s="78">
        <v>-1</v>
      </c>
      <c r="AK222" s="78">
        <v>-0.19874322348307349</v>
      </c>
      <c r="AL222">
        <v>16.408317787091661</v>
      </c>
      <c r="AM222" s="107">
        <f>INDEX(Pipes_result_save_V1!$K$2:$K$206,MATCH(Z222,Pipes_result_save_V1!$I$2:$I$206,0)) *POWER(10,-3)</f>
        <v>4.7564578056335446E-3</v>
      </c>
      <c r="AN222" s="78">
        <v>2.3783616915485427E-3</v>
      </c>
      <c r="AO222" s="78">
        <v>2.378096114085002E-3</v>
      </c>
      <c r="BR222">
        <v>0</v>
      </c>
      <c r="BS222">
        <v>48</v>
      </c>
      <c r="BT222" t="s">
        <v>540</v>
      </c>
      <c r="BU222" t="s">
        <v>213</v>
      </c>
      <c r="BV222" s="106" t="str">
        <f>INDEX(Pipes_result_save_V1!$G$2:$G$206,MATCH(BU222,Pipes_result_save_V1!$I$2:$I$206,0))</f>
        <v>N97</v>
      </c>
      <c r="BW222" s="106" t="str">
        <f>INDEX(Pipes_result_save_V1!$H$2:$H$206,MATCH(BU222,Pipes_result_save_V1!$I$2:$I$206,0))</f>
        <v>N98</v>
      </c>
      <c r="BX222" s="106">
        <f t="shared" si="32"/>
        <v>1.7117630911833654E-3</v>
      </c>
      <c r="BY222">
        <v>350</v>
      </c>
      <c r="BZ222">
        <v>150</v>
      </c>
      <c r="CA222">
        <v>128</v>
      </c>
      <c r="CB222">
        <v>21.206260906916189</v>
      </c>
      <c r="CC222">
        <v>-8.8999999999999996E-2</v>
      </c>
      <c r="CD222">
        <v>-0.24028927809755118</v>
      </c>
      <c r="CE222">
        <v>5.0001768880524162</v>
      </c>
      <c r="CF222" s="107">
        <f>INDEX(Pipes_result_save_V1!$K$2:$K$206,MATCH(BU222,Pipes_result_save_V1!$I$2:$I$206,0)) *POWER(10,-3)</f>
        <v>2.0257134437561041E-3</v>
      </c>
      <c r="CG222" s="78">
        <v>6.2974204989752151E-3</v>
      </c>
      <c r="CH222" s="78">
        <v>-4.271707055219111E-3</v>
      </c>
      <c r="DL222">
        <v>0</v>
      </c>
      <c r="DM222">
        <v>48</v>
      </c>
      <c r="DN222" t="s">
        <v>539</v>
      </c>
      <c r="DO222" t="s">
        <v>312</v>
      </c>
      <c r="DP222" s="106" t="str">
        <f>INDEX(Pipes_result_save_V1!$G$2:$G$206,MATCH(DO222,Pipes_result_save_V1!$I$2:$I$206,0))</f>
        <v>N121</v>
      </c>
      <c r="DQ222" s="106" t="str">
        <f>INDEX(Pipes_result_save_V1!$H$2:$H$206,MATCH(DO222,Pipes_result_save_V1!$I$2:$I$206,0))</f>
        <v>N120</v>
      </c>
      <c r="DR222" s="106">
        <f t="shared" si="34"/>
        <v>6.9133674068575651E-4</v>
      </c>
      <c r="DS222">
        <v>250</v>
      </c>
      <c r="DT222">
        <v>150</v>
      </c>
      <c r="DU222">
        <v>133</v>
      </c>
      <c r="DV222">
        <v>113.47375682206928</v>
      </c>
      <c r="DW222">
        <v>3.2835999999999997E-2</v>
      </c>
      <c r="DX222">
        <v>0.20285050391304088</v>
      </c>
      <c r="DY222">
        <v>11.441074833930802</v>
      </c>
      <c r="DZ222" s="107">
        <f>INDEX(Pipes_result_save_V1!$K$2:$K$206,MATCH(DO222,Pipes_result_save_V1!$I$2:$I$206,0)) *POWER(10,-3)</f>
        <v>9.4182367324829111E-3</v>
      </c>
      <c r="EA222" s="78">
        <v>5.2040221950044206E-3</v>
      </c>
      <c r="EB222" s="78">
        <v>4.2142145374784905E-3</v>
      </c>
    </row>
    <row r="223" spans="2:145" ht="30" x14ac:dyDescent="0.25">
      <c r="B223" s="106">
        <v>49</v>
      </c>
      <c r="C223" s="106" t="s">
        <v>540</v>
      </c>
      <c r="D223" s="106" t="s">
        <v>239</v>
      </c>
      <c r="E223" s="106" t="str">
        <f>INDEX(Pipes_result_save_V1!$G$2:$G$206,MATCH(D223,Pipes_result_save_V1!$I$2:$I$206,0))</f>
        <v>N172</v>
      </c>
      <c r="F223" s="106" t="str">
        <f>INDEX(Pipes_result_save_V1!$H$2:$H$206,MATCH(D223,Pipes_result_save_V1!$I$2:$I$206,0))</f>
        <v>N173</v>
      </c>
      <c r="G223" s="106">
        <f t="shared" si="29"/>
        <v>1.7953981118051248E-3</v>
      </c>
      <c r="H223" s="107">
        <v>200</v>
      </c>
      <c r="I223" s="107">
        <v>150</v>
      </c>
      <c r="J223" s="107">
        <v>89</v>
      </c>
      <c r="K223" s="107">
        <v>225.15545454416295</v>
      </c>
      <c r="L223" s="107">
        <v>-2.9028999999999999E-2</v>
      </c>
      <c r="M223" s="107">
        <v>-0.32036677995465007</v>
      </c>
      <c r="N223" s="107">
        <v>20.438846549175388</v>
      </c>
      <c r="O223" s="107">
        <f>INDEX(Pipes_result_save_V1!$K$2:$K$206,MATCH(D223,Pipes_result_save_V1!$I$2:$I$206,0)) *POWER(10,-3)</f>
        <v>3.7408702373504638E-3</v>
      </c>
      <c r="P223" s="78">
        <v>5.5641596830456157E-3</v>
      </c>
      <c r="Q223" s="78">
        <v>-1.8232894456951519E-3</v>
      </c>
      <c r="R223" s="78"/>
      <c r="S223" s="78"/>
      <c r="T223" s="78"/>
      <c r="U223" s="78"/>
      <c r="V223" s="78"/>
      <c r="W223" s="78">
        <v>49</v>
      </c>
      <c r="X223" s="78">
        <v>49</v>
      </c>
      <c r="Y223" s="78" t="s">
        <v>540</v>
      </c>
      <c r="Z223" s="78" t="s">
        <v>239</v>
      </c>
      <c r="AA223" s="106" t="str">
        <f>INDEX(Pipes_result_save_V1!$G$2:$G$206,MATCH(Z223,Pipes_result_save_V1!$I$2:$I$206,0))</f>
        <v>N172</v>
      </c>
      <c r="AB223" s="106" t="str">
        <f>INDEX(Pipes_result_save_V1!$H$2:$H$206,MATCH(Z223,Pipes_result_save_V1!$I$2:$I$206,0))</f>
        <v>N173</v>
      </c>
      <c r="AC223" s="106">
        <f t="shared" si="30"/>
        <v>2.7476208083010165E-3</v>
      </c>
      <c r="AD223" s="78">
        <v>200</v>
      </c>
      <c r="AE223" s="78">
        <v>150</v>
      </c>
      <c r="AF223" s="78">
        <v>89</v>
      </c>
      <c r="AG223" s="78">
        <v>225.15545454416295</v>
      </c>
      <c r="AH223" s="78">
        <v>-2.2432064923816445E-2</v>
      </c>
      <c r="AI223" s="78">
        <v>-1</v>
      </c>
      <c r="AJ223" s="78">
        <v>-1</v>
      </c>
      <c r="AK223" s="78">
        <v>-0.19874322348307349</v>
      </c>
      <c r="AL223">
        <v>16.408317787091661</v>
      </c>
      <c r="AM223" s="107">
        <f>INDEX(Pipes_result_save_V1!$K$2:$K$206,MATCH(Z223,Pipes_result_save_V1!$I$2:$I$206,0)) *POWER(10,-3)</f>
        <v>3.7408702373504638E-3</v>
      </c>
      <c r="AN223" s="78">
        <v>4.256461127399404E-3</v>
      </c>
      <c r="AO223" s="78">
        <v>-5.1559089004894016E-4</v>
      </c>
      <c r="BR223">
        <v>0</v>
      </c>
      <c r="BS223">
        <v>49</v>
      </c>
      <c r="BT223" t="s">
        <v>540</v>
      </c>
      <c r="BU223" t="s">
        <v>212</v>
      </c>
      <c r="BV223" s="106" t="str">
        <f>INDEX(Pipes_result_save_V1!$G$2:$G$206,MATCH(BU223,Pipes_result_save_V1!$I$2:$I$206,0))</f>
        <v>N98</v>
      </c>
      <c r="BW223" s="106" t="str">
        <f>INDEX(Pipes_result_save_V1!$H$2:$H$206,MATCH(BU223,Pipes_result_save_V1!$I$2:$I$206,0))</f>
        <v>N99</v>
      </c>
      <c r="BX223" s="106">
        <f t="shared" si="32"/>
        <v>1.1671950922991004E-3</v>
      </c>
      <c r="BY223">
        <v>350</v>
      </c>
      <c r="BZ223">
        <v>150</v>
      </c>
      <c r="CA223">
        <v>138</v>
      </c>
      <c r="CB223">
        <v>22.863000040269018</v>
      </c>
      <c r="CC223">
        <v>-8.8999999999999996E-2</v>
      </c>
      <c r="CD223">
        <v>-0.25906187794892238</v>
      </c>
      <c r="CE223">
        <v>5.3908157074315115</v>
      </c>
      <c r="CF223" s="107">
        <f>INDEX(Pipes_result_save_V1!$K$2:$K$206,MATCH(BU223,Pipes_result_save_V1!$I$2:$I$206,0)) *POWER(10,-3)</f>
        <v>5.0803762674331667E-4</v>
      </c>
      <c r="CG223" s="78">
        <v>5.3655740583200611E-3</v>
      </c>
      <c r="CH223" s="78">
        <v>-4.8575364315767448E-3</v>
      </c>
      <c r="DO223" t="s">
        <v>380</v>
      </c>
      <c r="DP223" s="233"/>
      <c r="DQ223" s="233"/>
      <c r="DR223" s="233"/>
      <c r="DS223" s="233"/>
      <c r="DT223" s="233"/>
      <c r="DU223" s="233"/>
      <c r="DV223" s="233"/>
      <c r="DW223" s="233"/>
      <c r="DX223">
        <v>-0.1490744251362402</v>
      </c>
      <c r="DY223">
        <v>254.61748802696457</v>
      </c>
    </row>
    <row r="224" spans="2:145" ht="30" x14ac:dyDescent="0.25">
      <c r="B224" s="106">
        <v>50</v>
      </c>
      <c r="C224" s="106" t="s">
        <v>540</v>
      </c>
      <c r="D224" s="106" t="s">
        <v>240</v>
      </c>
      <c r="E224" s="106" t="str">
        <f>INDEX(Pipes_result_save_V1!$G$2:$G$206,MATCH(D224,Pipes_result_save_V1!$I$2:$I$206,0))</f>
        <v>N173</v>
      </c>
      <c r="F224" s="106" t="str">
        <f>INDEX(Pipes_result_save_V1!$H$2:$H$206,MATCH(D224,Pipes_result_save_V1!$I$2:$I$206,0))</f>
        <v>N174</v>
      </c>
      <c r="G224" s="106">
        <f t="shared" si="29"/>
        <v>2.6103958519658648E-3</v>
      </c>
      <c r="H224" s="107">
        <v>200</v>
      </c>
      <c r="I224" s="107">
        <v>150</v>
      </c>
      <c r="J224" s="107">
        <v>45</v>
      </c>
      <c r="K224" s="107">
        <v>113.84264555603744</v>
      </c>
      <c r="L224" s="107">
        <v>-2.9028999999999999E-2</v>
      </c>
      <c r="M224" s="107">
        <v>-0.16198320334785676</v>
      </c>
      <c r="N224" s="107">
        <v>10.334248255201038</v>
      </c>
      <c r="O224" s="107">
        <f>INDEX(Pipes_result_save_V1!$K$2:$K$206,MATCH(D224,Pipes_result_save_V1!$I$2:$I$206,0)) *POWER(10,-3)</f>
        <v>2.9763264656066891E-3</v>
      </c>
      <c r="P224" s="78">
        <v>5.7300114287608473E-3</v>
      </c>
      <c r="Q224" s="78">
        <v>-2.7536849631541582E-3</v>
      </c>
      <c r="R224" s="78"/>
      <c r="S224" s="78"/>
      <c r="T224" s="78"/>
      <c r="U224" s="78"/>
      <c r="V224" s="78"/>
      <c r="W224" s="78">
        <v>50</v>
      </c>
      <c r="X224" s="78">
        <v>50</v>
      </c>
      <c r="Y224" s="78" t="s">
        <v>540</v>
      </c>
      <c r="Z224" s="78" t="s">
        <v>240</v>
      </c>
      <c r="AA224" s="106" t="str">
        <f>INDEX(Pipes_result_save_V1!$G$2:$G$206,MATCH(Z224,Pipes_result_save_V1!$I$2:$I$206,0))</f>
        <v>N173</v>
      </c>
      <c r="AB224" s="106" t="str">
        <f>INDEX(Pipes_result_save_V1!$H$2:$H$206,MATCH(Z224,Pipes_result_save_V1!$I$2:$I$206,0))</f>
        <v>N174</v>
      </c>
      <c r="AC224" s="106">
        <f t="shared" si="30"/>
        <v>4.4252182421567563E-3</v>
      </c>
      <c r="AD224" s="78">
        <v>200</v>
      </c>
      <c r="AE224" s="78">
        <v>150</v>
      </c>
      <c r="AF224" s="78">
        <v>45</v>
      </c>
      <c r="AG224" s="78">
        <v>113.84264555603744</v>
      </c>
      <c r="AH224" s="78">
        <v>-2.2432064923816445E-2</v>
      </c>
      <c r="AI224" s="78">
        <v>-1</v>
      </c>
      <c r="AJ224" s="78">
        <v>-1</v>
      </c>
      <c r="AK224" s="78">
        <v>-0.10048814670492479</v>
      </c>
      <c r="AL224">
        <v>8.2963404541474688</v>
      </c>
      <c r="AM224" s="107">
        <f>INDEX(Pipes_result_save_V1!$K$2:$K$206,MATCH(Z224,Pipes_result_save_V1!$I$2:$I$206,0)) *POWER(10,-3)</f>
        <v>2.9763264656066891E-3</v>
      </c>
      <c r="AN224" s="78">
        <v>4.8710106639339645E-3</v>
      </c>
      <c r="AO224" s="78">
        <v>-1.8946841983272754E-3</v>
      </c>
      <c r="BR224">
        <v>0</v>
      </c>
      <c r="BS224">
        <v>50</v>
      </c>
      <c r="BT224" t="s">
        <v>539</v>
      </c>
      <c r="BU224" t="s">
        <v>426</v>
      </c>
      <c r="BV224" s="106" t="str">
        <f>INDEX(Pipes_result_save_V1!$G$2:$G$206,MATCH(BU224,Pipes_result_save_V1!$I$2:$I$206,0))</f>
        <v>N99</v>
      </c>
      <c r="BW224" s="106" t="str">
        <f>INDEX(Pipes_result_save_V1!$H$2:$H$206,MATCH(BU224,Pipes_result_save_V1!$I$2:$I$206,0))</f>
        <v>N194</v>
      </c>
      <c r="BX224" s="106">
        <f t="shared" si="32"/>
        <v>2.4323030254390374E-3</v>
      </c>
      <c r="BY224">
        <v>250</v>
      </c>
      <c r="BZ224">
        <v>150</v>
      </c>
      <c r="CA224">
        <v>184</v>
      </c>
      <c r="CB224">
        <v>156.98625003955448</v>
      </c>
      <c r="CC224">
        <v>4.4999999999999998E-2</v>
      </c>
      <c r="CD224">
        <v>0.50305004365010741</v>
      </c>
      <c r="CE224">
        <v>20.703304018666632</v>
      </c>
      <c r="CF224" s="107">
        <f>INDEX(Pipes_result_save_V1!$K$2:$K$206,MATCH(BU224,Pipes_result_save_V1!$I$2:$I$206,0)) *POWER(10,-3)</f>
        <v>-9.0544853210449226E-3</v>
      </c>
      <c r="CG224" s="78">
        <v>5.081636239368993E-3</v>
      </c>
      <c r="CH224" s="78">
        <v>-3.9728490816759296E-3</v>
      </c>
      <c r="DO224" t="s">
        <v>381</v>
      </c>
      <c r="DP224" s="233">
        <v>5.8548384202287344E-4</v>
      </c>
      <c r="DQ224" s="233"/>
      <c r="DR224" s="233"/>
      <c r="DS224" s="233"/>
      <c r="DT224" s="233"/>
      <c r="DU224" s="233"/>
      <c r="DV224" s="233"/>
      <c r="DW224" s="233"/>
      <c r="DX224" s="233"/>
      <c r="DY224" s="233"/>
    </row>
    <row r="225" spans="2:86" ht="30" x14ac:dyDescent="0.25">
      <c r="B225" s="106">
        <v>51</v>
      </c>
      <c r="C225" s="106" t="s">
        <v>540</v>
      </c>
      <c r="D225" s="106" t="s">
        <v>241</v>
      </c>
      <c r="E225" s="106" t="str">
        <f>INDEX(Pipes_result_save_V1!$G$2:$G$206,MATCH(D225,Pipes_result_save_V1!$I$2:$I$206,0))</f>
        <v>N174</v>
      </c>
      <c r="F225" s="106" t="str">
        <f>INDEX(Pipes_result_save_V1!$H$2:$H$206,MATCH(D225,Pipes_result_save_V1!$I$2:$I$206,0))</f>
        <v>N175</v>
      </c>
      <c r="G225" s="106">
        <f t="shared" si="29"/>
        <v>1.9520698198551903E-3</v>
      </c>
      <c r="H225" s="107">
        <v>200</v>
      </c>
      <c r="I225" s="107">
        <v>150</v>
      </c>
      <c r="J225" s="107">
        <v>43</v>
      </c>
      <c r="K225" s="107">
        <v>108.78297242021355</v>
      </c>
      <c r="L225" s="107">
        <v>-2.9028999999999999E-2</v>
      </c>
      <c r="M225" s="107">
        <v>-0.1547839498657298</v>
      </c>
      <c r="N225" s="107">
        <v>9.8749483327476586</v>
      </c>
      <c r="O225" s="107">
        <f>INDEX(Pipes_result_save_V1!$K$2:$K$206,MATCH(D225,Pipes_result_save_V1!$I$2:$I$206,0)) *POWER(10,-3)</f>
        <v>2.4742381572723389E-3</v>
      </c>
      <c r="P225" s="78">
        <v>5.1530817219391841E-3</v>
      </c>
      <c r="Q225" s="78">
        <v>-2.6788435646668452E-3</v>
      </c>
      <c r="R225" s="78"/>
      <c r="S225" s="78"/>
      <c r="T225" s="78"/>
      <c r="U225" s="78"/>
      <c r="V225" s="78"/>
      <c r="W225" s="78">
        <v>51</v>
      </c>
      <c r="X225" s="78">
        <v>51</v>
      </c>
      <c r="Y225" s="78" t="s">
        <v>540</v>
      </c>
      <c r="Z225" s="78" t="s">
        <v>241</v>
      </c>
      <c r="AA225" s="106" t="str">
        <f>INDEX(Pipes_result_save_V1!$G$2:$G$206,MATCH(Z225,Pipes_result_save_V1!$I$2:$I$206,0))</f>
        <v>N174</v>
      </c>
      <c r="AB225" s="106" t="str">
        <f>INDEX(Pipes_result_save_V1!$H$2:$H$206,MATCH(Z225,Pipes_result_save_V1!$I$2:$I$206,0))</f>
        <v>N175</v>
      </c>
      <c r="AC225" s="106">
        <f t="shared" si="30"/>
        <v>6.5496260507279247E-4</v>
      </c>
      <c r="AD225" s="78">
        <v>200</v>
      </c>
      <c r="AE225" s="78">
        <v>150</v>
      </c>
      <c r="AF225" s="78">
        <v>43</v>
      </c>
      <c r="AG225" s="78">
        <v>108.78297242021355</v>
      </c>
      <c r="AH225" s="78">
        <v>-2.2432064923816445E-2</v>
      </c>
      <c r="AI225" s="78">
        <v>-1</v>
      </c>
      <c r="AJ225" s="78">
        <v>-1</v>
      </c>
      <c r="AK225" s="78">
        <v>-9.6022006851372577E-2</v>
      </c>
      <c r="AL225">
        <v>7.9276142117409147</v>
      </c>
      <c r="AM225" s="107">
        <f>INDEX(Pipes_result_save_V1!$K$2:$K$206,MATCH(Z225,Pipes_result_save_V1!$I$2:$I$206,0)) *POWER(10,-3)</f>
        <v>2.4742381572723389E-3</v>
      </c>
      <c r="AN225" s="78">
        <v>8.7321639315801267E-4</v>
      </c>
      <c r="AO225" s="78">
        <v>1.6010217641143263E-3</v>
      </c>
      <c r="BR225">
        <v>0</v>
      </c>
      <c r="BS225">
        <v>51</v>
      </c>
      <c r="BT225" t="s">
        <v>539</v>
      </c>
      <c r="BU225" t="s">
        <v>277</v>
      </c>
      <c r="BV225" s="106" t="str">
        <f>INDEX(Pipes_result_save_V1!$G$2:$G$206,MATCH(BU225,Pipes_result_save_V1!$I$2:$I$206,0))</f>
        <v>N193</v>
      </c>
      <c r="BW225" s="106" t="str">
        <f>INDEX(Pipes_result_save_V1!$H$2:$H$206,MATCH(BU225,Pipes_result_save_V1!$I$2:$I$206,0))</f>
        <v>N192</v>
      </c>
      <c r="BX225" s="106">
        <f t="shared" si="32"/>
        <v>8.4085155500291386E-3</v>
      </c>
      <c r="BY225">
        <v>250</v>
      </c>
      <c r="BZ225">
        <v>150</v>
      </c>
      <c r="CA225">
        <v>351</v>
      </c>
      <c r="CB225">
        <v>299.46833567328059</v>
      </c>
      <c r="CC225">
        <v>4.2999999999999997E-2</v>
      </c>
      <c r="CD225">
        <v>0.8821338523934692</v>
      </c>
      <c r="CE225">
        <v>37.993299875179169</v>
      </c>
      <c r="CF225" s="107">
        <f>INDEX(Pipes_result_save_V1!$K$2:$K$206,MATCH(BU225,Pipes_result_save_V1!$I$2:$I$206,0)) *POWER(10,-3)</f>
        <v>-1.403542900085449E-2</v>
      </c>
      <c r="CG225" s="78">
        <v>5.0636829601094606E-3</v>
      </c>
      <c r="CH225" s="78">
        <v>-8.9717460407450298E-3</v>
      </c>
    </row>
    <row r="226" spans="2:86" ht="30" x14ac:dyDescent="0.25">
      <c r="B226" s="106">
        <v>52</v>
      </c>
      <c r="C226" s="106" t="s">
        <v>540</v>
      </c>
      <c r="D226" s="106" t="s">
        <v>243</v>
      </c>
      <c r="E226" s="106" t="str">
        <f>INDEX(Pipes_result_save_V1!$G$2:$G$206,MATCH(D226,Pipes_result_save_V1!$I$2:$I$206,0))</f>
        <v>N175</v>
      </c>
      <c r="F226" s="106" t="str">
        <f>INDEX(Pipes_result_save_V1!$H$2:$H$206,MATCH(D226,Pipes_result_save_V1!$I$2:$I$206,0))</f>
        <v>N176</v>
      </c>
      <c r="G226" s="106">
        <f t="shared" si="29"/>
        <v>2.7474861494907084E-3</v>
      </c>
      <c r="H226" s="107">
        <v>200</v>
      </c>
      <c r="I226" s="107">
        <v>150</v>
      </c>
      <c r="J226" s="107">
        <v>66</v>
      </c>
      <c r="K226" s="107">
        <v>166.96921348218822</v>
      </c>
      <c r="L226" s="107">
        <v>-2.9028999999999999E-2</v>
      </c>
      <c r="M226" s="107">
        <v>-0.23757536491018991</v>
      </c>
      <c r="N226" s="107">
        <v>15.156897440961519</v>
      </c>
      <c r="O226" s="107">
        <f>INDEX(Pipes_result_save_V1!$K$2:$K$206,MATCH(D226,Pipes_result_save_V1!$I$2:$I$206,0)) *POWER(10,-3)</f>
        <v>1.8523334264755249E-3</v>
      </c>
      <c r="P226" s="78">
        <v>6.0043545941770591E-3</v>
      </c>
      <c r="Q226" s="78">
        <v>-4.1520211677015337E-3</v>
      </c>
      <c r="R226" s="78"/>
      <c r="S226" s="78"/>
      <c r="T226" s="78"/>
      <c r="U226" s="78"/>
      <c r="V226" s="78"/>
      <c r="W226" s="78">
        <v>52</v>
      </c>
      <c r="X226" s="78">
        <v>52</v>
      </c>
      <c r="Y226" s="78" t="s">
        <v>540</v>
      </c>
      <c r="Z226" s="78" t="s">
        <v>243</v>
      </c>
      <c r="AA226" s="106" t="str">
        <f>INDEX(Pipes_result_save_V1!$G$2:$G$206,MATCH(Z226,Pipes_result_save_V1!$I$2:$I$206,0))</f>
        <v>N175</v>
      </c>
      <c r="AB226" s="106" t="str">
        <f>INDEX(Pipes_result_save_V1!$H$2:$H$206,MATCH(Z226,Pipes_result_save_V1!$I$2:$I$206,0))</f>
        <v>N176</v>
      </c>
      <c r="AC226" s="106">
        <f t="shared" si="30"/>
        <v>1.9507675900151907E-3</v>
      </c>
      <c r="AD226" s="78">
        <v>200</v>
      </c>
      <c r="AE226" s="78">
        <v>150</v>
      </c>
      <c r="AF226" s="78">
        <v>66</v>
      </c>
      <c r="AG226" s="78">
        <v>166.96921348218822</v>
      </c>
      <c r="AH226" s="78">
        <v>-2.2432064923816445E-2</v>
      </c>
      <c r="AI226" s="78">
        <v>-1</v>
      </c>
      <c r="AJ226" s="78">
        <v>-1</v>
      </c>
      <c r="AK226" s="78">
        <v>-0.14738261516722301</v>
      </c>
      <c r="AL226">
        <v>12.167965999416285</v>
      </c>
      <c r="AM226" s="107">
        <f>INDEX(Pipes_result_save_V1!$K$2:$K$206,MATCH(Z226,Pipes_result_save_V1!$I$2:$I$206,0)) *POWER(10,-3)</f>
        <v>1.8523334264755249E-3</v>
      </c>
      <c r="AN226" s="78">
        <v>3.265057225500943E-3</v>
      </c>
      <c r="AO226" s="78">
        <v>-1.4127237990254182E-3</v>
      </c>
      <c r="BR226">
        <v>0</v>
      </c>
      <c r="BS226">
        <v>52</v>
      </c>
      <c r="BT226" t="s">
        <v>539</v>
      </c>
      <c r="BU226" t="s">
        <v>427</v>
      </c>
      <c r="BV226" s="106" t="str">
        <f>INDEX(Pipes_result_save_V1!$G$2:$G$206,MATCH(BU226,Pipes_result_save_V1!$I$2:$I$206,0))</f>
        <v>N194</v>
      </c>
      <c r="BW226" s="106" t="str">
        <f>INDEX(Pipes_result_save_V1!$H$2:$H$206,MATCH(BU226,Pipes_result_save_V1!$I$2:$I$206,0))</f>
        <v>N193</v>
      </c>
      <c r="BX226" s="106">
        <f t="shared" si="32"/>
        <v>2.1187282652259608E-3</v>
      </c>
      <c r="BY226">
        <v>300</v>
      </c>
      <c r="BZ226">
        <v>150</v>
      </c>
      <c r="CA226">
        <v>169</v>
      </c>
      <c r="CB226">
        <v>59.32512303994173</v>
      </c>
      <c r="CC226">
        <v>6.6000000000000003E-2</v>
      </c>
      <c r="CD226">
        <v>0.38639724054184493</v>
      </c>
      <c r="CE226">
        <v>10.84254074974996</v>
      </c>
      <c r="CF226" s="107">
        <f>INDEX(Pipes_result_save_V1!$K$2:$K$206,MATCH(BU226,Pipes_result_save_V1!$I$2:$I$206,0)) *POWER(10,-3)</f>
        <v>-1.1068543434143071E-2</v>
      </c>
      <c r="CG226" s="78">
        <v>5.4817377810355205E-3</v>
      </c>
      <c r="CH226" s="78">
        <v>-5.5868056531075501E-3</v>
      </c>
    </row>
    <row r="227" spans="2:86" ht="30" x14ac:dyDescent="0.25">
      <c r="B227" s="106">
        <v>53</v>
      </c>
      <c r="C227" s="106" t="s">
        <v>540</v>
      </c>
      <c r="D227" s="106" t="s">
        <v>242</v>
      </c>
      <c r="E227" s="106" t="str">
        <f>INDEX(Pipes_result_save_V1!$G$2:$G$206,MATCH(D227,Pipes_result_save_V1!$I$2:$I$206,0))</f>
        <v>N176</v>
      </c>
      <c r="F227" s="106" t="str">
        <f>INDEX(Pipes_result_save_V1!$H$2:$H$206,MATCH(D227,Pipes_result_save_V1!$I$2:$I$206,0))</f>
        <v>N177</v>
      </c>
      <c r="G227" s="106">
        <f t="shared" si="29"/>
        <v>3.4223826044557631E-3</v>
      </c>
      <c r="H227" s="107">
        <v>200</v>
      </c>
      <c r="I227" s="107">
        <v>150</v>
      </c>
      <c r="J227" s="107">
        <v>48</v>
      </c>
      <c r="K227" s="107">
        <v>121.43215525977327</v>
      </c>
      <c r="L227" s="107">
        <v>-2.9028999999999999E-2</v>
      </c>
      <c r="M227" s="107">
        <v>-0.17278208357104724</v>
      </c>
      <c r="N227" s="107">
        <v>11.023198138881106</v>
      </c>
      <c r="O227" s="107">
        <f>INDEX(Pipes_result_save_V1!$K$2:$K$206,MATCH(D227,Pipes_result_save_V1!$I$2:$I$206,0)) *POWER(10,-3)</f>
        <v>1.201900839805603E-3</v>
      </c>
      <c r="P227" s="78">
        <v>5.8491628632978574E-3</v>
      </c>
      <c r="Q227" s="78">
        <v>-4.6472620234922542E-3</v>
      </c>
      <c r="R227" s="78"/>
      <c r="S227" s="78"/>
      <c r="T227" s="78"/>
      <c r="U227" s="78"/>
      <c r="V227" s="78"/>
      <c r="W227" s="78">
        <v>53</v>
      </c>
      <c r="X227" s="78">
        <v>53</v>
      </c>
      <c r="Y227" s="78" t="s">
        <v>540</v>
      </c>
      <c r="Z227" s="78" t="s">
        <v>242</v>
      </c>
      <c r="AA227" s="106" t="str">
        <f>INDEX(Pipes_result_save_V1!$G$2:$G$206,MATCH(Z227,Pipes_result_save_V1!$I$2:$I$206,0))</f>
        <v>N176</v>
      </c>
      <c r="AB227" s="106" t="str">
        <f>INDEX(Pipes_result_save_V1!$H$2:$H$206,MATCH(Z227,Pipes_result_save_V1!$I$2:$I$206,0))</f>
        <v>N177</v>
      </c>
      <c r="AC227" s="106">
        <f t="shared" si="30"/>
        <v>4.6662086665303793E-3</v>
      </c>
      <c r="AD227" s="78">
        <v>200</v>
      </c>
      <c r="AE227" s="78">
        <v>150</v>
      </c>
      <c r="AF227" s="78">
        <v>48</v>
      </c>
      <c r="AG227" s="78">
        <v>121.43215525977327</v>
      </c>
      <c r="AH227" s="78">
        <v>-2.2432064923816445E-2</v>
      </c>
      <c r="AI227" s="78">
        <v>-1</v>
      </c>
      <c r="AJ227" s="78">
        <v>-1</v>
      </c>
      <c r="AK227" s="78">
        <v>-0.10718735648525311</v>
      </c>
      <c r="AL227">
        <v>8.8494298177573008</v>
      </c>
      <c r="AM227" s="107">
        <f>INDEX(Pipes_result_save_V1!$K$2:$K$206,MATCH(Z227,Pipes_result_save_V1!$I$2:$I$206,0)) *POWER(10,-3)</f>
        <v>1.201900839805603E-3</v>
      </c>
      <c r="AN227" s="78">
        <v>1.708222169463907E-5</v>
      </c>
      <c r="AO227" s="78">
        <v>1.1848186181109639E-3</v>
      </c>
      <c r="BR227">
        <v>10</v>
      </c>
      <c r="BU227" t="s">
        <v>380</v>
      </c>
      <c r="CD227">
        <v>3.5097209813072223</v>
      </c>
      <c r="CE227">
        <v>379.17498629972198</v>
      </c>
    </row>
    <row r="228" spans="2:86" ht="30" x14ac:dyDescent="0.25">
      <c r="B228" s="106">
        <v>54</v>
      </c>
      <c r="C228" s="106" t="s">
        <v>540</v>
      </c>
      <c r="D228" s="106" t="s">
        <v>244</v>
      </c>
      <c r="E228" s="106" t="str">
        <f>INDEX(Pipes_result_save_V1!$G$2:$G$206,MATCH(D228,Pipes_result_save_V1!$I$2:$I$206,0))</f>
        <v>N177</v>
      </c>
      <c r="F228" s="106" t="str">
        <f>INDEX(Pipes_result_save_V1!$H$2:$H$206,MATCH(D228,Pipes_result_save_V1!$I$2:$I$206,0))</f>
        <v>N178</v>
      </c>
      <c r="G228" s="106">
        <f t="shared" si="29"/>
        <v>1.9144098744790661E-4</v>
      </c>
      <c r="H228" s="107">
        <v>200</v>
      </c>
      <c r="I228" s="107">
        <v>150</v>
      </c>
      <c r="J228" s="107">
        <v>19</v>
      </c>
      <c r="K228" s="107">
        <v>48.06689479032692</v>
      </c>
      <c r="L228" s="107">
        <v>-2.9028999999999999E-2</v>
      </c>
      <c r="M228" s="107">
        <v>-6.8392908080206191E-2</v>
      </c>
      <c r="N228" s="107">
        <v>4.3633492633071045</v>
      </c>
      <c r="O228" s="107">
        <f>INDEX(Pipes_result_save_V1!$K$2:$K$206,MATCH(D228,Pipes_result_save_V1!$I$2:$I$206,0)) *POWER(10,-3)</f>
        <v>8.1962907314300543E-4</v>
      </c>
      <c r="P228" s="78">
        <v>6.3476425359372778E-3</v>
      </c>
      <c r="Q228" s="78">
        <v>-5.5280134627942725E-3</v>
      </c>
      <c r="R228" s="78"/>
      <c r="S228" s="78"/>
      <c r="T228" s="78"/>
      <c r="U228" s="78"/>
      <c r="V228" s="78"/>
      <c r="W228" s="78">
        <v>54</v>
      </c>
      <c r="X228" s="78">
        <v>54</v>
      </c>
      <c r="Y228" s="78" t="s">
        <v>540</v>
      </c>
      <c r="Z228" s="78" t="s">
        <v>244</v>
      </c>
      <c r="AA228" s="106" t="str">
        <f>INDEX(Pipes_result_save_V1!$G$2:$G$206,MATCH(Z228,Pipes_result_save_V1!$I$2:$I$206,0))</f>
        <v>N177</v>
      </c>
      <c r="AB228" s="106" t="str">
        <f>INDEX(Pipes_result_save_V1!$H$2:$H$206,MATCH(Z228,Pipes_result_save_V1!$I$2:$I$206,0))</f>
        <v>N178</v>
      </c>
      <c r="AC228" s="106">
        <f t="shared" si="30"/>
        <v>3.0905576539124249E-3</v>
      </c>
      <c r="AD228" s="78">
        <v>200</v>
      </c>
      <c r="AE228" s="78">
        <v>150</v>
      </c>
      <c r="AF228" s="78">
        <v>19</v>
      </c>
      <c r="AG228" s="78">
        <v>48.06689479032692</v>
      </c>
      <c r="AH228" s="78">
        <v>-2.2432064923816445E-2</v>
      </c>
      <c r="AI228" s="78">
        <v>-1</v>
      </c>
      <c r="AJ228" s="78">
        <v>-1</v>
      </c>
      <c r="AK228" s="78">
        <v>-4.2428328608746027E-2</v>
      </c>
      <c r="AL228">
        <v>3.5028993028622648</v>
      </c>
      <c r="AM228" s="107">
        <f>INDEX(Pipes_result_save_V1!$K$2:$K$206,MATCH(Z228,Pipes_result_save_V1!$I$2:$I$206,0)) *POWER(10,-3)</f>
        <v>8.1962907314300543E-4</v>
      </c>
      <c r="AN228" s="78">
        <v>8.4633980498589369E-4</v>
      </c>
      <c r="AO228" s="78">
        <v>-2.6710731842888259E-5</v>
      </c>
      <c r="BU228" t="s">
        <v>381</v>
      </c>
      <c r="BX228">
        <v>-9.2562038850657058E-3</v>
      </c>
    </row>
    <row r="229" spans="2:86" ht="30" x14ac:dyDescent="0.25">
      <c r="B229" s="106">
        <v>55</v>
      </c>
      <c r="C229" s="106" t="s">
        <v>540</v>
      </c>
      <c r="D229" s="106" t="s">
        <v>245</v>
      </c>
      <c r="E229" s="106" t="str">
        <f>INDEX(Pipes_result_save_V1!$G$2:$G$206,MATCH(D229,Pipes_result_save_V1!$I$2:$I$206,0))</f>
        <v>N178</v>
      </c>
      <c r="F229" s="106" t="str">
        <f>INDEX(Pipes_result_save_V1!$H$2:$H$206,MATCH(D229,Pipes_result_save_V1!$I$2:$I$206,0))</f>
        <v>N179</v>
      </c>
      <c r="G229" s="106">
        <f t="shared" si="29"/>
        <v>4.8388767384940348E-3</v>
      </c>
      <c r="H229" s="107">
        <v>200</v>
      </c>
      <c r="I229" s="107">
        <v>150</v>
      </c>
      <c r="J229" s="107">
        <v>58</v>
      </c>
      <c r="K229" s="107">
        <v>146.73052093889271</v>
      </c>
      <c r="L229" s="107">
        <v>-2.9028999999999999E-2</v>
      </c>
      <c r="M229" s="107">
        <v>-0.20877835098168207</v>
      </c>
      <c r="N229" s="107">
        <v>13.319697751148006</v>
      </c>
      <c r="O229" s="107">
        <f>INDEX(Pipes_result_save_V1!$K$2:$K$206,MATCH(D229,Pipes_result_save_V1!$I$2:$I$206,0)) *POWER(10,-3)</f>
        <v>3.803018033504486E-4</v>
      </c>
      <c r="P229" s="78">
        <v>5.8926216561321926E-3</v>
      </c>
      <c r="Q229" s="78">
        <v>-5.5123198527817444E-3</v>
      </c>
      <c r="R229" s="78"/>
      <c r="S229" s="78"/>
      <c r="T229" s="78"/>
      <c r="U229" s="78"/>
      <c r="V229" s="78"/>
      <c r="W229" s="78">
        <v>55</v>
      </c>
      <c r="X229" s="78">
        <v>55</v>
      </c>
      <c r="Y229" s="78" t="s">
        <v>540</v>
      </c>
      <c r="Z229" s="78" t="s">
        <v>245</v>
      </c>
      <c r="AA229" s="106" t="str">
        <f>INDEX(Pipes_result_save_V1!$G$2:$G$206,MATCH(Z229,Pipes_result_save_V1!$I$2:$I$206,0))</f>
        <v>N178</v>
      </c>
      <c r="AB229" s="106" t="str">
        <f>INDEX(Pipes_result_save_V1!$H$2:$H$206,MATCH(Z229,Pipes_result_save_V1!$I$2:$I$206,0))</f>
        <v>N179</v>
      </c>
      <c r="AC229" s="106">
        <f t="shared" si="30"/>
        <v>1.9473424399826544E-3</v>
      </c>
      <c r="AD229" s="78">
        <v>200</v>
      </c>
      <c r="AE229" s="78">
        <v>150</v>
      </c>
      <c r="AF229" s="78">
        <v>58</v>
      </c>
      <c r="AG229" s="78">
        <v>146.73052093889271</v>
      </c>
      <c r="AH229" s="78">
        <v>-2.2432064923816445E-2</v>
      </c>
      <c r="AI229" s="78">
        <v>-1</v>
      </c>
      <c r="AJ229" s="78">
        <v>-1</v>
      </c>
      <c r="AK229" s="78">
        <v>-0.12951805575301417</v>
      </c>
      <c r="AL229">
        <v>10.693061029790073</v>
      </c>
      <c r="AM229" s="107">
        <f>INDEX(Pipes_result_save_V1!$K$2:$K$206,MATCH(Z229,Pipes_result_save_V1!$I$2:$I$206,0)) *POWER(10,-3)</f>
        <v>3.803018033504486E-4</v>
      </c>
      <c r="AN229" s="78">
        <v>3.6039700558807442E-3</v>
      </c>
      <c r="AO229" s="78">
        <v>-3.2236682525302956E-3</v>
      </c>
    </row>
    <row r="230" spans="2:86" ht="30" x14ac:dyDescent="0.25">
      <c r="B230" s="106">
        <v>56</v>
      </c>
      <c r="C230" s="106" t="s">
        <v>540</v>
      </c>
      <c r="D230" s="106" t="s">
        <v>246</v>
      </c>
      <c r="E230" s="106" t="str">
        <f>INDEX(Pipes_result_save_V1!$G$2:$G$206,MATCH(D230,Pipes_result_save_V1!$I$2:$I$206,0))</f>
        <v>N179</v>
      </c>
      <c r="F230" s="106" t="str">
        <f>INDEX(Pipes_result_save_V1!$H$2:$H$206,MATCH(D230,Pipes_result_save_V1!$I$2:$I$206,0))</f>
        <v>N180</v>
      </c>
      <c r="G230" s="106">
        <f t="shared" si="29"/>
        <v>7.9468029316258001E-4</v>
      </c>
      <c r="H230" s="107">
        <v>200</v>
      </c>
      <c r="I230" s="107">
        <v>150</v>
      </c>
      <c r="J230" s="107">
        <v>84</v>
      </c>
      <c r="K230" s="107">
        <v>212.50627170460322</v>
      </c>
      <c r="L230" s="107">
        <v>-2.9028999999999999E-2</v>
      </c>
      <c r="M230" s="107">
        <v>-0.30236864624933263</v>
      </c>
      <c r="N230" s="107">
        <v>19.290596743041935</v>
      </c>
      <c r="O230" s="107">
        <f>INDEX(Pipes_result_save_V1!$K$2:$K$206,MATCH(D230,Pipes_result_save_V1!$I$2:$I$206,0)) *POWER(10,-3)</f>
        <v>-4.2988613247871402E-4</v>
      </c>
      <c r="P230" s="78">
        <v>5.2392112794422485E-3</v>
      </c>
      <c r="Q230" s="78">
        <v>4.8093251469635348E-3</v>
      </c>
      <c r="R230" s="78"/>
      <c r="S230" s="78"/>
      <c r="T230" s="78"/>
      <c r="U230" s="78"/>
      <c r="V230" s="78"/>
      <c r="W230" s="78">
        <v>56</v>
      </c>
      <c r="X230" s="78">
        <v>56</v>
      </c>
      <c r="Y230" s="78" t="s">
        <v>540</v>
      </c>
      <c r="Z230" s="78" t="s">
        <v>246</v>
      </c>
      <c r="AA230" s="106" t="str">
        <f>INDEX(Pipes_result_save_V1!$G$2:$G$206,MATCH(Z230,Pipes_result_save_V1!$I$2:$I$206,0))</f>
        <v>N179</v>
      </c>
      <c r="AB230" s="106" t="str">
        <f>INDEX(Pipes_result_save_V1!$H$2:$H$206,MATCH(Z230,Pipes_result_save_V1!$I$2:$I$206,0))</f>
        <v>N180</v>
      </c>
      <c r="AC230" s="106">
        <f t="shared" si="30"/>
        <v>3.1328527360362742E-3</v>
      </c>
      <c r="AD230" s="78">
        <v>200</v>
      </c>
      <c r="AE230" s="78">
        <v>150</v>
      </c>
      <c r="AF230" s="78">
        <v>84</v>
      </c>
      <c r="AG230" s="78">
        <v>212.50627170460322</v>
      </c>
      <c r="AH230" s="78">
        <v>-2.2432064923816445E-2</v>
      </c>
      <c r="AI230" s="78">
        <v>-1</v>
      </c>
      <c r="AJ230" s="78">
        <v>-1</v>
      </c>
      <c r="AK230" s="78">
        <v>-0.18757787384919294</v>
      </c>
      <c r="AL230">
        <v>15.486502181075274</v>
      </c>
      <c r="AM230" s="107">
        <f>INDEX(Pipes_result_save_V1!$K$2:$K$206,MATCH(Z230,Pipes_result_save_V1!$I$2:$I$206,0)) *POWER(10,-3)</f>
        <v>-4.2988613247871402E-4</v>
      </c>
      <c r="AN230" s="78">
        <v>3.4680174907045789E-3</v>
      </c>
      <c r="AO230" s="78">
        <v>3.0381313582258647E-3</v>
      </c>
    </row>
    <row r="231" spans="2:86" ht="30" x14ac:dyDescent="0.25">
      <c r="B231" s="106">
        <v>57</v>
      </c>
      <c r="C231" s="106" t="s">
        <v>540</v>
      </c>
      <c r="D231" s="106" t="s">
        <v>247</v>
      </c>
      <c r="E231" s="106" t="str">
        <f>INDEX(Pipes_result_save_V1!$G$2:$G$206,MATCH(D231,Pipes_result_save_V1!$I$2:$I$206,0))</f>
        <v>N180</v>
      </c>
      <c r="F231" s="106" t="str">
        <f>INDEX(Pipes_result_save_V1!$H$2:$H$206,MATCH(D231,Pipes_result_save_V1!$I$2:$I$206,0))</f>
        <v>N181</v>
      </c>
      <c r="G231" s="106">
        <f t="shared" si="29"/>
        <v>4.9104447667653317E-3</v>
      </c>
      <c r="H231" s="107">
        <v>200</v>
      </c>
      <c r="I231" s="107">
        <v>150</v>
      </c>
      <c r="J231" s="107">
        <v>105</v>
      </c>
      <c r="K231" s="107">
        <v>265.63283963075406</v>
      </c>
      <c r="L231" s="107">
        <v>-2.9028999999999999E-2</v>
      </c>
      <c r="M231" s="107">
        <v>-0.37796080781166586</v>
      </c>
      <c r="N231" s="107">
        <v>24.113245928802424</v>
      </c>
      <c r="O231" s="107">
        <f>INDEX(Pipes_result_save_V1!$K$2:$K$206,MATCH(D231,Pipes_result_save_V1!$I$2:$I$206,0)) *POWER(10,-3)</f>
        <v>-1.508234858512878E-3</v>
      </c>
      <c r="P231" s="78">
        <v>6.2975312084214384E-3</v>
      </c>
      <c r="Q231" s="78">
        <v>4.7892963499085606E-3</v>
      </c>
      <c r="R231" s="78"/>
      <c r="S231" s="78"/>
      <c r="T231" s="78"/>
      <c r="U231" s="78"/>
      <c r="V231" s="78"/>
      <c r="W231" s="78">
        <v>57</v>
      </c>
      <c r="X231" s="78">
        <v>57</v>
      </c>
      <c r="Y231" s="78" t="s">
        <v>540</v>
      </c>
      <c r="Z231" s="78" t="s">
        <v>247</v>
      </c>
      <c r="AA231" s="106" t="str">
        <f>INDEX(Pipes_result_save_V1!$G$2:$G$206,MATCH(Z231,Pipes_result_save_V1!$I$2:$I$206,0))</f>
        <v>N180</v>
      </c>
      <c r="AB231" s="106" t="str">
        <f>INDEX(Pipes_result_save_V1!$H$2:$H$206,MATCH(Z231,Pipes_result_save_V1!$I$2:$I$206,0))</f>
        <v>N181</v>
      </c>
      <c r="AC231" s="106">
        <f t="shared" si="30"/>
        <v>3.319546782394745E-3</v>
      </c>
      <c r="AD231" s="78">
        <v>200</v>
      </c>
      <c r="AE231" s="78">
        <v>150</v>
      </c>
      <c r="AF231" s="78">
        <v>105</v>
      </c>
      <c r="AG231" s="78">
        <v>265.63283963075406</v>
      </c>
      <c r="AH231" s="78">
        <v>-2.2432064923816445E-2</v>
      </c>
      <c r="AI231" s="78">
        <v>-1</v>
      </c>
      <c r="AJ231" s="78">
        <v>-1</v>
      </c>
      <c r="AK231" s="78">
        <v>-0.23447234231149122</v>
      </c>
      <c r="AL231">
        <v>19.358127726344097</v>
      </c>
      <c r="AM231" s="107">
        <f>INDEX(Pipes_result_save_V1!$K$2:$K$206,MATCH(Z231,Pipes_result_save_V1!$I$2:$I$206,0)) *POWER(10,-3)</f>
        <v>-1.508234858512878E-3</v>
      </c>
      <c r="AN231" s="78">
        <v>7.6235847886750672E-4</v>
      </c>
      <c r="AO231" s="78">
        <v>-7.4587637964537126E-4</v>
      </c>
    </row>
    <row r="232" spans="2:86" ht="30" x14ac:dyDescent="0.25">
      <c r="B232" s="106">
        <v>58</v>
      </c>
      <c r="C232" s="106" t="s">
        <v>540</v>
      </c>
      <c r="D232" s="106" t="s">
        <v>248</v>
      </c>
      <c r="E232" s="106" t="str">
        <f>INDEX(Pipes_result_save_V1!$G$2:$G$206,MATCH(D232,Pipes_result_save_V1!$I$2:$I$206,0))</f>
        <v>N181</v>
      </c>
      <c r="F232" s="106" t="str">
        <f>INDEX(Pipes_result_save_V1!$H$2:$H$206,MATCH(D232,Pipes_result_save_V1!$I$2:$I$206,0))</f>
        <v>N182</v>
      </c>
      <c r="G232" s="106">
        <f t="shared" si="29"/>
        <v>2.0177435038929042E-3</v>
      </c>
      <c r="H232" s="107">
        <v>200</v>
      </c>
      <c r="I232" s="107">
        <v>150</v>
      </c>
      <c r="J232" s="107">
        <v>90</v>
      </c>
      <c r="K232" s="107">
        <v>227.68529111207488</v>
      </c>
      <c r="L232" s="107">
        <v>-2.9028999999999999E-2</v>
      </c>
      <c r="M232" s="107">
        <v>-0.32396640669571353</v>
      </c>
      <c r="N232" s="107">
        <v>20.668496510402075</v>
      </c>
      <c r="O232" s="107">
        <f>INDEX(Pipes_result_save_V1!$K$2:$K$206,MATCH(D232,Pipes_result_save_V1!$I$2:$I$206,0)) *POWER(10,-3)</f>
        <v>-2.6208169460296632E-3</v>
      </c>
      <c r="P232" s="78">
        <v>5.1389322853683129E-3</v>
      </c>
      <c r="Q232" s="78">
        <v>2.5181153393386497E-3</v>
      </c>
      <c r="R232" s="78"/>
      <c r="S232" s="78"/>
      <c r="T232" s="78"/>
      <c r="U232" s="78"/>
      <c r="V232" s="78"/>
      <c r="W232" s="78">
        <v>58</v>
      </c>
      <c r="X232" s="78">
        <v>58</v>
      </c>
      <c r="Y232" s="78" t="s">
        <v>540</v>
      </c>
      <c r="Z232" s="78" t="s">
        <v>248</v>
      </c>
      <c r="AA232" s="106" t="str">
        <f>INDEX(Pipes_result_save_V1!$G$2:$G$206,MATCH(Z232,Pipes_result_save_V1!$I$2:$I$206,0))</f>
        <v>N181</v>
      </c>
      <c r="AB232" s="106" t="str">
        <f>INDEX(Pipes_result_save_V1!$H$2:$H$206,MATCH(Z232,Pipes_result_save_V1!$I$2:$I$206,0))</f>
        <v>N182</v>
      </c>
      <c r="AC232" s="106">
        <f t="shared" si="30"/>
        <v>4.9866314601069929E-4</v>
      </c>
      <c r="AD232" s="78">
        <v>200</v>
      </c>
      <c r="AE232" s="78">
        <v>150</v>
      </c>
      <c r="AF232" s="78">
        <v>90</v>
      </c>
      <c r="AG232" s="78">
        <v>227.68529111207488</v>
      </c>
      <c r="AH232" s="78">
        <v>-2.2432064923816445E-2</v>
      </c>
      <c r="AI232" s="78">
        <v>-1</v>
      </c>
      <c r="AJ232" s="78">
        <v>-1</v>
      </c>
      <c r="AK232" s="78">
        <v>-0.20097629340984957</v>
      </c>
      <c r="AL232">
        <v>16.592680908294938</v>
      </c>
      <c r="AM232" s="107">
        <f>INDEX(Pipes_result_save_V1!$K$2:$K$206,MATCH(Z232,Pipes_result_save_V1!$I$2:$I$206,0)) *POWER(10,-3)</f>
        <v>-2.6208169460296632E-3</v>
      </c>
      <c r="AN232" s="78">
        <v>2.9165432198665188E-3</v>
      </c>
      <c r="AO232" s="78">
        <v>2.957262738368556E-4</v>
      </c>
    </row>
    <row r="233" spans="2:86" ht="30" x14ac:dyDescent="0.25">
      <c r="B233" s="106">
        <v>59</v>
      </c>
      <c r="C233" s="106" t="s">
        <v>540</v>
      </c>
      <c r="D233" s="106" t="s">
        <v>249</v>
      </c>
      <c r="E233" s="106" t="str">
        <f>INDEX(Pipes_result_save_V1!$G$2:$G$206,MATCH(D233,Pipes_result_save_V1!$I$2:$I$206,0))</f>
        <v>N182</v>
      </c>
      <c r="F233" s="106" t="str">
        <f>INDEX(Pipes_result_save_V1!$H$2:$H$206,MATCH(D233,Pipes_result_save_V1!$I$2:$I$206,0))</f>
        <v>N183</v>
      </c>
      <c r="G233" s="106">
        <f t="shared" si="29"/>
        <v>3.9889666081056301E-3</v>
      </c>
      <c r="H233" s="107">
        <v>200</v>
      </c>
      <c r="I233" s="107">
        <v>150</v>
      </c>
      <c r="J233" s="107">
        <v>78</v>
      </c>
      <c r="K233" s="107">
        <v>197.32725229713157</v>
      </c>
      <c r="L233" s="107">
        <v>-2.9028999999999999E-2</v>
      </c>
      <c r="M233" s="107">
        <v>-0.28077088580295173</v>
      </c>
      <c r="N233" s="107">
        <v>17.912696975681797</v>
      </c>
      <c r="O233" s="107">
        <f>INDEX(Pipes_result_save_V1!$K$2:$K$206,MATCH(D233,Pipes_result_save_V1!$I$2:$I$206,0)) *POWER(10,-3)</f>
        <v>-3.5793492794036872E-3</v>
      </c>
      <c r="P233" s="78">
        <v>6.2953095200519232E-3</v>
      </c>
      <c r="Q233" s="78">
        <v>2.715960240648236E-3</v>
      </c>
      <c r="R233" s="78"/>
      <c r="S233" s="78"/>
      <c r="T233" s="78"/>
      <c r="U233" s="78"/>
      <c r="V233" s="78"/>
      <c r="W233" s="78">
        <v>59</v>
      </c>
      <c r="X233" s="78">
        <v>59</v>
      </c>
      <c r="Y233" s="78" t="s">
        <v>540</v>
      </c>
      <c r="Z233" s="78" t="s">
        <v>249</v>
      </c>
      <c r="AA233" s="106" t="str">
        <f>INDEX(Pipes_result_save_V1!$G$2:$G$206,MATCH(Z233,Pipes_result_save_V1!$I$2:$I$206,0))</f>
        <v>N182</v>
      </c>
      <c r="AB233" s="106" t="str">
        <f>INDEX(Pipes_result_save_V1!$H$2:$H$206,MATCH(Z233,Pipes_result_save_V1!$I$2:$I$206,0))</f>
        <v>N183</v>
      </c>
      <c r="AC233" s="106">
        <f t="shared" si="30"/>
        <v>1.9119825354786666E-3</v>
      </c>
      <c r="AD233" s="78">
        <v>200</v>
      </c>
      <c r="AE233" s="78">
        <v>150</v>
      </c>
      <c r="AF233" s="78">
        <v>78</v>
      </c>
      <c r="AG233" s="78">
        <v>197.32725229713157</v>
      </c>
      <c r="AH233" s="78">
        <v>-2.2432064923816445E-2</v>
      </c>
      <c r="AI233" s="78">
        <v>-1</v>
      </c>
      <c r="AJ233" s="78">
        <v>-1</v>
      </c>
      <c r="AK233" s="78">
        <v>-0.17417945428853632</v>
      </c>
      <c r="AL233">
        <v>14.380323453855612</v>
      </c>
      <c r="AM233" s="107">
        <f>INDEX(Pipes_result_save_V1!$K$2:$K$206,MATCH(Z233,Pipes_result_save_V1!$I$2:$I$206,0)) *POWER(10,-3)</f>
        <v>-3.5793492794036872E-3</v>
      </c>
      <c r="AN233" s="78">
        <v>6.3839606588319935E-5</v>
      </c>
      <c r="AO233" s="78">
        <v>-3.5155096728153672E-3</v>
      </c>
    </row>
    <row r="234" spans="2:86" ht="30" x14ac:dyDescent="0.25">
      <c r="B234" s="106">
        <v>60</v>
      </c>
      <c r="C234" s="106" t="s">
        <v>540</v>
      </c>
      <c r="D234" s="106" t="s">
        <v>250</v>
      </c>
      <c r="E234" s="106" t="str">
        <f>INDEX(Pipes_result_save_V1!$G$2:$G$206,MATCH(D234,Pipes_result_save_V1!$I$2:$I$206,0))</f>
        <v>N183</v>
      </c>
      <c r="F234" s="106" t="str">
        <f>INDEX(Pipes_result_save_V1!$H$2:$H$206,MATCH(D234,Pipes_result_save_V1!$I$2:$I$206,0))</f>
        <v>N184</v>
      </c>
      <c r="G234" s="106">
        <f t="shared" si="29"/>
        <v>4.3645450107522576E-3</v>
      </c>
      <c r="H234" s="107">
        <v>200</v>
      </c>
      <c r="I234" s="107">
        <v>150</v>
      </c>
      <c r="J234" s="107">
        <v>83</v>
      </c>
      <c r="K234" s="107">
        <v>209.97643513669126</v>
      </c>
      <c r="L234" s="107">
        <v>-2.9028999999999999E-2</v>
      </c>
      <c r="M234" s="107">
        <v>-0.29876901950826917</v>
      </c>
      <c r="N234" s="107">
        <v>19.060946781815247</v>
      </c>
      <c r="O234" s="107">
        <f>INDEX(Pipes_result_save_V1!$K$2:$K$206,MATCH(D234,Pipes_result_save_V1!$I$2:$I$206,0)) *POWER(10,-3)</f>
        <v>-4.4979424476623547E-3</v>
      </c>
      <c r="P234" s="78">
        <v>5.4572649696420011E-3</v>
      </c>
      <c r="Q234" s="78">
        <v>9.5932252197964644E-4</v>
      </c>
      <c r="R234" s="78"/>
      <c r="S234" s="78"/>
      <c r="T234" s="78"/>
      <c r="U234" s="78"/>
      <c r="V234" s="78"/>
      <c r="W234" s="78">
        <v>60</v>
      </c>
      <c r="X234" s="78">
        <v>60</v>
      </c>
      <c r="Y234" s="78" t="s">
        <v>540</v>
      </c>
      <c r="Z234" s="78" t="s">
        <v>250</v>
      </c>
      <c r="AA234" s="106" t="str">
        <f>INDEX(Pipes_result_save_V1!$G$2:$G$206,MATCH(Z234,Pipes_result_save_V1!$I$2:$I$206,0))</f>
        <v>N183</v>
      </c>
      <c r="AB234" s="106" t="str">
        <f>INDEX(Pipes_result_save_V1!$H$2:$H$206,MATCH(Z234,Pipes_result_save_V1!$I$2:$I$206,0))</f>
        <v>N184</v>
      </c>
      <c r="AC234" s="106">
        <f t="shared" si="30"/>
        <v>4.0884278932521098E-3</v>
      </c>
      <c r="AD234" s="78">
        <v>200</v>
      </c>
      <c r="AE234" s="78">
        <v>150</v>
      </c>
      <c r="AF234" s="78">
        <v>83</v>
      </c>
      <c r="AG234" s="78">
        <v>209.97643513669126</v>
      </c>
      <c r="AH234" s="78">
        <v>-2.2432064923816445E-2</v>
      </c>
      <c r="AI234" s="78">
        <v>-1</v>
      </c>
      <c r="AJ234" s="78">
        <v>-1</v>
      </c>
      <c r="AK234" s="78">
        <v>-0.18534480392241684</v>
      </c>
      <c r="AL234">
        <v>15.302139059871998</v>
      </c>
      <c r="AM234" s="107">
        <f>INDEX(Pipes_result_save_V1!$K$2:$K$206,MATCH(Z234,Pipes_result_save_V1!$I$2:$I$206,0)) *POWER(10,-3)</f>
        <v>-4.4979424476623547E-3</v>
      </c>
      <c r="AN234" s="78">
        <v>2.6362514008356499E-3</v>
      </c>
      <c r="AO234" s="78">
        <v>-1.8616910468267048E-3</v>
      </c>
    </row>
    <row r="235" spans="2:86" ht="30" x14ac:dyDescent="0.25">
      <c r="B235" s="106">
        <v>61</v>
      </c>
      <c r="C235" s="106" t="s">
        <v>540</v>
      </c>
      <c r="D235" s="106" t="s">
        <v>432</v>
      </c>
      <c r="E235" s="106" t="str">
        <f>INDEX(Pipes_result_save_V1!$G$2:$G$206,MATCH(D235,Pipes_result_save_V1!$I$2:$I$206,0))</f>
        <v>N184</v>
      </c>
      <c r="F235" s="106" t="str">
        <f>INDEX(Pipes_result_save_V1!$H$2:$H$206,MATCH(D235,Pipes_result_save_V1!$I$2:$I$206,0))</f>
        <v>N185</v>
      </c>
      <c r="G235" s="106">
        <f t="shared" si="29"/>
        <v>8.2493675152566122E-5</v>
      </c>
      <c r="H235" s="107">
        <v>200</v>
      </c>
      <c r="I235" s="107">
        <v>150</v>
      </c>
      <c r="J235" s="107">
        <v>175</v>
      </c>
      <c r="K235" s="107">
        <v>442.72139938459003</v>
      </c>
      <c r="L235" s="107">
        <v>-2.9028999999999999E-2</v>
      </c>
      <c r="M235" s="107">
        <v>-0.62993467968610972</v>
      </c>
      <c r="N235" s="107">
        <v>40.188743214670701</v>
      </c>
      <c r="O235" s="107">
        <f>INDEX(Pipes_result_save_V1!$K$2:$K$206,MATCH(D235,Pipes_result_save_V1!$I$2:$I$206,0)) *POWER(10,-3)</f>
        <v>-5.969974040985108E-3</v>
      </c>
      <c r="P235" s="78">
        <v>6.4293583862618693E-3</v>
      </c>
      <c r="Q235" s="78">
        <v>4.5938434527676136E-4</v>
      </c>
      <c r="R235" s="78"/>
      <c r="S235" s="78"/>
      <c r="T235" s="78"/>
      <c r="U235" s="78"/>
      <c r="V235" s="78"/>
      <c r="W235" s="78">
        <v>61</v>
      </c>
      <c r="X235" s="78">
        <v>61</v>
      </c>
      <c r="Y235" s="78" t="s">
        <v>540</v>
      </c>
      <c r="Z235" s="78" t="s">
        <v>432</v>
      </c>
      <c r="AA235" s="106" t="str">
        <f>INDEX(Pipes_result_save_V1!$G$2:$G$206,MATCH(Z235,Pipes_result_save_V1!$I$2:$I$206,0))</f>
        <v>N184</v>
      </c>
      <c r="AB235" s="106" t="str">
        <f>INDEX(Pipes_result_save_V1!$H$2:$H$206,MATCH(Z235,Pipes_result_save_V1!$I$2:$I$206,0))</f>
        <v>N185</v>
      </c>
      <c r="AC235" s="106">
        <f t="shared" si="30"/>
        <v>3.5924766559819474E-3</v>
      </c>
      <c r="AD235" s="78">
        <v>200</v>
      </c>
      <c r="AE235" s="78">
        <v>150</v>
      </c>
      <c r="AF235" s="78">
        <v>175</v>
      </c>
      <c r="AG235" s="78">
        <v>442.72139938459003</v>
      </c>
      <c r="AH235" s="78">
        <v>-2.2432064923816445E-2</v>
      </c>
      <c r="AI235" s="78">
        <v>-1</v>
      </c>
      <c r="AJ235" s="78">
        <v>-1</v>
      </c>
      <c r="AK235" s="78">
        <v>-0.39078723718581865</v>
      </c>
      <c r="AL235">
        <v>32.263546210573487</v>
      </c>
      <c r="AM235" s="107">
        <f>INDEX(Pipes_result_save_V1!$K$2:$K$206,MATCH(Z235,Pipes_result_save_V1!$I$2:$I$206,0)) *POWER(10,-3)</f>
        <v>-5.969974040985108E-3</v>
      </c>
      <c r="AN235" s="78">
        <v>1.1151632808153651E-3</v>
      </c>
      <c r="AO235" s="78">
        <v>-4.8548107601697425E-3</v>
      </c>
    </row>
    <row r="236" spans="2:86" ht="30" x14ac:dyDescent="0.25">
      <c r="B236" s="106">
        <v>62</v>
      </c>
      <c r="C236" s="106" t="s">
        <v>540</v>
      </c>
      <c r="D236" s="106" t="s">
        <v>269</v>
      </c>
      <c r="E236" s="106" t="str">
        <f>INDEX(Pipes_result_save_V1!$G$2:$G$206,MATCH(D236,Pipes_result_save_V1!$I$2:$I$206,0))</f>
        <v>N185</v>
      </c>
      <c r="F236" s="106" t="str">
        <f>INDEX(Pipes_result_save_V1!$H$2:$H$206,MATCH(D236,Pipes_result_save_V1!$I$2:$I$206,0))</f>
        <v>N186</v>
      </c>
      <c r="G236" s="106">
        <f t="shared" si="29"/>
        <v>8.7804134964231985E-4</v>
      </c>
      <c r="H236" s="107">
        <v>200</v>
      </c>
      <c r="I236" s="107">
        <v>150</v>
      </c>
      <c r="J236" s="107">
        <v>169</v>
      </c>
      <c r="K236" s="107">
        <v>427.5423799771184</v>
      </c>
      <c r="L236" s="107">
        <v>-2.9028999999999999E-2</v>
      </c>
      <c r="M236" s="107">
        <v>-0.60833691923972877</v>
      </c>
      <c r="N236" s="107">
        <v>38.81084344731056</v>
      </c>
      <c r="O236" s="107">
        <f>INDEX(Pipes_result_save_V1!$K$2:$K$206,MATCH(D236,Pipes_result_save_V1!$I$2:$I$206,0)) *POWER(10,-3)</f>
        <v>-7.9326825141906743E-3</v>
      </c>
      <c r="P236" s="78">
        <v>5.7088382822617165E-3</v>
      </c>
      <c r="Q236" s="78">
        <v>-2.2238442319289578E-3</v>
      </c>
      <c r="R236" s="78"/>
      <c r="S236" s="78"/>
      <c r="T236" s="78"/>
      <c r="U236" s="78"/>
      <c r="V236" s="78"/>
      <c r="W236" s="78">
        <v>62</v>
      </c>
      <c r="X236" s="78">
        <v>62</v>
      </c>
      <c r="Y236" s="78" t="s">
        <v>540</v>
      </c>
      <c r="Z236" s="78" t="s">
        <v>269</v>
      </c>
      <c r="AA236" s="106" t="str">
        <f>INDEX(Pipes_result_save_V1!$G$2:$G$206,MATCH(Z236,Pipes_result_save_V1!$I$2:$I$206,0))</f>
        <v>N185</v>
      </c>
      <c r="AB236" s="106" t="str">
        <f>INDEX(Pipes_result_save_V1!$H$2:$H$206,MATCH(Z236,Pipes_result_save_V1!$I$2:$I$206,0))</f>
        <v>N186</v>
      </c>
      <c r="AC236" s="106">
        <f t="shared" si="30"/>
        <v>8.2599564618770702E-4</v>
      </c>
      <c r="AD236" s="78">
        <v>200</v>
      </c>
      <c r="AE236" s="78">
        <v>150</v>
      </c>
      <c r="AF236" s="78">
        <v>169</v>
      </c>
      <c r="AG236" s="78">
        <v>427.5423799771184</v>
      </c>
      <c r="AH236" s="78">
        <v>-2.2432064923816445E-2</v>
      </c>
      <c r="AI236" s="78">
        <v>-1</v>
      </c>
      <c r="AJ236" s="78">
        <v>-1</v>
      </c>
      <c r="AK236" s="78">
        <v>-0.37738881762516202</v>
      </c>
      <c r="AL236">
        <v>31.157367483353827</v>
      </c>
      <c r="AM236" s="107">
        <f>INDEX(Pipes_result_save_V1!$K$2:$K$206,MATCH(Z236,Pipes_result_save_V1!$I$2:$I$206,0)) *POWER(10,-3)</f>
        <v>-7.9326825141906743E-3</v>
      </c>
      <c r="AN236" s="78">
        <v>2.5347452125473059E-3</v>
      </c>
      <c r="AO236" s="78">
        <v>-5.3979373016433685E-3</v>
      </c>
    </row>
    <row r="237" spans="2:86" ht="30" x14ac:dyDescent="0.25">
      <c r="B237" s="106">
        <v>63</v>
      </c>
      <c r="C237" s="106" t="s">
        <v>540</v>
      </c>
      <c r="D237" s="106" t="s">
        <v>270</v>
      </c>
      <c r="E237" s="106" t="str">
        <f>INDEX(Pipes_result_save_V1!$G$2:$G$206,MATCH(D237,Pipes_result_save_V1!$I$2:$I$206,0))</f>
        <v>N186</v>
      </c>
      <c r="F237" s="106" t="str">
        <f>INDEX(Pipes_result_save_V1!$H$2:$H$206,MATCH(D237,Pipes_result_save_V1!$I$2:$I$206,0))</f>
        <v>N187</v>
      </c>
      <c r="G237" s="106">
        <f t="shared" si="29"/>
        <v>4.0275911892618897E-3</v>
      </c>
      <c r="H237" s="107">
        <v>200</v>
      </c>
      <c r="I237" s="107">
        <v>150</v>
      </c>
      <c r="J237" s="107">
        <v>169</v>
      </c>
      <c r="K237" s="107">
        <v>427.5423799771184</v>
      </c>
      <c r="L237" s="107">
        <v>-2.9028999999999999E-2</v>
      </c>
      <c r="M237" s="107">
        <v>-0.60833691923972877</v>
      </c>
      <c r="N237" s="107">
        <v>38.81084344731056</v>
      </c>
      <c r="O237" s="107">
        <f>INDEX(Pipes_result_save_V1!$K$2:$K$206,MATCH(D237,Pipes_result_save_V1!$I$2:$I$206,0)) *POWER(10,-3)</f>
        <v>-9.8611583709716805E-3</v>
      </c>
      <c r="P237" s="78">
        <v>5.9730648656926462E-3</v>
      </c>
      <c r="Q237" s="78">
        <v>-3.8880935052790343E-3</v>
      </c>
      <c r="R237" s="78"/>
      <c r="S237" s="78"/>
      <c r="T237" s="78"/>
      <c r="U237" s="78"/>
      <c r="V237" s="78"/>
      <c r="W237" s="78">
        <v>63</v>
      </c>
      <c r="X237" s="78">
        <v>63</v>
      </c>
      <c r="Y237" s="78" t="s">
        <v>540</v>
      </c>
      <c r="Z237" s="78" t="s">
        <v>270</v>
      </c>
      <c r="AA237" s="106" t="str">
        <f>INDEX(Pipes_result_save_V1!$G$2:$G$206,MATCH(Z237,Pipes_result_save_V1!$I$2:$I$206,0))</f>
        <v>N186</v>
      </c>
      <c r="AB237" s="106" t="str">
        <f>INDEX(Pipes_result_save_V1!$H$2:$H$206,MATCH(Z237,Pipes_result_save_V1!$I$2:$I$206,0))</f>
        <v>N187</v>
      </c>
      <c r="AC237" s="106">
        <f t="shared" si="30"/>
        <v>2.9811382224403937E-4</v>
      </c>
      <c r="AD237" s="78">
        <v>200</v>
      </c>
      <c r="AE237" s="78">
        <v>150</v>
      </c>
      <c r="AF237" s="78">
        <v>169</v>
      </c>
      <c r="AG237" s="78">
        <v>427.5423799771184</v>
      </c>
      <c r="AH237" s="78">
        <v>-2.2432064923816445E-2</v>
      </c>
      <c r="AI237" s="78">
        <v>-1</v>
      </c>
      <c r="AJ237" s="78">
        <v>-1</v>
      </c>
      <c r="AK237" s="78">
        <v>-0.37738881762516202</v>
      </c>
      <c r="AL237">
        <v>31.157367483353827</v>
      </c>
      <c r="AM237" s="107">
        <f>INDEX(Pipes_result_save_V1!$K$2:$K$206,MATCH(Z237,Pipes_result_save_V1!$I$2:$I$206,0)) *POWER(10,-3)</f>
        <v>-9.8611583709716805E-3</v>
      </c>
      <c r="AN237" s="78">
        <v>4.6527855039262753E-3</v>
      </c>
      <c r="AO237" s="78">
        <v>-5.2083728670454053E-3</v>
      </c>
    </row>
    <row r="238" spans="2:86" ht="30" x14ac:dyDescent="0.25">
      <c r="B238" s="106">
        <v>64</v>
      </c>
      <c r="C238" s="106" t="s">
        <v>540</v>
      </c>
      <c r="D238" s="106" t="s">
        <v>272</v>
      </c>
      <c r="E238" s="106" t="str">
        <f>INDEX(Pipes_result_save_V1!$G$2:$G$206,MATCH(D238,Pipes_result_save_V1!$I$2:$I$206,0))</f>
        <v>N187</v>
      </c>
      <c r="F238" s="106" t="str">
        <f>INDEX(Pipes_result_save_V1!$H$2:$H$206,MATCH(D238,Pipes_result_save_V1!$I$2:$I$206,0))</f>
        <v>N188</v>
      </c>
      <c r="G238" s="106">
        <f t="shared" si="29"/>
        <v>8.801512753151559E-4</v>
      </c>
      <c r="H238" s="107">
        <v>200</v>
      </c>
      <c r="I238" s="107">
        <v>150</v>
      </c>
      <c r="J238" s="107">
        <v>134</v>
      </c>
      <c r="K238" s="107">
        <v>338.99810010020042</v>
      </c>
      <c r="L238" s="107">
        <v>-2.9028999999999999E-2</v>
      </c>
      <c r="M238" s="107">
        <v>-0.48234998330250689</v>
      </c>
      <c r="N238" s="107">
        <v>30.773094804376424</v>
      </c>
      <c r="O238" s="107">
        <f>INDEX(Pipes_result_save_V1!$K$2:$K$206,MATCH(D238,Pipes_result_save_V1!$I$2:$I$206,0)) *POWER(10,-3)</f>
        <v>-1.1589940071105961E-2</v>
      </c>
      <c r="P238" s="78">
        <v>5.4140706158563104E-3</v>
      </c>
      <c r="Q238" s="78">
        <v>-6.175869455249651E-3</v>
      </c>
      <c r="R238" s="78"/>
      <c r="S238" s="78"/>
      <c r="T238" s="78"/>
      <c r="U238" s="78"/>
      <c r="V238" s="78"/>
      <c r="W238" s="78">
        <v>64</v>
      </c>
      <c r="X238" s="78">
        <v>64</v>
      </c>
      <c r="Y238" s="78" t="s">
        <v>540</v>
      </c>
      <c r="Z238" s="78" t="s">
        <v>272</v>
      </c>
      <c r="AA238" s="106" t="str">
        <f>INDEX(Pipes_result_save_V1!$G$2:$G$206,MATCH(Z238,Pipes_result_save_V1!$I$2:$I$206,0))</f>
        <v>N187</v>
      </c>
      <c r="AB238" s="106" t="str">
        <f>INDEX(Pipes_result_save_V1!$H$2:$H$206,MATCH(Z238,Pipes_result_save_V1!$I$2:$I$206,0))</f>
        <v>N188</v>
      </c>
      <c r="AC238" s="106">
        <f t="shared" si="30"/>
        <v>4.9640809977583439E-3</v>
      </c>
      <c r="AD238" s="78">
        <v>200</v>
      </c>
      <c r="AE238" s="78">
        <v>150</v>
      </c>
      <c r="AF238" s="78">
        <v>134</v>
      </c>
      <c r="AG238" s="78">
        <v>338.99810010020042</v>
      </c>
      <c r="AH238" s="78">
        <v>-2.2432064923816445E-2</v>
      </c>
      <c r="AI238" s="78">
        <v>-1</v>
      </c>
      <c r="AJ238" s="78">
        <v>-1</v>
      </c>
      <c r="AK238" s="78">
        <v>-0.29923137018799828</v>
      </c>
      <c r="AL238">
        <v>24.70465824123913</v>
      </c>
      <c r="AM238" s="107">
        <f>INDEX(Pipes_result_save_V1!$K$2:$K$206,MATCH(Z238,Pipes_result_save_V1!$I$2:$I$206,0)) *POWER(10,-3)</f>
        <v>-1.1589940071105961E-2</v>
      </c>
      <c r="AN238" s="78">
        <v>1.0804693333157063E-3</v>
      </c>
      <c r="AO238" s="78">
        <v>-1.0509470737790256E-2</v>
      </c>
    </row>
    <row r="239" spans="2:86" ht="30" x14ac:dyDescent="0.25">
      <c r="B239" s="106">
        <v>65</v>
      </c>
      <c r="C239" s="106" t="s">
        <v>540</v>
      </c>
      <c r="D239" s="106" t="s">
        <v>271</v>
      </c>
      <c r="E239" s="106" t="str">
        <f>INDEX(Pipes_result_save_V1!$G$2:$G$206,MATCH(D239,Pipes_result_save_V1!$I$2:$I$206,0))</f>
        <v>N188</v>
      </c>
      <c r="F239" s="106" t="str">
        <f>INDEX(Pipes_result_save_V1!$H$2:$H$206,MATCH(D239,Pipes_result_save_V1!$I$2:$I$206,0))</f>
        <v>N189</v>
      </c>
      <c r="G239" s="106">
        <f t="shared" si="29"/>
        <v>5.8932827972838185E-3</v>
      </c>
      <c r="H239" s="107">
        <v>200</v>
      </c>
      <c r="I239" s="107">
        <v>150</v>
      </c>
      <c r="J239" s="107">
        <v>263</v>
      </c>
      <c r="K239" s="107">
        <v>665.34701736084105</v>
      </c>
      <c r="L239" s="107">
        <v>-2.9028999999999999E-2</v>
      </c>
      <c r="M239" s="107">
        <v>-0.94670183289969634</v>
      </c>
      <c r="N239" s="107">
        <v>60.397939802619398</v>
      </c>
      <c r="O239" s="107">
        <f>INDEX(Pipes_result_save_V1!$K$2:$K$206,MATCH(D239,Pipes_result_save_V1!$I$2:$I$206,0)) *POWER(10,-3)</f>
        <v>-1.385504245758057E-2</v>
      </c>
      <c r="P239" s="78">
        <v>5.2847983206110311E-3</v>
      </c>
      <c r="Q239" s="78">
        <v>-8.5702441369695393E-3</v>
      </c>
      <c r="R239" s="78"/>
      <c r="S239" s="78"/>
      <c r="T239" s="78"/>
      <c r="U239" s="78"/>
      <c r="V239" s="78"/>
      <c r="W239" s="78">
        <v>65</v>
      </c>
      <c r="X239" s="78">
        <v>65</v>
      </c>
      <c r="Y239" s="78" t="s">
        <v>540</v>
      </c>
      <c r="Z239" s="78" t="s">
        <v>271</v>
      </c>
      <c r="AA239" s="106" t="str">
        <f>INDEX(Pipes_result_save_V1!$G$2:$G$206,MATCH(Z239,Pipes_result_save_V1!$I$2:$I$206,0))</f>
        <v>N188</v>
      </c>
      <c r="AB239" s="106" t="str">
        <f>INDEX(Pipes_result_save_V1!$H$2:$H$206,MATCH(Z239,Pipes_result_save_V1!$I$2:$I$206,0))</f>
        <v>N189</v>
      </c>
      <c r="AC239" s="106">
        <f t="shared" si="30"/>
        <v>8.3494415972269614E-3</v>
      </c>
      <c r="AD239" s="78">
        <v>200</v>
      </c>
      <c r="AE239" s="78">
        <v>150</v>
      </c>
      <c r="AF239" s="78">
        <v>263</v>
      </c>
      <c r="AG239" s="78">
        <v>665.34701736084105</v>
      </c>
      <c r="AH239" s="78">
        <v>-2.2432064923816445E-2</v>
      </c>
      <c r="AI239" s="78">
        <v>-1</v>
      </c>
      <c r="AJ239" s="78">
        <v>-1</v>
      </c>
      <c r="AK239" s="78">
        <v>-0.58729739074211607</v>
      </c>
      <c r="AL239">
        <v>48.487500876461873</v>
      </c>
      <c r="AM239" s="107">
        <f>INDEX(Pipes_result_save_V1!$K$2:$K$206,MATCH(Z239,Pipes_result_save_V1!$I$2:$I$206,0)) *POWER(10,-3)</f>
        <v>-1.385504245758057E-2</v>
      </c>
      <c r="AN239" s="78">
        <v>3.7055250738890723E-3</v>
      </c>
      <c r="AO239" s="78">
        <v>-1.0149517383691499E-2</v>
      </c>
    </row>
    <row r="240" spans="2:86" ht="30" x14ac:dyDescent="0.25">
      <c r="B240" s="106">
        <v>66</v>
      </c>
      <c r="C240" s="106" t="s">
        <v>540</v>
      </c>
      <c r="D240" s="106" t="s">
        <v>273</v>
      </c>
      <c r="E240" s="106" t="str">
        <f>INDEX(Pipes_result_save_V1!$G$2:$G$206,MATCH(D240,Pipes_result_save_V1!$I$2:$I$206,0))</f>
        <v>N189</v>
      </c>
      <c r="F240" s="106" t="str">
        <f>INDEX(Pipes_result_save_V1!$H$2:$H$206,MATCH(D240,Pipes_result_save_V1!$I$2:$I$206,0))</f>
        <v>N190</v>
      </c>
      <c r="G240" s="106">
        <f t="shared" ref="G240:G244" si="36">ABS(Q158)</f>
        <v>4.1447797406488889E-3</v>
      </c>
      <c r="H240" s="107">
        <v>200</v>
      </c>
      <c r="I240" s="107">
        <v>150</v>
      </c>
      <c r="J240" s="107">
        <v>257</v>
      </c>
      <c r="K240" s="107">
        <v>650.16799795336942</v>
      </c>
      <c r="L240" s="107">
        <v>-2.9028999999999999E-2</v>
      </c>
      <c r="M240" s="107">
        <v>-0.92510407245331538</v>
      </c>
      <c r="N240" s="107">
        <v>59.020040035259257</v>
      </c>
      <c r="O240" s="107">
        <f>INDEX(Pipes_result_save_V1!$K$2:$K$206,MATCH(D240,Pipes_result_save_V1!$I$2:$I$206,0)) *POWER(10,-3)</f>
        <v>-1.6821928024291988E-2</v>
      </c>
      <c r="P240" s="78">
        <v>6.1713420649328237E-3</v>
      </c>
      <c r="Q240" s="78">
        <v>-1.0650585959359166E-2</v>
      </c>
      <c r="R240" s="78"/>
      <c r="S240" s="78"/>
      <c r="T240" s="78"/>
      <c r="U240" s="78"/>
      <c r="V240" s="78"/>
      <c r="W240" s="78">
        <v>66</v>
      </c>
      <c r="X240" s="78">
        <v>66</v>
      </c>
      <c r="Y240" s="78" t="s">
        <v>540</v>
      </c>
      <c r="Z240" s="78" t="s">
        <v>273</v>
      </c>
      <c r="AA240" s="106" t="str">
        <f>INDEX(Pipes_result_save_V1!$G$2:$G$206,MATCH(Z240,Pipes_result_save_V1!$I$2:$I$206,0))</f>
        <v>N189</v>
      </c>
      <c r="AB240" s="106" t="str">
        <f>INDEX(Pipes_result_save_V1!$H$2:$H$206,MATCH(Z240,Pipes_result_save_V1!$I$2:$I$206,0))</f>
        <v>N190</v>
      </c>
      <c r="AC240" s="106">
        <f t="shared" ref="AC240:AC244" si="37">ABS(AO158)</f>
        <v>1.121633940109551E-2</v>
      </c>
      <c r="AD240" s="78">
        <v>200</v>
      </c>
      <c r="AE240" s="78">
        <v>150</v>
      </c>
      <c r="AF240" s="78">
        <v>257</v>
      </c>
      <c r="AG240" s="78">
        <v>650.16799795336942</v>
      </c>
      <c r="AH240" s="78">
        <v>-2.2432064923816445E-2</v>
      </c>
      <c r="AI240" s="78">
        <v>-1</v>
      </c>
      <c r="AJ240" s="78">
        <v>-1</v>
      </c>
      <c r="AK240" s="78">
        <v>-0.57389897118145938</v>
      </c>
      <c r="AL240">
        <v>47.381322149242209</v>
      </c>
      <c r="AM240" s="107">
        <f>INDEX(Pipes_result_save_V1!$K$2:$K$206,MATCH(Z240,Pipes_result_save_V1!$I$2:$I$206,0)) *POWER(10,-3)</f>
        <v>-1.6821928024291988E-2</v>
      </c>
      <c r="AN240" s="78">
        <v>2.0439464026063801E-5</v>
      </c>
      <c r="AO240" s="78">
        <v>-1.6801488560265924E-2</v>
      </c>
    </row>
    <row r="241" spans="2:41" ht="30" x14ac:dyDescent="0.25">
      <c r="B241" s="106">
        <v>67</v>
      </c>
      <c r="C241" s="106" t="s">
        <v>540</v>
      </c>
      <c r="D241" s="106" t="s">
        <v>274</v>
      </c>
      <c r="E241" s="106" t="str">
        <f>INDEX(Pipes_result_save_V1!$G$2:$G$206,MATCH(D241,Pipes_result_save_V1!$I$2:$I$206,0))</f>
        <v>N190</v>
      </c>
      <c r="F241" s="106" t="str">
        <f>INDEX(Pipes_result_save_V1!$H$2:$H$206,MATCH(D241,Pipes_result_save_V1!$I$2:$I$206,0))</f>
        <v>N191</v>
      </c>
      <c r="G241" s="106">
        <f t="shared" si="36"/>
        <v>4.3034880343620335E-3</v>
      </c>
      <c r="H241" s="107">
        <v>200</v>
      </c>
      <c r="I241" s="107">
        <v>150</v>
      </c>
      <c r="J241" s="107">
        <v>173</v>
      </c>
      <c r="K241" s="107">
        <v>437.66172624876617</v>
      </c>
      <c r="L241" s="107">
        <v>-2.9028999999999999E-2</v>
      </c>
      <c r="M241" s="107">
        <v>-0.6227354262039827</v>
      </c>
      <c r="N241" s="107">
        <v>39.729443292217326</v>
      </c>
      <c r="O241" s="107">
        <f>INDEX(Pipes_result_save_V1!$K$2:$K$206,MATCH(D241,Pipes_result_save_V1!$I$2:$I$206,0)) *POWER(10,-3)</f>
        <v>-1.9275314331054692E-2</v>
      </c>
      <c r="P241" s="78">
        <v>5.0840904189161686E-3</v>
      </c>
      <c r="Q241" s="78">
        <v>-1.4191223912138524E-2</v>
      </c>
      <c r="R241" s="78"/>
      <c r="S241" s="78"/>
      <c r="T241" s="78"/>
      <c r="U241" s="78"/>
      <c r="V241" s="78"/>
      <c r="W241" s="78">
        <v>67</v>
      </c>
      <c r="X241" s="78">
        <v>67</v>
      </c>
      <c r="Y241" s="78" t="s">
        <v>540</v>
      </c>
      <c r="Z241" s="78" t="s">
        <v>274</v>
      </c>
      <c r="AA241" s="106" t="str">
        <f>INDEX(Pipes_result_save_V1!$G$2:$G$206,MATCH(Z241,Pipes_result_save_V1!$I$2:$I$206,0))</f>
        <v>N190</v>
      </c>
      <c r="AB241" s="106" t="str">
        <f>INDEX(Pipes_result_save_V1!$H$2:$H$206,MATCH(Z241,Pipes_result_save_V1!$I$2:$I$206,0))</f>
        <v>N191</v>
      </c>
      <c r="AC241" s="106">
        <f t="shared" si="37"/>
        <v>1.5855400710962149E-2</v>
      </c>
      <c r="AD241" s="78">
        <v>200</v>
      </c>
      <c r="AE241" s="78">
        <v>150</v>
      </c>
      <c r="AF241" s="78">
        <v>173</v>
      </c>
      <c r="AG241" s="78">
        <v>437.66172624876617</v>
      </c>
      <c r="AH241" s="78">
        <v>-2.2432064923816445E-2</v>
      </c>
      <c r="AI241" s="78">
        <v>-1</v>
      </c>
      <c r="AJ241" s="78">
        <v>-1</v>
      </c>
      <c r="AK241" s="78">
        <v>-0.38632109733226644</v>
      </c>
      <c r="AL241">
        <v>31.894819968166935</v>
      </c>
      <c r="AM241" s="107">
        <f>INDEX(Pipes_result_save_V1!$K$2:$K$206,MATCH(Z241,Pipes_result_save_V1!$I$2:$I$206,0)) *POWER(10,-3)</f>
        <v>-1.9275314331054692E-2</v>
      </c>
      <c r="AN241" s="78">
        <v>2.3847943325962812E-3</v>
      </c>
      <c r="AO241" s="78">
        <v>-1.6890519998458413E-2</v>
      </c>
    </row>
    <row r="242" spans="2:41" ht="30" x14ac:dyDescent="0.25">
      <c r="B242" s="106">
        <v>68</v>
      </c>
      <c r="C242" s="106" t="s">
        <v>540</v>
      </c>
      <c r="D242" s="106" t="s">
        <v>275</v>
      </c>
      <c r="E242" s="106" t="str">
        <f>INDEX(Pipes_result_save_V1!$G$2:$G$206,MATCH(D242,Pipes_result_save_V1!$I$2:$I$206,0))</f>
        <v>N191</v>
      </c>
      <c r="F242" s="106" t="str">
        <f>INDEX(Pipes_result_save_V1!$H$2:$H$206,MATCH(D242,Pipes_result_save_V1!$I$2:$I$206,0))</f>
        <v>N192</v>
      </c>
      <c r="G242" s="106">
        <f t="shared" si="36"/>
        <v>2.857322639992204E-4</v>
      </c>
      <c r="H242" s="107">
        <v>200</v>
      </c>
      <c r="I242" s="107">
        <v>150</v>
      </c>
      <c r="J242" s="107">
        <v>47</v>
      </c>
      <c r="K242" s="107">
        <v>118.90231869186132</v>
      </c>
      <c r="L242" s="107">
        <v>-2.9028999999999999E-2</v>
      </c>
      <c r="M242" s="107">
        <v>-0.16918245682998373</v>
      </c>
      <c r="N242" s="107">
        <v>10.793548177654417</v>
      </c>
      <c r="O242" s="107">
        <f>INDEX(Pipes_result_save_V1!$K$2:$K$206,MATCH(D242,Pipes_result_save_V1!$I$2:$I$206,0)) *POWER(10,-3)</f>
        <v>-2.05305347442627E-2</v>
      </c>
      <c r="P242" s="78">
        <v>5.4959869416529123E-3</v>
      </c>
      <c r="Q242" s="78">
        <v>-1.5034547802609786E-2</v>
      </c>
      <c r="R242" s="78"/>
      <c r="S242" s="78"/>
      <c r="T242" s="78"/>
      <c r="U242" s="78"/>
      <c r="V242" s="78"/>
      <c r="W242" s="78">
        <v>68</v>
      </c>
      <c r="X242" s="78">
        <v>68</v>
      </c>
      <c r="Y242" s="78" t="s">
        <v>540</v>
      </c>
      <c r="Z242" s="78" t="s">
        <v>275</v>
      </c>
      <c r="AA242" s="106" t="str">
        <f>INDEX(Pipes_result_save_V1!$G$2:$G$206,MATCH(Z242,Pipes_result_save_V1!$I$2:$I$206,0))</f>
        <v>N191</v>
      </c>
      <c r="AB242" s="106" t="str">
        <f>INDEX(Pipes_result_save_V1!$H$2:$H$206,MATCH(Z242,Pipes_result_save_V1!$I$2:$I$206,0))</f>
        <v>N192</v>
      </c>
      <c r="AC242" s="106">
        <f t="shared" si="37"/>
        <v>1.3813218679930128E-2</v>
      </c>
      <c r="AD242" s="78">
        <v>200</v>
      </c>
      <c r="AE242" s="78">
        <v>150</v>
      </c>
      <c r="AF242" s="78">
        <v>47</v>
      </c>
      <c r="AG242" s="78">
        <v>118.90231869186132</v>
      </c>
      <c r="AH242" s="78">
        <v>-2.2432064923816445E-2</v>
      </c>
      <c r="AI242" s="78">
        <v>-1</v>
      </c>
      <c r="AJ242" s="78">
        <v>-1</v>
      </c>
      <c r="AK242" s="78">
        <v>-0.10495428655847701</v>
      </c>
      <c r="AL242">
        <v>8.6650666965540228</v>
      </c>
      <c r="AM242" s="107">
        <f>INDEX(Pipes_result_save_V1!$K$2:$K$206,MATCH(Z242,Pipes_result_save_V1!$I$2:$I$206,0)) *POWER(10,-3)</f>
        <v>-2.05305347442627E-2</v>
      </c>
      <c r="AN242" s="78">
        <v>2.9079985138577924E-3</v>
      </c>
      <c r="AO242" s="78">
        <v>-1.7622536230404908E-2</v>
      </c>
    </row>
    <row r="243" spans="2:41" ht="30" x14ac:dyDescent="0.25">
      <c r="B243" s="106">
        <v>69</v>
      </c>
      <c r="C243" s="106" t="s">
        <v>540</v>
      </c>
      <c r="D243" s="106" t="s">
        <v>277</v>
      </c>
      <c r="E243" s="106" t="str">
        <f>INDEX(Pipes_result_save_V1!$G$2:$G$206,MATCH(D243,Pipes_result_save_V1!$I$2:$I$206,0))</f>
        <v>N193</v>
      </c>
      <c r="F243" s="106" t="str">
        <f>INDEX(Pipes_result_save_V1!$H$2:$H$206,MATCH(D243,Pipes_result_save_V1!$I$2:$I$206,0))</f>
        <v>N192</v>
      </c>
      <c r="G243" s="106">
        <f t="shared" si="36"/>
        <v>1.627611582500123E-3</v>
      </c>
      <c r="H243" s="107">
        <v>565</v>
      </c>
      <c r="I243" s="107">
        <v>150</v>
      </c>
      <c r="J243" s="107">
        <v>351</v>
      </c>
      <c r="K243" s="107">
        <v>5.6427226167427849</v>
      </c>
      <c r="L243" s="107">
        <v>-0.22842500000000002</v>
      </c>
      <c r="M243" s="107">
        <v>-0.36633795039434436</v>
      </c>
      <c r="N243" s="107">
        <v>2.9701559992572006</v>
      </c>
      <c r="O243" s="107">
        <f>INDEX(Pipes_result_save_V1!$K$2:$K$206,MATCH(D243,Pipes_result_save_V1!$I$2:$I$206,0)) *POWER(10,-3)</f>
        <v>-1.403542900085449E-2</v>
      </c>
      <c r="P243" s="78">
        <v>5.456823903032002E-3</v>
      </c>
      <c r="Q243" s="78">
        <v>-8.5786050978224893E-3</v>
      </c>
      <c r="R243" s="78"/>
      <c r="S243" s="78"/>
      <c r="T243" s="78"/>
      <c r="U243" s="78"/>
      <c r="V243" s="78"/>
      <c r="W243" s="78">
        <v>69</v>
      </c>
      <c r="X243" s="78">
        <v>69</v>
      </c>
      <c r="Y243" s="78" t="s">
        <v>540</v>
      </c>
      <c r="Z243" s="78" t="s">
        <v>277</v>
      </c>
      <c r="AA243" s="106" t="str">
        <f>INDEX(Pipes_result_save_V1!$G$2:$G$206,MATCH(Z243,Pipes_result_save_V1!$I$2:$I$206,0))</f>
        <v>N193</v>
      </c>
      <c r="AB243" s="106" t="str">
        <f>INDEX(Pipes_result_save_V1!$H$2:$H$206,MATCH(Z243,Pipes_result_save_V1!$I$2:$I$206,0))</f>
        <v>N192</v>
      </c>
      <c r="AC243" s="106">
        <f t="shared" si="37"/>
        <v>6.3662872438251276E-3</v>
      </c>
      <c r="AD243" s="78">
        <v>565</v>
      </c>
      <c r="AE243" s="78">
        <v>150</v>
      </c>
      <c r="AF243" s="78">
        <v>351</v>
      </c>
      <c r="AG243" s="78">
        <v>5.6427226167427849</v>
      </c>
      <c r="AH243" s="78">
        <v>-0.22182806492381646</v>
      </c>
      <c r="AI243" s="78">
        <v>-1</v>
      </c>
      <c r="AJ243" s="78">
        <v>-1</v>
      </c>
      <c r="AK243" s="78">
        <v>-0.34698543293187428</v>
      </c>
      <c r="AL243">
        <v>2.89691487869458</v>
      </c>
      <c r="AM243" s="107">
        <f>INDEX(Pipes_result_save_V1!$K$2:$K$206,MATCH(Z243,Pipes_result_save_V1!$I$2:$I$206,0)) *POWER(10,-3)</f>
        <v>-1.403542900085449E-2</v>
      </c>
      <c r="AN243" s="78">
        <v>4.4989139488919869E-3</v>
      </c>
      <c r="AO243" s="78">
        <v>-9.5365150519625026E-3</v>
      </c>
    </row>
    <row r="244" spans="2:41" ht="30" x14ac:dyDescent="0.25">
      <c r="B244" s="106">
        <v>70</v>
      </c>
      <c r="C244" s="106" t="s">
        <v>540</v>
      </c>
      <c r="D244" s="106" t="s">
        <v>427</v>
      </c>
      <c r="E244" s="106" t="str">
        <f>INDEX(Pipes_result_save_V1!$G$2:$G$206,MATCH(D244,Pipes_result_save_V1!$I$2:$I$206,0))</f>
        <v>N194</v>
      </c>
      <c r="F244" s="106" t="str">
        <f>INDEX(Pipes_result_save_V1!$H$2:$H$206,MATCH(D244,Pipes_result_save_V1!$I$2:$I$206,0))</f>
        <v>N193</v>
      </c>
      <c r="G244" s="106">
        <f t="shared" si="36"/>
        <v>1.1138325222734839E-3</v>
      </c>
      <c r="H244" s="107">
        <v>565</v>
      </c>
      <c r="I244" s="107">
        <v>150</v>
      </c>
      <c r="J244" s="107">
        <v>169</v>
      </c>
      <c r="K244" s="107">
        <v>2.7168664450983777</v>
      </c>
      <c r="L244" s="107">
        <v>-0.22842500000000002</v>
      </c>
      <c r="M244" s="107">
        <v>-0.17638493907875838</v>
      </c>
      <c r="N244" s="107">
        <v>1.4300751107534666</v>
      </c>
      <c r="O244" s="107">
        <f>INDEX(Pipes_result_save_V1!$K$2:$K$206,MATCH(D244,Pipes_result_save_V1!$I$2:$I$206,0)) *POWER(10,-3)</f>
        <v>-1.1068543434143071E-2</v>
      </c>
      <c r="P244" s="78">
        <v>6.5543548446075697E-3</v>
      </c>
      <c r="Q244" s="78">
        <v>-4.5141885895355009E-3</v>
      </c>
      <c r="R244" s="78"/>
      <c r="S244" s="78"/>
      <c r="T244" s="78"/>
      <c r="U244" s="78"/>
      <c r="V244" s="78"/>
      <c r="W244" s="78">
        <v>70</v>
      </c>
      <c r="X244" s="78">
        <v>70</v>
      </c>
      <c r="Y244" s="78" t="s">
        <v>540</v>
      </c>
      <c r="Z244" s="78" t="s">
        <v>427</v>
      </c>
      <c r="AA244" s="106" t="str">
        <f>INDEX(Pipes_result_save_V1!$G$2:$G$206,MATCH(Z244,Pipes_result_save_V1!$I$2:$I$206,0))</f>
        <v>N194</v>
      </c>
      <c r="AB244" s="106" t="str">
        <f>INDEX(Pipes_result_save_V1!$H$2:$H$206,MATCH(Z244,Pipes_result_save_V1!$I$2:$I$206,0))</f>
        <v>N193</v>
      </c>
      <c r="AC244" s="106">
        <f t="shared" si="37"/>
        <v>4.9152099513123295E-3</v>
      </c>
      <c r="AD244" s="78">
        <v>565</v>
      </c>
      <c r="AE244" s="78">
        <v>150</v>
      </c>
      <c r="AF244" s="78">
        <v>169</v>
      </c>
      <c r="AG244" s="78">
        <v>2.7168664450983777</v>
      </c>
      <c r="AH244" s="78">
        <v>-0.22182806492381646</v>
      </c>
      <c r="AI244" s="78">
        <v>-1</v>
      </c>
      <c r="AJ244" s="78">
        <v>-1</v>
      </c>
      <c r="AK244" s="78">
        <v>-0.16706706030053203</v>
      </c>
      <c r="AL244">
        <v>1.3948108675196123</v>
      </c>
      <c r="AM244" s="107">
        <f>INDEX(Pipes_result_save_V1!$K$2:$K$206,MATCH(Z244,Pipes_result_save_V1!$I$2:$I$206,0)) *POWER(10,-3)</f>
        <v>-1.1068543434143071E-2</v>
      </c>
      <c r="AN244" s="78">
        <v>1.3429046318283954E-3</v>
      </c>
      <c r="AO244" s="78">
        <v>-9.7256388023146748E-3</v>
      </c>
    </row>
    <row r="245" spans="2:41" ht="30" x14ac:dyDescent="0.25">
      <c r="B245" s="106">
        <v>71</v>
      </c>
      <c r="C245" s="106" t="s">
        <v>380</v>
      </c>
      <c r="D245" s="233"/>
      <c r="E245" s="233"/>
      <c r="F245" s="233"/>
      <c r="G245" s="233"/>
      <c r="H245" s="233"/>
      <c r="I245" s="233"/>
      <c r="J245" s="233"/>
      <c r="K245" s="233"/>
      <c r="L245" s="233"/>
      <c r="M245" s="107">
        <v>-5.070376541099133</v>
      </c>
      <c r="N245" s="107">
        <v>768.59579221938282</v>
      </c>
      <c r="O245" s="107"/>
      <c r="P245" s="78"/>
      <c r="Q245" s="78"/>
      <c r="R245" s="78"/>
      <c r="S245" s="78"/>
      <c r="T245" s="78"/>
      <c r="U245" s="78"/>
      <c r="V245" s="78"/>
      <c r="W245" s="78">
        <v>44</v>
      </c>
      <c r="X245" s="78">
        <v>71</v>
      </c>
      <c r="Y245" s="78" t="s">
        <v>380</v>
      </c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78">
        <v>35.649147910678835</v>
      </c>
      <c r="AL245">
        <v>1560.3548127119159</v>
      </c>
    </row>
    <row r="246" spans="2:41" x14ac:dyDescent="0.25">
      <c r="B246" s="106">
        <v>72</v>
      </c>
      <c r="C246" s="106" t="s">
        <v>381</v>
      </c>
      <c r="D246" s="233">
        <v>6.5969350761835542E-3</v>
      </c>
      <c r="E246" s="233"/>
      <c r="F246" s="233"/>
      <c r="G246" s="233"/>
      <c r="H246" s="233"/>
      <c r="I246" s="233"/>
      <c r="J246" s="233"/>
      <c r="K246" s="233"/>
      <c r="L246" s="233"/>
      <c r="M246" s="233"/>
      <c r="N246" s="233"/>
      <c r="O246" s="107"/>
      <c r="P246" s="78"/>
      <c r="Q246" s="78"/>
      <c r="R246" s="78"/>
      <c r="S246" s="78"/>
      <c r="T246" s="78"/>
      <c r="U246" s="78"/>
      <c r="V246" s="78"/>
      <c r="W246" s="78"/>
      <c r="X246" s="78">
        <v>72</v>
      </c>
      <c r="Y246" s="78" t="s">
        <v>381</v>
      </c>
      <c r="Z246" s="249">
        <v>-2.284682151793423E-2</v>
      </c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</row>
    <row r="247" spans="2:41" x14ac:dyDescent="0.25"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</row>
    <row r="248" spans="2:41" x14ac:dyDescent="0.25"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</row>
    <row r="249" spans="2:41" x14ac:dyDescent="0.25"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</row>
    <row r="250" spans="2:41" x14ac:dyDescent="0.25"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</row>
    <row r="251" spans="2:41" x14ac:dyDescent="0.25"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</row>
    <row r="252" spans="2:41" x14ac:dyDescent="0.25"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</row>
    <row r="253" spans="2:41" x14ac:dyDescent="0.25"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</row>
    <row r="254" spans="2:41" x14ac:dyDescent="0.25"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</row>
  </sheetData>
  <mergeCells count="36">
    <mergeCell ref="D245:L245"/>
    <mergeCell ref="Z245:AJ245"/>
    <mergeCell ref="D246:N246"/>
    <mergeCell ref="Z246:AL246"/>
    <mergeCell ref="BT173:CF173"/>
    <mergeCell ref="AY212:BF212"/>
    <mergeCell ref="AY213:BH213"/>
    <mergeCell ref="DP223:DW223"/>
    <mergeCell ref="DP224:DY224"/>
    <mergeCell ref="D164:N164"/>
    <mergeCell ref="Z164:AL164"/>
    <mergeCell ref="C173:Q173"/>
    <mergeCell ref="Y173:AO173"/>
    <mergeCell ref="AV173:BI173"/>
    <mergeCell ref="AY131:BH131"/>
    <mergeCell ref="DP141:DW141"/>
    <mergeCell ref="DP142:DY142"/>
    <mergeCell ref="D163:L163"/>
    <mergeCell ref="Z163:AJ163"/>
    <mergeCell ref="C91:Q91"/>
    <mergeCell ref="Y91:AO91"/>
    <mergeCell ref="AV91:BI91"/>
    <mergeCell ref="BT91:CF91"/>
    <mergeCell ref="AY130:BF130"/>
    <mergeCell ref="DP56:DW56"/>
    <mergeCell ref="DP57:DY57"/>
    <mergeCell ref="Z78:AJ78"/>
    <mergeCell ref="Z79:AL79"/>
    <mergeCell ref="AY45:BF45"/>
    <mergeCell ref="AY46:BH46"/>
    <mergeCell ref="D79:N79"/>
    <mergeCell ref="C6:Q6"/>
    <mergeCell ref="Y6:AO6"/>
    <mergeCell ref="AV6:BI6"/>
    <mergeCell ref="BT6:CF6"/>
    <mergeCell ref="D78:L78"/>
  </mergeCells>
  <phoneticPr fontId="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414EF-D331-45D2-80F5-C5E93D5F1937}">
  <dimension ref="B3:EV355"/>
  <sheetViews>
    <sheetView workbookViewId="0">
      <selection activeCell="K32" sqref="K32"/>
    </sheetView>
  </sheetViews>
  <sheetFormatPr baseColWidth="10" defaultRowHeight="15" x14ac:dyDescent="0.25"/>
  <cols>
    <col min="5" max="5" width="20.28515625" bestFit="1" customWidth="1"/>
    <col min="6" max="6" width="12" customWidth="1"/>
    <col min="7" max="7" width="13.5703125" bestFit="1" customWidth="1"/>
    <col min="8" max="8" width="15.140625" bestFit="1" customWidth="1"/>
    <col min="9" max="10" width="13.28515625" customWidth="1"/>
    <col min="11" max="11" width="11.85546875" bestFit="1" customWidth="1"/>
    <col min="12" max="13" width="11.85546875" customWidth="1"/>
    <col min="14" max="14" width="8.7109375" bestFit="1" customWidth="1"/>
    <col min="15" max="15" width="14.85546875" bestFit="1" customWidth="1"/>
    <col min="23" max="23" width="20.28515625" bestFit="1" customWidth="1"/>
    <col min="25" max="25" width="13.5703125" bestFit="1" customWidth="1"/>
    <col min="26" max="26" width="15.140625" bestFit="1" customWidth="1"/>
    <col min="29" max="30" width="11.42578125" bestFit="1" customWidth="1"/>
    <col min="33" max="33" width="14.85546875" bestFit="1" customWidth="1"/>
    <col min="42" max="42" width="20.28515625" bestFit="1" customWidth="1"/>
    <col min="43" max="43" width="12" customWidth="1"/>
    <col min="44" max="44" width="13.5703125" bestFit="1" customWidth="1"/>
    <col min="45" max="45" width="15.140625" bestFit="1" customWidth="1"/>
    <col min="51" max="51" width="8.7109375" bestFit="1" customWidth="1"/>
    <col min="52" max="52" width="14.85546875" bestFit="1" customWidth="1"/>
    <col min="62" max="62" width="20.28515625" bestFit="1" customWidth="1"/>
    <col min="64" max="64" width="13.5703125" bestFit="1" customWidth="1"/>
    <col min="65" max="65" width="15.140625" bestFit="1" customWidth="1"/>
    <col min="83" max="83" width="12" bestFit="1" customWidth="1"/>
    <col min="85" max="85" width="13.5703125" bestFit="1" customWidth="1"/>
    <col min="86" max="86" width="15.140625" bestFit="1" customWidth="1"/>
    <col min="93" max="93" width="16.7109375" customWidth="1"/>
    <col min="103" max="103" width="20.28515625" bestFit="1" customWidth="1"/>
    <col min="105" max="105" width="13.5703125" bestFit="1" customWidth="1"/>
    <col min="106" max="106" width="15.140625" bestFit="1" customWidth="1"/>
    <col min="123" max="123" width="20.28515625" bestFit="1" customWidth="1"/>
    <col min="124" max="124" width="12" customWidth="1"/>
    <col min="125" max="125" width="13.5703125" bestFit="1" customWidth="1"/>
    <col min="126" max="126" width="15.140625" bestFit="1" customWidth="1"/>
    <col min="127" max="127" width="13.28515625" customWidth="1"/>
    <col min="133" max="133" width="14.85546875" bestFit="1" customWidth="1"/>
  </cols>
  <sheetData>
    <row r="3" spans="2:152" x14ac:dyDescent="0.25">
      <c r="B3" s="238" t="s">
        <v>111</v>
      </c>
      <c r="C3" s="238"/>
      <c r="D3" s="238"/>
      <c r="E3" s="238"/>
      <c r="F3" s="238"/>
      <c r="G3" s="238"/>
      <c r="H3" s="238"/>
      <c r="I3" s="64"/>
      <c r="J3" s="64"/>
      <c r="K3" s="63"/>
      <c r="L3" s="63"/>
      <c r="M3" s="63"/>
      <c r="N3" s="63"/>
      <c r="O3" s="63"/>
      <c r="P3" s="63"/>
      <c r="T3" s="238" t="s">
        <v>203</v>
      </c>
      <c r="U3" s="238"/>
      <c r="V3" s="238"/>
      <c r="W3" s="238"/>
      <c r="X3" s="238"/>
      <c r="Y3" s="238"/>
      <c r="Z3" s="238"/>
      <c r="AA3" s="63"/>
      <c r="AB3" s="63"/>
      <c r="AC3" s="63"/>
      <c r="AD3" s="63"/>
      <c r="AE3" s="63"/>
      <c r="AF3" s="63"/>
      <c r="AG3" s="63"/>
      <c r="AH3" s="63"/>
      <c r="AM3" s="238" t="s">
        <v>233</v>
      </c>
      <c r="AN3" s="238"/>
      <c r="AO3" s="238"/>
      <c r="AP3" s="238"/>
      <c r="AQ3" s="238"/>
      <c r="AR3" s="238"/>
      <c r="AS3" s="238"/>
      <c r="AT3" s="63"/>
      <c r="AU3" s="63"/>
      <c r="AV3" s="63"/>
      <c r="AW3" s="63"/>
      <c r="AX3" s="63"/>
      <c r="AY3" s="63"/>
      <c r="AZ3" s="63"/>
      <c r="BA3" s="63"/>
      <c r="BG3" s="238" t="s">
        <v>255</v>
      </c>
      <c r="BH3" s="238"/>
      <c r="BI3" s="238"/>
      <c r="BJ3" s="238"/>
      <c r="BK3" s="238"/>
      <c r="BL3" s="238"/>
      <c r="BM3" s="238"/>
      <c r="BN3" s="63"/>
      <c r="BO3" s="63"/>
      <c r="BP3" s="63"/>
      <c r="BQ3" s="63"/>
      <c r="BR3" s="63"/>
      <c r="BS3" s="63"/>
      <c r="BT3" s="63"/>
      <c r="BU3" s="63"/>
      <c r="CB3" s="238" t="s">
        <v>279</v>
      </c>
      <c r="CC3" s="238"/>
      <c r="CD3" s="238"/>
      <c r="CE3" s="238"/>
      <c r="CF3" s="238"/>
      <c r="CG3" s="238"/>
      <c r="CH3" s="238"/>
      <c r="CI3" s="63"/>
      <c r="CJ3" s="63"/>
      <c r="CK3" s="63"/>
      <c r="CL3" s="63"/>
      <c r="CM3" s="63"/>
      <c r="CN3" s="63"/>
      <c r="CO3" s="63"/>
      <c r="CP3" s="63"/>
      <c r="CV3" s="238" t="s">
        <v>305</v>
      </c>
      <c r="CW3" s="238"/>
      <c r="CX3" s="238"/>
      <c r="CY3" s="238"/>
      <c r="CZ3" s="238"/>
      <c r="DA3" s="238"/>
      <c r="DB3" s="238"/>
      <c r="DC3" s="63"/>
      <c r="DD3" s="63"/>
      <c r="DE3" s="63"/>
      <c r="DF3" s="63"/>
      <c r="DG3" s="63"/>
      <c r="DH3" s="63"/>
      <c r="DI3" s="63"/>
      <c r="DJ3" s="63"/>
      <c r="DP3" s="238" t="s">
        <v>317</v>
      </c>
      <c r="DQ3" s="238"/>
      <c r="DR3" s="238"/>
      <c r="DS3" s="238"/>
      <c r="DT3" s="238"/>
      <c r="DU3" s="238"/>
      <c r="DV3" s="238"/>
      <c r="DW3" s="64"/>
      <c r="DX3" s="63"/>
      <c r="DY3" s="63"/>
      <c r="DZ3" s="63"/>
      <c r="EA3" s="63"/>
      <c r="EB3" s="63"/>
      <c r="EC3" s="63"/>
      <c r="ED3" s="63"/>
      <c r="EH3" s="63" t="s">
        <v>102</v>
      </c>
      <c r="EI3" s="63" t="s">
        <v>905</v>
      </c>
      <c r="EJ3" s="63" t="s">
        <v>906</v>
      </c>
      <c r="EK3" s="63" t="s">
        <v>912</v>
      </c>
      <c r="EL3" s="63" t="s">
        <v>60</v>
      </c>
      <c r="EM3" s="63" t="s">
        <v>107</v>
      </c>
      <c r="EN3" s="63" t="s">
        <v>921</v>
      </c>
      <c r="EO3" s="63" t="s">
        <v>97</v>
      </c>
      <c r="EP3" s="63" t="s">
        <v>920</v>
      </c>
      <c r="EQ3" s="63" t="s">
        <v>919</v>
      </c>
      <c r="ER3" s="63" t="s">
        <v>913</v>
      </c>
      <c r="ES3" s="63" t="s">
        <v>914</v>
      </c>
      <c r="ET3" s="63" t="s">
        <v>915</v>
      </c>
      <c r="EU3" s="63" t="s">
        <v>916</v>
      </c>
      <c r="EV3" s="63" t="s">
        <v>917</v>
      </c>
    </row>
    <row r="4" spans="2:152" x14ac:dyDescent="0.25">
      <c r="B4" s="63" t="s">
        <v>102</v>
      </c>
      <c r="C4" s="63" t="s">
        <v>905</v>
      </c>
      <c r="D4" s="63" t="s">
        <v>906</v>
      </c>
      <c r="E4" s="63" t="s">
        <v>912</v>
      </c>
      <c r="F4" s="63" t="s">
        <v>60</v>
      </c>
      <c r="G4" s="63" t="s">
        <v>107</v>
      </c>
      <c r="H4" s="63" t="s">
        <v>921</v>
      </c>
      <c r="I4" s="63" t="s">
        <v>97</v>
      </c>
      <c r="J4" s="63" t="s">
        <v>920</v>
      </c>
      <c r="K4" s="66" t="s">
        <v>919</v>
      </c>
      <c r="L4" s="66" t="s">
        <v>913</v>
      </c>
      <c r="M4" s="66" t="s">
        <v>914</v>
      </c>
      <c r="N4" s="63" t="s">
        <v>915</v>
      </c>
      <c r="O4" s="63" t="s">
        <v>916</v>
      </c>
      <c r="P4" s="63" t="s">
        <v>917</v>
      </c>
      <c r="T4" s="63" t="s">
        <v>102</v>
      </c>
      <c r="U4" s="63" t="s">
        <v>905</v>
      </c>
      <c r="V4" s="63" t="s">
        <v>906</v>
      </c>
      <c r="W4" s="63" t="s">
        <v>912</v>
      </c>
      <c r="X4" s="63" t="s">
        <v>60</v>
      </c>
      <c r="Y4" s="63" t="s">
        <v>107</v>
      </c>
      <c r="Z4" s="63" t="s">
        <v>921</v>
      </c>
      <c r="AA4" s="63" t="s">
        <v>97</v>
      </c>
      <c r="AB4" s="63" t="s">
        <v>920</v>
      </c>
      <c r="AC4" s="66" t="s">
        <v>919</v>
      </c>
      <c r="AD4" s="66" t="s">
        <v>913</v>
      </c>
      <c r="AE4" s="66" t="s">
        <v>914</v>
      </c>
      <c r="AF4" s="63" t="s">
        <v>915</v>
      </c>
      <c r="AG4" s="63" t="s">
        <v>916</v>
      </c>
      <c r="AH4" s="63" t="s">
        <v>917</v>
      </c>
      <c r="AM4" s="63" t="s">
        <v>102</v>
      </c>
      <c r="AN4" s="63" t="s">
        <v>905</v>
      </c>
      <c r="AO4" s="63" t="s">
        <v>906</v>
      </c>
      <c r="AP4" s="63" t="s">
        <v>912</v>
      </c>
      <c r="AQ4" s="63" t="s">
        <v>60</v>
      </c>
      <c r="AR4" s="63" t="s">
        <v>107</v>
      </c>
      <c r="AS4" s="63" t="s">
        <v>921</v>
      </c>
      <c r="AT4" s="63" t="s">
        <v>97</v>
      </c>
      <c r="AU4" s="63" t="s">
        <v>920</v>
      </c>
      <c r="AV4" s="66" t="s">
        <v>919</v>
      </c>
      <c r="AW4" s="66" t="s">
        <v>913</v>
      </c>
      <c r="AX4" s="66" t="s">
        <v>914</v>
      </c>
      <c r="AY4" s="63" t="s">
        <v>915</v>
      </c>
      <c r="AZ4" s="63" t="s">
        <v>916</v>
      </c>
      <c r="BA4" s="63" t="s">
        <v>917</v>
      </c>
      <c r="BG4" s="63" t="s">
        <v>102</v>
      </c>
      <c r="BH4" s="63" t="s">
        <v>905</v>
      </c>
      <c r="BI4" s="63" t="s">
        <v>906</v>
      </c>
      <c r="BJ4" s="63" t="s">
        <v>912</v>
      </c>
      <c r="BK4" s="63" t="s">
        <v>60</v>
      </c>
      <c r="BL4" s="63" t="s">
        <v>107</v>
      </c>
      <c r="BM4" s="63" t="s">
        <v>921</v>
      </c>
      <c r="BN4" s="63" t="s">
        <v>97</v>
      </c>
      <c r="BO4" s="63" t="s">
        <v>920</v>
      </c>
      <c r="BP4" s="63" t="s">
        <v>919</v>
      </c>
      <c r="BQ4" s="66" t="s">
        <v>913</v>
      </c>
      <c r="BR4" s="66" t="s">
        <v>914</v>
      </c>
      <c r="BS4" s="63" t="s">
        <v>915</v>
      </c>
      <c r="BT4" s="63" t="s">
        <v>916</v>
      </c>
      <c r="BU4" s="63" t="s">
        <v>917</v>
      </c>
      <c r="CB4" s="63" t="s">
        <v>102</v>
      </c>
      <c r="CC4" s="63" t="s">
        <v>905</v>
      </c>
      <c r="CD4" s="63" t="s">
        <v>906</v>
      </c>
      <c r="CE4" s="63" t="s">
        <v>912</v>
      </c>
      <c r="CF4" s="63" t="s">
        <v>60</v>
      </c>
      <c r="CG4" s="63" t="s">
        <v>107</v>
      </c>
      <c r="CH4" s="127" t="s">
        <v>921</v>
      </c>
      <c r="CI4" s="127" t="s">
        <v>97</v>
      </c>
      <c r="CJ4" s="127" t="s">
        <v>920</v>
      </c>
      <c r="CK4" s="66" t="s">
        <v>919</v>
      </c>
      <c r="CL4" s="66" t="s">
        <v>913</v>
      </c>
      <c r="CM4" s="66" t="s">
        <v>914</v>
      </c>
      <c r="CN4" s="63" t="s">
        <v>915</v>
      </c>
      <c r="CO4" s="63" t="s">
        <v>916</v>
      </c>
      <c r="CP4" s="63" t="s">
        <v>917</v>
      </c>
      <c r="CV4" s="63" t="s">
        <v>102</v>
      </c>
      <c r="CW4" s="63" t="s">
        <v>905</v>
      </c>
      <c r="CX4" s="63" t="s">
        <v>906</v>
      </c>
      <c r="CY4" s="63" t="s">
        <v>912</v>
      </c>
      <c r="CZ4" s="63" t="s">
        <v>60</v>
      </c>
      <c r="DA4" s="63" t="s">
        <v>107</v>
      </c>
      <c r="DB4" s="63" t="s">
        <v>921</v>
      </c>
      <c r="DC4" s="63" t="s">
        <v>97</v>
      </c>
      <c r="DD4" s="127" t="s">
        <v>918</v>
      </c>
      <c r="DE4" s="66" t="s">
        <v>919</v>
      </c>
      <c r="DF4" s="66" t="s">
        <v>913</v>
      </c>
      <c r="DG4" s="66" t="s">
        <v>914</v>
      </c>
      <c r="DH4" s="63" t="s">
        <v>915</v>
      </c>
      <c r="DI4" s="63" t="s">
        <v>916</v>
      </c>
      <c r="DJ4" s="63" t="s">
        <v>917</v>
      </c>
      <c r="DP4" s="63" t="s">
        <v>102</v>
      </c>
      <c r="DQ4" s="63" t="s">
        <v>905</v>
      </c>
      <c r="DR4" s="63" t="s">
        <v>906</v>
      </c>
      <c r="DS4" s="63" t="s">
        <v>912</v>
      </c>
      <c r="DT4" s="63" t="s">
        <v>60</v>
      </c>
      <c r="DU4" s="63" t="s">
        <v>107</v>
      </c>
      <c r="DV4" s="127" t="s">
        <v>921</v>
      </c>
      <c r="DW4" s="127" t="s">
        <v>97</v>
      </c>
      <c r="DX4" s="127" t="s">
        <v>918</v>
      </c>
      <c r="DY4" s="66" t="s">
        <v>919</v>
      </c>
      <c r="DZ4" s="66" t="s">
        <v>913</v>
      </c>
      <c r="EA4" s="66" t="s">
        <v>914</v>
      </c>
      <c r="EB4" s="63" t="s">
        <v>915</v>
      </c>
      <c r="EC4" s="63" t="s">
        <v>916</v>
      </c>
      <c r="ED4" s="63" t="s">
        <v>917</v>
      </c>
      <c r="EH4" s="63" t="s">
        <v>884</v>
      </c>
      <c r="EI4" s="63" t="s">
        <v>745</v>
      </c>
      <c r="EJ4" s="63" t="s">
        <v>664</v>
      </c>
      <c r="EK4" s="63">
        <v>350</v>
      </c>
      <c r="EL4" s="63">
        <v>350</v>
      </c>
      <c r="EM4" s="63">
        <v>96</v>
      </c>
      <c r="EN4" s="63">
        <v>2.0853796048124752E-2</v>
      </c>
      <c r="EO4" s="63">
        <v>0.35</v>
      </c>
      <c r="EP4" s="63">
        <v>1.3546876421588928E-2</v>
      </c>
      <c r="EQ4" s="63">
        <v>0.20734410255996347</v>
      </c>
      <c r="ER4" s="63">
        <v>0.20734410255996347</v>
      </c>
      <c r="ES4" s="63">
        <v>14</v>
      </c>
      <c r="ET4" s="63">
        <v>10</v>
      </c>
      <c r="EU4" s="63">
        <v>24.207344102559965</v>
      </c>
      <c r="EV4" s="63">
        <v>25.999151909734536</v>
      </c>
    </row>
    <row r="5" spans="2:152" x14ac:dyDescent="0.25">
      <c r="B5" s="63" t="s">
        <v>884</v>
      </c>
      <c r="C5" s="63" t="s">
        <v>745</v>
      </c>
      <c r="D5" s="63" t="s">
        <v>664</v>
      </c>
      <c r="E5" s="63">
        <v>350</v>
      </c>
      <c r="F5" s="63">
        <f>VLOOKUP(E5,REF_TABLE!$G$7:$H$32,2)</f>
        <v>350</v>
      </c>
      <c r="G5" s="63">
        <v>96</v>
      </c>
      <c r="H5" s="63">
        <f>ABS(RESULT_ITTE!Q175)</f>
        <v>2.0853796048124752E-2</v>
      </c>
      <c r="I5" s="63">
        <f>E5/1000</f>
        <v>0.35</v>
      </c>
      <c r="J5" s="63">
        <f>H5/(PI()*I5^2)/4</f>
        <v>1.3546876421588928E-2</v>
      </c>
      <c r="K5" s="66">
        <f>ABS(RESULT_ITTE!M175)</f>
        <v>0.20734410255996347</v>
      </c>
      <c r="L5" s="66">
        <f>K5</f>
        <v>0.20734410255996347</v>
      </c>
      <c r="M5" s="63">
        <f>INDEX('Junctions — junctions'!$F$2:$F$197,MATCH(D5,'Junctions — junctions'!$B$2:$B$197,0))</f>
        <v>14</v>
      </c>
      <c r="N5" s="63">
        <v>10</v>
      </c>
      <c r="O5" s="63">
        <f>N5+M5+L5</f>
        <v>24.207344102559965</v>
      </c>
      <c r="P5" s="63">
        <f>$O$75-M5-L5</f>
        <v>25.999151909734536</v>
      </c>
      <c r="T5" s="63" t="s">
        <v>184</v>
      </c>
      <c r="U5" s="63" t="s">
        <v>662</v>
      </c>
      <c r="V5" s="63" t="s">
        <v>661</v>
      </c>
      <c r="W5" s="63">
        <v>350</v>
      </c>
      <c r="X5" s="63">
        <f>VLOOKUP(W5,REF_TABLE!$G$7:$H$32,2)</f>
        <v>350</v>
      </c>
      <c r="Y5" s="63">
        <v>68</v>
      </c>
      <c r="Z5" s="63">
        <f>ABS(RESULT_ITTE!AO175)</f>
        <v>5.3203589470187704E-2</v>
      </c>
      <c r="AA5" s="63">
        <f>W5/1000</f>
        <v>0.35</v>
      </c>
      <c r="AB5" s="63">
        <f>Z5/(PI()*AA5^2)/4</f>
        <v>3.456169083433587E-2</v>
      </c>
      <c r="AC5" s="69">
        <f>ABS(RESULT_ITTE!AK175)</f>
        <v>0.13273035727434446</v>
      </c>
      <c r="AD5" s="69">
        <f>AC5</f>
        <v>0.13273035727434446</v>
      </c>
      <c r="AE5" s="63">
        <f>INDEX('Junctions — junctions'!$F$2:$F$197,MATCH(V5,'Junctions — junctions'!$B$2:$B$197,0))</f>
        <v>16</v>
      </c>
      <c r="AF5" s="69">
        <v>10</v>
      </c>
      <c r="AG5" s="63">
        <f>AF5+AE5+AD5</f>
        <v>26.132730357274344</v>
      </c>
      <c r="AH5" s="63">
        <f>$AG$75-AE5-AD5</f>
        <v>68.739901850435103</v>
      </c>
      <c r="AM5" s="63" t="s">
        <v>421</v>
      </c>
      <c r="AN5" s="63" t="s">
        <v>622</v>
      </c>
      <c r="AO5" s="63" t="s">
        <v>652</v>
      </c>
      <c r="AP5" s="63">
        <v>250</v>
      </c>
      <c r="AQ5" s="63">
        <f>VLOOKUP(AP5,REF_TABLE!$G$7:$H$32,2)</f>
        <v>250</v>
      </c>
      <c r="AR5" s="63">
        <v>42</v>
      </c>
      <c r="AS5" s="63">
        <f>ABS(RESULT_ITTE!BK175)</f>
        <v>5.8552051240535904E-2</v>
      </c>
      <c r="AT5" s="63">
        <f>AP5/1000</f>
        <v>0.25</v>
      </c>
      <c r="AU5" s="63">
        <f>AS5/(PI()*AT5^2)/4</f>
        <v>7.4550787064809859E-2</v>
      </c>
      <c r="AV5" s="63">
        <f>ABS(RESULT_ITTE!BG175)</f>
        <v>6.405805386727606E-2</v>
      </c>
      <c r="AW5" s="63">
        <f>AV5</f>
        <v>6.405805386727606E-2</v>
      </c>
      <c r="AX5" s="63">
        <f>INDEX('Junctions — junctions'!$F$2:$F$197,MATCH(AO5,'Junctions — junctions'!$B$2:$B$197,0))</f>
        <v>5</v>
      </c>
      <c r="AY5" s="63">
        <v>10</v>
      </c>
      <c r="AZ5" s="63">
        <f>AY5+AX5+AW5</f>
        <v>15.064058053867276</v>
      </c>
      <c r="BA5" s="63">
        <f>$AZ$42-AX5-AW5</f>
        <v>24.692059970204831</v>
      </c>
      <c r="BG5" s="63" t="s">
        <v>414</v>
      </c>
      <c r="BH5" s="63" t="s">
        <v>632</v>
      </c>
      <c r="BI5" s="63" t="s">
        <v>622</v>
      </c>
      <c r="BJ5" s="63">
        <v>250</v>
      </c>
      <c r="BK5" s="63">
        <f>VLOOKUP(BJ5,REF_TABLE!$G$7:$H$32,2)</f>
        <v>250</v>
      </c>
      <c r="BL5" s="63">
        <v>223</v>
      </c>
      <c r="BM5" s="63">
        <f>ABS(RESULT_ITTE!CH175)</f>
        <v>2.7423581976117752E-2</v>
      </c>
      <c r="BN5" s="63">
        <f>BJ5/1000</f>
        <v>0.25</v>
      </c>
      <c r="BO5" s="63">
        <f>BM5/(PI()*BN5^2)/4</f>
        <v>3.4916789030279581E-2</v>
      </c>
      <c r="BP5" s="63">
        <f>ABS(RESULT_ITTE!CD175)</f>
        <v>0.34011776220006096</v>
      </c>
      <c r="BQ5" s="63">
        <f>BP5</f>
        <v>0.34011776220006096</v>
      </c>
      <c r="BR5" s="63">
        <f>INDEX('Junctions — junctions'!$F$2:$F$197,MATCH(BI5,'Junctions — junctions'!$B$2:$B$197,0))</f>
        <v>11</v>
      </c>
      <c r="BS5" s="63">
        <v>10</v>
      </c>
      <c r="BT5" s="63">
        <f>BS5+BR5+BQ5</f>
        <v>21.340117762200062</v>
      </c>
      <c r="BU5" s="63">
        <f>$BT$57-BR5-BQ5</f>
        <v>22.402184920703466</v>
      </c>
      <c r="CB5" s="63" t="s">
        <v>404</v>
      </c>
      <c r="CC5" s="63" t="s">
        <v>611</v>
      </c>
      <c r="CD5" s="63" t="s">
        <v>597</v>
      </c>
      <c r="CE5" s="63">
        <v>466</v>
      </c>
      <c r="CF5" s="63">
        <f>VLOOKUP(CE5,REF_TABLE!$G$7:$H$32,2)</f>
        <v>500</v>
      </c>
      <c r="CG5" s="63">
        <v>211</v>
      </c>
      <c r="CH5" s="63">
        <f>ABS(RESULT_ITTE!DD175)</f>
        <v>6.5377785544237496E-2</v>
      </c>
      <c r="CI5" s="63">
        <f>CE5/1000</f>
        <v>0.46600000000000003</v>
      </c>
      <c r="CJ5" s="63">
        <f>CH5/(PI()*CI5^2)/4</f>
        <v>2.3957886813551679E-2</v>
      </c>
      <c r="CK5" s="63">
        <f>ABS(RESULT_ITTE!CZ175)</f>
        <v>0.31356904893752557</v>
      </c>
      <c r="CL5" s="63">
        <f>CK5</f>
        <v>0.31356904893752557</v>
      </c>
      <c r="CM5" s="63">
        <f>INDEX('Junctions — junctions'!$F$2:$F$197,MATCH(CD5,'Junctions — junctions'!$B$2:$B$197,0))</f>
        <v>17</v>
      </c>
      <c r="CN5" s="63">
        <v>10</v>
      </c>
      <c r="CO5" s="63">
        <f>CN5+CM5+CL5</f>
        <v>27.313569048937527</v>
      </c>
      <c r="CP5" s="63">
        <f>$CO$46-CM5-CL5</f>
        <v>19.153510656719984</v>
      </c>
      <c r="CV5" s="63" t="s">
        <v>399</v>
      </c>
      <c r="CW5" s="63" t="s">
        <v>598</v>
      </c>
      <c r="CX5" s="63" t="s">
        <v>583</v>
      </c>
      <c r="CY5" s="63">
        <v>466</v>
      </c>
      <c r="CZ5" s="63">
        <f>VLOOKUP(CY5,REF_TABLE!$G$7:$H$32,2)</f>
        <v>500</v>
      </c>
      <c r="DA5" s="63">
        <v>93</v>
      </c>
      <c r="DB5" s="63">
        <f>ABS(RESULT_ITTE!EB175)</f>
        <v>0.20358511062185727</v>
      </c>
      <c r="DC5" s="63">
        <f>CY5/1000</f>
        <v>0.46600000000000003</v>
      </c>
      <c r="DD5" s="63">
        <f>DB5/(PI()*DC5^2)/4</f>
        <v>7.4604378178311698E-2</v>
      </c>
      <c r="DE5" s="63">
        <f>ABS(RESULT_ITTE!DX175)</f>
        <v>0.13820815901037856</v>
      </c>
      <c r="DF5" s="63">
        <f>DE5</f>
        <v>0.13820815901037856</v>
      </c>
      <c r="DG5" s="63">
        <f>INDEX('Junctions — junctions'!$F$2:$F$197,MATCH(CX5,'Junctions — junctions'!$B$2:$B$197,0))</f>
        <v>13</v>
      </c>
      <c r="DH5" s="63">
        <v>10</v>
      </c>
      <c r="DI5" s="63">
        <f>DH5+DG5+DF5</f>
        <v>23.138208159010379</v>
      </c>
      <c r="DJ5" s="63">
        <f>$DI$53-DG5-DF5</f>
        <v>21.713131055137946</v>
      </c>
      <c r="DP5" s="63" t="s">
        <v>405</v>
      </c>
      <c r="DQ5" s="63" t="s">
        <v>419</v>
      </c>
      <c r="DR5" s="63" t="s">
        <v>581</v>
      </c>
      <c r="DS5" s="63">
        <v>700</v>
      </c>
      <c r="DT5" s="63">
        <f>VLOOKUP(DS5,REF_TABLE!$G$7:$H$32,2)</f>
        <v>800</v>
      </c>
      <c r="DU5" s="63">
        <v>47</v>
      </c>
      <c r="DV5" s="63">
        <v>0.32198880906494448</v>
      </c>
      <c r="DW5" s="63">
        <f>DS5/1000</f>
        <v>0.7</v>
      </c>
      <c r="DX5" s="63">
        <f>DV5/(PI()*DW5^2)/4</f>
        <v>5.2291949574447348E-2</v>
      </c>
      <c r="DY5" s="63">
        <f>ABS(RESULT_ITTE!EW175)</f>
        <v>0.3321200561523438</v>
      </c>
      <c r="DZ5" s="63">
        <f>DY5</f>
        <v>0.3321200561523438</v>
      </c>
      <c r="EA5" s="63">
        <f>INDEX('Junctions — junctions'!$F$2:$F$197,MATCH(DR5,'Junctions — junctions'!$B$2:$B$197,0))</f>
        <v>12</v>
      </c>
      <c r="EB5" s="63">
        <v>10</v>
      </c>
      <c r="EC5" s="63">
        <f>EB5+EA5+DZ5</f>
        <v>22.332120056152345</v>
      </c>
      <c r="ED5" s="63">
        <f>$EC$38-EA5-DZ5</f>
        <v>22.206922716379164</v>
      </c>
      <c r="EH5" s="63" t="s">
        <v>201</v>
      </c>
      <c r="EI5" s="63" t="s">
        <v>664</v>
      </c>
      <c r="EJ5" s="63" t="s">
        <v>665</v>
      </c>
      <c r="EK5" s="63">
        <v>350</v>
      </c>
      <c r="EL5" s="63">
        <v>350</v>
      </c>
      <c r="EM5" s="63">
        <v>95</v>
      </c>
      <c r="EN5" s="63">
        <v>1.4931447295270297E-2</v>
      </c>
      <c r="EO5" s="63">
        <v>0.35</v>
      </c>
      <c r="EP5" s="63">
        <v>9.69964752880971E-3</v>
      </c>
      <c r="EQ5" s="63">
        <v>0.2012434958680151</v>
      </c>
      <c r="ER5" s="63">
        <v>0.40858759842797854</v>
      </c>
      <c r="ES5" s="63">
        <v>12</v>
      </c>
      <c r="ET5" s="63">
        <v>10</v>
      </c>
      <c r="EU5" s="63">
        <v>22.408587598427978</v>
      </c>
      <c r="EV5" s="63">
        <v>27.797908413866523</v>
      </c>
    </row>
    <row r="6" spans="2:152" x14ac:dyDescent="0.25">
      <c r="B6" s="63" t="s">
        <v>201</v>
      </c>
      <c r="C6" s="63" t="s">
        <v>664</v>
      </c>
      <c r="D6" s="63" t="s">
        <v>665</v>
      </c>
      <c r="E6" s="63">
        <v>350</v>
      </c>
      <c r="F6" s="63">
        <f>VLOOKUP(E6,REF_TABLE!$G$7:$H$32,2)</f>
        <v>350</v>
      </c>
      <c r="G6" s="63">
        <v>95</v>
      </c>
      <c r="H6" s="63">
        <f>ABS(RESULT_ITTE!Q176)</f>
        <v>1.4931447295270297E-2</v>
      </c>
      <c r="I6" s="63">
        <f t="shared" ref="I6:I69" si="0">E6/1000</f>
        <v>0.35</v>
      </c>
      <c r="J6" s="63">
        <f t="shared" ref="J6:J69" si="1">H6/(PI()*I6^2)/4</f>
        <v>9.69964752880971E-3</v>
      </c>
      <c r="K6" s="66">
        <f>ABS(RESULT_ITTE!M176)</f>
        <v>0.2012434958680151</v>
      </c>
      <c r="L6" s="66">
        <f>L5+K6</f>
        <v>0.40858759842797854</v>
      </c>
      <c r="M6" s="63">
        <f>INDEX('Junctions — junctions'!$F$2:$F$197,MATCH(D6,'Junctions — junctions'!$B$2:$B$197,0))</f>
        <v>12</v>
      </c>
      <c r="N6" s="63">
        <v>10</v>
      </c>
      <c r="O6" s="63">
        <f t="shared" ref="O6:O69" si="2">N6+M6+L6</f>
        <v>22.408587598427978</v>
      </c>
      <c r="P6" s="63">
        <f t="shared" ref="P6:P69" si="3">$O$75-M6-L6</f>
        <v>27.797908413866523</v>
      </c>
      <c r="T6" s="63" t="s">
        <v>422</v>
      </c>
      <c r="U6" s="63" t="s">
        <v>661</v>
      </c>
      <c r="V6" s="63" t="s">
        <v>715</v>
      </c>
      <c r="W6" s="63">
        <v>300</v>
      </c>
      <c r="X6" s="63">
        <f>VLOOKUP(W6,REF_TABLE!$G$7:$H$32,2)</f>
        <v>300</v>
      </c>
      <c r="Y6" s="63">
        <v>88</v>
      </c>
      <c r="Z6" s="63">
        <f>ABS(RESULT_ITTE!AO176)</f>
        <v>1.7481161244201236E-3</v>
      </c>
      <c r="AA6" s="63">
        <f t="shared" ref="AA6:AA69" si="4">W6/1000</f>
        <v>0.3</v>
      </c>
      <c r="AB6" s="63">
        <f t="shared" ref="AB6:AB69" si="5">Z6/(PI()*AA6^2)/4</f>
        <v>1.5456740127783855E-3</v>
      </c>
      <c r="AC6" s="69">
        <f>ABS(RESULT_ITTE!AK176)</f>
        <v>0.15867451177943664</v>
      </c>
      <c r="AD6" s="69">
        <f>AD5+AC6</f>
        <v>0.2914048690537811</v>
      </c>
      <c r="AE6" s="63">
        <f>INDEX('Junctions — junctions'!$F$2:$F$197,MATCH(V6,'Junctions — junctions'!$B$2:$B$197,0))</f>
        <v>12</v>
      </c>
      <c r="AF6" s="69">
        <v>10</v>
      </c>
      <c r="AG6" s="63">
        <f t="shared" ref="AG6:AG69" si="6">AF6+AE6+AD6</f>
        <v>22.291404869053782</v>
      </c>
      <c r="AH6" s="63">
        <f t="shared" ref="AH6:AH69" si="7">$AG$75-AE6-AD6</f>
        <v>72.581227338655665</v>
      </c>
      <c r="AM6" s="63" t="s">
        <v>413</v>
      </c>
      <c r="AN6" s="63" t="s">
        <v>691</v>
      </c>
      <c r="AO6" s="63" t="s">
        <v>622</v>
      </c>
      <c r="AP6" s="63">
        <v>250</v>
      </c>
      <c r="AQ6" s="63">
        <f>VLOOKUP(AP6,REF_TABLE!$G$7:$H$32,2)</f>
        <v>250</v>
      </c>
      <c r="AR6" s="63">
        <v>42</v>
      </c>
      <c r="AS6" s="63">
        <f>ABS(RESULT_ITTE!BK176)</f>
        <v>2.2231279922193658E-3</v>
      </c>
      <c r="AT6" s="63">
        <f t="shared" ref="AT6:AT41" si="8">AP6/1000</f>
        <v>0.25</v>
      </c>
      <c r="AU6" s="63">
        <f t="shared" ref="AU6:AU41" si="9">AS6/(PI()*AT6^2)/4</f>
        <v>2.8305744727013817E-3</v>
      </c>
      <c r="AV6" s="63">
        <f>ABS(RESULT_ITTE!BG176)</f>
        <v>6.405805386727606E-2</v>
      </c>
      <c r="AW6" s="63">
        <f>AW5+AV6</f>
        <v>0.12811610773455212</v>
      </c>
      <c r="AX6" s="63">
        <f>INDEX('Junctions — junctions'!$F$2:$F$197,MATCH(AO6,'Junctions — junctions'!$B$2:$B$197,0))</f>
        <v>11</v>
      </c>
      <c r="AY6" s="63">
        <v>10</v>
      </c>
      <c r="AZ6" s="63">
        <f t="shared" ref="AZ6:AZ41" si="10">AY6+AX6+AW6</f>
        <v>21.128116107734552</v>
      </c>
      <c r="BA6" s="63">
        <f t="shared" ref="BA6:BA40" si="11">$AZ$42-AX6-AW6</f>
        <v>18.628001916337553</v>
      </c>
      <c r="BG6" s="63" t="s">
        <v>421</v>
      </c>
      <c r="BH6" s="63" t="s">
        <v>622</v>
      </c>
      <c r="BI6" s="63" t="s">
        <v>652</v>
      </c>
      <c r="BJ6" s="63">
        <v>250</v>
      </c>
      <c r="BK6" s="63">
        <f>VLOOKUP(BJ6,REF_TABLE!$G$7:$H$32,2)</f>
        <v>250</v>
      </c>
      <c r="BL6" s="63">
        <v>91</v>
      </c>
      <c r="BM6" s="63">
        <f>ABS(RESULT_ITTE!CH176)</f>
        <v>5.9282533295733179E-2</v>
      </c>
      <c r="BN6" s="63">
        <f t="shared" ref="BN6:BN56" si="12">BJ6/1000</f>
        <v>0.25</v>
      </c>
      <c r="BO6" s="63">
        <f t="shared" ref="BO6:BO56" si="13">BM6/(PI()*BN6^2)/4</f>
        <v>7.5480865704206437E-2</v>
      </c>
      <c r="BP6" s="63">
        <f>ABS(RESULT_ITTE!CD176)</f>
        <v>0.18412084510295368</v>
      </c>
      <c r="BQ6" s="63">
        <f>BQ5+BP6</f>
        <v>0.52423860730301464</v>
      </c>
      <c r="BR6" s="63">
        <f>INDEX('Junctions — junctions'!$F$2:$F$197,MATCH(BI6,'Junctions — junctions'!$B$2:$B$197,0))</f>
        <v>5</v>
      </c>
      <c r="BS6" s="63">
        <v>10</v>
      </c>
      <c r="BT6" s="63">
        <f t="shared" ref="BT6:BT56" si="14">BS6+BR6+BQ6</f>
        <v>15.524238607303015</v>
      </c>
      <c r="BU6" s="63">
        <f t="shared" ref="BU6:BU56" si="15">$BT$57-BR6-BQ6</f>
        <v>28.218064075600513</v>
      </c>
      <c r="CB6" s="63" t="s">
        <v>416</v>
      </c>
      <c r="CC6" s="63" t="s">
        <v>623</v>
      </c>
      <c r="CD6" s="63" t="s">
        <v>597</v>
      </c>
      <c r="CE6" s="63">
        <v>466</v>
      </c>
      <c r="CF6" s="63">
        <f>VLOOKUP(CE6,REF_TABLE!$G$7:$H$32,2)</f>
        <v>500</v>
      </c>
      <c r="CG6" s="63">
        <v>232</v>
      </c>
      <c r="CH6" s="63">
        <f>ABS(RESULT_ITTE!DD176)</f>
        <v>5.5659685744731499E-2</v>
      </c>
      <c r="CI6" s="63">
        <f t="shared" ref="CI6:CI45" si="16">CE6/1000</f>
        <v>0.46600000000000003</v>
      </c>
      <c r="CJ6" s="63">
        <f t="shared" ref="CJ6:CJ45" si="17">CH6/(PI()*CI6^2)/4</f>
        <v>2.0396659814178562E-2</v>
      </c>
      <c r="CK6" s="63">
        <f>ABS(RESULT_ITTE!CZ176)</f>
        <v>0.34477734290761108</v>
      </c>
      <c r="CL6" s="63">
        <f>CK6+CL5</f>
        <v>0.65834639184513666</v>
      </c>
      <c r="CM6" s="63">
        <f>INDEX('Junctions — junctions'!$F$2:$F$197,MATCH(CD6,'Junctions — junctions'!$B$2:$B$197,0))</f>
        <v>17</v>
      </c>
      <c r="CN6" s="63">
        <v>10</v>
      </c>
      <c r="CO6" s="63">
        <f t="shared" ref="CO6:CO45" si="18">CN6+CM6+CL6</f>
        <v>27.658346391845136</v>
      </c>
      <c r="CP6" s="63">
        <f t="shared" ref="CP6:CP45" si="19">$CO$46-CM6-CL6</f>
        <v>18.808733313812375</v>
      </c>
      <c r="CV6" s="63" t="s">
        <v>400</v>
      </c>
      <c r="CW6" s="63" t="s">
        <v>583</v>
      </c>
      <c r="CX6" s="63" t="s">
        <v>584</v>
      </c>
      <c r="CY6" s="63">
        <v>466</v>
      </c>
      <c r="CZ6" s="63">
        <f>VLOOKUP(CY6,REF_TABLE!$G$7:$H$32,2)</f>
        <v>500</v>
      </c>
      <c r="DA6" s="63">
        <v>181</v>
      </c>
      <c r="DB6" s="63">
        <f>ABS(RESULT_ITTE!EB176)</f>
        <v>0.11250103723254895</v>
      </c>
      <c r="DC6" s="63">
        <f t="shared" ref="DC6:DC52" si="20">CY6/1000</f>
        <v>0.46600000000000003</v>
      </c>
      <c r="DD6" s="63">
        <f t="shared" ref="DD6:DD52" si="21">DB6/(PI()*DC6^2)/4</f>
        <v>4.1226344606010254E-2</v>
      </c>
      <c r="DE6" s="63">
        <f>ABS(RESULT_ITTE!DX176)</f>
        <v>0.26898577183740346</v>
      </c>
      <c r="DF6" s="63">
        <f>DE6+DF5</f>
        <v>0.40719393084778199</v>
      </c>
      <c r="DG6" s="63">
        <f>INDEX('Junctions — junctions'!$F$2:$F$197,MATCH(CX6,'Junctions — junctions'!$B$2:$B$197,0))</f>
        <v>16</v>
      </c>
      <c r="DH6" s="63">
        <v>10</v>
      </c>
      <c r="DI6" s="63">
        <f t="shared" ref="DI6:DI52" si="22">DH6+DG6+DF6</f>
        <v>26.407193930847782</v>
      </c>
      <c r="DJ6" s="63">
        <f t="shared" ref="DJ6:DJ52" si="23">$DI$53-DG6-DF6</f>
        <v>18.444145283300543</v>
      </c>
      <c r="DP6" s="63" t="s">
        <v>406</v>
      </c>
      <c r="DQ6" s="63" t="s">
        <v>581</v>
      </c>
      <c r="DR6" s="63" t="s">
        <v>582</v>
      </c>
      <c r="DS6" s="63">
        <v>700</v>
      </c>
      <c r="DT6" s="63">
        <f>VLOOKUP(DS6,REF_TABLE!$G$7:$H$32,2)</f>
        <v>800</v>
      </c>
      <c r="DU6" s="63">
        <v>117</v>
      </c>
      <c r="DV6" s="63">
        <v>0.32499284472378759</v>
      </c>
      <c r="DW6" s="63">
        <f t="shared" ref="DW6:DW37" si="24">DS6/1000</f>
        <v>0.7</v>
      </c>
      <c r="DX6" s="63">
        <f t="shared" ref="DX6:DX37" si="25">DV6/(PI()*DW6^2)/4</f>
        <v>5.2779813987028162E-2</v>
      </c>
      <c r="DY6" s="63">
        <f>ABS(RESULT_ITTE!EW176)</f>
        <v>0.33091619873046879</v>
      </c>
      <c r="DZ6" s="63">
        <f>DZ5+DY6</f>
        <v>0.66303625488281259</v>
      </c>
      <c r="EA6" s="63">
        <f>INDEX('Junctions — junctions'!$F$2:$F$197,MATCH(DR6,'Junctions — junctions'!$B$2:$B$197,0))</f>
        <v>16</v>
      </c>
      <c r="EB6" s="63">
        <v>10</v>
      </c>
      <c r="EC6" s="63">
        <f t="shared" ref="EC6:EC37" si="26">EB6+EA6+DZ6</f>
        <v>26.663036254882812</v>
      </c>
      <c r="ED6" s="63">
        <f t="shared" ref="ED6:ED37" si="27">$EC$38-EA6-DZ6</f>
        <v>17.876006517648698</v>
      </c>
      <c r="EH6" s="63" t="s">
        <v>199</v>
      </c>
      <c r="EI6" s="63" t="s">
        <v>665</v>
      </c>
      <c r="EJ6" s="63" t="s">
        <v>666</v>
      </c>
      <c r="EK6" s="63">
        <v>350</v>
      </c>
      <c r="EL6" s="63">
        <v>350</v>
      </c>
      <c r="EM6" s="63">
        <v>73</v>
      </c>
      <c r="EN6" s="63">
        <v>1.3589568371156142E-2</v>
      </c>
      <c r="EO6" s="63">
        <v>0.35</v>
      </c>
      <c r="EP6" s="63">
        <v>8.8279468602235796E-3</v>
      </c>
      <c r="EQ6" s="63">
        <v>9.4940371718878883E-2</v>
      </c>
      <c r="ER6" s="63">
        <v>0.50352797014685746</v>
      </c>
      <c r="ES6" s="63">
        <v>8</v>
      </c>
      <c r="ET6" s="63">
        <v>10</v>
      </c>
      <c r="EU6" s="63">
        <v>18.503527970146859</v>
      </c>
      <c r="EV6" s="63">
        <v>31.702968042147642</v>
      </c>
    </row>
    <row r="7" spans="2:152" x14ac:dyDescent="0.25">
      <c r="B7" s="63" t="s">
        <v>199</v>
      </c>
      <c r="C7" s="63" t="s">
        <v>665</v>
      </c>
      <c r="D7" s="63" t="s">
        <v>666</v>
      </c>
      <c r="E7" s="63">
        <v>350</v>
      </c>
      <c r="F7" s="63">
        <f>VLOOKUP(E7,REF_TABLE!$G$7:$H$32,2)</f>
        <v>350</v>
      </c>
      <c r="G7" s="63">
        <v>73</v>
      </c>
      <c r="H7" s="63">
        <f>ABS(RESULT_ITTE!Q177)</f>
        <v>1.3589568371156142E-2</v>
      </c>
      <c r="I7" s="63">
        <f t="shared" si="0"/>
        <v>0.35</v>
      </c>
      <c r="J7" s="63">
        <f t="shared" si="1"/>
        <v>8.8279468602235796E-3</v>
      </c>
      <c r="K7" s="66">
        <f>ABS(RESULT_ITTE!M177)</f>
        <v>9.4940371718878883E-2</v>
      </c>
      <c r="L7" s="66">
        <f t="shared" ref="L7:L70" si="28">L6+K7</f>
        <v>0.50352797014685746</v>
      </c>
      <c r="M7" s="63">
        <f>INDEX('Junctions — junctions'!$F$2:$F$197,MATCH(D7,'Junctions — junctions'!$B$2:$B$197,0))</f>
        <v>8</v>
      </c>
      <c r="N7" s="63">
        <v>10</v>
      </c>
      <c r="O7" s="63">
        <f t="shared" si="2"/>
        <v>18.503527970146859</v>
      </c>
      <c r="P7" s="63">
        <f t="shared" si="3"/>
        <v>31.702968042147642</v>
      </c>
      <c r="T7" s="63" t="s">
        <v>200</v>
      </c>
      <c r="U7" s="63" t="s">
        <v>663</v>
      </c>
      <c r="V7" s="63" t="s">
        <v>662</v>
      </c>
      <c r="W7" s="63">
        <v>350</v>
      </c>
      <c r="X7" s="63">
        <f>VLOOKUP(W7,REF_TABLE!$G$7:$H$32,2)</f>
        <v>350</v>
      </c>
      <c r="Y7" s="63">
        <v>152</v>
      </c>
      <c r="Z7" s="63">
        <f>ABS(RESULT_ITTE!AO177)</f>
        <v>4.865934652743583E-2</v>
      </c>
      <c r="AA7" s="63">
        <f t="shared" si="4"/>
        <v>0.35</v>
      </c>
      <c r="AB7" s="63">
        <f t="shared" si="5"/>
        <v>3.1609696030460675E-2</v>
      </c>
      <c r="AC7" s="69">
        <f>ABS(RESULT_ITTE!AK177)</f>
        <v>0.29669138684853463</v>
      </c>
      <c r="AD7" s="69">
        <f t="shared" ref="AD7:AD70" si="29">AD6+AC7</f>
        <v>0.58809625590231573</v>
      </c>
      <c r="AE7" s="63">
        <f>INDEX('Junctions — junctions'!$F$2:$F$197,MATCH(V7,'Junctions — junctions'!$B$2:$B$197,0))</f>
        <v>13</v>
      </c>
      <c r="AF7" s="69">
        <v>10</v>
      </c>
      <c r="AG7" s="63">
        <f t="shared" si="6"/>
        <v>23.588096255902315</v>
      </c>
      <c r="AH7" s="63">
        <f t="shared" si="7"/>
        <v>71.284535951807129</v>
      </c>
      <c r="AM7" s="63" t="s">
        <v>181</v>
      </c>
      <c r="AN7" s="63" t="s">
        <v>652</v>
      </c>
      <c r="AO7" s="63" t="s">
        <v>653</v>
      </c>
      <c r="AP7" s="63">
        <v>250</v>
      </c>
      <c r="AQ7" s="63">
        <f>VLOOKUP(AP7,REF_TABLE!$G$7:$H$32,2)</f>
        <v>250</v>
      </c>
      <c r="AR7" s="63">
        <v>72</v>
      </c>
      <c r="AS7" s="63">
        <f>ABS(RESULT_ITTE!BK177)</f>
        <v>5.8128399703610577E-2</v>
      </c>
      <c r="AT7" s="63">
        <f t="shared" si="8"/>
        <v>0.25</v>
      </c>
      <c r="AU7" s="63">
        <f t="shared" si="9"/>
        <v>7.4011377174808698E-2</v>
      </c>
      <c r="AV7" s="63">
        <f>ABS(RESULT_ITTE!BG177)</f>
        <v>0.10982000037454172</v>
      </c>
      <c r="AW7" s="63">
        <f t="shared" ref="AW7:AW41" si="30">AW6+AV7</f>
        <v>0.23793610810909382</v>
      </c>
      <c r="AX7" s="63">
        <f>INDEX('Junctions — junctions'!$F$2:$F$197,MATCH(AO7,'Junctions — junctions'!$B$2:$B$197,0))</f>
        <v>11</v>
      </c>
      <c r="AY7" s="63">
        <v>10</v>
      </c>
      <c r="AZ7" s="63">
        <f t="shared" si="10"/>
        <v>21.237936108109093</v>
      </c>
      <c r="BA7" s="63">
        <f t="shared" si="11"/>
        <v>18.518181915963012</v>
      </c>
      <c r="BG7" s="63" t="s">
        <v>159</v>
      </c>
      <c r="BH7" s="63" t="s">
        <v>633</v>
      </c>
      <c r="BI7" s="63" t="s">
        <v>632</v>
      </c>
      <c r="BJ7" s="63">
        <v>250</v>
      </c>
      <c r="BK7" s="63">
        <f>VLOOKUP(BJ7,REF_TABLE!$G$7:$H$32,2)</f>
        <v>250</v>
      </c>
      <c r="BL7" s="63">
        <v>94</v>
      </c>
      <c r="BM7" s="63">
        <f>ABS(RESULT_ITTE!CH177)</f>
        <v>2.5814466937594732E-2</v>
      </c>
      <c r="BN7" s="63">
        <f t="shared" si="12"/>
        <v>0.25</v>
      </c>
      <c r="BO7" s="63">
        <f t="shared" si="13"/>
        <v>3.2868000131204028E-2</v>
      </c>
      <c r="BP7" s="63">
        <f>ABS(RESULT_ITTE!CD177)</f>
        <v>0.14337611160009611</v>
      </c>
      <c r="BQ7" s="63">
        <f t="shared" ref="BQ7:BQ56" si="31">BQ6+BP7</f>
        <v>0.66761471890311075</v>
      </c>
      <c r="BR7" s="63">
        <f>INDEX('Junctions — junctions'!$F$2:$F$197,MATCH(BI7,'Junctions — junctions'!$B$2:$B$197,0))</f>
        <v>10</v>
      </c>
      <c r="BS7" s="63">
        <v>10</v>
      </c>
      <c r="BT7" s="63">
        <f t="shared" si="14"/>
        <v>20.66761471890311</v>
      </c>
      <c r="BU7" s="63">
        <f t="shared" si="15"/>
        <v>23.074687964000418</v>
      </c>
      <c r="CB7" s="63" t="s">
        <v>138</v>
      </c>
      <c r="CC7" s="63" t="s">
        <v>612</v>
      </c>
      <c r="CD7" s="63" t="s">
        <v>611</v>
      </c>
      <c r="CE7" s="63">
        <v>350</v>
      </c>
      <c r="CF7" s="63">
        <f>VLOOKUP(CE7,REF_TABLE!$G$7:$H$32,2)</f>
        <v>350</v>
      </c>
      <c r="CG7" s="63">
        <v>129</v>
      </c>
      <c r="CH7" s="63">
        <f>ABS(RESULT_ITTE!DD177)</f>
        <v>0.11428186390622889</v>
      </c>
      <c r="CI7" s="63">
        <f t="shared" si="16"/>
        <v>0.35</v>
      </c>
      <c r="CJ7" s="63">
        <f t="shared" si="17"/>
        <v>7.4238871618088134E-2</v>
      </c>
      <c r="CK7" s="63">
        <f>ABS(RESULT_ITTE!CZ177)</f>
        <v>0.21413381180980889</v>
      </c>
      <c r="CL7" s="63">
        <f t="shared" ref="CL7:CL45" si="32">CK7+CL6</f>
        <v>0.8724802036549455</v>
      </c>
      <c r="CM7" s="63">
        <f>INDEX('Junctions — junctions'!$F$2:$F$197,MATCH(CD7,'Junctions — junctions'!$B$2:$B$197,0))</f>
        <v>15</v>
      </c>
      <c r="CN7" s="63">
        <v>10</v>
      </c>
      <c r="CO7" s="63">
        <f t="shared" si="18"/>
        <v>25.872480203654945</v>
      </c>
      <c r="CP7" s="63">
        <f t="shared" si="19"/>
        <v>20.594599502002566</v>
      </c>
      <c r="CV7" s="63" t="s">
        <v>401</v>
      </c>
      <c r="CW7" s="63" t="s">
        <v>584</v>
      </c>
      <c r="CX7" s="63" t="s">
        <v>585</v>
      </c>
      <c r="CY7" s="63">
        <v>466</v>
      </c>
      <c r="CZ7" s="63">
        <f>VLOOKUP(CY7,REF_TABLE!$G$7:$H$32,2)</f>
        <v>500</v>
      </c>
      <c r="DA7" s="63">
        <v>133</v>
      </c>
      <c r="DB7" s="63">
        <f>ABS(RESULT_ITTE!EB177)</f>
        <v>0.11074163199615725</v>
      </c>
      <c r="DC7" s="63">
        <f t="shared" si="20"/>
        <v>0.46600000000000003</v>
      </c>
      <c r="DD7" s="63">
        <f t="shared" si="21"/>
        <v>4.0581605247499541E-2</v>
      </c>
      <c r="DE7" s="63">
        <f>ABS(RESULT_ITTE!DX177)</f>
        <v>0.19765252847720807</v>
      </c>
      <c r="DF7" s="63">
        <f t="shared" ref="DF7:DF52" si="33">DE7+DF6</f>
        <v>0.60484645932499004</v>
      </c>
      <c r="DG7" s="63">
        <f>INDEX('Junctions — junctions'!$F$2:$F$197,MATCH(CX7,'Junctions — junctions'!$B$2:$B$197,0))</f>
        <v>19</v>
      </c>
      <c r="DH7" s="63">
        <v>10</v>
      </c>
      <c r="DI7" s="63">
        <f t="shared" si="22"/>
        <v>29.604846459324989</v>
      </c>
      <c r="DJ7" s="63">
        <f t="shared" si="23"/>
        <v>15.246492754823334</v>
      </c>
      <c r="DP7" s="63" t="s">
        <v>407</v>
      </c>
      <c r="DQ7" s="63" t="s">
        <v>582</v>
      </c>
      <c r="DR7" s="63" t="s">
        <v>583</v>
      </c>
      <c r="DS7" s="63">
        <v>700</v>
      </c>
      <c r="DT7" s="63">
        <f>VLOOKUP(DS7,REF_TABLE!$G$7:$H$32,2)</f>
        <v>800</v>
      </c>
      <c r="DU7" s="63">
        <v>167</v>
      </c>
      <c r="DV7" s="63">
        <v>0.31882539428588624</v>
      </c>
      <c r="DW7" s="63">
        <f t="shared" si="24"/>
        <v>0.7</v>
      </c>
      <c r="DX7" s="63">
        <f t="shared" si="25"/>
        <v>5.1778201514103395E-2</v>
      </c>
      <c r="DY7" s="63">
        <f>ABS(RESULT_ITTE!EW177)</f>
        <v>0.32929580688476562</v>
      </c>
      <c r="DZ7" s="63">
        <f>DZ6+DY7</f>
        <v>0.99233206176757816</v>
      </c>
      <c r="EA7" s="63">
        <f>INDEX('Junctions — junctions'!$F$2:$F$197,MATCH(DR7,'Junctions — junctions'!$B$2:$B$197,0))</f>
        <v>13</v>
      </c>
      <c r="EB7" s="63">
        <v>10</v>
      </c>
      <c r="EC7" s="63">
        <f t="shared" si="26"/>
        <v>23.992332061767577</v>
      </c>
      <c r="ED7" s="63">
        <f t="shared" si="27"/>
        <v>20.546710710763932</v>
      </c>
      <c r="EH7" s="63" t="s">
        <v>198</v>
      </c>
      <c r="EI7" s="63" t="s">
        <v>666</v>
      </c>
      <c r="EJ7" s="63" t="s">
        <v>667</v>
      </c>
      <c r="EK7" s="63">
        <v>350</v>
      </c>
      <c r="EL7" s="63">
        <v>350</v>
      </c>
      <c r="EM7" s="63">
        <v>77</v>
      </c>
      <c r="EN7" s="63">
        <v>1.2254391611317524E-2</v>
      </c>
      <c r="EO7" s="63">
        <v>0.35</v>
      </c>
      <c r="EP7" s="63">
        <v>7.960599998061391E-3</v>
      </c>
      <c r="EQ7" s="63">
        <v>0.11054158283193545</v>
      </c>
      <c r="ER7" s="63">
        <v>0.61406955297879295</v>
      </c>
      <c r="ES7" s="63">
        <v>14</v>
      </c>
      <c r="ET7" s="63">
        <v>10</v>
      </c>
      <c r="EU7" s="63">
        <v>24.614069552978794</v>
      </c>
      <c r="EV7" s="63">
        <v>25.592426459315707</v>
      </c>
    </row>
    <row r="8" spans="2:152" x14ac:dyDescent="0.25">
      <c r="B8" s="63" t="s">
        <v>198</v>
      </c>
      <c r="C8" s="63" t="s">
        <v>666</v>
      </c>
      <c r="D8" s="63" t="s">
        <v>667</v>
      </c>
      <c r="E8" s="63">
        <v>350</v>
      </c>
      <c r="F8" s="63">
        <f>VLOOKUP(E8,REF_TABLE!$G$7:$H$32,2)</f>
        <v>350</v>
      </c>
      <c r="G8" s="63">
        <v>77</v>
      </c>
      <c r="H8" s="63">
        <f>ABS(RESULT_ITTE!Q178)</f>
        <v>1.2254391611317524E-2</v>
      </c>
      <c r="I8" s="63">
        <f t="shared" si="0"/>
        <v>0.35</v>
      </c>
      <c r="J8" s="63">
        <f t="shared" si="1"/>
        <v>7.960599998061391E-3</v>
      </c>
      <c r="K8" s="66">
        <f>ABS(RESULT_ITTE!M178)</f>
        <v>0.11054158283193545</v>
      </c>
      <c r="L8" s="66">
        <f t="shared" si="28"/>
        <v>0.61406955297879295</v>
      </c>
      <c r="M8" s="63">
        <f>INDEX('Junctions — junctions'!$F$2:$F$197,MATCH(D8,'Junctions — junctions'!$B$2:$B$197,0))</f>
        <v>14</v>
      </c>
      <c r="N8" s="63">
        <v>10</v>
      </c>
      <c r="O8" s="63">
        <f t="shared" si="2"/>
        <v>24.614069552978794</v>
      </c>
      <c r="P8" s="63">
        <f t="shared" si="3"/>
        <v>25.592426459315707</v>
      </c>
      <c r="T8" s="63" t="s">
        <v>202</v>
      </c>
      <c r="U8" s="63" t="s">
        <v>664</v>
      </c>
      <c r="V8" s="63" t="s">
        <v>663</v>
      </c>
      <c r="W8" s="63">
        <v>350</v>
      </c>
      <c r="X8" s="63">
        <f>VLOOKUP(W8,REF_TABLE!$G$7:$H$32,2)</f>
        <v>350</v>
      </c>
      <c r="Y8" s="63">
        <v>75</v>
      </c>
      <c r="Z8" s="63">
        <f>ABS(RESULT_ITTE!AO178)</f>
        <v>4.5250482127863388E-2</v>
      </c>
      <c r="AA8" s="63">
        <f t="shared" si="4"/>
        <v>0.35</v>
      </c>
      <c r="AB8" s="63">
        <f t="shared" si="5"/>
        <v>2.9395256767105821E-2</v>
      </c>
      <c r="AC8" s="69">
        <f>ABS(RESULT_ITTE!AK178)</f>
        <v>0.14639377640552698</v>
      </c>
      <c r="AD8" s="69">
        <f t="shared" si="29"/>
        <v>0.73449003230784271</v>
      </c>
      <c r="AE8" s="63">
        <f>INDEX('Junctions — junctions'!$F$2:$F$197,MATCH(V8,'Junctions — junctions'!$B$2:$B$197,0))</f>
        <v>13</v>
      </c>
      <c r="AF8" s="69">
        <v>10</v>
      </c>
      <c r="AG8" s="63">
        <f t="shared" si="6"/>
        <v>23.734490032307843</v>
      </c>
      <c r="AH8" s="63">
        <f t="shared" si="7"/>
        <v>71.138142175401597</v>
      </c>
      <c r="AM8" s="63" t="s">
        <v>179</v>
      </c>
      <c r="AN8" s="63" t="s">
        <v>653</v>
      </c>
      <c r="AO8" s="63" t="s">
        <v>654</v>
      </c>
      <c r="AP8" s="63">
        <v>250</v>
      </c>
      <c r="AQ8" s="63">
        <f>VLOOKUP(AP8,REF_TABLE!$G$7:$H$32,2)</f>
        <v>250</v>
      </c>
      <c r="AR8" s="63">
        <v>73</v>
      </c>
      <c r="AS8" s="63">
        <f>ABS(RESULT_ITTE!BK178)</f>
        <v>5.6346826009918811E-2</v>
      </c>
      <c r="AT8" s="63">
        <f t="shared" si="8"/>
        <v>0.25</v>
      </c>
      <c r="AU8" s="63">
        <f t="shared" si="9"/>
        <v>7.1743007096140454E-2</v>
      </c>
      <c r="AV8" s="63">
        <f>ABS(RESULT_ITTE!BG178)</f>
        <v>0.11134527815752146</v>
      </c>
      <c r="AW8" s="63">
        <f t="shared" si="30"/>
        <v>0.34928138626661531</v>
      </c>
      <c r="AX8" s="63">
        <f>INDEX('Junctions — junctions'!$F$2:$F$197,MATCH(AO8,'Junctions — junctions'!$B$2:$B$197,0))</f>
        <v>8</v>
      </c>
      <c r="AY8" s="63">
        <v>10</v>
      </c>
      <c r="AZ8" s="63">
        <f t="shared" si="10"/>
        <v>18.349281386266615</v>
      </c>
      <c r="BA8" s="63">
        <f t="shared" si="11"/>
        <v>21.40683663780549</v>
      </c>
      <c r="BG8" s="63" t="s">
        <v>158</v>
      </c>
      <c r="BH8" s="63" t="s">
        <v>634</v>
      </c>
      <c r="BI8" s="63" t="s">
        <v>633</v>
      </c>
      <c r="BJ8" s="63">
        <v>250</v>
      </c>
      <c r="BK8" s="63">
        <f>VLOOKUP(BJ8,REF_TABLE!$G$7:$H$32,2)</f>
        <v>250</v>
      </c>
      <c r="BL8" s="63">
        <v>191</v>
      </c>
      <c r="BM8" s="63">
        <f>ABS(RESULT_ITTE!CH178)</f>
        <v>2.3921677366659139E-2</v>
      </c>
      <c r="BN8" s="63">
        <f t="shared" si="12"/>
        <v>0.25</v>
      </c>
      <c r="BO8" s="63">
        <f t="shared" si="13"/>
        <v>3.0458025599626529E-2</v>
      </c>
      <c r="BP8" s="63">
        <f>ABS(RESULT_ITTE!CD178)</f>
        <v>0.29132805654913152</v>
      </c>
      <c r="BQ8" s="63">
        <f t="shared" si="31"/>
        <v>0.95894277545224227</v>
      </c>
      <c r="BR8" s="63">
        <f>INDEX('Junctions — junctions'!$F$2:$F$197,MATCH(BI8,'Junctions — junctions'!$B$2:$B$197,0))</f>
        <v>15</v>
      </c>
      <c r="BS8" s="63">
        <v>10</v>
      </c>
      <c r="BT8" s="63">
        <f t="shared" si="14"/>
        <v>25.958942775452243</v>
      </c>
      <c r="BU8" s="63">
        <f t="shared" si="15"/>
        <v>17.783359907451285</v>
      </c>
      <c r="CB8" s="63" t="s">
        <v>137</v>
      </c>
      <c r="CC8" s="63" t="s">
        <v>613</v>
      </c>
      <c r="CD8" s="63" t="s">
        <v>612</v>
      </c>
      <c r="CE8" s="63">
        <v>350</v>
      </c>
      <c r="CF8" s="63">
        <f>VLOOKUP(CE8,REF_TABLE!$G$7:$H$32,2)</f>
        <v>350</v>
      </c>
      <c r="CG8" s="63">
        <v>157</v>
      </c>
      <c r="CH8" s="63">
        <f>ABS(RESULT_ITTE!DD178)</f>
        <v>0.11223274732166122</v>
      </c>
      <c r="CI8" s="63">
        <f t="shared" si="16"/>
        <v>0.35</v>
      </c>
      <c r="CJ8" s="63">
        <f t="shared" si="17"/>
        <v>7.2907740869494142E-2</v>
      </c>
      <c r="CK8" s="63">
        <f>ABS(RESULT_ITTE!CZ178)</f>
        <v>0.26061246863674414</v>
      </c>
      <c r="CL8" s="63">
        <f t="shared" si="32"/>
        <v>1.1330926722916896</v>
      </c>
      <c r="CM8" s="63">
        <f>INDEX('Junctions — junctions'!$F$2:$F$197,MATCH(CD8,'Junctions — junctions'!$B$2:$B$197,0))</f>
        <v>18</v>
      </c>
      <c r="CN8" s="63">
        <v>10</v>
      </c>
      <c r="CO8" s="63">
        <f t="shared" si="18"/>
        <v>29.133092672291689</v>
      </c>
      <c r="CP8" s="63">
        <f t="shared" si="19"/>
        <v>17.333987033365823</v>
      </c>
      <c r="CV8" s="63" t="s">
        <v>403</v>
      </c>
      <c r="CW8" s="63" t="s">
        <v>585</v>
      </c>
      <c r="CX8" s="63" t="s">
        <v>586</v>
      </c>
      <c r="CY8" s="63">
        <v>466</v>
      </c>
      <c r="CZ8" s="63">
        <f>VLOOKUP(CY8,REF_TABLE!$G$7:$H$32,2)</f>
        <v>500</v>
      </c>
      <c r="DA8" s="63">
        <v>75</v>
      </c>
      <c r="DB8" s="63">
        <f>ABS(RESULT_ITTE!EB178)</f>
        <v>0.10929918444651684</v>
      </c>
      <c r="DC8" s="63">
        <f t="shared" si="20"/>
        <v>0.46600000000000003</v>
      </c>
      <c r="DD8" s="63">
        <f t="shared" si="21"/>
        <v>4.0053015989832103E-2</v>
      </c>
      <c r="DE8" s="63">
        <f>ABS(RESULT_ITTE!DX178)</f>
        <v>0.11145819275030529</v>
      </c>
      <c r="DF8" s="63">
        <f t="shared" si="33"/>
        <v>0.71630465207529537</v>
      </c>
      <c r="DG8" s="63">
        <f>INDEX('Junctions — junctions'!$F$2:$F$197,MATCH(CX8,'Junctions — junctions'!$B$2:$B$197,0))</f>
        <v>18</v>
      </c>
      <c r="DH8" s="63">
        <v>10</v>
      </c>
      <c r="DI8" s="63">
        <f t="shared" si="22"/>
        <v>28.716304652075294</v>
      </c>
      <c r="DJ8" s="63">
        <f t="shared" si="23"/>
        <v>16.135034562073031</v>
      </c>
      <c r="DP8" s="63" t="s">
        <v>399</v>
      </c>
      <c r="DQ8" s="63" t="s">
        <v>598</v>
      </c>
      <c r="DR8" s="63" t="s">
        <v>583</v>
      </c>
      <c r="DS8" s="63">
        <v>466</v>
      </c>
      <c r="DT8" s="63">
        <f>VLOOKUP(DS8,REF_TABLE!$G$7:$H$32,2)</f>
        <v>500</v>
      </c>
      <c r="DU8" s="63">
        <v>93</v>
      </c>
      <c r="DV8" s="63">
        <v>0.19722380121522018</v>
      </c>
      <c r="DW8" s="63">
        <f t="shared" si="24"/>
        <v>0.46600000000000003</v>
      </c>
      <c r="DX8" s="63">
        <f t="shared" si="25"/>
        <v>7.2273257148721765E-2</v>
      </c>
      <c r="DY8" s="63">
        <f>ABS(RESULT_ITTE!EW178)</f>
        <v>0.20916310119628909</v>
      </c>
      <c r="DZ8" s="63">
        <f t="shared" ref="DZ8:DZ37" si="34">DZ7+DY8</f>
        <v>1.2014951629638673</v>
      </c>
      <c r="EA8" s="63">
        <f>INDEX('Junctions — junctions'!$F$2:$F$197,MATCH(DR8,'Junctions — junctions'!$B$2:$B$197,0))</f>
        <v>13</v>
      </c>
      <c r="EB8" s="63">
        <v>10</v>
      </c>
      <c r="EC8" s="63">
        <f t="shared" si="26"/>
        <v>24.201495162963866</v>
      </c>
      <c r="ED8" s="63">
        <f t="shared" si="27"/>
        <v>20.337547609567643</v>
      </c>
      <c r="EH8" s="63" t="s">
        <v>197</v>
      </c>
      <c r="EI8" s="63" t="s">
        <v>667</v>
      </c>
      <c r="EJ8" s="63" t="s">
        <v>668</v>
      </c>
      <c r="EK8" s="63">
        <v>565</v>
      </c>
      <c r="EL8" s="63">
        <v>600</v>
      </c>
      <c r="EM8" s="63">
        <v>250</v>
      </c>
      <c r="EN8" s="63">
        <v>1.0448243431330108E-2</v>
      </c>
      <c r="EO8" s="63">
        <v>0.56499999999999995</v>
      </c>
      <c r="EP8" s="63">
        <v>2.6045729324514267E-3</v>
      </c>
      <c r="EQ8" s="63">
        <v>0.30839440487044523</v>
      </c>
      <c r="ER8" s="63">
        <v>0.92246395784923818</v>
      </c>
      <c r="ES8" s="63">
        <v>13</v>
      </c>
      <c r="ET8" s="63">
        <v>10</v>
      </c>
      <c r="EU8" s="63">
        <v>23.922463957849239</v>
      </c>
      <c r="EV8" s="63">
        <v>26.284032054445262</v>
      </c>
    </row>
    <row r="9" spans="2:152" x14ac:dyDescent="0.25">
      <c r="B9" s="63" t="s">
        <v>197</v>
      </c>
      <c r="C9" s="63" t="s">
        <v>667</v>
      </c>
      <c r="D9" s="63" t="s">
        <v>668</v>
      </c>
      <c r="E9" s="63">
        <v>565</v>
      </c>
      <c r="F9" s="63">
        <f>VLOOKUP(E9,REF_TABLE!$G$7:$H$32,2)</f>
        <v>600</v>
      </c>
      <c r="G9" s="63">
        <v>250</v>
      </c>
      <c r="H9" s="63">
        <f>ABS(RESULT_ITTE!Q179)</f>
        <v>1.0448243431330108E-2</v>
      </c>
      <c r="I9" s="63">
        <f t="shared" si="0"/>
        <v>0.56499999999999995</v>
      </c>
      <c r="J9" s="63">
        <f t="shared" si="1"/>
        <v>2.6045729324514267E-3</v>
      </c>
      <c r="K9" s="66">
        <f>ABS(RESULT_ITTE!M179)</f>
        <v>0.30839440487044523</v>
      </c>
      <c r="L9" s="66">
        <f t="shared" si="28"/>
        <v>0.92246395784923818</v>
      </c>
      <c r="M9" s="63">
        <f>INDEX('Junctions — junctions'!$F$2:$F$197,MATCH(D9,'Junctions — junctions'!$B$2:$B$197,0))</f>
        <v>13</v>
      </c>
      <c r="N9" s="63">
        <v>10</v>
      </c>
      <c r="O9" s="63">
        <f t="shared" si="2"/>
        <v>23.922463957849239</v>
      </c>
      <c r="P9" s="63">
        <f t="shared" si="3"/>
        <v>26.284032054445262</v>
      </c>
      <c r="T9" s="63" t="s">
        <v>884</v>
      </c>
      <c r="U9" s="63" t="s">
        <v>745</v>
      </c>
      <c r="V9" s="63" t="s">
        <v>664</v>
      </c>
      <c r="W9" s="63">
        <v>200</v>
      </c>
      <c r="X9" s="63">
        <f>VLOOKUP(W9,REF_TABLE!$G$7:$H$32,2)</f>
        <v>200</v>
      </c>
      <c r="Y9" s="63">
        <v>96</v>
      </c>
      <c r="Z9" s="63">
        <f>ABS(RESULT_ITTE!AO179)</f>
        <v>2.6121357490103962E-2</v>
      </c>
      <c r="AA9" s="63">
        <f t="shared" si="4"/>
        <v>0.2</v>
      </c>
      <c r="AB9" s="63">
        <f t="shared" si="5"/>
        <v>5.1966789560256875E-2</v>
      </c>
      <c r="AC9" s="69">
        <f>ABS(RESULT_ITTE!AK179)</f>
        <v>0.34556416714209448</v>
      </c>
      <c r="AD9" s="69">
        <f t="shared" si="29"/>
        <v>1.0800541994499371</v>
      </c>
      <c r="AE9" s="63">
        <f>INDEX('Junctions — junctions'!$F$2:$F$197,MATCH(V9,'Junctions — junctions'!$B$2:$B$197,0))</f>
        <v>14</v>
      </c>
      <c r="AF9" s="69">
        <v>10</v>
      </c>
      <c r="AG9" s="63">
        <f t="shared" si="6"/>
        <v>25.080054199449936</v>
      </c>
      <c r="AH9" s="63">
        <f t="shared" si="7"/>
        <v>69.792578008259511</v>
      </c>
      <c r="AM9" s="63" t="s">
        <v>180</v>
      </c>
      <c r="AN9" s="63" t="s">
        <v>654</v>
      </c>
      <c r="AO9" s="63" t="s">
        <v>655</v>
      </c>
      <c r="AP9" s="63">
        <v>250</v>
      </c>
      <c r="AQ9" s="63">
        <f>VLOOKUP(AP9,REF_TABLE!$G$7:$H$32,2)</f>
        <v>250</v>
      </c>
      <c r="AR9" s="63">
        <v>74</v>
      </c>
      <c r="AS9" s="63">
        <f>ABS(RESULT_ITTE!BK179)</f>
        <v>5.5297319636705394E-2</v>
      </c>
      <c r="AT9" s="63">
        <f t="shared" si="8"/>
        <v>0.25</v>
      </c>
      <c r="AU9" s="63">
        <f t="shared" si="9"/>
        <v>7.0406734079313554E-2</v>
      </c>
      <c r="AV9" s="63">
        <f>ABS(RESULT_ITTE!BG179)</f>
        <v>0.1128705559405012</v>
      </c>
      <c r="AW9" s="63">
        <f t="shared" si="30"/>
        <v>0.46215194220711653</v>
      </c>
      <c r="AX9" s="63">
        <f>INDEX('Junctions — junctions'!$F$2:$F$197,MATCH(AO9,'Junctions — junctions'!$B$2:$B$197,0))</f>
        <v>13</v>
      </c>
      <c r="AY9" s="63">
        <v>10</v>
      </c>
      <c r="AZ9" s="63">
        <f t="shared" si="10"/>
        <v>23.462151942207118</v>
      </c>
      <c r="BA9" s="63">
        <f t="shared" si="11"/>
        <v>16.293966081864987</v>
      </c>
      <c r="BG9" s="63" t="s">
        <v>130</v>
      </c>
      <c r="BH9" s="63" t="s">
        <v>635</v>
      </c>
      <c r="BI9" s="63" t="s">
        <v>634</v>
      </c>
      <c r="BJ9" s="63">
        <v>250</v>
      </c>
      <c r="BK9" s="63">
        <f>VLOOKUP(BJ9,REF_TABLE!$G$7:$H$32,2)</f>
        <v>250</v>
      </c>
      <c r="BL9" s="63">
        <v>77</v>
      </c>
      <c r="BM9" s="63">
        <f>ABS(RESULT_ITTE!CH179)</f>
        <v>2.3091157934404437E-2</v>
      </c>
      <c r="BN9" s="63">
        <f t="shared" si="12"/>
        <v>0.25</v>
      </c>
      <c r="BO9" s="63">
        <f t="shared" si="13"/>
        <v>2.9400575415808847E-2</v>
      </c>
      <c r="BP9" s="63">
        <f>ABS(RESULT_ITTE!CD179)</f>
        <v>0.11744638928944044</v>
      </c>
      <c r="BQ9" s="63">
        <f t="shared" si="31"/>
        <v>1.0763891647416828</v>
      </c>
      <c r="BR9" s="63">
        <f>INDEX('Junctions — junctions'!$F$2:$F$197,MATCH(BI9,'Junctions — junctions'!$B$2:$B$197,0))</f>
        <v>15</v>
      </c>
      <c r="BS9" s="63">
        <v>10</v>
      </c>
      <c r="BT9" s="63">
        <f t="shared" si="14"/>
        <v>26.076389164741684</v>
      </c>
      <c r="BU9" s="63">
        <f t="shared" si="15"/>
        <v>17.665913518161844</v>
      </c>
      <c r="CB9" s="63" t="s">
        <v>136</v>
      </c>
      <c r="CC9" s="63" t="s">
        <v>614</v>
      </c>
      <c r="CD9" s="63" t="s">
        <v>613</v>
      </c>
      <c r="CE9" s="63">
        <v>350</v>
      </c>
      <c r="CF9" s="63">
        <f>VLOOKUP(CE9,REF_TABLE!$G$7:$H$32,2)</f>
        <v>350</v>
      </c>
      <c r="CG9" s="63">
        <v>82</v>
      </c>
      <c r="CH9" s="63">
        <f>ABS(RESULT_ITTE!DD179)</f>
        <v>0.11064153554303832</v>
      </c>
      <c r="CI9" s="63">
        <f t="shared" si="16"/>
        <v>0.35</v>
      </c>
      <c r="CJ9" s="63">
        <f t="shared" si="17"/>
        <v>7.1874070583478292E-2</v>
      </c>
      <c r="CK9" s="63">
        <f>ABS(RESULT_ITTE!CZ179)</f>
        <v>0.13611606642173896</v>
      </c>
      <c r="CL9" s="63">
        <f t="shared" si="32"/>
        <v>1.2692087387134285</v>
      </c>
      <c r="CM9" s="63">
        <f>INDEX('Junctions — junctions'!$F$2:$F$197,MATCH(CD9,'Junctions — junctions'!$B$2:$B$197,0))</f>
        <v>12</v>
      </c>
      <c r="CN9" s="63">
        <v>10</v>
      </c>
      <c r="CO9" s="63">
        <f t="shared" si="18"/>
        <v>23.269208738713427</v>
      </c>
      <c r="CP9" s="63">
        <f t="shared" si="19"/>
        <v>23.197870966944084</v>
      </c>
      <c r="CV9" s="63" t="s">
        <v>396</v>
      </c>
      <c r="CW9" s="63" t="s">
        <v>586</v>
      </c>
      <c r="CX9" s="63" t="s">
        <v>587</v>
      </c>
      <c r="CY9" s="63">
        <v>466</v>
      </c>
      <c r="CZ9" s="63">
        <f>VLOOKUP(CY9,REF_TABLE!$G$7:$H$32,2)</f>
        <v>500</v>
      </c>
      <c r="DA9" s="63">
        <v>94</v>
      </c>
      <c r="DB9" s="63">
        <f>ABS(RESULT_ITTE!EB179)</f>
        <v>0.10808934592303014</v>
      </c>
      <c r="DC9" s="63">
        <f t="shared" si="20"/>
        <v>0.46600000000000003</v>
      </c>
      <c r="DD9" s="63">
        <f t="shared" si="21"/>
        <v>3.9609667011779669E-2</v>
      </c>
      <c r="DE9" s="63">
        <f>ABS(RESULT_ITTE!DX179)</f>
        <v>0.13969426824704931</v>
      </c>
      <c r="DF9" s="63">
        <f t="shared" si="33"/>
        <v>0.8559989203223447</v>
      </c>
      <c r="DG9" s="63">
        <f>INDEX('Junctions — junctions'!$F$2:$F$197,MATCH(CX9,'Junctions — junctions'!$B$2:$B$197,0))</f>
        <v>16</v>
      </c>
      <c r="DH9" s="63">
        <v>10</v>
      </c>
      <c r="DI9" s="63">
        <f t="shared" si="22"/>
        <v>26.855998920322346</v>
      </c>
      <c r="DJ9" s="63">
        <f t="shared" si="23"/>
        <v>17.995340293825979</v>
      </c>
      <c r="DP9" s="63" t="s">
        <v>400</v>
      </c>
      <c r="DQ9" s="63" t="s">
        <v>583</v>
      </c>
      <c r="DR9" s="63" t="s">
        <v>584</v>
      </c>
      <c r="DS9" s="63">
        <v>466</v>
      </c>
      <c r="DT9" s="63">
        <f>VLOOKUP(DS9,REF_TABLE!$G$7:$H$32,2)</f>
        <v>500</v>
      </c>
      <c r="DU9" s="63">
        <v>181</v>
      </c>
      <c r="DV9" s="63">
        <v>0.10664416378096675</v>
      </c>
      <c r="DW9" s="63">
        <f t="shared" si="24"/>
        <v>0.46600000000000003</v>
      </c>
      <c r="DX9" s="63">
        <f t="shared" si="25"/>
        <v>3.9080075654466209E-2</v>
      </c>
      <c r="DY9" s="63">
        <f>ABS(RESULT_ITTE!EW179)</f>
        <v>0.11761656188964839</v>
      </c>
      <c r="DZ9" s="63">
        <f>DZ8+DY9</f>
        <v>1.3191117248535156</v>
      </c>
      <c r="EA9" s="63">
        <f>INDEX('Junctions — junctions'!$F$2:$F$197,MATCH(DR9,'Junctions — junctions'!$B$2:$B$197,0))</f>
        <v>16</v>
      </c>
      <c r="EB9" s="63">
        <v>10</v>
      </c>
      <c r="EC9" s="63">
        <f t="shared" si="26"/>
        <v>27.319111724853517</v>
      </c>
      <c r="ED9" s="63">
        <f t="shared" si="27"/>
        <v>17.219931047677992</v>
      </c>
      <c r="EH9" s="63" t="s">
        <v>196</v>
      </c>
      <c r="EI9" s="63" t="s">
        <v>668</v>
      </c>
      <c r="EJ9" s="63" t="s">
        <v>669</v>
      </c>
      <c r="EK9" s="63">
        <v>300</v>
      </c>
      <c r="EL9" s="63">
        <v>300</v>
      </c>
      <c r="EM9" s="63">
        <v>63</v>
      </c>
      <c r="EN9" s="63">
        <v>8.1802321178428786E-3</v>
      </c>
      <c r="EO9" s="63">
        <v>0.3</v>
      </c>
      <c r="EP9" s="63">
        <v>7.2329132066320991E-3</v>
      </c>
      <c r="EQ9" s="63">
        <v>0.132151224021303</v>
      </c>
      <c r="ER9" s="63">
        <v>1.0546151818705412</v>
      </c>
      <c r="ES9" s="63">
        <v>16</v>
      </c>
      <c r="ET9" s="63">
        <v>10</v>
      </c>
      <c r="EU9" s="63">
        <v>27.054615181870542</v>
      </c>
      <c r="EV9" s="63">
        <v>23.151880830423959</v>
      </c>
    </row>
    <row r="10" spans="2:152" x14ac:dyDescent="0.25">
      <c r="B10" s="63" t="s">
        <v>196</v>
      </c>
      <c r="C10" s="63" t="s">
        <v>668</v>
      </c>
      <c r="D10" s="63" t="s">
        <v>669</v>
      </c>
      <c r="E10" s="63">
        <v>300</v>
      </c>
      <c r="F10" s="63">
        <f>VLOOKUP(E10,REF_TABLE!$G$7:$H$32,2)</f>
        <v>300</v>
      </c>
      <c r="G10" s="63">
        <v>63</v>
      </c>
      <c r="H10" s="63">
        <f>ABS(RESULT_ITTE!Q180)</f>
        <v>8.1802321178428786E-3</v>
      </c>
      <c r="I10" s="63">
        <f t="shared" si="0"/>
        <v>0.3</v>
      </c>
      <c r="J10" s="63">
        <f t="shared" si="1"/>
        <v>7.2329132066320991E-3</v>
      </c>
      <c r="K10" s="66">
        <f>ABS(RESULT_ITTE!M180)</f>
        <v>0.132151224021303</v>
      </c>
      <c r="L10" s="66">
        <f t="shared" si="28"/>
        <v>1.0546151818705412</v>
      </c>
      <c r="M10" s="63">
        <f>INDEX('Junctions — junctions'!$F$2:$F$197,MATCH(D10,'Junctions — junctions'!$B$2:$B$197,0))</f>
        <v>16</v>
      </c>
      <c r="N10" s="63">
        <v>10</v>
      </c>
      <c r="O10" s="63">
        <f t="shared" si="2"/>
        <v>27.054615181870542</v>
      </c>
      <c r="P10" s="63">
        <f t="shared" si="3"/>
        <v>23.151880830423959</v>
      </c>
      <c r="T10" s="63" t="s">
        <v>436</v>
      </c>
      <c r="U10" s="63" t="s">
        <v>707</v>
      </c>
      <c r="V10" s="63" t="s">
        <v>716</v>
      </c>
      <c r="W10" s="63">
        <v>300</v>
      </c>
      <c r="X10" s="63">
        <f>VLOOKUP(W10,REF_TABLE!$G$7:$H$32,2)</f>
        <v>300</v>
      </c>
      <c r="Y10" s="63">
        <v>222</v>
      </c>
      <c r="Z10" s="63">
        <f>ABS(RESULT_ITTE!AO180)</f>
        <v>2.8766998571680552E-2</v>
      </c>
      <c r="AA10" s="63">
        <f t="shared" si="4"/>
        <v>0.3</v>
      </c>
      <c r="AB10" s="63">
        <f t="shared" si="5"/>
        <v>2.5435611225558069E-2</v>
      </c>
      <c r="AC10" s="69">
        <f>ABS(RESULT_ITTE!AK180)</f>
        <v>0.40029251835266977</v>
      </c>
      <c r="AD10" s="69">
        <f t="shared" si="29"/>
        <v>1.4803467178026068</v>
      </c>
      <c r="AE10" s="63">
        <f>INDEX('Junctions — junctions'!$F$2:$F$197,MATCH(V10,'Junctions — junctions'!$B$2:$B$197,0))</f>
        <v>5</v>
      </c>
      <c r="AF10" s="69">
        <v>10</v>
      </c>
      <c r="AG10" s="63">
        <f t="shared" si="6"/>
        <v>16.480346717802608</v>
      </c>
      <c r="AH10" s="63">
        <f t="shared" si="7"/>
        <v>78.39228548990684</v>
      </c>
      <c r="AM10" s="63" t="s">
        <v>178</v>
      </c>
      <c r="AN10" s="63" t="s">
        <v>655</v>
      </c>
      <c r="AO10" s="63" t="s">
        <v>656</v>
      </c>
      <c r="AP10" s="63">
        <v>250</v>
      </c>
      <c r="AQ10" s="63">
        <f>VLOOKUP(AP10,REF_TABLE!$G$7:$H$32,2)</f>
        <v>250</v>
      </c>
      <c r="AR10" s="63">
        <v>75</v>
      </c>
      <c r="AS10" s="63">
        <f>ABS(RESULT_ITTE!BK180)</f>
        <v>5.4715161251236662E-2</v>
      </c>
      <c r="AT10" s="63">
        <f t="shared" si="8"/>
        <v>0.25</v>
      </c>
      <c r="AU10" s="63">
        <f t="shared" si="9"/>
        <v>6.9665507001635582E-2</v>
      </c>
      <c r="AV10" s="63">
        <f>ABS(RESULT_ITTE!BG180)</f>
        <v>0.11439583372348096</v>
      </c>
      <c r="AW10" s="63">
        <f t="shared" si="30"/>
        <v>0.57654777593059747</v>
      </c>
      <c r="AX10" s="63">
        <f>INDEX('Junctions — junctions'!$F$2:$F$197,MATCH(AO10,'Junctions — junctions'!$B$2:$B$197,0))</f>
        <v>10</v>
      </c>
      <c r="AY10" s="63">
        <v>10</v>
      </c>
      <c r="AZ10" s="63">
        <f t="shared" si="10"/>
        <v>20.576547775930596</v>
      </c>
      <c r="BA10" s="63">
        <f t="shared" si="11"/>
        <v>19.179570248141509</v>
      </c>
      <c r="BG10" s="63" t="s">
        <v>129</v>
      </c>
      <c r="BH10" s="63" t="s">
        <v>636</v>
      </c>
      <c r="BI10" s="63" t="s">
        <v>635</v>
      </c>
      <c r="BJ10" s="63">
        <v>250</v>
      </c>
      <c r="BK10" s="63">
        <f>VLOOKUP(BJ10,REF_TABLE!$G$7:$H$32,2)</f>
        <v>250</v>
      </c>
      <c r="BL10" s="63">
        <v>77</v>
      </c>
      <c r="BM10" s="63">
        <f>ABS(RESULT_ITTE!CH180)</f>
        <v>2.2554360061775646E-2</v>
      </c>
      <c r="BN10" s="63">
        <f t="shared" si="12"/>
        <v>0.25</v>
      </c>
      <c r="BO10" s="63">
        <f t="shared" si="13"/>
        <v>2.8717103136848162E-2</v>
      </c>
      <c r="BP10" s="63">
        <f>ABS(RESULT_ITTE!CD180)</f>
        <v>0.11744638928944044</v>
      </c>
      <c r="BQ10" s="63">
        <f t="shared" si="31"/>
        <v>1.1938355540311232</v>
      </c>
      <c r="BR10" s="63">
        <f>INDEX('Junctions — junctions'!$F$2:$F$197,MATCH(BI10,'Junctions — junctions'!$B$2:$B$197,0))</f>
        <v>12</v>
      </c>
      <c r="BS10" s="63">
        <v>10</v>
      </c>
      <c r="BT10" s="63">
        <f t="shared" si="14"/>
        <v>23.193835554031125</v>
      </c>
      <c r="BU10" s="63">
        <f t="shared" si="15"/>
        <v>20.548467128872403</v>
      </c>
      <c r="CB10" s="63" t="s">
        <v>134</v>
      </c>
      <c r="CC10" s="63" t="s">
        <v>615</v>
      </c>
      <c r="CD10" s="63" t="s">
        <v>614</v>
      </c>
      <c r="CE10" s="63">
        <v>350</v>
      </c>
      <c r="CF10" s="63">
        <f>VLOOKUP(CE10,REF_TABLE!$G$7:$H$32,2)</f>
        <v>350</v>
      </c>
      <c r="CG10" s="63">
        <v>69</v>
      </c>
      <c r="CH10" s="63">
        <f>ABS(RESULT_ITTE!DD180)</f>
        <v>0.10955382328317079</v>
      </c>
      <c r="CI10" s="63">
        <f t="shared" si="16"/>
        <v>0.35</v>
      </c>
      <c r="CJ10" s="63">
        <f t="shared" si="17"/>
        <v>7.1167479633194322E-2</v>
      </c>
      <c r="CK10" s="63">
        <f>ABS(RESULT_ITTE!CZ180)</f>
        <v>0.11453669003780474</v>
      </c>
      <c r="CL10" s="63">
        <f t="shared" si="32"/>
        <v>1.3837454287512332</v>
      </c>
      <c r="CM10" s="63">
        <f>INDEX('Junctions — junctions'!$F$2:$F$197,MATCH(CD10,'Junctions — junctions'!$B$2:$B$197,0))</f>
        <v>8</v>
      </c>
      <c r="CN10" s="63">
        <v>10</v>
      </c>
      <c r="CO10" s="63">
        <f t="shared" si="18"/>
        <v>19.383745428751233</v>
      </c>
      <c r="CP10" s="63">
        <f t="shared" si="19"/>
        <v>27.083334276906278</v>
      </c>
      <c r="CV10" s="63" t="s">
        <v>409</v>
      </c>
      <c r="CW10" s="63" t="s">
        <v>587</v>
      </c>
      <c r="CX10" s="63" t="s">
        <v>686</v>
      </c>
      <c r="CY10" s="63">
        <v>350</v>
      </c>
      <c r="CZ10" s="63">
        <f>VLOOKUP(CY10,REF_TABLE!$G$7:$H$32,2)</f>
        <v>350</v>
      </c>
      <c r="DA10" s="63">
        <v>322</v>
      </c>
      <c r="DB10" s="63">
        <f>ABS(RESULT_ITTE!EB180)</f>
        <v>7.3346043031527031E-2</v>
      </c>
      <c r="DC10" s="63">
        <f t="shared" si="20"/>
        <v>0.35</v>
      </c>
      <c r="DD10" s="63">
        <f t="shared" si="21"/>
        <v>4.7646470631422015E-2</v>
      </c>
      <c r="DE10" s="63">
        <f>ABS(RESULT_ITTE!DX180)</f>
        <v>0.53450455350975545</v>
      </c>
      <c r="DF10" s="63">
        <f t="shared" si="33"/>
        <v>1.3905034738321</v>
      </c>
      <c r="DG10" s="63">
        <f>INDEX('Junctions — junctions'!$F$2:$F$197,MATCH(CX10,'Junctions — junctions'!$B$2:$B$197,0))</f>
        <v>14</v>
      </c>
      <c r="DH10" s="63">
        <v>10</v>
      </c>
      <c r="DI10" s="63">
        <f t="shared" si="22"/>
        <v>25.390503473832101</v>
      </c>
      <c r="DJ10" s="63">
        <f t="shared" si="23"/>
        <v>19.460835740316224</v>
      </c>
      <c r="DP10" s="63" t="s">
        <v>401</v>
      </c>
      <c r="DQ10" s="63" t="s">
        <v>584</v>
      </c>
      <c r="DR10" s="63" t="s">
        <v>585</v>
      </c>
      <c r="DS10" s="63">
        <v>466</v>
      </c>
      <c r="DT10" s="63">
        <f>VLOOKUP(DS10,REF_TABLE!$G$7:$H$32,2)</f>
        <v>500</v>
      </c>
      <c r="DU10" s="63">
        <v>133</v>
      </c>
      <c r="DV10" s="63">
        <v>0.10682382796361509</v>
      </c>
      <c r="DW10" s="63">
        <f t="shared" si="24"/>
        <v>0.46600000000000003</v>
      </c>
      <c r="DX10" s="63">
        <f t="shared" si="25"/>
        <v>3.9145914136398667E-2</v>
      </c>
      <c r="DY10" s="63">
        <f>ABS(RESULT_ITTE!EW180)</f>
        <v>0.1158250274658203</v>
      </c>
      <c r="DZ10" s="63">
        <f t="shared" si="34"/>
        <v>1.4349367523193359</v>
      </c>
      <c r="EA10" s="63">
        <f>INDEX('Junctions — junctions'!$F$2:$F$197,MATCH(DR10,'Junctions — junctions'!$B$2:$B$197,0))</f>
        <v>19</v>
      </c>
      <c r="EB10" s="63">
        <v>10</v>
      </c>
      <c r="EC10" s="63">
        <f t="shared" si="26"/>
        <v>30.434936752319334</v>
      </c>
      <c r="ED10" s="63">
        <f t="shared" si="27"/>
        <v>14.104106020212173</v>
      </c>
      <c r="EH10" s="63" t="s">
        <v>195</v>
      </c>
      <c r="EI10" s="63" t="s">
        <v>669</v>
      </c>
      <c r="EJ10" s="63" t="s">
        <v>670</v>
      </c>
      <c r="EK10" s="63">
        <v>250</v>
      </c>
      <c r="EL10" s="63">
        <v>250</v>
      </c>
      <c r="EM10" s="63">
        <v>41</v>
      </c>
      <c r="EN10" s="63">
        <v>7.8454534688086573E-3</v>
      </c>
      <c r="EO10" s="63">
        <v>0.25</v>
      </c>
      <c r="EP10" s="63">
        <v>9.989141602866838E-3</v>
      </c>
      <c r="EQ10" s="63">
        <v>9.4341624853503211E-2</v>
      </c>
      <c r="ER10" s="63">
        <v>1.1489568067240443</v>
      </c>
      <c r="ES10" s="63">
        <v>16</v>
      </c>
      <c r="ET10" s="63">
        <v>10</v>
      </c>
      <c r="EU10" s="63">
        <v>27.148956806724044</v>
      </c>
      <c r="EV10" s="63">
        <v>23.057539205570457</v>
      </c>
    </row>
    <row r="11" spans="2:152" x14ac:dyDescent="0.25">
      <c r="B11" s="63" t="s">
        <v>195</v>
      </c>
      <c r="C11" s="63" t="s">
        <v>669</v>
      </c>
      <c r="D11" s="63" t="s">
        <v>670</v>
      </c>
      <c r="E11" s="63">
        <v>250</v>
      </c>
      <c r="F11" s="63">
        <f>VLOOKUP(E11,REF_TABLE!$G$7:$H$32,2)</f>
        <v>250</v>
      </c>
      <c r="G11" s="63">
        <v>41</v>
      </c>
      <c r="H11" s="63">
        <f>ABS(RESULT_ITTE!Q181)</f>
        <v>7.8454534688086573E-3</v>
      </c>
      <c r="I11" s="63">
        <f t="shared" si="0"/>
        <v>0.25</v>
      </c>
      <c r="J11" s="63">
        <f t="shared" si="1"/>
        <v>9.989141602866838E-3</v>
      </c>
      <c r="K11" s="66">
        <f>ABS(RESULT_ITTE!M181)</f>
        <v>9.4341624853503211E-2</v>
      </c>
      <c r="L11" s="66">
        <f t="shared" si="28"/>
        <v>1.1489568067240443</v>
      </c>
      <c r="M11" s="63">
        <f>INDEX('Junctions — junctions'!$F$2:$F$197,MATCH(D11,'Junctions — junctions'!$B$2:$B$197,0))</f>
        <v>16</v>
      </c>
      <c r="N11" s="63">
        <v>10</v>
      </c>
      <c r="O11" s="63">
        <f t="shared" si="2"/>
        <v>27.148956806724044</v>
      </c>
      <c r="P11" s="63">
        <f t="shared" si="3"/>
        <v>23.057539205570457</v>
      </c>
      <c r="T11" s="63" t="s">
        <v>292</v>
      </c>
      <c r="U11" s="63" t="s">
        <v>708</v>
      </c>
      <c r="V11" s="63" t="s">
        <v>707</v>
      </c>
      <c r="W11" s="63">
        <v>300</v>
      </c>
      <c r="X11" s="63">
        <f>VLOOKUP(W11,REF_TABLE!$G$7:$H$32,2)</f>
        <v>300</v>
      </c>
      <c r="Y11" s="63">
        <v>190</v>
      </c>
      <c r="Z11" s="63">
        <f>ABS(RESULT_ITTE!AO181)</f>
        <v>7.3290945253670714E-3</v>
      </c>
      <c r="AA11" s="63">
        <f t="shared" si="4"/>
        <v>0.3</v>
      </c>
      <c r="AB11" s="63">
        <f t="shared" si="5"/>
        <v>6.4803423449995437E-3</v>
      </c>
      <c r="AC11" s="69">
        <f>ABS(RESULT_ITTE!AK181)</f>
        <v>0.34259269588741997</v>
      </c>
      <c r="AD11" s="69">
        <f t="shared" si="29"/>
        <v>1.8229394136900268</v>
      </c>
      <c r="AE11" s="63">
        <f>INDEX('Junctions — junctions'!$F$2:$F$197,MATCH(V11,'Junctions — junctions'!$B$2:$B$197,0))</f>
        <v>13</v>
      </c>
      <c r="AF11" s="69">
        <v>10</v>
      </c>
      <c r="AG11" s="63">
        <f t="shared" si="6"/>
        <v>24.822939413690026</v>
      </c>
      <c r="AH11" s="63">
        <f t="shared" si="7"/>
        <v>70.049692794019421</v>
      </c>
      <c r="AM11" s="63" t="s">
        <v>189</v>
      </c>
      <c r="AN11" s="63" t="s">
        <v>656</v>
      </c>
      <c r="AO11" s="63" t="s">
        <v>657</v>
      </c>
      <c r="AP11" s="63">
        <v>250</v>
      </c>
      <c r="AQ11" s="63">
        <f>VLOOKUP(AP11,REF_TABLE!$G$7:$H$32,2)</f>
        <v>250</v>
      </c>
      <c r="AR11" s="63">
        <v>76</v>
      </c>
      <c r="AS11" s="63">
        <f>ABS(RESULT_ITTE!BK181)</f>
        <v>5.4259359077368403E-2</v>
      </c>
      <c r="AT11" s="63">
        <f t="shared" si="8"/>
        <v>0.25</v>
      </c>
      <c r="AU11" s="63">
        <f t="shared" si="9"/>
        <v>6.9085161649290266E-2</v>
      </c>
      <c r="AV11" s="63">
        <f>ABS(RESULT_ITTE!BG181)</f>
        <v>0.1159211115064607</v>
      </c>
      <c r="AW11" s="63">
        <f t="shared" si="30"/>
        <v>0.69246888743705814</v>
      </c>
      <c r="AX11" s="63">
        <f>INDEX('Junctions — junctions'!$F$2:$F$197,MATCH(AO11,'Junctions — junctions'!$B$2:$B$197,0))</f>
        <v>13</v>
      </c>
      <c r="AY11" s="63">
        <v>10</v>
      </c>
      <c r="AZ11" s="63">
        <f t="shared" si="10"/>
        <v>23.692468887437059</v>
      </c>
      <c r="BA11" s="63">
        <f t="shared" si="11"/>
        <v>16.063649136635046</v>
      </c>
      <c r="BG11" s="63" t="s">
        <v>128</v>
      </c>
      <c r="BH11" s="63" t="s">
        <v>637</v>
      </c>
      <c r="BI11" s="63" t="s">
        <v>636</v>
      </c>
      <c r="BJ11" s="63">
        <v>250</v>
      </c>
      <c r="BK11" s="63">
        <f>VLOOKUP(BJ11,REF_TABLE!$G$7:$H$32,2)</f>
        <v>250</v>
      </c>
      <c r="BL11" s="63">
        <v>76</v>
      </c>
      <c r="BM11" s="63">
        <f>ABS(RESULT_ITTE!CH181)</f>
        <v>2.0992442178138816E-2</v>
      </c>
      <c r="BN11" s="63">
        <f t="shared" si="12"/>
        <v>0.25</v>
      </c>
      <c r="BO11" s="63">
        <f t="shared" si="13"/>
        <v>2.6728407521772694E-2</v>
      </c>
      <c r="BP11" s="63">
        <f>ABS(RESULT_ITTE!CD181)</f>
        <v>0.1159211115064607</v>
      </c>
      <c r="BQ11" s="63">
        <f t="shared" si="31"/>
        <v>1.3097566655375839</v>
      </c>
      <c r="BR11" s="63">
        <f>INDEX('Junctions — junctions'!$F$2:$F$197,MATCH(BI11,'Junctions — junctions'!$B$2:$B$197,0))</f>
        <v>13</v>
      </c>
      <c r="BS11" s="63">
        <v>10</v>
      </c>
      <c r="BT11" s="63">
        <f t="shared" si="14"/>
        <v>24.309756665537584</v>
      </c>
      <c r="BU11" s="63">
        <f t="shared" si="15"/>
        <v>19.432546017365944</v>
      </c>
      <c r="CB11" s="63" t="s">
        <v>135</v>
      </c>
      <c r="CC11" s="63" t="s">
        <v>616</v>
      </c>
      <c r="CD11" s="63" t="s">
        <v>615</v>
      </c>
      <c r="CE11" s="63">
        <v>350</v>
      </c>
      <c r="CF11" s="63">
        <f>VLOOKUP(CE11,REF_TABLE!$G$7:$H$32,2)</f>
        <v>350</v>
      </c>
      <c r="CG11" s="63">
        <v>73</v>
      </c>
      <c r="CH11" s="63">
        <f>ABS(RESULT_ITTE!DD181)</f>
        <v>0.10964731281191634</v>
      </c>
      <c r="CI11" s="63">
        <f t="shared" si="16"/>
        <v>0.35</v>
      </c>
      <c r="CJ11" s="63">
        <f t="shared" si="17"/>
        <v>7.1228211554121609E-2</v>
      </c>
      <c r="CK11" s="63">
        <f>ABS(RESULT_ITTE!CZ181)</f>
        <v>0.12117649815593834</v>
      </c>
      <c r="CL11" s="63">
        <f t="shared" si="32"/>
        <v>1.5049219269071714</v>
      </c>
      <c r="CM11" s="63">
        <f>INDEX('Junctions — junctions'!$F$2:$F$197,MATCH(CD11,'Junctions — junctions'!$B$2:$B$197,0))</f>
        <v>13</v>
      </c>
      <c r="CN11" s="63">
        <v>10</v>
      </c>
      <c r="CO11" s="63">
        <f t="shared" si="18"/>
        <v>24.504921926907173</v>
      </c>
      <c r="CP11" s="63">
        <f t="shared" si="19"/>
        <v>21.962157778750338</v>
      </c>
      <c r="CV11" s="63" t="s">
        <v>151</v>
      </c>
      <c r="CW11" s="63" t="s">
        <v>599</v>
      </c>
      <c r="CX11" s="63" t="s">
        <v>598</v>
      </c>
      <c r="CY11" s="63">
        <v>466</v>
      </c>
      <c r="CZ11" s="63">
        <f>VLOOKUP(CY11,REF_TABLE!$G$7:$H$32,2)</f>
        <v>500</v>
      </c>
      <c r="DA11" s="63">
        <v>56</v>
      </c>
      <c r="DB11" s="63">
        <f>ABS(RESULT_ITTE!EB181)</f>
        <v>0.20191568192836887</v>
      </c>
      <c r="DC11" s="63">
        <f t="shared" si="20"/>
        <v>0.46600000000000003</v>
      </c>
      <c r="DD11" s="63">
        <f t="shared" si="21"/>
        <v>7.399261099548432E-2</v>
      </c>
      <c r="DE11" s="63">
        <f>ABS(RESULT_ITTE!DX181)</f>
        <v>8.3222117253561281E-2</v>
      </c>
      <c r="DF11" s="63">
        <f t="shared" si="33"/>
        <v>1.4737255910856613</v>
      </c>
      <c r="DG11" s="63">
        <f>INDEX('Junctions — junctions'!$F$2:$F$197,MATCH(CX11,'Junctions — junctions'!$B$2:$B$197,0))</f>
        <v>12</v>
      </c>
      <c r="DH11" s="63">
        <v>10</v>
      </c>
      <c r="DI11" s="63">
        <f t="shared" si="22"/>
        <v>23.47372559108566</v>
      </c>
      <c r="DJ11" s="63">
        <f t="shared" si="23"/>
        <v>21.377613623062665</v>
      </c>
      <c r="DP11" s="63" t="s">
        <v>403</v>
      </c>
      <c r="DQ11" s="63" t="s">
        <v>585</v>
      </c>
      <c r="DR11" s="63" t="s">
        <v>586</v>
      </c>
      <c r="DS11" s="63">
        <v>466</v>
      </c>
      <c r="DT11" s="63">
        <f>VLOOKUP(DS11,REF_TABLE!$G$7:$H$32,2)</f>
        <v>500</v>
      </c>
      <c r="DU11" s="63">
        <v>75</v>
      </c>
      <c r="DV11" s="63">
        <v>0.10556686389483461</v>
      </c>
      <c r="DW11" s="63">
        <f t="shared" si="24"/>
        <v>0.46600000000000003</v>
      </c>
      <c r="DX11" s="63">
        <f t="shared" si="25"/>
        <v>3.8685295860055126E-2</v>
      </c>
      <c r="DY11" s="63">
        <f>ABS(RESULT_ITTE!EW181)</f>
        <v>0.1146382675170898</v>
      </c>
      <c r="DZ11" s="63">
        <f t="shared" si="34"/>
        <v>1.5495750198364258</v>
      </c>
      <c r="EA11" s="63">
        <f>INDEX('Junctions — junctions'!$F$2:$F$197,MATCH(DR11,'Junctions — junctions'!$B$2:$B$197,0))</f>
        <v>18</v>
      </c>
      <c r="EB11" s="63">
        <v>10</v>
      </c>
      <c r="EC11" s="63">
        <f t="shared" si="26"/>
        <v>29.549575019836425</v>
      </c>
      <c r="ED11" s="63">
        <f t="shared" si="27"/>
        <v>14.989467752695084</v>
      </c>
      <c r="EH11" s="63" t="s">
        <v>194</v>
      </c>
      <c r="EI11" s="63" t="s">
        <v>670</v>
      </c>
      <c r="EJ11" s="63" t="s">
        <v>671</v>
      </c>
      <c r="EK11" s="63">
        <v>565</v>
      </c>
      <c r="EL11" s="63">
        <v>600</v>
      </c>
      <c r="EM11" s="63">
        <v>201</v>
      </c>
      <c r="EN11" s="63">
        <v>6.1364883263278769E-3</v>
      </c>
      <c r="EO11" s="63">
        <v>0.56499999999999995</v>
      </c>
      <c r="EP11" s="63">
        <v>1.5297242546178928E-3</v>
      </c>
      <c r="EQ11" s="63">
        <v>0.16553763307059088</v>
      </c>
      <c r="ER11" s="63">
        <v>1.3144944397946352</v>
      </c>
      <c r="ES11" s="63">
        <v>11</v>
      </c>
      <c r="ET11" s="63">
        <v>10</v>
      </c>
      <c r="EU11" s="63">
        <v>22.314494439794636</v>
      </c>
      <c r="EV11" s="63">
        <v>27.892001572499865</v>
      </c>
    </row>
    <row r="12" spans="2:152" x14ac:dyDescent="0.25">
      <c r="B12" s="63" t="s">
        <v>194</v>
      </c>
      <c r="C12" s="63" t="s">
        <v>670</v>
      </c>
      <c r="D12" s="63" t="s">
        <v>671</v>
      </c>
      <c r="E12" s="63">
        <v>565</v>
      </c>
      <c r="F12" s="63">
        <f>VLOOKUP(E12,REF_TABLE!$G$7:$H$32,2)</f>
        <v>600</v>
      </c>
      <c r="G12" s="63">
        <v>201</v>
      </c>
      <c r="H12" s="63">
        <f>ABS(RESULT_ITTE!Q182)</f>
        <v>6.1364883263278769E-3</v>
      </c>
      <c r="I12" s="63">
        <f t="shared" si="0"/>
        <v>0.56499999999999995</v>
      </c>
      <c r="J12" s="63">
        <f t="shared" si="1"/>
        <v>1.5297242546178928E-3</v>
      </c>
      <c r="K12" s="66">
        <f>ABS(RESULT_ITTE!M182)</f>
        <v>0.16553763307059088</v>
      </c>
      <c r="L12" s="66">
        <f t="shared" si="28"/>
        <v>1.3144944397946352</v>
      </c>
      <c r="M12" s="63">
        <f>INDEX('Junctions — junctions'!$F$2:$F$197,MATCH(D12,'Junctions — junctions'!$B$2:$B$197,0))</f>
        <v>11</v>
      </c>
      <c r="N12" s="63">
        <v>10</v>
      </c>
      <c r="O12" s="63">
        <f t="shared" si="2"/>
        <v>22.314494439794636</v>
      </c>
      <c r="P12" s="63">
        <f t="shared" si="3"/>
        <v>27.892001572499865</v>
      </c>
      <c r="T12" s="63" t="s">
        <v>291</v>
      </c>
      <c r="U12" s="63" t="s">
        <v>709</v>
      </c>
      <c r="V12" s="63" t="s">
        <v>708</v>
      </c>
      <c r="W12" s="63">
        <v>300</v>
      </c>
      <c r="X12" s="63">
        <f>VLOOKUP(W12,REF_TABLE!$G$7:$H$32,2)</f>
        <v>300</v>
      </c>
      <c r="Y12" s="63">
        <v>290</v>
      </c>
      <c r="Z12" s="63">
        <f>ABS(RESULT_ITTE!AO182)</f>
        <v>2.0410303096012553E-3</v>
      </c>
      <c r="AA12" s="63">
        <f t="shared" si="4"/>
        <v>0.3</v>
      </c>
      <c r="AB12" s="63">
        <f t="shared" si="5"/>
        <v>1.8046670154078961E-3</v>
      </c>
      <c r="AC12" s="69">
        <f>ABS(RESULT_ITTE!AK182)</f>
        <v>0.52290464109132528</v>
      </c>
      <c r="AD12" s="69">
        <f t="shared" si="29"/>
        <v>2.3458440547813519</v>
      </c>
      <c r="AE12" s="63">
        <f>INDEX('Junctions — junctions'!$F$2:$F$197,MATCH(V12,'Junctions — junctions'!$B$2:$B$197,0))</f>
        <v>11</v>
      </c>
      <c r="AF12" s="69">
        <v>10</v>
      </c>
      <c r="AG12" s="63">
        <f t="shared" si="6"/>
        <v>23.345844054781352</v>
      </c>
      <c r="AH12" s="63">
        <f t="shared" si="7"/>
        <v>71.526788152928091</v>
      </c>
      <c r="AM12" s="63" t="s">
        <v>188</v>
      </c>
      <c r="AN12" s="63" t="s">
        <v>657</v>
      </c>
      <c r="AO12" s="63" t="s">
        <v>658</v>
      </c>
      <c r="AP12" s="63">
        <v>250</v>
      </c>
      <c r="AQ12" s="63">
        <f>VLOOKUP(AP12,REF_TABLE!$G$7:$H$32,2)</f>
        <v>250</v>
      </c>
      <c r="AR12" s="63">
        <v>77</v>
      </c>
      <c r="AS12" s="63">
        <f>ABS(RESULT_ITTE!BK182)</f>
        <v>5.3323934948818229E-2</v>
      </c>
      <c r="AT12" s="63">
        <f t="shared" si="8"/>
        <v>0.25</v>
      </c>
      <c r="AU12" s="63">
        <f t="shared" si="9"/>
        <v>6.7894142657720757E-2</v>
      </c>
      <c r="AV12" s="63">
        <f>ABS(RESULT_ITTE!BG182)</f>
        <v>0.11744638928944044</v>
      </c>
      <c r="AW12" s="63">
        <f t="shared" si="30"/>
        <v>0.80991527672649855</v>
      </c>
      <c r="AX12" s="63">
        <f>INDEX('Junctions — junctions'!$F$2:$F$197,MATCH(AO12,'Junctions — junctions'!$B$2:$B$197,0))</f>
        <v>11</v>
      </c>
      <c r="AY12" s="63">
        <v>10</v>
      </c>
      <c r="AZ12" s="63">
        <f t="shared" si="10"/>
        <v>21.8099152767265</v>
      </c>
      <c r="BA12" s="63">
        <f t="shared" si="11"/>
        <v>17.946202747345605</v>
      </c>
      <c r="BG12" s="63" t="s">
        <v>127</v>
      </c>
      <c r="BH12" s="63" t="s">
        <v>638</v>
      </c>
      <c r="BI12" s="63" t="s">
        <v>637</v>
      </c>
      <c r="BJ12" s="63">
        <v>250</v>
      </c>
      <c r="BK12" s="63">
        <f>VLOOKUP(BJ12,REF_TABLE!$G$7:$H$32,2)</f>
        <v>250</v>
      </c>
      <c r="BL12" s="63">
        <v>36</v>
      </c>
      <c r="BM12" s="63">
        <f>ABS(RESULT_ITTE!CH182)</f>
        <v>2.0961914069395998E-2</v>
      </c>
      <c r="BN12" s="63">
        <f t="shared" si="12"/>
        <v>0.25</v>
      </c>
      <c r="BO12" s="63">
        <f t="shared" si="13"/>
        <v>2.6689537926495362E-2</v>
      </c>
      <c r="BP12" s="63">
        <f>ABS(RESULT_ITTE!CD182)</f>
        <v>5.4910000187270859E-2</v>
      </c>
      <c r="BQ12" s="63">
        <f t="shared" si="31"/>
        <v>1.3646666657248547</v>
      </c>
      <c r="BR12" s="63">
        <f>INDEX('Junctions — junctions'!$F$2:$F$197,MATCH(BI12,'Junctions — junctions'!$B$2:$B$197,0))</f>
        <v>20</v>
      </c>
      <c r="BS12" s="63">
        <v>10</v>
      </c>
      <c r="BT12" s="63">
        <f t="shared" si="14"/>
        <v>31.364666665724855</v>
      </c>
      <c r="BU12" s="63">
        <f t="shared" si="15"/>
        <v>12.377636017178673</v>
      </c>
      <c r="CB12" s="63" t="s">
        <v>133</v>
      </c>
      <c r="CC12" s="63" t="s">
        <v>617</v>
      </c>
      <c r="CD12" s="63" t="s">
        <v>616</v>
      </c>
      <c r="CE12" s="63">
        <v>350</v>
      </c>
      <c r="CF12" s="63">
        <f>VLOOKUP(CE12,REF_TABLE!$G$7:$H$32,2)</f>
        <v>350</v>
      </c>
      <c r="CG12" s="63">
        <v>81</v>
      </c>
      <c r="CH12" s="63">
        <f>ABS(RESULT_ITTE!DD182)</f>
        <v>0.10824872082911595</v>
      </c>
      <c r="CI12" s="63">
        <f t="shared" si="16"/>
        <v>0.35</v>
      </c>
      <c r="CJ12" s="63">
        <f t="shared" si="17"/>
        <v>7.0319669401340476E-2</v>
      </c>
      <c r="CK12" s="63">
        <f>ABS(RESULT_ITTE!CZ182)</f>
        <v>0.13445611439220556</v>
      </c>
      <c r="CL12" s="63">
        <f t="shared" si="32"/>
        <v>1.639378041299377</v>
      </c>
      <c r="CM12" s="63">
        <f>INDEX('Junctions — junctions'!$F$2:$F$197,MATCH(CD12,'Junctions — junctions'!$B$2:$B$197,0))</f>
        <v>18</v>
      </c>
      <c r="CN12" s="63">
        <v>10</v>
      </c>
      <c r="CO12" s="63">
        <f t="shared" si="18"/>
        <v>29.639378041299377</v>
      </c>
      <c r="CP12" s="63">
        <f t="shared" si="19"/>
        <v>16.827701664358134</v>
      </c>
      <c r="CV12" s="63" t="s">
        <v>150</v>
      </c>
      <c r="CW12" s="63" t="s">
        <v>600</v>
      </c>
      <c r="CX12" s="63" t="s">
        <v>599</v>
      </c>
      <c r="CY12" s="63">
        <v>466</v>
      </c>
      <c r="CZ12" s="63">
        <f>VLOOKUP(CY12,REF_TABLE!$G$7:$H$32,2)</f>
        <v>500</v>
      </c>
      <c r="DA12" s="63">
        <v>60</v>
      </c>
      <c r="DB12" s="63">
        <f>ABS(RESULT_ITTE!EB182)</f>
        <v>0.20151170661799933</v>
      </c>
      <c r="DC12" s="63">
        <f t="shared" si="20"/>
        <v>0.46600000000000003</v>
      </c>
      <c r="DD12" s="63">
        <f t="shared" si="21"/>
        <v>7.3844573023859328E-2</v>
      </c>
      <c r="DE12" s="63">
        <f>ABS(RESULT_ITTE!DX182)</f>
        <v>8.9166554200244233E-2</v>
      </c>
      <c r="DF12" s="63">
        <f t="shared" si="33"/>
        <v>1.5628921452859055</v>
      </c>
      <c r="DG12" s="63">
        <f>INDEX('Junctions — junctions'!$F$2:$F$197,MATCH(CX12,'Junctions — junctions'!$B$2:$B$197,0))</f>
        <v>14</v>
      </c>
      <c r="DH12" s="63">
        <v>10</v>
      </c>
      <c r="DI12" s="63">
        <f t="shared" si="22"/>
        <v>25.562892145285904</v>
      </c>
      <c r="DJ12" s="63">
        <f t="shared" si="23"/>
        <v>19.288447068862421</v>
      </c>
      <c r="DP12" s="63" t="s">
        <v>396</v>
      </c>
      <c r="DQ12" s="63" t="s">
        <v>586</v>
      </c>
      <c r="DR12" s="63" t="s">
        <v>587</v>
      </c>
      <c r="DS12" s="63">
        <v>466</v>
      </c>
      <c r="DT12" s="63">
        <f>VLOOKUP(DS12,REF_TABLE!$G$7:$H$32,2)</f>
        <v>500</v>
      </c>
      <c r="DU12" s="63">
        <v>94</v>
      </c>
      <c r="DV12" s="63">
        <v>0.10326779764139249</v>
      </c>
      <c r="DW12" s="63">
        <f t="shared" si="24"/>
        <v>0.46600000000000003</v>
      </c>
      <c r="DX12" s="63">
        <f t="shared" si="25"/>
        <v>3.7842796093226036E-2</v>
      </c>
      <c r="DY12" s="63">
        <f>ABS(RESULT_ITTE!EW182)</f>
        <v>0.1136740341186523</v>
      </c>
      <c r="DZ12" s="63">
        <f t="shared" si="34"/>
        <v>1.6632490539550782</v>
      </c>
      <c r="EA12" s="63">
        <f>INDEX('Junctions — junctions'!$F$2:$F$197,MATCH(DR12,'Junctions — junctions'!$B$2:$B$197,0))</f>
        <v>16</v>
      </c>
      <c r="EB12" s="63">
        <v>10</v>
      </c>
      <c r="EC12" s="63">
        <f t="shared" si="26"/>
        <v>27.663249053955077</v>
      </c>
      <c r="ED12" s="63">
        <f t="shared" si="27"/>
        <v>16.875793718576432</v>
      </c>
      <c r="EH12" s="63" t="s">
        <v>425</v>
      </c>
      <c r="EI12" s="63" t="s">
        <v>671</v>
      </c>
      <c r="EJ12" s="63" t="s">
        <v>672</v>
      </c>
      <c r="EK12" s="63">
        <v>421</v>
      </c>
      <c r="EL12" s="63">
        <v>450</v>
      </c>
      <c r="EM12" s="63">
        <v>129</v>
      </c>
      <c r="EN12" s="63">
        <v>5.0944432547182211E-3</v>
      </c>
      <c r="EO12" s="63">
        <v>0.42099999999999999</v>
      </c>
      <c r="EP12" s="63">
        <v>2.2872975956171786E-3</v>
      </c>
      <c r="EQ12" s="63">
        <v>0.19585440315176539</v>
      </c>
      <c r="ER12" s="63">
        <v>1.5103488429464007</v>
      </c>
      <c r="ES12" s="63">
        <v>9</v>
      </c>
      <c r="ET12" s="63">
        <v>10</v>
      </c>
      <c r="EU12" s="63">
        <v>20.510348842946399</v>
      </c>
      <c r="EV12" s="63">
        <v>29.696147169348102</v>
      </c>
    </row>
    <row r="13" spans="2:152" x14ac:dyDescent="0.25">
      <c r="B13" s="63" t="s">
        <v>425</v>
      </c>
      <c r="C13" s="63" t="s">
        <v>671</v>
      </c>
      <c r="D13" s="63" t="s">
        <v>672</v>
      </c>
      <c r="E13" s="63">
        <v>421</v>
      </c>
      <c r="F13" s="63">
        <f>VLOOKUP(E13,REF_TABLE!$G$7:$H$32,2)</f>
        <v>450</v>
      </c>
      <c r="G13" s="63">
        <v>129</v>
      </c>
      <c r="H13" s="63">
        <f>ABS(RESULT_ITTE!Q183)</f>
        <v>5.0944432547182211E-3</v>
      </c>
      <c r="I13" s="63">
        <f t="shared" si="0"/>
        <v>0.42099999999999999</v>
      </c>
      <c r="J13" s="63">
        <f t="shared" si="1"/>
        <v>2.2872975956171786E-3</v>
      </c>
      <c r="K13" s="66">
        <f>ABS(RESULT_ITTE!M183)</f>
        <v>0.19585440315176539</v>
      </c>
      <c r="L13" s="66">
        <f t="shared" si="28"/>
        <v>1.5103488429464007</v>
      </c>
      <c r="M13" s="63">
        <f>INDEX('Junctions — junctions'!$F$2:$F$197,MATCH(D13,'Junctions — junctions'!$B$2:$B$197,0))</f>
        <v>9</v>
      </c>
      <c r="N13" s="63">
        <v>10</v>
      </c>
      <c r="O13" s="63">
        <f t="shared" si="2"/>
        <v>20.510348842946399</v>
      </c>
      <c r="P13" s="63">
        <f t="shared" si="3"/>
        <v>29.696147169348102</v>
      </c>
      <c r="T13" s="63" t="s">
        <v>293</v>
      </c>
      <c r="U13" s="63" t="s">
        <v>710</v>
      </c>
      <c r="V13" s="63" t="s">
        <v>709</v>
      </c>
      <c r="W13" s="63">
        <v>300</v>
      </c>
      <c r="X13" s="63">
        <f>VLOOKUP(W13,REF_TABLE!$G$7:$H$32,2)</f>
        <v>300</v>
      </c>
      <c r="Y13" s="63">
        <v>82</v>
      </c>
      <c r="Z13" s="63">
        <f>ABS(RESULT_ITTE!AO183)</f>
        <v>2.1749295901185885E-3</v>
      </c>
      <c r="AA13" s="63">
        <f t="shared" si="4"/>
        <v>0.3</v>
      </c>
      <c r="AB13" s="63">
        <f t="shared" si="5"/>
        <v>1.9230599730233511E-3</v>
      </c>
      <c r="AC13" s="69">
        <f>ABS(RESULT_ITTE!AK183)</f>
        <v>0.14785579506720234</v>
      </c>
      <c r="AD13" s="69">
        <f t="shared" si="29"/>
        <v>2.4936998498485541</v>
      </c>
      <c r="AE13" s="63">
        <f>INDEX('Junctions — junctions'!$F$2:$F$197,MATCH(V13,'Junctions — junctions'!$B$2:$B$197,0))</f>
        <v>15</v>
      </c>
      <c r="AF13" s="69">
        <v>10</v>
      </c>
      <c r="AG13" s="63">
        <f t="shared" si="6"/>
        <v>27.493699849848554</v>
      </c>
      <c r="AH13" s="63">
        <f t="shared" si="7"/>
        <v>67.37893235786089</v>
      </c>
      <c r="AM13" s="63" t="s">
        <v>186</v>
      </c>
      <c r="AN13" s="63" t="s">
        <v>658</v>
      </c>
      <c r="AO13" s="63" t="s">
        <v>659</v>
      </c>
      <c r="AP13" s="63">
        <v>250</v>
      </c>
      <c r="AQ13" s="63">
        <f>VLOOKUP(AP13,REF_TABLE!$G$7:$H$32,2)</f>
        <v>250</v>
      </c>
      <c r="AR13" s="63">
        <v>78</v>
      </c>
      <c r="AS13" s="63">
        <f>ABS(RESULT_ITTE!BK183)</f>
        <v>5.1706751255680909E-2</v>
      </c>
      <c r="AT13" s="63">
        <f t="shared" si="8"/>
        <v>0.25</v>
      </c>
      <c r="AU13" s="63">
        <f t="shared" si="9"/>
        <v>6.5835080428517462E-2</v>
      </c>
      <c r="AV13" s="63">
        <f>ABS(RESULT_ITTE!BG183)</f>
        <v>0.11897166707242018</v>
      </c>
      <c r="AW13" s="63">
        <f t="shared" si="30"/>
        <v>0.92888694379891867</v>
      </c>
      <c r="AX13" s="63">
        <f>INDEX('Junctions — junctions'!$F$2:$F$197,MATCH(AO13,'Junctions — junctions'!$B$2:$B$197,0))</f>
        <v>15</v>
      </c>
      <c r="AY13" s="63">
        <v>10</v>
      </c>
      <c r="AZ13" s="63">
        <f t="shared" si="10"/>
        <v>25.928886943798918</v>
      </c>
      <c r="BA13" s="63">
        <f t="shared" si="11"/>
        <v>13.827231080273187</v>
      </c>
      <c r="BG13" s="63" t="s">
        <v>126</v>
      </c>
      <c r="BH13" s="63" t="s">
        <v>639</v>
      </c>
      <c r="BI13" s="63" t="s">
        <v>638</v>
      </c>
      <c r="BJ13" s="63">
        <v>250</v>
      </c>
      <c r="BK13" s="63">
        <f>VLOOKUP(BJ13,REF_TABLE!$G$7:$H$32,2)</f>
        <v>250</v>
      </c>
      <c r="BL13" s="63">
        <v>32</v>
      </c>
      <c r="BM13" s="63">
        <f>ABS(RESULT_ITTE!CH183)</f>
        <v>2.0193344907406416E-2</v>
      </c>
      <c r="BN13" s="63">
        <f t="shared" si="12"/>
        <v>0.25</v>
      </c>
      <c r="BO13" s="63">
        <f t="shared" si="13"/>
        <v>2.5710965276586263E-2</v>
      </c>
      <c r="BP13" s="63">
        <f>ABS(RESULT_ITTE!CD183)</f>
        <v>4.8808889055351877E-2</v>
      </c>
      <c r="BQ13" s="63">
        <f t="shared" si="31"/>
        <v>1.4134755547802067</v>
      </c>
      <c r="BR13" s="63">
        <f>INDEX('Junctions — junctions'!$F$2:$F$197,MATCH(BI13,'Junctions — junctions'!$B$2:$B$197,0))</f>
        <v>17</v>
      </c>
      <c r="BS13" s="63">
        <v>10</v>
      </c>
      <c r="BT13" s="63">
        <f t="shared" si="14"/>
        <v>28.413475554780206</v>
      </c>
      <c r="BU13" s="63">
        <f t="shared" si="15"/>
        <v>15.328827128123322</v>
      </c>
      <c r="CB13" s="63" t="s">
        <v>132</v>
      </c>
      <c r="CC13" s="63" t="s">
        <v>618</v>
      </c>
      <c r="CD13" s="63" t="s">
        <v>617</v>
      </c>
      <c r="CE13" s="63">
        <v>350</v>
      </c>
      <c r="CF13" s="63">
        <f>VLOOKUP(CE13,REF_TABLE!$G$7:$H$32,2)</f>
        <v>350</v>
      </c>
      <c r="CG13" s="63">
        <v>101</v>
      </c>
      <c r="CH13" s="63">
        <f>ABS(RESULT_ITTE!DD183)</f>
        <v>0.1080760471088543</v>
      </c>
      <c r="CI13" s="63">
        <f t="shared" si="16"/>
        <v>0.35</v>
      </c>
      <c r="CJ13" s="63">
        <f t="shared" si="17"/>
        <v>7.0207498478394734E-2</v>
      </c>
      <c r="CK13" s="63">
        <f>ABS(RESULT_ITTE!CZ183)</f>
        <v>0.16765515498287359</v>
      </c>
      <c r="CL13" s="63">
        <f t="shared" si="32"/>
        <v>1.8070331962822506</v>
      </c>
      <c r="CM13" s="63">
        <f>INDEX('Junctions — junctions'!$F$2:$F$197,MATCH(CD13,'Junctions — junctions'!$B$2:$B$197,0))</f>
        <v>14</v>
      </c>
      <c r="CN13" s="63">
        <v>10</v>
      </c>
      <c r="CO13" s="63">
        <f t="shared" si="18"/>
        <v>25.807033196282251</v>
      </c>
      <c r="CP13" s="63">
        <f t="shared" si="19"/>
        <v>20.66004650937526</v>
      </c>
      <c r="CV13" s="63" t="s">
        <v>149</v>
      </c>
      <c r="CW13" s="63" t="s">
        <v>601</v>
      </c>
      <c r="CX13" s="63" t="s">
        <v>600</v>
      </c>
      <c r="CY13" s="63">
        <v>466</v>
      </c>
      <c r="CZ13" s="63">
        <f>VLOOKUP(CY13,REF_TABLE!$G$7:$H$32,2)</f>
        <v>500</v>
      </c>
      <c r="DA13" s="63">
        <v>67</v>
      </c>
      <c r="DB13" s="63">
        <f>ABS(RESULT_ITTE!EB183)</f>
        <v>0.20050068083648492</v>
      </c>
      <c r="DC13" s="63">
        <f t="shared" si="20"/>
        <v>0.46600000000000003</v>
      </c>
      <c r="DD13" s="63">
        <f t="shared" si="21"/>
        <v>7.3474079575091236E-2</v>
      </c>
      <c r="DE13" s="63">
        <f>ABS(RESULT_ITTE!DX183)</f>
        <v>9.9569318856939398E-2</v>
      </c>
      <c r="DF13" s="63">
        <f t="shared" si="33"/>
        <v>1.6624614641428448</v>
      </c>
      <c r="DG13" s="63">
        <f>INDEX('Junctions — junctions'!$F$2:$F$197,MATCH(CX13,'Junctions — junctions'!$B$2:$B$197,0))</f>
        <v>22</v>
      </c>
      <c r="DH13" s="63">
        <v>10</v>
      </c>
      <c r="DI13" s="63">
        <f t="shared" si="22"/>
        <v>33.662461464142844</v>
      </c>
      <c r="DJ13" s="63">
        <f t="shared" si="23"/>
        <v>11.18887775000548</v>
      </c>
      <c r="DP13" s="63" t="s">
        <v>402</v>
      </c>
      <c r="DQ13" s="63" t="s">
        <v>588</v>
      </c>
      <c r="DR13" s="63" t="s">
        <v>587</v>
      </c>
      <c r="DS13" s="63">
        <v>350</v>
      </c>
      <c r="DT13" s="63">
        <f>VLOOKUP(DS13,REF_TABLE!$G$7:$H$32,2)</f>
        <v>350</v>
      </c>
      <c r="DU13" s="63">
        <v>133</v>
      </c>
      <c r="DV13" s="63">
        <v>2.3857198011229073E-2</v>
      </c>
      <c r="DW13" s="63">
        <f t="shared" si="24"/>
        <v>0.35</v>
      </c>
      <c r="DX13" s="63">
        <f t="shared" si="25"/>
        <v>1.5497922415547928E-2</v>
      </c>
      <c r="DY13" s="63">
        <f>ABS(RESULT_ITTE!EW183)</f>
        <v>3.1258901596069338E-2</v>
      </c>
      <c r="DZ13" s="63">
        <f t="shared" si="34"/>
        <v>1.6945079555511475</v>
      </c>
      <c r="EA13" s="63">
        <f>INDEX('Junctions — junctions'!$F$2:$F$197,MATCH(DR13,'Junctions — junctions'!$B$2:$B$197,0))</f>
        <v>16</v>
      </c>
      <c r="EB13" s="63">
        <v>10</v>
      </c>
      <c r="EC13" s="63">
        <f t="shared" si="26"/>
        <v>27.694507955551149</v>
      </c>
      <c r="ED13" s="63">
        <f t="shared" si="27"/>
        <v>16.84453481698036</v>
      </c>
      <c r="EH13" s="63" t="s">
        <v>183</v>
      </c>
      <c r="EI13" s="63" t="s">
        <v>672</v>
      </c>
      <c r="EJ13" s="63" t="s">
        <v>673</v>
      </c>
      <c r="EK13" s="63">
        <v>400</v>
      </c>
      <c r="EL13" s="63">
        <v>400</v>
      </c>
      <c r="EM13" s="63">
        <v>111</v>
      </c>
      <c r="EN13" s="63">
        <v>4.2504826767064937E-3</v>
      </c>
      <c r="EO13" s="63">
        <v>0.4</v>
      </c>
      <c r="EP13" s="63">
        <v>2.1140166516384652E-3</v>
      </c>
      <c r="EQ13" s="63">
        <v>0.16369540640591485</v>
      </c>
      <c r="ER13" s="63">
        <v>1.6740442493523155</v>
      </c>
      <c r="ES13" s="63">
        <v>15</v>
      </c>
      <c r="ET13" s="63">
        <v>10</v>
      </c>
      <c r="EU13" s="63">
        <v>26.674044249352317</v>
      </c>
      <c r="EV13" s="63">
        <v>23.532451762942184</v>
      </c>
    </row>
    <row r="14" spans="2:152" x14ac:dyDescent="0.25">
      <c r="B14" s="63" t="s">
        <v>183</v>
      </c>
      <c r="C14" s="63" t="s">
        <v>672</v>
      </c>
      <c r="D14" s="63" t="s">
        <v>673</v>
      </c>
      <c r="E14" s="63">
        <v>400</v>
      </c>
      <c r="F14" s="63">
        <f>VLOOKUP(E14,REF_TABLE!$G$7:$H$32,2)</f>
        <v>400</v>
      </c>
      <c r="G14" s="63">
        <v>111</v>
      </c>
      <c r="H14" s="63">
        <f>ABS(RESULT_ITTE!Q184)</f>
        <v>4.2504826767064937E-3</v>
      </c>
      <c r="I14" s="63">
        <f t="shared" si="0"/>
        <v>0.4</v>
      </c>
      <c r="J14" s="63">
        <f t="shared" si="1"/>
        <v>2.1140166516384652E-3</v>
      </c>
      <c r="K14" s="66">
        <f>ABS(RESULT_ITTE!M184)</f>
        <v>0.16369540640591485</v>
      </c>
      <c r="L14" s="66">
        <f t="shared" si="28"/>
        <v>1.6740442493523155</v>
      </c>
      <c r="M14" s="63">
        <f>INDEX('Junctions — junctions'!$F$2:$F$197,MATCH(D14,'Junctions — junctions'!$B$2:$B$197,0))</f>
        <v>15</v>
      </c>
      <c r="N14" s="63">
        <v>10</v>
      </c>
      <c r="O14" s="63">
        <f t="shared" si="2"/>
        <v>26.674044249352317</v>
      </c>
      <c r="P14" s="63">
        <f t="shared" si="3"/>
        <v>23.532451762942184</v>
      </c>
      <c r="T14" s="63" t="s">
        <v>294</v>
      </c>
      <c r="U14" s="63" t="s">
        <v>711</v>
      </c>
      <c r="V14" s="63" t="s">
        <v>710</v>
      </c>
      <c r="W14" s="63">
        <v>300</v>
      </c>
      <c r="X14" s="63">
        <f>VLOOKUP(W14,REF_TABLE!$G$7:$H$32,2)</f>
        <v>300</v>
      </c>
      <c r="Y14" s="63">
        <v>75</v>
      </c>
      <c r="Z14" s="63">
        <f>ABS(RESULT_ITTE!AO184)</f>
        <v>3.4771855721336953E-4</v>
      </c>
      <c r="AA14" s="63">
        <f t="shared" si="4"/>
        <v>0.3</v>
      </c>
      <c r="AB14" s="63">
        <f t="shared" si="5"/>
        <v>3.0745070658494324E-4</v>
      </c>
      <c r="AC14" s="69">
        <f>ABS(RESULT_ITTE!AK184)</f>
        <v>0.13523395890292897</v>
      </c>
      <c r="AD14" s="69">
        <f t="shared" si="29"/>
        <v>2.6289338087514831</v>
      </c>
      <c r="AE14" s="63">
        <f>INDEX('Junctions — junctions'!$F$2:$F$197,MATCH(V14,'Junctions — junctions'!$B$2:$B$197,0))</f>
        <v>10</v>
      </c>
      <c r="AF14" s="69">
        <v>10</v>
      </c>
      <c r="AG14" s="63">
        <f t="shared" si="6"/>
        <v>22.628933808751484</v>
      </c>
      <c r="AH14" s="63">
        <f t="shared" si="7"/>
        <v>72.24369839895796</v>
      </c>
      <c r="AM14" s="63" t="s">
        <v>187</v>
      </c>
      <c r="AN14" s="63" t="s">
        <v>660</v>
      </c>
      <c r="AO14" s="63" t="s">
        <v>659</v>
      </c>
      <c r="AP14" s="63">
        <v>250</v>
      </c>
      <c r="AQ14" s="63">
        <f>VLOOKUP(AP14,REF_TABLE!$G$7:$H$32,2)</f>
        <v>250</v>
      </c>
      <c r="AR14" s="63">
        <v>79</v>
      </c>
      <c r="AS14" s="63">
        <f>ABS(RESULT_ITTE!BK184)</f>
        <v>5.0426735940151755E-2</v>
      </c>
      <c r="AT14" s="63">
        <f t="shared" si="8"/>
        <v>0.25</v>
      </c>
      <c r="AU14" s="63">
        <f t="shared" si="9"/>
        <v>6.4205314310919095E-2</v>
      </c>
      <c r="AV14" s="63">
        <f>ABS(RESULT_ITTE!BG184)</f>
        <v>0.12049694485539995</v>
      </c>
      <c r="AW14" s="63">
        <f t="shared" si="30"/>
        <v>1.0493838886543185</v>
      </c>
      <c r="AX14" s="63">
        <f>INDEX('Junctions — junctions'!$F$2:$F$197,MATCH(AO14,'Junctions — junctions'!$B$2:$B$197,0))</f>
        <v>15</v>
      </c>
      <c r="AY14" s="63">
        <v>10</v>
      </c>
      <c r="AZ14" s="63">
        <f t="shared" si="10"/>
        <v>26.049383888654319</v>
      </c>
      <c r="BA14" s="63">
        <f t="shared" si="11"/>
        <v>13.706734135417786</v>
      </c>
      <c r="BG14" s="63" t="s">
        <v>125</v>
      </c>
      <c r="BH14" s="63" t="s">
        <v>640</v>
      </c>
      <c r="BI14" s="63" t="s">
        <v>639</v>
      </c>
      <c r="BJ14" s="63">
        <v>250</v>
      </c>
      <c r="BK14" s="63">
        <f>VLOOKUP(BJ14,REF_TABLE!$G$7:$H$32,2)</f>
        <v>250</v>
      </c>
      <c r="BL14" s="63">
        <v>79</v>
      </c>
      <c r="BM14" s="63">
        <f>ABS(RESULT_ITTE!CH184)</f>
        <v>1.8933798305166713E-2</v>
      </c>
      <c r="BN14" s="63">
        <f t="shared" si="12"/>
        <v>0.25</v>
      </c>
      <c r="BO14" s="63">
        <f t="shared" si="13"/>
        <v>2.4107260734177863E-2</v>
      </c>
      <c r="BP14" s="63">
        <f>ABS(RESULT_ITTE!CD184)</f>
        <v>0.12049694485539995</v>
      </c>
      <c r="BQ14" s="63">
        <f t="shared" si="31"/>
        <v>1.5339724996356066</v>
      </c>
      <c r="BR14" s="63">
        <f>INDEX('Junctions — junctions'!$F$2:$F$197,MATCH(BI14,'Junctions — junctions'!$B$2:$B$197,0))</f>
        <v>16</v>
      </c>
      <c r="BS14" s="63">
        <v>10</v>
      </c>
      <c r="BT14" s="63">
        <f t="shared" si="14"/>
        <v>27.533972499635606</v>
      </c>
      <c r="BU14" s="63">
        <f t="shared" si="15"/>
        <v>16.208330183267922</v>
      </c>
      <c r="CB14" s="63" t="s">
        <v>408</v>
      </c>
      <c r="CC14" s="63" t="s">
        <v>619</v>
      </c>
      <c r="CD14" s="63" t="s">
        <v>618</v>
      </c>
      <c r="CE14" s="63">
        <v>350</v>
      </c>
      <c r="CF14" s="63">
        <f>VLOOKUP(CE14,REF_TABLE!$G$7:$H$32,2)</f>
        <v>350</v>
      </c>
      <c r="CG14" s="63">
        <v>91</v>
      </c>
      <c r="CH14" s="63">
        <f>ABS(RESULT_ITTE!DD184)</f>
        <v>0.10608980681212855</v>
      </c>
      <c r="CI14" s="63">
        <f t="shared" si="16"/>
        <v>0.35</v>
      </c>
      <c r="CJ14" s="63">
        <f t="shared" si="17"/>
        <v>6.8917212921691812E-2</v>
      </c>
      <c r="CK14" s="63">
        <f>ABS(RESULT_ITTE!CZ184)</f>
        <v>0.15105563468753958</v>
      </c>
      <c r="CL14" s="63">
        <f t="shared" si="32"/>
        <v>1.9580888309697901</v>
      </c>
      <c r="CM14" s="63">
        <f>INDEX('Junctions — junctions'!$F$2:$F$197,MATCH(CD14,'Junctions — junctions'!$B$2:$B$197,0))</f>
        <v>15</v>
      </c>
      <c r="CN14" s="63">
        <v>10</v>
      </c>
      <c r="CO14" s="63">
        <f t="shared" si="18"/>
        <v>26.958088830969789</v>
      </c>
      <c r="CP14" s="63">
        <f t="shared" si="19"/>
        <v>19.508990874687722</v>
      </c>
      <c r="CV14" s="63" t="s">
        <v>148</v>
      </c>
      <c r="CW14" s="63" t="s">
        <v>602</v>
      </c>
      <c r="CX14" s="63" t="s">
        <v>601</v>
      </c>
      <c r="CY14" s="63">
        <v>466</v>
      </c>
      <c r="CZ14" s="63">
        <f>VLOOKUP(CY14,REF_TABLE!$G$7:$H$32,2)</f>
        <v>500</v>
      </c>
      <c r="DA14" s="63">
        <v>194</v>
      </c>
      <c r="DB14" s="63">
        <f>ABS(RESULT_ITTE!EB184)</f>
        <v>0.19941061160685536</v>
      </c>
      <c r="DC14" s="63">
        <f t="shared" si="20"/>
        <v>0.46600000000000003</v>
      </c>
      <c r="DD14" s="63">
        <f t="shared" si="21"/>
        <v>7.3074620416219468E-2</v>
      </c>
      <c r="DE14" s="63">
        <f>ABS(RESULT_ITTE!DX184)</f>
        <v>0.28830519191412302</v>
      </c>
      <c r="DF14" s="63">
        <f t="shared" si="33"/>
        <v>1.9507666560569679</v>
      </c>
      <c r="DG14" s="63">
        <f>INDEX('Junctions — junctions'!$F$2:$F$197,MATCH(CX14,'Junctions — junctions'!$B$2:$B$197,0))</f>
        <v>13</v>
      </c>
      <c r="DH14" s="63">
        <v>10</v>
      </c>
      <c r="DI14" s="63">
        <f t="shared" si="22"/>
        <v>24.950766656056967</v>
      </c>
      <c r="DJ14" s="63">
        <f t="shared" si="23"/>
        <v>19.900572558091358</v>
      </c>
      <c r="DP14" s="63" t="s">
        <v>174</v>
      </c>
      <c r="DQ14" s="63" t="s">
        <v>589</v>
      </c>
      <c r="DR14" s="63" t="s">
        <v>588</v>
      </c>
      <c r="DS14" s="63">
        <v>350</v>
      </c>
      <c r="DT14" s="63">
        <f>VLOOKUP(DS14,REF_TABLE!$G$7:$H$32,2)</f>
        <v>350</v>
      </c>
      <c r="DU14" s="63">
        <v>178</v>
      </c>
      <c r="DV14" s="63">
        <v>2.2431506178413399E-2</v>
      </c>
      <c r="DW14" s="63">
        <f t="shared" si="24"/>
        <v>0.35</v>
      </c>
      <c r="DX14" s="63">
        <f t="shared" si="25"/>
        <v>1.4571775874656669E-2</v>
      </c>
      <c r="DY14" s="63">
        <f>ABS(RESULT_ITTE!EW184)</f>
        <v>2.9484477996826169E-2</v>
      </c>
      <c r="DZ14" s="63">
        <f t="shared" si="34"/>
        <v>1.7239924335479737</v>
      </c>
      <c r="EA14" s="63">
        <f>INDEX('Junctions — junctions'!$F$2:$F$197,MATCH(DR14,'Junctions — junctions'!$B$2:$B$197,0))</f>
        <v>17</v>
      </c>
      <c r="EB14" s="63">
        <v>10</v>
      </c>
      <c r="EC14" s="63">
        <f t="shared" si="26"/>
        <v>28.723992433547973</v>
      </c>
      <c r="ED14" s="63">
        <f t="shared" si="27"/>
        <v>15.815050338983536</v>
      </c>
      <c r="EH14" s="63" t="s">
        <v>192</v>
      </c>
      <c r="EI14" s="63" t="s">
        <v>673</v>
      </c>
      <c r="EJ14" s="63" t="s">
        <v>674</v>
      </c>
      <c r="EK14" s="63">
        <v>350</v>
      </c>
      <c r="EL14" s="63">
        <v>350</v>
      </c>
      <c r="EM14" s="63">
        <v>88</v>
      </c>
      <c r="EN14" s="63">
        <v>1.8161600251247346E-3</v>
      </c>
      <c r="EO14" s="63">
        <v>0.35</v>
      </c>
      <c r="EP14" s="63">
        <v>1.1797993691612342E-3</v>
      </c>
      <c r="EQ14" s="63">
        <v>0.16177772046556005</v>
      </c>
      <c r="ER14" s="63">
        <v>1.8358219698178755</v>
      </c>
      <c r="ES14" s="63">
        <v>16</v>
      </c>
      <c r="ET14" s="63">
        <v>10</v>
      </c>
      <c r="EU14" s="63">
        <v>27.835821969817875</v>
      </c>
      <c r="EV14" s="63">
        <v>22.370674042476626</v>
      </c>
    </row>
    <row r="15" spans="2:152" x14ac:dyDescent="0.25">
      <c r="B15" s="63" t="s">
        <v>192</v>
      </c>
      <c r="C15" s="63" t="s">
        <v>673</v>
      </c>
      <c r="D15" s="63" t="s">
        <v>674</v>
      </c>
      <c r="E15" s="63">
        <v>350</v>
      </c>
      <c r="F15" s="63">
        <f>VLOOKUP(E15,REF_TABLE!$G$7:$H$32,2)</f>
        <v>350</v>
      </c>
      <c r="G15" s="63">
        <v>88</v>
      </c>
      <c r="H15" s="63">
        <f>ABS(RESULT_ITTE!Q185)</f>
        <v>1.8161600251247346E-3</v>
      </c>
      <c r="I15" s="63">
        <f t="shared" si="0"/>
        <v>0.35</v>
      </c>
      <c r="J15" s="63">
        <f t="shared" si="1"/>
        <v>1.1797993691612342E-3</v>
      </c>
      <c r="K15" s="66">
        <f>ABS(RESULT_ITTE!M185)</f>
        <v>0.16177772046556005</v>
      </c>
      <c r="L15" s="66">
        <f t="shared" si="28"/>
        <v>1.8358219698178755</v>
      </c>
      <c r="M15" s="63">
        <f>INDEX('Junctions — junctions'!$F$2:$F$197,MATCH(D15,'Junctions — junctions'!$B$2:$B$197,0))</f>
        <v>16</v>
      </c>
      <c r="N15" s="63">
        <v>10</v>
      </c>
      <c r="O15" s="63">
        <f t="shared" si="2"/>
        <v>27.835821969817875</v>
      </c>
      <c r="P15" s="63">
        <f t="shared" si="3"/>
        <v>22.370674042476626</v>
      </c>
      <c r="T15" s="63" t="s">
        <v>295</v>
      </c>
      <c r="U15" s="63" t="s">
        <v>712</v>
      </c>
      <c r="V15" s="63" t="s">
        <v>711</v>
      </c>
      <c r="W15" s="63">
        <v>300</v>
      </c>
      <c r="X15" s="63">
        <f>VLOOKUP(W15,REF_TABLE!$G$7:$H$32,2)</f>
        <v>300</v>
      </c>
      <c r="Y15" s="63">
        <v>108</v>
      </c>
      <c r="Z15" s="63">
        <f>ABS(RESULT_ITTE!AO185)</f>
        <v>2.68063579649003E-3</v>
      </c>
      <c r="AA15" s="63">
        <f t="shared" si="4"/>
        <v>0.3</v>
      </c>
      <c r="AB15" s="63">
        <f t="shared" si="5"/>
        <v>2.3702024313359345E-3</v>
      </c>
      <c r="AC15" s="69">
        <f>ABS(RESULT_ITTE!AK185)</f>
        <v>0.19473690082021772</v>
      </c>
      <c r="AD15" s="69">
        <f t="shared" si="29"/>
        <v>2.8236707095717009</v>
      </c>
      <c r="AE15" s="63">
        <f>INDEX('Junctions — junctions'!$F$2:$F$197,MATCH(V15,'Junctions — junctions'!$B$2:$B$197,0))</f>
        <v>10</v>
      </c>
      <c r="AF15" s="69">
        <v>10</v>
      </c>
      <c r="AG15" s="63">
        <f t="shared" si="6"/>
        <v>22.823670709571701</v>
      </c>
      <c r="AH15" s="63">
        <f t="shared" si="7"/>
        <v>72.048961498137743</v>
      </c>
      <c r="AM15" s="63" t="s">
        <v>185</v>
      </c>
      <c r="AN15" s="63" t="s">
        <v>661</v>
      </c>
      <c r="AO15" s="63" t="s">
        <v>660</v>
      </c>
      <c r="AP15" s="63">
        <v>250</v>
      </c>
      <c r="AQ15" s="63">
        <f>VLOOKUP(AP15,REF_TABLE!$G$7:$H$32,2)</f>
        <v>250</v>
      </c>
      <c r="AR15" s="63">
        <v>80</v>
      </c>
      <c r="AS15" s="63">
        <f>ABS(RESULT_ITTE!BK185)</f>
        <v>4.8561821891167263E-2</v>
      </c>
      <c r="AT15" s="63">
        <f t="shared" si="8"/>
        <v>0.25</v>
      </c>
      <c r="AU15" s="63">
        <f t="shared" si="9"/>
        <v>6.1830831996219866E-2</v>
      </c>
      <c r="AV15" s="63">
        <f>ABS(RESULT_ITTE!BG185)</f>
        <v>0.12201534069957347</v>
      </c>
      <c r="AW15" s="63">
        <f t="shared" si="30"/>
        <v>1.171399229353892</v>
      </c>
      <c r="AX15" s="63">
        <f>INDEX('Junctions — junctions'!$F$2:$F$197,MATCH(AO15,'Junctions — junctions'!$B$2:$B$197,0))</f>
        <v>18</v>
      </c>
      <c r="AY15" s="63">
        <v>10</v>
      </c>
      <c r="AZ15" s="63">
        <f t="shared" si="10"/>
        <v>29.171399229353892</v>
      </c>
      <c r="BA15" s="63">
        <f t="shared" si="11"/>
        <v>10.584718794718214</v>
      </c>
      <c r="BG15" s="63" t="s">
        <v>124</v>
      </c>
      <c r="BH15" s="63" t="s">
        <v>641</v>
      </c>
      <c r="BI15" s="63" t="s">
        <v>640</v>
      </c>
      <c r="BJ15" s="63">
        <v>250</v>
      </c>
      <c r="BK15" s="63">
        <f>VLOOKUP(BJ15,REF_TABLE!$G$7:$H$32,2)</f>
        <v>250</v>
      </c>
      <c r="BL15" s="63">
        <v>51</v>
      </c>
      <c r="BM15" s="63">
        <f>ABS(RESULT_ITTE!CH185)</f>
        <v>1.871300829602764E-2</v>
      </c>
      <c r="BN15" s="63">
        <f t="shared" si="12"/>
        <v>0.25</v>
      </c>
      <c r="BO15" s="63">
        <f t="shared" si="13"/>
        <v>2.3826142163459556E-2</v>
      </c>
      <c r="BP15" s="63">
        <f>ABS(RESULT_ITTE!CD185)</f>
        <v>7.7789166931967052E-2</v>
      </c>
      <c r="BQ15" s="63">
        <f t="shared" si="31"/>
        <v>1.6117616665675736</v>
      </c>
      <c r="BR15" s="63">
        <f>INDEX('Junctions — junctions'!$F$2:$F$197,MATCH(BI15,'Junctions — junctions'!$B$2:$B$197,0))</f>
        <v>15</v>
      </c>
      <c r="BS15" s="63">
        <v>10</v>
      </c>
      <c r="BT15" s="63">
        <f t="shared" si="14"/>
        <v>26.611761666567574</v>
      </c>
      <c r="BU15" s="63">
        <f t="shared" si="15"/>
        <v>17.130541016335954</v>
      </c>
      <c r="CB15" s="63" t="s">
        <v>172</v>
      </c>
      <c r="CC15" s="63" t="s">
        <v>620</v>
      </c>
      <c r="CD15" s="63" t="s">
        <v>619</v>
      </c>
      <c r="CE15" s="63">
        <v>350</v>
      </c>
      <c r="CF15" s="63">
        <f>VLOOKUP(CE15,REF_TABLE!$G$7:$H$32,2)</f>
        <v>350</v>
      </c>
      <c r="CG15" s="63">
        <v>87</v>
      </c>
      <c r="CH15" s="63">
        <f>ABS(RESULT_ITTE!DD185)</f>
        <v>0.10592769963615366</v>
      </c>
      <c r="CI15" s="63">
        <f t="shared" si="16"/>
        <v>0.35</v>
      </c>
      <c r="CJ15" s="63">
        <f t="shared" si="17"/>
        <v>6.8811906152846616E-2</v>
      </c>
      <c r="CK15" s="63">
        <f>ABS(RESULT_ITTE!CZ185)</f>
        <v>0.14441582656940599</v>
      </c>
      <c r="CL15" s="63">
        <f t="shared" si="32"/>
        <v>2.1025046575391961</v>
      </c>
      <c r="CM15" s="63">
        <f>INDEX('Junctions — junctions'!$F$2:$F$197,MATCH(CD15,'Junctions — junctions'!$B$2:$B$197,0))</f>
        <v>12</v>
      </c>
      <c r="CN15" s="63">
        <v>10</v>
      </c>
      <c r="CO15" s="63">
        <f t="shared" si="18"/>
        <v>24.102504657539196</v>
      </c>
      <c r="CP15" s="63">
        <f t="shared" si="19"/>
        <v>22.364575048118315</v>
      </c>
      <c r="CV15" s="63" t="s">
        <v>147</v>
      </c>
      <c r="CW15" s="63" t="s">
        <v>603</v>
      </c>
      <c r="CX15" s="63" t="s">
        <v>602</v>
      </c>
      <c r="CY15" s="63">
        <v>466</v>
      </c>
      <c r="CZ15" s="63">
        <f>VLOOKUP(CY15,REF_TABLE!$G$7:$H$32,2)</f>
        <v>500</v>
      </c>
      <c r="DA15" s="63">
        <v>74</v>
      </c>
      <c r="DB15" s="63">
        <f>ABS(RESULT_ITTE!EB185)</f>
        <v>0.19872187209218772</v>
      </c>
      <c r="DC15" s="63">
        <f t="shared" si="20"/>
        <v>0.46600000000000003</v>
      </c>
      <c r="DD15" s="63">
        <f t="shared" si="21"/>
        <v>7.2822229742551536E-2</v>
      </c>
      <c r="DE15" s="63">
        <f>ABS(RESULT_ITTE!DX185)</f>
        <v>0.10997208351363455</v>
      </c>
      <c r="DF15" s="63">
        <f t="shared" si="33"/>
        <v>2.0607387395706023</v>
      </c>
      <c r="DG15" s="63">
        <f>INDEX('Junctions — junctions'!$F$2:$F$197,MATCH(CX15,'Junctions — junctions'!$B$2:$B$197,0))</f>
        <v>11</v>
      </c>
      <c r="DH15" s="63">
        <v>10</v>
      </c>
      <c r="DI15" s="63">
        <f t="shared" si="22"/>
        <v>23.060738739570603</v>
      </c>
      <c r="DJ15" s="63">
        <f t="shared" si="23"/>
        <v>21.790600474577722</v>
      </c>
      <c r="DP15" s="63" t="s">
        <v>175</v>
      </c>
      <c r="DQ15" s="63" t="s">
        <v>590</v>
      </c>
      <c r="DR15" s="63" t="s">
        <v>589</v>
      </c>
      <c r="DS15" s="63">
        <v>350</v>
      </c>
      <c r="DT15" s="63">
        <f>VLOOKUP(DS15,REF_TABLE!$G$7:$H$32,2)</f>
        <v>350</v>
      </c>
      <c r="DU15" s="63">
        <v>198</v>
      </c>
      <c r="DV15" s="63">
        <v>1.7540625804645698E-2</v>
      </c>
      <c r="DW15" s="63">
        <f t="shared" si="24"/>
        <v>0.35</v>
      </c>
      <c r="DX15" s="63">
        <f t="shared" si="25"/>
        <v>1.1394601231569866E-2</v>
      </c>
      <c r="DY15" s="63">
        <f>ABS(RESULT_ITTE!EW185)</f>
        <v>2.7339191436767583E-2</v>
      </c>
      <c r="DZ15" s="63">
        <f t="shared" si="34"/>
        <v>1.7513316249847413</v>
      </c>
      <c r="EA15" s="63">
        <f>INDEX('Junctions — junctions'!$F$2:$F$197,MATCH(DR15,'Junctions — junctions'!$B$2:$B$197,0))</f>
        <v>15</v>
      </c>
      <c r="EB15" s="63">
        <v>10</v>
      </c>
      <c r="EC15" s="63">
        <f t="shared" si="26"/>
        <v>26.75133162498474</v>
      </c>
      <c r="ED15" s="63">
        <f t="shared" si="27"/>
        <v>17.787711147546769</v>
      </c>
      <c r="EH15" s="63" t="s">
        <v>230</v>
      </c>
      <c r="EI15" s="63" t="s">
        <v>674</v>
      </c>
      <c r="EJ15" s="63" t="s">
        <v>675</v>
      </c>
      <c r="EK15" s="63">
        <v>350</v>
      </c>
      <c r="EL15" s="63">
        <v>350</v>
      </c>
      <c r="EM15" s="63">
        <v>74</v>
      </c>
      <c r="EN15" s="63">
        <v>1.0455650577453476E-3</v>
      </c>
      <c r="EO15" s="63">
        <v>0.35</v>
      </c>
      <c r="EP15" s="63">
        <v>6.7921162148708205E-4</v>
      </c>
      <c r="EQ15" s="63">
        <v>9.8696782594534224E-2</v>
      </c>
      <c r="ER15" s="63">
        <v>1.9345187524124097</v>
      </c>
      <c r="ES15" s="63">
        <v>13</v>
      </c>
      <c r="ET15" s="63">
        <v>10</v>
      </c>
      <c r="EU15" s="63">
        <v>24.934518752412409</v>
      </c>
      <c r="EV15" s="63">
        <v>25.271977259882092</v>
      </c>
    </row>
    <row r="16" spans="2:152" x14ac:dyDescent="0.25">
      <c r="B16" s="63" t="s">
        <v>230</v>
      </c>
      <c r="C16" s="63" t="s">
        <v>674</v>
      </c>
      <c r="D16" s="63" t="s">
        <v>675</v>
      </c>
      <c r="E16" s="63">
        <v>350</v>
      </c>
      <c r="F16" s="63">
        <f>VLOOKUP(E16,REF_TABLE!$G$7:$H$32,2)</f>
        <v>350</v>
      </c>
      <c r="G16" s="63">
        <v>74</v>
      </c>
      <c r="H16" s="63">
        <f>ABS(RESULT_ITTE!Q186)</f>
        <v>1.0455650577453476E-3</v>
      </c>
      <c r="I16" s="63">
        <f t="shared" si="0"/>
        <v>0.35</v>
      </c>
      <c r="J16" s="63">
        <f t="shared" si="1"/>
        <v>6.7921162148708205E-4</v>
      </c>
      <c r="K16" s="66">
        <f>ABS(RESULT_ITTE!M186)</f>
        <v>9.8696782594534224E-2</v>
      </c>
      <c r="L16" s="66">
        <f t="shared" si="28"/>
        <v>1.9345187524124097</v>
      </c>
      <c r="M16" s="63">
        <f>INDEX('Junctions — junctions'!$F$2:$F$197,MATCH(D16,'Junctions — junctions'!$B$2:$B$197,0))</f>
        <v>13</v>
      </c>
      <c r="N16" s="63">
        <v>10</v>
      </c>
      <c r="O16" s="63">
        <f t="shared" si="2"/>
        <v>24.934518752412409</v>
      </c>
      <c r="P16" s="63">
        <f t="shared" si="3"/>
        <v>25.271977259882092</v>
      </c>
      <c r="T16" s="63" t="s">
        <v>296</v>
      </c>
      <c r="U16" s="63" t="s">
        <v>713</v>
      </c>
      <c r="V16" s="63" t="s">
        <v>712</v>
      </c>
      <c r="W16" s="63">
        <v>300</v>
      </c>
      <c r="X16" s="63">
        <f>VLOOKUP(W16,REF_TABLE!$G$7:$H$32,2)</f>
        <v>300</v>
      </c>
      <c r="Y16" s="63">
        <v>150</v>
      </c>
      <c r="Z16" s="63">
        <f>ABS(RESULT_ITTE!AO186)</f>
        <v>4.0433589408214949E-3</v>
      </c>
      <c r="AA16" s="63">
        <f t="shared" si="4"/>
        <v>0.3</v>
      </c>
      <c r="AB16" s="63">
        <f t="shared" si="5"/>
        <v>3.5751142340363956E-3</v>
      </c>
      <c r="AC16" s="69">
        <f>ABS(RESULT_ITTE!AK186)</f>
        <v>0.27046791780585794</v>
      </c>
      <c r="AD16" s="69">
        <f t="shared" si="29"/>
        <v>3.0941386273775588</v>
      </c>
      <c r="AE16" s="63">
        <f>INDEX('Junctions — junctions'!$F$2:$F$197,MATCH(V16,'Junctions — junctions'!$B$2:$B$197,0))</f>
        <v>4</v>
      </c>
      <c r="AF16" s="69">
        <v>10</v>
      </c>
      <c r="AG16" s="63">
        <f t="shared" si="6"/>
        <v>17.094138627377561</v>
      </c>
      <c r="AH16" s="63">
        <f t="shared" si="7"/>
        <v>77.778493580331883</v>
      </c>
      <c r="AM16" s="63" t="s">
        <v>422</v>
      </c>
      <c r="AN16" s="63" t="s">
        <v>661</v>
      </c>
      <c r="AO16" s="63" t="s">
        <v>715</v>
      </c>
      <c r="AP16" s="63">
        <v>300</v>
      </c>
      <c r="AQ16" s="63">
        <f>VLOOKUP(AP16,REF_TABLE!$G$7:$H$32,2)</f>
        <v>300</v>
      </c>
      <c r="AR16" s="63">
        <v>81</v>
      </c>
      <c r="AS16" s="63">
        <f>ABS(RESULT_ITTE!BK186)</f>
        <v>3.3581315338946554E-3</v>
      </c>
      <c r="AT16" s="63">
        <f t="shared" si="8"/>
        <v>0.3</v>
      </c>
      <c r="AU16" s="63">
        <f t="shared" si="9"/>
        <v>2.9692401842894615E-3</v>
      </c>
      <c r="AV16" s="63">
        <f>ABS(RESULT_ITTE!BG186)</f>
        <v>5.7848134769030488E-2</v>
      </c>
      <c r="AW16" s="63">
        <f t="shared" si="30"/>
        <v>1.2292473641229225</v>
      </c>
      <c r="AX16" s="63">
        <f>INDEX('Junctions — junctions'!$F$2:$F$197,MATCH(AO16,'Junctions — junctions'!$B$2:$B$197,0))</f>
        <v>12</v>
      </c>
      <c r="AY16" s="63">
        <v>10</v>
      </c>
      <c r="AZ16" s="63">
        <f t="shared" si="10"/>
        <v>23.229247364122923</v>
      </c>
      <c r="BA16" s="63">
        <f t="shared" si="11"/>
        <v>16.526870659949182</v>
      </c>
      <c r="BG16" s="63" t="s">
        <v>123</v>
      </c>
      <c r="BH16" s="63" t="s">
        <v>642</v>
      </c>
      <c r="BI16" s="63" t="s">
        <v>641</v>
      </c>
      <c r="BJ16" s="63">
        <v>250</v>
      </c>
      <c r="BK16" s="63">
        <f>VLOOKUP(BJ16,REF_TABLE!$G$7:$H$32,2)</f>
        <v>250</v>
      </c>
      <c r="BL16" s="63">
        <v>73</v>
      </c>
      <c r="BM16" s="63">
        <f>ABS(RESULT_ITTE!CH186)</f>
        <v>1.7647608869310459E-2</v>
      </c>
      <c r="BN16" s="63">
        <f t="shared" si="12"/>
        <v>0.25</v>
      </c>
      <c r="BO16" s="63">
        <f t="shared" si="13"/>
        <v>2.2469633482425068E-2</v>
      </c>
      <c r="BP16" s="63">
        <f>ABS(RESULT_ITTE!CD186)</f>
        <v>0.11134527815752146</v>
      </c>
      <c r="BQ16" s="63">
        <f t="shared" si="31"/>
        <v>1.7231069447250951</v>
      </c>
      <c r="BR16" s="63">
        <f>INDEX('Junctions — junctions'!$F$2:$F$197,MATCH(BI16,'Junctions — junctions'!$B$2:$B$197,0))</f>
        <v>8</v>
      </c>
      <c r="BS16" s="63">
        <v>10</v>
      </c>
      <c r="BT16" s="63">
        <f t="shared" si="14"/>
        <v>19.723106944725096</v>
      </c>
      <c r="BU16" s="63">
        <f t="shared" si="15"/>
        <v>24.019195738178432</v>
      </c>
      <c r="CB16" s="63" t="s">
        <v>170</v>
      </c>
      <c r="CC16" s="63" t="s">
        <v>621</v>
      </c>
      <c r="CD16" s="63" t="s">
        <v>620</v>
      </c>
      <c r="CE16" s="63">
        <v>350</v>
      </c>
      <c r="CF16" s="63">
        <f>VLOOKUP(CE16,REF_TABLE!$G$7:$H$32,2)</f>
        <v>350</v>
      </c>
      <c r="CG16" s="63">
        <v>94</v>
      </c>
      <c r="CH16" s="63">
        <f>ABS(RESULT_ITTE!DD186)</f>
        <v>0.10460403581587409</v>
      </c>
      <c r="CI16" s="63">
        <f t="shared" si="16"/>
        <v>0.35</v>
      </c>
      <c r="CJ16" s="63">
        <f t="shared" si="17"/>
        <v>6.7952038234522547E-2</v>
      </c>
      <c r="CK16" s="63">
        <f>ABS(RESULT_ITTE!CZ186)</f>
        <v>0.15603549077613979</v>
      </c>
      <c r="CL16" s="63">
        <f t="shared" si="32"/>
        <v>2.258540148315336</v>
      </c>
      <c r="CM16" s="63">
        <f>INDEX('Junctions — junctions'!$F$2:$F$197,MATCH(CD16,'Junctions — junctions'!$B$2:$B$197,0))</f>
        <v>10</v>
      </c>
      <c r="CN16" s="63">
        <v>10</v>
      </c>
      <c r="CO16" s="63">
        <f t="shared" si="18"/>
        <v>22.258540148315337</v>
      </c>
      <c r="CP16" s="63">
        <f t="shared" si="19"/>
        <v>24.208539557342174</v>
      </c>
      <c r="CV16" s="63" t="s">
        <v>146</v>
      </c>
      <c r="CW16" s="63" t="s">
        <v>604</v>
      </c>
      <c r="CX16" s="63" t="s">
        <v>603</v>
      </c>
      <c r="CY16" s="63">
        <v>466</v>
      </c>
      <c r="CZ16" s="63">
        <f>VLOOKUP(CY16,REF_TABLE!$G$7:$H$32,2)</f>
        <v>500</v>
      </c>
      <c r="DA16" s="63">
        <v>92</v>
      </c>
      <c r="DB16" s="63">
        <f>ABS(RESULT_ITTE!EB186)</f>
        <v>0.19784057167390237</v>
      </c>
      <c r="DC16" s="63">
        <f t="shared" si="20"/>
        <v>0.46600000000000003</v>
      </c>
      <c r="DD16" s="63">
        <f t="shared" si="21"/>
        <v>7.249927454463144E-2</v>
      </c>
      <c r="DE16" s="63">
        <f>ABS(RESULT_ITTE!DX186)</f>
        <v>0.13672204977370783</v>
      </c>
      <c r="DF16" s="63">
        <f t="shared" si="33"/>
        <v>2.1974607893443103</v>
      </c>
      <c r="DG16" s="63">
        <f>INDEX('Junctions — junctions'!$F$2:$F$197,MATCH(CX16,'Junctions — junctions'!$B$2:$B$197,0))</f>
        <v>12</v>
      </c>
      <c r="DH16" s="63">
        <v>10</v>
      </c>
      <c r="DI16" s="63">
        <f t="shared" si="22"/>
        <v>24.197460789344312</v>
      </c>
      <c r="DJ16" s="63">
        <f t="shared" si="23"/>
        <v>20.653878424804013</v>
      </c>
      <c r="DP16" s="63" t="s">
        <v>176</v>
      </c>
      <c r="DQ16" s="63" t="s">
        <v>591</v>
      </c>
      <c r="DR16" s="63" t="s">
        <v>590</v>
      </c>
      <c r="DS16" s="63">
        <v>350</v>
      </c>
      <c r="DT16" s="63">
        <f>VLOOKUP(DS16,REF_TABLE!$G$7:$H$32,2)</f>
        <v>350</v>
      </c>
      <c r="DU16" s="63">
        <v>174</v>
      </c>
      <c r="DV16" s="63">
        <v>1.4797625226010479E-2</v>
      </c>
      <c r="DW16" s="63">
        <f t="shared" si="24"/>
        <v>0.35</v>
      </c>
      <c r="DX16" s="63">
        <f t="shared" si="25"/>
        <v>9.6127151050648708E-3</v>
      </c>
      <c r="DY16" s="63">
        <f>ABS(RESULT_ITTE!EW186)</f>
        <v>2.5216728210449218E-2</v>
      </c>
      <c r="DZ16" s="63">
        <f t="shared" si="34"/>
        <v>1.7765483531951904</v>
      </c>
      <c r="EA16" s="63">
        <f>INDEX('Junctions — junctions'!$F$2:$F$197,MATCH(DR16,'Junctions — junctions'!$B$2:$B$197,0))</f>
        <v>16</v>
      </c>
      <c r="EB16" s="63">
        <v>10</v>
      </c>
      <c r="EC16" s="63">
        <f t="shared" si="26"/>
        <v>27.776548353195189</v>
      </c>
      <c r="ED16" s="63">
        <f t="shared" si="27"/>
        <v>16.762494419336321</v>
      </c>
      <c r="EH16" s="63" t="s">
        <v>215</v>
      </c>
      <c r="EI16" s="63" t="s">
        <v>675</v>
      </c>
      <c r="EJ16" s="63" t="s">
        <v>676</v>
      </c>
      <c r="EK16" s="63">
        <v>565</v>
      </c>
      <c r="EL16" s="63">
        <v>600</v>
      </c>
      <c r="EM16" s="63">
        <v>248</v>
      </c>
      <c r="EN16" s="63">
        <v>4.1460525251979692E-4</v>
      </c>
      <c r="EO16" s="63">
        <v>0.56499999999999995</v>
      </c>
      <c r="EP16" s="63">
        <v>1.0335417866769395E-4</v>
      </c>
      <c r="EQ16" s="63">
        <v>0.30141008477405656</v>
      </c>
      <c r="ER16" s="63">
        <v>2.2359288371864663</v>
      </c>
      <c r="ES16" s="63">
        <v>14</v>
      </c>
      <c r="ET16" s="63">
        <v>10</v>
      </c>
      <c r="EU16" s="63">
        <v>26.235928837186467</v>
      </c>
      <c r="EV16" s="63">
        <v>23.970567175108034</v>
      </c>
    </row>
    <row r="17" spans="2:152" x14ac:dyDescent="0.25">
      <c r="B17" s="63" t="s">
        <v>215</v>
      </c>
      <c r="C17" s="63" t="s">
        <v>675</v>
      </c>
      <c r="D17" s="63" t="s">
        <v>676</v>
      </c>
      <c r="E17" s="63">
        <v>565</v>
      </c>
      <c r="F17" s="63">
        <f>VLOOKUP(E17,REF_TABLE!$G$7:$H$32,2)</f>
        <v>600</v>
      </c>
      <c r="G17" s="63">
        <v>248</v>
      </c>
      <c r="H17" s="63">
        <f>ABS(RESULT_ITTE!Q187)</f>
        <v>4.1460525251979692E-4</v>
      </c>
      <c r="I17" s="63">
        <f t="shared" si="0"/>
        <v>0.56499999999999995</v>
      </c>
      <c r="J17" s="63">
        <f t="shared" si="1"/>
        <v>1.0335417866769395E-4</v>
      </c>
      <c r="K17" s="66">
        <f>ABS(RESULT_ITTE!M187)</f>
        <v>0.30141008477405656</v>
      </c>
      <c r="L17" s="66">
        <f t="shared" si="28"/>
        <v>2.2359288371864663</v>
      </c>
      <c r="M17" s="63">
        <f>INDEX('Junctions — junctions'!$F$2:$F$197,MATCH(D17,'Junctions — junctions'!$B$2:$B$197,0))</f>
        <v>14</v>
      </c>
      <c r="N17" s="63">
        <v>10</v>
      </c>
      <c r="O17" s="63">
        <f t="shared" si="2"/>
        <v>26.235928837186467</v>
      </c>
      <c r="P17" s="63">
        <f t="shared" si="3"/>
        <v>23.970567175108034</v>
      </c>
      <c r="T17" s="63" t="s">
        <v>297</v>
      </c>
      <c r="U17" s="63" t="s">
        <v>714</v>
      </c>
      <c r="V17" s="63" t="s">
        <v>713</v>
      </c>
      <c r="W17" s="63">
        <v>300</v>
      </c>
      <c r="X17" s="63">
        <f>VLOOKUP(W17,REF_TABLE!$G$7:$H$32,2)</f>
        <v>300</v>
      </c>
      <c r="Y17" s="63">
        <v>54</v>
      </c>
      <c r="Z17" s="63">
        <f>ABS(RESULT_ITTE!AO187)</f>
        <v>4.0353064464146281E-3</v>
      </c>
      <c r="AA17" s="63">
        <f t="shared" si="4"/>
        <v>0.3</v>
      </c>
      <c r="AB17" s="63">
        <f t="shared" si="5"/>
        <v>3.5679942657637696E-3</v>
      </c>
      <c r="AC17" s="69">
        <f>ABS(RESULT_ITTE!AK187)</f>
        <v>9.7368450410108859E-2</v>
      </c>
      <c r="AD17" s="69">
        <f t="shared" si="29"/>
        <v>3.1915070777876675</v>
      </c>
      <c r="AE17" s="63">
        <f>INDEX('Junctions — junctions'!$F$2:$F$197,MATCH(V17,'Junctions — junctions'!$B$2:$B$197,0))</f>
        <v>13</v>
      </c>
      <c r="AF17" s="69">
        <v>10</v>
      </c>
      <c r="AG17" s="63">
        <f t="shared" si="6"/>
        <v>26.191507077787669</v>
      </c>
      <c r="AH17" s="63">
        <f t="shared" si="7"/>
        <v>68.681125129921782</v>
      </c>
      <c r="AM17" s="63" t="s">
        <v>263</v>
      </c>
      <c r="AN17" s="63" t="s">
        <v>692</v>
      </c>
      <c r="AO17" s="63" t="s">
        <v>691</v>
      </c>
      <c r="AP17" s="63">
        <v>250</v>
      </c>
      <c r="AQ17" s="63">
        <f>VLOOKUP(AP17,REF_TABLE!$G$7:$H$32,2)</f>
        <v>250</v>
      </c>
      <c r="AR17" s="63">
        <v>111</v>
      </c>
      <c r="AS17" s="63">
        <f>ABS(RESULT_ITTE!BK187)</f>
        <v>3.9904805134089415E-4</v>
      </c>
      <c r="AT17" s="63">
        <f t="shared" si="8"/>
        <v>0.25</v>
      </c>
      <c r="AU17" s="63">
        <f t="shared" si="9"/>
        <v>5.0808375921673396E-4</v>
      </c>
      <c r="AV17" s="63">
        <f>ABS(RESULT_ITTE!BG187)</f>
        <v>0.16930583391075182</v>
      </c>
      <c r="AW17" s="63">
        <f t="shared" si="30"/>
        <v>1.3985531980336743</v>
      </c>
      <c r="AX17" s="63">
        <f>INDEX('Junctions — junctions'!$F$2:$F$197,MATCH(AO17,'Junctions — junctions'!$B$2:$B$197,0))</f>
        <v>16</v>
      </c>
      <c r="AY17" s="63">
        <v>10</v>
      </c>
      <c r="AZ17" s="63">
        <f t="shared" si="10"/>
        <v>27.398553198033675</v>
      </c>
      <c r="BA17" s="63">
        <f t="shared" si="11"/>
        <v>12.357564826038431</v>
      </c>
      <c r="BG17" s="63" t="s">
        <v>122</v>
      </c>
      <c r="BH17" s="63" t="s">
        <v>643</v>
      </c>
      <c r="BI17" s="63" t="s">
        <v>642</v>
      </c>
      <c r="BJ17" s="63">
        <v>250</v>
      </c>
      <c r="BK17" s="63">
        <f>VLOOKUP(BJ17,REF_TABLE!$G$7:$H$32,2)</f>
        <v>250</v>
      </c>
      <c r="BL17" s="63">
        <v>58</v>
      </c>
      <c r="BM17" s="63">
        <f>ABS(RESULT_ITTE!CH187)</f>
        <v>1.7379937385977932E-2</v>
      </c>
      <c r="BN17" s="63">
        <f t="shared" si="12"/>
        <v>0.25</v>
      </c>
      <c r="BO17" s="63">
        <f t="shared" si="13"/>
        <v>2.2128823564848178E-2</v>
      </c>
      <c r="BP17" s="63">
        <f>ABS(RESULT_ITTE!CD187)</f>
        <v>8.8466111412825274E-2</v>
      </c>
      <c r="BQ17" s="63">
        <f t="shared" si="31"/>
        <v>1.8115730561379204</v>
      </c>
      <c r="BR17" s="63">
        <f>INDEX('Junctions — junctions'!$F$2:$F$197,MATCH(BI17,'Junctions — junctions'!$B$2:$B$197,0))</f>
        <v>8</v>
      </c>
      <c r="BS17" s="63">
        <v>10</v>
      </c>
      <c r="BT17" s="63">
        <f t="shared" si="14"/>
        <v>19.81157305613792</v>
      </c>
      <c r="BU17" s="63">
        <f t="shared" si="15"/>
        <v>23.930729626765608</v>
      </c>
      <c r="CB17" s="63" t="s">
        <v>171</v>
      </c>
      <c r="CC17" s="63" t="s">
        <v>621</v>
      </c>
      <c r="CD17" s="63" t="s">
        <v>622</v>
      </c>
      <c r="CE17" s="63">
        <v>400</v>
      </c>
      <c r="CF17" s="63">
        <f>VLOOKUP(CE17,REF_TABLE!$G$7:$H$32,2)</f>
        <v>400</v>
      </c>
      <c r="CG17" s="63">
        <v>70</v>
      </c>
      <c r="CH17" s="63">
        <f>ABS(RESULT_ITTE!DD187)</f>
        <v>0.10311425987790261</v>
      </c>
      <c r="CI17" s="63">
        <f t="shared" si="16"/>
        <v>0.4</v>
      </c>
      <c r="CJ17" s="63">
        <f t="shared" si="17"/>
        <v>5.1284825508845298E-2</v>
      </c>
      <c r="CK17" s="63">
        <f>ABS(RESULT_ITTE!CZ187)</f>
        <v>8.2755896525604014E-2</v>
      </c>
      <c r="CL17" s="63">
        <f t="shared" si="32"/>
        <v>2.3412960448409401</v>
      </c>
      <c r="CM17" s="63">
        <f>INDEX('Junctions — junctions'!$F$2:$F$197,MATCH(CD17,'Junctions — junctions'!$B$2:$B$197,0))</f>
        <v>11</v>
      </c>
      <c r="CN17" s="63">
        <v>10</v>
      </c>
      <c r="CO17" s="63">
        <f t="shared" si="18"/>
        <v>23.341296044840941</v>
      </c>
      <c r="CP17" s="63">
        <f t="shared" si="19"/>
        <v>23.12578366081657</v>
      </c>
      <c r="CV17" s="63" t="s">
        <v>145</v>
      </c>
      <c r="CW17" s="63" t="s">
        <v>605</v>
      </c>
      <c r="CX17" s="63" t="s">
        <v>604</v>
      </c>
      <c r="CY17" s="63">
        <v>466</v>
      </c>
      <c r="CZ17" s="63">
        <f>VLOOKUP(CY17,REF_TABLE!$G$7:$H$32,2)</f>
        <v>500</v>
      </c>
      <c r="DA17" s="63">
        <v>75</v>
      </c>
      <c r="DB17" s="63">
        <f>ABS(RESULT_ITTE!EB187)</f>
        <v>0.19650390566573375</v>
      </c>
      <c r="DC17" s="63">
        <f t="shared" si="20"/>
        <v>0.46600000000000003</v>
      </c>
      <c r="DD17" s="63">
        <f t="shared" si="21"/>
        <v>7.2009449252069993E-2</v>
      </c>
      <c r="DE17" s="63">
        <f>ABS(RESULT_ITTE!DX187)</f>
        <v>0.11145819275030529</v>
      </c>
      <c r="DF17" s="63">
        <f t="shared" si="33"/>
        <v>2.3089189820946157</v>
      </c>
      <c r="DG17" s="63">
        <f>INDEX('Junctions — junctions'!$F$2:$F$197,MATCH(CX17,'Junctions — junctions'!$B$2:$B$197,0))</f>
        <v>18</v>
      </c>
      <c r="DH17" s="63">
        <v>10</v>
      </c>
      <c r="DI17" s="63">
        <f t="shared" si="22"/>
        <v>30.308918982094617</v>
      </c>
      <c r="DJ17" s="63">
        <f t="shared" si="23"/>
        <v>14.542420232053709</v>
      </c>
      <c r="DP17" s="63" t="s">
        <v>177</v>
      </c>
      <c r="DQ17" s="63" t="s">
        <v>592</v>
      </c>
      <c r="DR17" s="63" t="s">
        <v>591</v>
      </c>
      <c r="DS17" s="63">
        <v>350</v>
      </c>
      <c r="DT17" s="63">
        <f>VLOOKUP(DS17,REF_TABLE!$G$7:$H$32,2)</f>
        <v>350</v>
      </c>
      <c r="DU17" s="63">
        <v>227</v>
      </c>
      <c r="DV17" s="63">
        <v>1.473362840248623E-2</v>
      </c>
      <c r="DW17" s="63">
        <f t="shared" si="24"/>
        <v>0.35</v>
      </c>
      <c r="DX17" s="63">
        <f t="shared" si="25"/>
        <v>9.571141999733997E-3</v>
      </c>
      <c r="DY17" s="63">
        <f>ABS(RESULT_ITTE!EW187)</f>
        <v>2.2928802490234379E-2</v>
      </c>
      <c r="DZ17" s="63">
        <f t="shared" si="34"/>
        <v>1.7994771556854248</v>
      </c>
      <c r="EA17" s="63">
        <f>INDEX('Junctions — junctions'!$F$2:$F$197,MATCH(DR17,'Junctions — junctions'!$B$2:$B$197,0))</f>
        <v>17</v>
      </c>
      <c r="EB17" s="63">
        <v>10</v>
      </c>
      <c r="EC17" s="63">
        <f t="shared" si="26"/>
        <v>28.799477155685423</v>
      </c>
      <c r="ED17" s="63">
        <f t="shared" si="27"/>
        <v>15.739565616846084</v>
      </c>
      <c r="EH17" s="63" t="s">
        <v>214</v>
      </c>
      <c r="EI17" s="63" t="s">
        <v>676</v>
      </c>
      <c r="EJ17" s="63" t="s">
        <v>677</v>
      </c>
      <c r="EK17" s="63">
        <v>400</v>
      </c>
      <c r="EL17" s="63">
        <v>400</v>
      </c>
      <c r="EM17" s="63">
        <v>116</v>
      </c>
      <c r="EN17" s="63">
        <v>1.937222505701398E-3</v>
      </c>
      <c r="EO17" s="63">
        <v>0.4</v>
      </c>
      <c r="EP17" s="63">
        <v>9.6349543016014023E-4</v>
      </c>
      <c r="EQ17" s="63">
        <v>0.18561349239891756</v>
      </c>
      <c r="ER17" s="63">
        <v>2.421542329585384</v>
      </c>
      <c r="ES17" s="63">
        <v>10</v>
      </c>
      <c r="ET17" s="63">
        <v>10</v>
      </c>
      <c r="EU17" s="63">
        <v>22.421542329585385</v>
      </c>
      <c r="EV17" s="63">
        <v>27.784953682709116</v>
      </c>
    </row>
    <row r="18" spans="2:152" x14ac:dyDescent="0.25">
      <c r="B18" s="63" t="s">
        <v>214</v>
      </c>
      <c r="C18" s="63" t="s">
        <v>676</v>
      </c>
      <c r="D18" s="63" t="s">
        <v>677</v>
      </c>
      <c r="E18" s="63">
        <v>400</v>
      </c>
      <c r="F18" s="63">
        <f>VLOOKUP(E18,REF_TABLE!$G$7:$H$32,2)</f>
        <v>400</v>
      </c>
      <c r="G18" s="63">
        <v>116</v>
      </c>
      <c r="H18" s="63">
        <f>ABS(RESULT_ITTE!Q188)</f>
        <v>1.937222505701398E-3</v>
      </c>
      <c r="I18" s="63">
        <f t="shared" si="0"/>
        <v>0.4</v>
      </c>
      <c r="J18" s="63">
        <f t="shared" si="1"/>
        <v>9.6349543016014023E-4</v>
      </c>
      <c r="K18" s="66">
        <f>ABS(RESULT_ITTE!M188)</f>
        <v>0.18561349239891756</v>
      </c>
      <c r="L18" s="66">
        <f t="shared" si="28"/>
        <v>2.421542329585384</v>
      </c>
      <c r="M18" s="63">
        <f>INDEX('Junctions — junctions'!$F$2:$F$197,MATCH(D18,'Junctions — junctions'!$B$2:$B$197,0))</f>
        <v>10</v>
      </c>
      <c r="N18" s="63">
        <v>10</v>
      </c>
      <c r="O18" s="63">
        <f t="shared" si="2"/>
        <v>22.421542329585385</v>
      </c>
      <c r="P18" s="63">
        <f t="shared" si="3"/>
        <v>27.784953682709116</v>
      </c>
      <c r="T18" s="63" t="s">
        <v>298</v>
      </c>
      <c r="U18" s="63" t="s">
        <v>715</v>
      </c>
      <c r="V18" s="63" t="s">
        <v>714</v>
      </c>
      <c r="W18" s="63">
        <v>300</v>
      </c>
      <c r="X18" s="63">
        <f>VLOOKUP(W18,REF_TABLE!$G$7:$H$32,2)</f>
        <v>300</v>
      </c>
      <c r="Y18" s="63">
        <v>93</v>
      </c>
      <c r="Z18" s="63">
        <f>ABS(RESULT_ITTE!AO188)</f>
        <v>2.4593294434197303E-3</v>
      </c>
      <c r="AA18" s="63">
        <f t="shared" si="4"/>
        <v>0.3</v>
      </c>
      <c r="AB18" s="63">
        <f t="shared" si="5"/>
        <v>2.1745246533982766E-3</v>
      </c>
      <c r="AC18" s="69">
        <f>ABS(RESULT_ITTE!AK188)</f>
        <v>0.16769010903963191</v>
      </c>
      <c r="AD18" s="69">
        <f t="shared" si="29"/>
        <v>3.3591971868272994</v>
      </c>
      <c r="AE18" s="63">
        <f>INDEX('Junctions — junctions'!$F$2:$F$197,MATCH(V18,'Junctions — junctions'!$B$2:$B$197,0))</f>
        <v>11</v>
      </c>
      <c r="AF18" s="69">
        <v>10</v>
      </c>
      <c r="AG18" s="63">
        <f t="shared" si="6"/>
        <v>24.359197186827299</v>
      </c>
      <c r="AH18" s="63">
        <f t="shared" si="7"/>
        <v>70.513435020882142</v>
      </c>
      <c r="AM18" s="63" t="s">
        <v>264</v>
      </c>
      <c r="AN18" s="63" t="s">
        <v>693</v>
      </c>
      <c r="AO18" s="63" t="s">
        <v>692</v>
      </c>
      <c r="AP18" s="63">
        <v>250</v>
      </c>
      <c r="AQ18" s="63">
        <f>VLOOKUP(AP18,REF_TABLE!$G$7:$H$32,2)</f>
        <v>250</v>
      </c>
      <c r="AR18" s="63">
        <v>112</v>
      </c>
      <c r="AS18" s="63">
        <f>ABS(RESULT_ITTE!BK188)</f>
        <v>6.1974756305388599E-4</v>
      </c>
      <c r="AT18" s="63">
        <f t="shared" si="8"/>
        <v>0.25</v>
      </c>
      <c r="AU18" s="63">
        <f t="shared" si="9"/>
        <v>7.8908710503345638E-4</v>
      </c>
      <c r="AV18" s="63">
        <f>ABS(RESULT_ITTE!BG188)</f>
        <v>0.17083111169373155</v>
      </c>
      <c r="AW18" s="63">
        <f t="shared" si="30"/>
        <v>1.5693843097274058</v>
      </c>
      <c r="AX18" s="63">
        <f>INDEX('Junctions — junctions'!$F$2:$F$197,MATCH(AO18,'Junctions — junctions'!$B$2:$B$197,0))</f>
        <v>9</v>
      </c>
      <c r="AY18" s="63">
        <v>10</v>
      </c>
      <c r="AZ18" s="63">
        <f t="shared" si="10"/>
        <v>20.569384309727404</v>
      </c>
      <c r="BA18" s="63">
        <f t="shared" si="11"/>
        <v>19.186733714344697</v>
      </c>
      <c r="BG18" s="63" t="s">
        <v>121</v>
      </c>
      <c r="BH18" s="63" t="s">
        <v>644</v>
      </c>
      <c r="BI18" s="63" t="s">
        <v>643</v>
      </c>
      <c r="BJ18" s="63">
        <v>250</v>
      </c>
      <c r="BK18" s="63">
        <f>VLOOKUP(BJ18,REF_TABLE!$G$7:$H$32,2)</f>
        <v>250</v>
      </c>
      <c r="BL18" s="63">
        <v>216</v>
      </c>
      <c r="BM18" s="63">
        <f>ABS(RESULT_ITTE!CH188)</f>
        <v>1.4993311282905675E-2</v>
      </c>
      <c r="BN18" s="63">
        <f t="shared" si="12"/>
        <v>0.25</v>
      </c>
      <c r="BO18" s="63">
        <f t="shared" si="13"/>
        <v>1.9090076831919399E-2</v>
      </c>
      <c r="BP18" s="63">
        <f>ABS(RESULT_ITTE!CD188)</f>
        <v>0.32946000112362517</v>
      </c>
      <c r="BQ18" s="63">
        <f t="shared" si="31"/>
        <v>2.1410330572615455</v>
      </c>
      <c r="BR18" s="63">
        <f>INDEX('Junctions — junctions'!$F$2:$F$197,MATCH(BI18,'Junctions — junctions'!$B$2:$B$197,0))</f>
        <v>14</v>
      </c>
      <c r="BS18" s="63">
        <v>10</v>
      </c>
      <c r="BT18" s="63">
        <f t="shared" si="14"/>
        <v>26.141033057261545</v>
      </c>
      <c r="BU18" s="63">
        <f t="shared" si="15"/>
        <v>17.601269625641983</v>
      </c>
      <c r="CB18" s="63" t="s">
        <v>414</v>
      </c>
      <c r="CC18" s="63" t="s">
        <v>632</v>
      </c>
      <c r="CD18" s="63" t="s">
        <v>622</v>
      </c>
      <c r="CE18" s="63">
        <v>250</v>
      </c>
      <c r="CF18" s="63">
        <f>VLOOKUP(CE18,REF_TABLE!$G$7:$H$32,2)</f>
        <v>250</v>
      </c>
      <c r="CG18" s="63">
        <v>223</v>
      </c>
      <c r="CH18" s="63">
        <f>ABS(RESULT_ITTE!DD188)</f>
        <v>2.8096400597175143E-2</v>
      </c>
      <c r="CI18" s="63">
        <f t="shared" si="16"/>
        <v>0.25</v>
      </c>
      <c r="CJ18" s="63">
        <f t="shared" si="17"/>
        <v>3.5773448305044031E-2</v>
      </c>
      <c r="CK18" s="63">
        <f>ABS(RESULT_ITTE!CZ188)</f>
        <v>0.18420135475776558</v>
      </c>
      <c r="CL18" s="63">
        <f t="shared" si="32"/>
        <v>2.5254973995987058</v>
      </c>
      <c r="CM18" s="63">
        <f>INDEX('Junctions — junctions'!$F$2:$F$197,MATCH(CD18,'Junctions — junctions'!$B$2:$B$197,0))</f>
        <v>11</v>
      </c>
      <c r="CN18" s="63">
        <v>10</v>
      </c>
      <c r="CO18" s="63">
        <f t="shared" si="18"/>
        <v>23.525497399598706</v>
      </c>
      <c r="CP18" s="63">
        <f t="shared" si="19"/>
        <v>22.941582306058805</v>
      </c>
      <c r="CV18" s="63" t="s">
        <v>144</v>
      </c>
      <c r="CW18" s="63" t="s">
        <v>606</v>
      </c>
      <c r="CX18" s="63" t="s">
        <v>605</v>
      </c>
      <c r="CY18" s="63">
        <v>466</v>
      </c>
      <c r="CZ18" s="63">
        <f>VLOOKUP(CY18,REF_TABLE!$G$7:$H$32,2)</f>
        <v>500</v>
      </c>
      <c r="DA18" s="63">
        <v>76</v>
      </c>
      <c r="DB18" s="63">
        <f>ABS(RESULT_ITTE!EB188)</f>
        <v>0.19592297460485844</v>
      </c>
      <c r="DC18" s="63">
        <f t="shared" si="20"/>
        <v>0.46600000000000003</v>
      </c>
      <c r="DD18" s="63">
        <f t="shared" si="21"/>
        <v>7.1796565311644855E-2</v>
      </c>
      <c r="DE18" s="63">
        <f>ABS(RESULT_ITTE!DX188)</f>
        <v>0.11294430198697604</v>
      </c>
      <c r="DF18" s="63">
        <f t="shared" si="33"/>
        <v>2.4218632840815917</v>
      </c>
      <c r="DG18" s="63">
        <f>INDEX('Junctions — junctions'!$F$2:$F$197,MATCH(CX18,'Junctions — junctions'!$B$2:$B$197,0))</f>
        <v>9</v>
      </c>
      <c r="DH18" s="63">
        <v>10</v>
      </c>
      <c r="DI18" s="63">
        <f t="shared" si="22"/>
        <v>21.421863284081592</v>
      </c>
      <c r="DJ18" s="63">
        <f t="shared" si="23"/>
        <v>23.429475930066733</v>
      </c>
      <c r="DP18" s="63" t="s">
        <v>157</v>
      </c>
      <c r="DQ18" s="63" t="s">
        <v>593</v>
      </c>
      <c r="DR18" s="63" t="s">
        <v>592</v>
      </c>
      <c r="DS18" s="63">
        <v>350</v>
      </c>
      <c r="DT18" s="63">
        <f>VLOOKUP(DS18,REF_TABLE!$G$7:$H$32,2)</f>
        <v>350</v>
      </c>
      <c r="DU18" s="63">
        <v>533</v>
      </c>
      <c r="DV18" s="63">
        <v>8.910694409369516E-3</v>
      </c>
      <c r="DW18" s="63">
        <f t="shared" si="24"/>
        <v>0.35</v>
      </c>
      <c r="DX18" s="63">
        <f t="shared" si="25"/>
        <v>5.7884941291121454E-3</v>
      </c>
      <c r="DY18" s="63">
        <f>ABS(RESULT_ITTE!EW188)</f>
        <v>1.8592584609985353E-2</v>
      </c>
      <c r="DZ18" s="63">
        <f t="shared" si="34"/>
        <v>1.81806974029541</v>
      </c>
      <c r="EA18" s="63">
        <f>INDEX('Junctions — junctions'!$F$2:$F$197,MATCH(DR18,'Junctions — junctions'!$B$2:$B$197,0))</f>
        <v>14</v>
      </c>
      <c r="EB18" s="63">
        <v>10</v>
      </c>
      <c r="EC18" s="63">
        <f t="shared" si="26"/>
        <v>25.81806974029541</v>
      </c>
      <c r="ED18" s="63">
        <f t="shared" si="27"/>
        <v>18.720973032236099</v>
      </c>
      <c r="EH18" s="63" t="s">
        <v>213</v>
      </c>
      <c r="EI18" s="63" t="s">
        <v>677</v>
      </c>
      <c r="EJ18" s="63" t="s">
        <v>678</v>
      </c>
      <c r="EK18" s="63">
        <v>421</v>
      </c>
      <c r="EL18" s="63">
        <v>450</v>
      </c>
      <c r="EM18" s="63">
        <v>128</v>
      </c>
      <c r="EN18" s="63">
        <v>3.8717170899619782E-3</v>
      </c>
      <c r="EO18" s="63">
        <v>0.42099999999999999</v>
      </c>
      <c r="EP18" s="63">
        <v>1.7383193310825864E-3</v>
      </c>
      <c r="EQ18" s="63">
        <v>0.19155536470823792</v>
      </c>
      <c r="ER18" s="63">
        <v>2.6130976942936219</v>
      </c>
      <c r="ES18" s="63">
        <v>12</v>
      </c>
      <c r="ET18" s="63">
        <v>10</v>
      </c>
      <c r="EU18" s="63">
        <v>24.613097694293621</v>
      </c>
      <c r="EV18" s="63">
        <v>25.593398318000879</v>
      </c>
    </row>
    <row r="19" spans="2:152" x14ac:dyDescent="0.25">
      <c r="B19" s="63" t="s">
        <v>213</v>
      </c>
      <c r="C19" s="63" t="s">
        <v>677</v>
      </c>
      <c r="D19" s="63" t="s">
        <v>678</v>
      </c>
      <c r="E19" s="63">
        <v>421</v>
      </c>
      <c r="F19" s="63">
        <f>VLOOKUP(E19,REF_TABLE!$G$7:$H$32,2)</f>
        <v>450</v>
      </c>
      <c r="G19" s="63">
        <v>128</v>
      </c>
      <c r="H19" s="63">
        <f>ABS(RESULT_ITTE!Q189)</f>
        <v>3.8717170899619782E-3</v>
      </c>
      <c r="I19" s="63">
        <f t="shared" si="0"/>
        <v>0.42099999999999999</v>
      </c>
      <c r="J19" s="63">
        <f t="shared" si="1"/>
        <v>1.7383193310825864E-3</v>
      </c>
      <c r="K19" s="66">
        <f>ABS(RESULT_ITTE!M189)</f>
        <v>0.19155536470823792</v>
      </c>
      <c r="L19" s="66">
        <f t="shared" si="28"/>
        <v>2.6130976942936219</v>
      </c>
      <c r="M19" s="63">
        <f>INDEX('Junctions — junctions'!$F$2:$F$197,MATCH(D19,'Junctions — junctions'!$B$2:$B$197,0))</f>
        <v>12</v>
      </c>
      <c r="N19" s="63">
        <v>10</v>
      </c>
      <c r="O19" s="63">
        <f t="shared" si="2"/>
        <v>24.613097694293621</v>
      </c>
      <c r="P19" s="63">
        <f t="shared" si="3"/>
        <v>25.593398318000879</v>
      </c>
      <c r="T19" s="63" t="s">
        <v>300</v>
      </c>
      <c r="U19" s="63" t="s">
        <v>716</v>
      </c>
      <c r="V19" s="63" t="s">
        <v>717</v>
      </c>
      <c r="W19" s="63">
        <v>300</v>
      </c>
      <c r="X19" s="63">
        <f>VLOOKUP(W19,REF_TABLE!$G$7:$H$32,2)</f>
        <v>300</v>
      </c>
      <c r="Y19" s="63">
        <v>360</v>
      </c>
      <c r="Z19" s="63">
        <f>ABS(RESULT_ITTE!AO189)</f>
        <v>2.4137502949274317E-2</v>
      </c>
      <c r="AA19" s="63">
        <f t="shared" si="4"/>
        <v>0.3</v>
      </c>
      <c r="AB19" s="63">
        <f t="shared" si="5"/>
        <v>2.1342238379290054E-2</v>
      </c>
      <c r="AC19" s="69">
        <f>ABS(RESULT_ITTE!AK189)</f>
        <v>0.64912300273405898</v>
      </c>
      <c r="AD19" s="69">
        <f t="shared" si="29"/>
        <v>4.008320189561358</v>
      </c>
      <c r="AE19" s="63">
        <f>INDEX('Junctions — junctions'!$F$2:$F$197,MATCH(V19,'Junctions — junctions'!$B$2:$B$197,0))</f>
        <v>15</v>
      </c>
      <c r="AF19" s="69">
        <v>10</v>
      </c>
      <c r="AG19" s="63">
        <f t="shared" si="6"/>
        <v>29.00832018956136</v>
      </c>
      <c r="AH19" s="63">
        <f t="shared" si="7"/>
        <v>65.864312018148084</v>
      </c>
      <c r="AM19" s="63" t="s">
        <v>266</v>
      </c>
      <c r="AN19" s="63" t="s">
        <v>694</v>
      </c>
      <c r="AO19" s="63" t="s">
        <v>693</v>
      </c>
      <c r="AP19" s="63">
        <v>250</v>
      </c>
      <c r="AQ19" s="63">
        <f>VLOOKUP(AP19,REF_TABLE!$G$7:$H$32,2)</f>
        <v>250</v>
      </c>
      <c r="AR19" s="63">
        <v>113</v>
      </c>
      <c r="AS19" s="63">
        <f>ABS(RESULT_ITTE!BK189)</f>
        <v>1.8996396427817621E-3</v>
      </c>
      <c r="AT19" s="63">
        <f t="shared" si="8"/>
        <v>0.25</v>
      </c>
      <c r="AU19" s="63">
        <f t="shared" si="9"/>
        <v>2.418696313936318E-3</v>
      </c>
      <c r="AV19" s="63">
        <f>ABS(RESULT_ITTE!BG189)</f>
        <v>0.17235638947671134</v>
      </c>
      <c r="AW19" s="63">
        <f t="shared" si="30"/>
        <v>1.7417406992041171</v>
      </c>
      <c r="AX19" s="63">
        <f>INDEX('Junctions — junctions'!$F$2:$F$197,MATCH(AO19,'Junctions — junctions'!$B$2:$B$197,0))</f>
        <v>13</v>
      </c>
      <c r="AY19" s="63">
        <v>10</v>
      </c>
      <c r="AZ19" s="63">
        <f t="shared" si="10"/>
        <v>24.741740699204119</v>
      </c>
      <c r="BA19" s="63">
        <f t="shared" si="11"/>
        <v>15.014377324867988</v>
      </c>
      <c r="BG19" s="63" t="s">
        <v>119</v>
      </c>
      <c r="BH19" s="63" t="s">
        <v>645</v>
      </c>
      <c r="BI19" s="63" t="s">
        <v>644</v>
      </c>
      <c r="BJ19" s="63">
        <v>250</v>
      </c>
      <c r="BK19" s="63">
        <f>VLOOKUP(BJ19,REF_TABLE!$G$7:$H$32,2)</f>
        <v>250</v>
      </c>
      <c r="BL19" s="63">
        <v>73</v>
      </c>
      <c r="BM19" s="63">
        <f>ABS(RESULT_ITTE!CH189)</f>
        <v>1.4260196894772731E-2</v>
      </c>
      <c r="BN19" s="63">
        <f t="shared" si="12"/>
        <v>0.25</v>
      </c>
      <c r="BO19" s="63">
        <f t="shared" si="13"/>
        <v>1.8156646602134213E-2</v>
      </c>
      <c r="BP19" s="63">
        <f>ABS(RESULT_ITTE!CD189)</f>
        <v>0.11134527815752146</v>
      </c>
      <c r="BQ19" s="63">
        <f t="shared" si="31"/>
        <v>2.252378335419067</v>
      </c>
      <c r="BR19" s="63">
        <f>INDEX('Junctions — junctions'!$F$2:$F$197,MATCH(BI19,'Junctions — junctions'!$B$2:$B$197,0))</f>
        <v>10</v>
      </c>
      <c r="BS19" s="63">
        <v>10</v>
      </c>
      <c r="BT19" s="63">
        <f t="shared" si="14"/>
        <v>22.252378335419067</v>
      </c>
      <c r="BU19" s="63">
        <f t="shared" si="15"/>
        <v>21.489924347484461</v>
      </c>
      <c r="CB19" s="63" t="s">
        <v>168</v>
      </c>
      <c r="CC19" s="63" t="s">
        <v>624</v>
      </c>
      <c r="CD19" s="63" t="s">
        <v>623</v>
      </c>
      <c r="CE19" s="63">
        <v>466</v>
      </c>
      <c r="CF19" s="63">
        <f>VLOOKUP(CE19,REF_TABLE!$G$7:$H$32,2)</f>
        <v>500</v>
      </c>
      <c r="CG19" s="63">
        <v>340</v>
      </c>
      <c r="CH19" s="63">
        <f>ABS(RESULT_ITTE!DD189)</f>
        <v>5.1894014387761714E-2</v>
      </c>
      <c r="CI19" s="63">
        <f t="shared" si="16"/>
        <v>0.46600000000000003</v>
      </c>
      <c r="CJ19" s="63">
        <f t="shared" si="17"/>
        <v>1.9016718181155974E-2</v>
      </c>
      <c r="CK19" s="63">
        <f>ABS(RESULT_ITTE!CZ189)</f>
        <v>0.50527714046805072</v>
      </c>
      <c r="CL19" s="63">
        <f t="shared" si="32"/>
        <v>3.0307745400667567</v>
      </c>
      <c r="CM19" s="63">
        <f>INDEX('Junctions — junctions'!$F$2:$F$197,MATCH(CD19,'Junctions — junctions'!$B$2:$B$197,0))</f>
        <v>11</v>
      </c>
      <c r="CN19" s="63">
        <v>10</v>
      </c>
      <c r="CO19" s="63">
        <f t="shared" si="18"/>
        <v>24.030774540066759</v>
      </c>
      <c r="CP19" s="63">
        <f t="shared" si="19"/>
        <v>22.436305165590753</v>
      </c>
      <c r="CV19" s="63" t="s">
        <v>142</v>
      </c>
      <c r="CW19" s="63" t="s">
        <v>607</v>
      </c>
      <c r="CX19" s="63" t="s">
        <v>606</v>
      </c>
      <c r="CY19" s="63">
        <v>466</v>
      </c>
      <c r="CZ19" s="63">
        <f>VLOOKUP(CY19,REF_TABLE!$G$7:$H$32,2)</f>
        <v>500</v>
      </c>
      <c r="DA19" s="63">
        <v>76</v>
      </c>
      <c r="DB19" s="63">
        <f>ABS(RESULT_ITTE!EB189)</f>
        <v>0.1947040460749998</v>
      </c>
      <c r="DC19" s="63">
        <f t="shared" si="20"/>
        <v>0.46600000000000003</v>
      </c>
      <c r="DD19" s="63">
        <f t="shared" si="21"/>
        <v>7.1349885273325073E-2</v>
      </c>
      <c r="DE19" s="63">
        <f>ABS(RESULT_ITTE!DX189)</f>
        <v>0.11294430198697604</v>
      </c>
      <c r="DF19" s="63">
        <f t="shared" si="33"/>
        <v>2.5348075860685677</v>
      </c>
      <c r="DG19" s="63">
        <f>INDEX('Junctions — junctions'!$F$2:$F$197,MATCH(CX19,'Junctions — junctions'!$B$2:$B$197,0))</f>
        <v>13</v>
      </c>
      <c r="DH19" s="63">
        <v>10</v>
      </c>
      <c r="DI19" s="63">
        <f t="shared" si="22"/>
        <v>25.534807586068567</v>
      </c>
      <c r="DJ19" s="63">
        <f t="shared" si="23"/>
        <v>19.316531628079758</v>
      </c>
      <c r="DP19" s="63" t="s">
        <v>156</v>
      </c>
      <c r="DQ19" s="63" t="s">
        <v>594</v>
      </c>
      <c r="DR19" s="63" t="s">
        <v>593</v>
      </c>
      <c r="DS19" s="63">
        <v>350</v>
      </c>
      <c r="DT19" s="63">
        <f>VLOOKUP(DS19,REF_TABLE!$G$7:$H$32,2)</f>
        <v>350</v>
      </c>
      <c r="DU19" s="63">
        <v>345</v>
      </c>
      <c r="DV19" s="63">
        <v>7.1283828025367757E-3</v>
      </c>
      <c r="DW19" s="63">
        <f t="shared" si="24"/>
        <v>0.35</v>
      </c>
      <c r="DX19" s="63">
        <f t="shared" si="25"/>
        <v>4.6306830990815763E-3</v>
      </c>
      <c r="DY19" s="63">
        <f>ABS(RESULT_ITTE!EW189)</f>
        <v>1.3583112716674799E-2</v>
      </c>
      <c r="DZ19" s="63">
        <f t="shared" si="34"/>
        <v>1.8316528530120848</v>
      </c>
      <c r="EA19" s="63">
        <f>INDEX('Junctions — junctions'!$F$2:$F$197,MATCH(DR19,'Junctions — junctions'!$B$2:$B$197,0))</f>
        <v>13</v>
      </c>
      <c r="EB19" s="63">
        <v>10</v>
      </c>
      <c r="EC19" s="63">
        <f t="shared" si="26"/>
        <v>24.831652853012084</v>
      </c>
      <c r="ED19" s="63">
        <f t="shared" si="27"/>
        <v>19.707389919519425</v>
      </c>
      <c r="EH19" s="63" t="s">
        <v>212</v>
      </c>
      <c r="EI19" s="63" t="s">
        <v>678</v>
      </c>
      <c r="EJ19" s="63" t="s">
        <v>679</v>
      </c>
      <c r="EK19" s="63">
        <v>421</v>
      </c>
      <c r="EL19" s="63">
        <v>450</v>
      </c>
      <c r="EM19" s="63">
        <v>138</v>
      </c>
      <c r="EN19" s="63">
        <v>6.0699877427935469E-3</v>
      </c>
      <c r="EO19" s="63">
        <v>0.42099999999999999</v>
      </c>
      <c r="EP19" s="63">
        <v>2.72529649960452E-3</v>
      </c>
      <c r="EQ19" s="63">
        <v>0.2373923066502179</v>
      </c>
      <c r="ER19" s="63">
        <v>2.8504900009438399</v>
      </c>
      <c r="ES19" s="63">
        <v>13</v>
      </c>
      <c r="ET19" s="63">
        <v>10</v>
      </c>
      <c r="EU19" s="63">
        <v>25.850490000943839</v>
      </c>
      <c r="EV19" s="63">
        <v>24.356006011350662</v>
      </c>
    </row>
    <row r="20" spans="2:152" x14ac:dyDescent="0.25">
      <c r="B20" s="63" t="s">
        <v>212</v>
      </c>
      <c r="C20" s="63" t="s">
        <v>678</v>
      </c>
      <c r="D20" s="63" t="s">
        <v>679</v>
      </c>
      <c r="E20" s="63">
        <v>421</v>
      </c>
      <c r="F20" s="63">
        <f>VLOOKUP(E20,REF_TABLE!$G$7:$H$32,2)</f>
        <v>450</v>
      </c>
      <c r="G20" s="63">
        <v>138</v>
      </c>
      <c r="H20" s="63">
        <f>ABS(RESULT_ITTE!Q190)</f>
        <v>6.0699877427935469E-3</v>
      </c>
      <c r="I20" s="63">
        <f t="shared" si="0"/>
        <v>0.42099999999999999</v>
      </c>
      <c r="J20" s="63">
        <f t="shared" si="1"/>
        <v>2.72529649960452E-3</v>
      </c>
      <c r="K20" s="66">
        <f>ABS(RESULT_ITTE!M190)</f>
        <v>0.2373923066502179</v>
      </c>
      <c r="L20" s="66">
        <f t="shared" si="28"/>
        <v>2.8504900009438399</v>
      </c>
      <c r="M20" s="63">
        <f>INDEX('Junctions — junctions'!$F$2:$F$197,MATCH(D20,'Junctions — junctions'!$B$2:$B$197,0))</f>
        <v>13</v>
      </c>
      <c r="N20" s="63">
        <v>10</v>
      </c>
      <c r="O20" s="63">
        <f t="shared" si="2"/>
        <v>25.850490000943839</v>
      </c>
      <c r="P20" s="63">
        <f t="shared" si="3"/>
        <v>24.356006011350662</v>
      </c>
      <c r="T20" s="63" t="s">
        <v>301</v>
      </c>
      <c r="U20" s="63" t="s">
        <v>717</v>
      </c>
      <c r="V20" s="63" t="s">
        <v>718</v>
      </c>
      <c r="W20" s="63">
        <v>300</v>
      </c>
      <c r="X20" s="63">
        <f>VLOOKUP(W20,REF_TABLE!$G$7:$H$32,2)</f>
        <v>300</v>
      </c>
      <c r="Y20" s="63">
        <v>315</v>
      </c>
      <c r="Z20" s="63">
        <f>ABS(RESULT_ITTE!AO190)</f>
        <v>2.0589390249357888E-2</v>
      </c>
      <c r="AA20" s="63">
        <f t="shared" si="4"/>
        <v>0.3</v>
      </c>
      <c r="AB20" s="63">
        <f t="shared" si="5"/>
        <v>1.8205017963518776E-2</v>
      </c>
      <c r="AC20" s="69">
        <f>ABS(RESULT_ITTE!AK190)</f>
        <v>0.56798262739230165</v>
      </c>
      <c r="AD20" s="69">
        <f t="shared" si="29"/>
        <v>4.5763028169536595</v>
      </c>
      <c r="AE20" s="63">
        <f>INDEX('Junctions — junctions'!$F$2:$F$197,MATCH(V20,'Junctions — junctions'!$B$2:$B$197,0))</f>
        <v>15</v>
      </c>
      <c r="AF20" s="69">
        <v>10</v>
      </c>
      <c r="AG20" s="63">
        <f t="shared" si="6"/>
        <v>29.57630281695366</v>
      </c>
      <c r="AH20" s="63">
        <f t="shared" si="7"/>
        <v>65.296329390755787</v>
      </c>
      <c r="AM20" s="63" t="s">
        <v>276</v>
      </c>
      <c r="AN20" s="63" t="s">
        <v>695</v>
      </c>
      <c r="AO20" s="63" t="s">
        <v>694</v>
      </c>
      <c r="AP20" s="63">
        <v>250</v>
      </c>
      <c r="AQ20" s="63">
        <f>VLOOKUP(AP20,REF_TABLE!$G$7:$H$32,2)</f>
        <v>250</v>
      </c>
      <c r="AR20" s="63">
        <v>114</v>
      </c>
      <c r="AS20" s="63">
        <f>ABS(RESULT_ITTE!BK190)</f>
        <v>4.2567128495737874E-3</v>
      </c>
      <c r="AT20" s="63">
        <f t="shared" si="8"/>
        <v>0.25</v>
      </c>
      <c r="AU20" s="63">
        <f t="shared" si="9"/>
        <v>5.419815130659646E-3</v>
      </c>
      <c r="AV20" s="63">
        <f>ABS(RESULT_ITTE!BG190)</f>
        <v>0.17388166725969104</v>
      </c>
      <c r="AW20" s="63">
        <f t="shared" si="30"/>
        <v>1.9156223664638081</v>
      </c>
      <c r="AX20" s="63">
        <f>INDEX('Junctions — junctions'!$F$2:$F$197,MATCH(AO20,'Junctions — junctions'!$B$2:$B$197,0))</f>
        <v>9</v>
      </c>
      <c r="AY20" s="63">
        <v>10</v>
      </c>
      <c r="AZ20" s="63">
        <f t="shared" si="10"/>
        <v>20.915622366463808</v>
      </c>
      <c r="BA20" s="63">
        <f t="shared" si="11"/>
        <v>18.840495657608297</v>
      </c>
      <c r="BG20" s="63" t="s">
        <v>120</v>
      </c>
      <c r="BH20" s="63" t="s">
        <v>646</v>
      </c>
      <c r="BI20" s="63" t="s">
        <v>645</v>
      </c>
      <c r="BJ20" s="63">
        <v>250</v>
      </c>
      <c r="BK20" s="63">
        <f>VLOOKUP(BJ20,REF_TABLE!$G$7:$H$32,2)</f>
        <v>250</v>
      </c>
      <c r="BL20" s="63">
        <v>65</v>
      </c>
      <c r="BM20" s="63">
        <f>ABS(RESULT_ITTE!CH190)</f>
        <v>1.3488586483084906E-2</v>
      </c>
      <c r="BN20" s="63">
        <f t="shared" si="12"/>
        <v>0.25</v>
      </c>
      <c r="BO20" s="63">
        <f t="shared" si="13"/>
        <v>1.7174201712843895E-2</v>
      </c>
      <c r="BP20" s="63">
        <f>ABS(RESULT_ITTE!CD190)</f>
        <v>9.9143055893683496E-2</v>
      </c>
      <c r="BQ20" s="63">
        <f t="shared" si="31"/>
        <v>2.3515213913127506</v>
      </c>
      <c r="BR20" s="63">
        <f>INDEX('Junctions — junctions'!$F$2:$F$197,MATCH(BI20,'Junctions — junctions'!$B$2:$B$197,0))</f>
        <v>10</v>
      </c>
      <c r="BS20" s="63">
        <v>10</v>
      </c>
      <c r="BT20" s="63">
        <f t="shared" si="14"/>
        <v>22.351521391312751</v>
      </c>
      <c r="BU20" s="63">
        <f t="shared" si="15"/>
        <v>21.390781291590777</v>
      </c>
      <c r="CB20" s="63" t="s">
        <v>167</v>
      </c>
      <c r="CC20" s="63" t="s">
        <v>625</v>
      </c>
      <c r="CD20" s="63" t="s">
        <v>624</v>
      </c>
      <c r="CE20" s="63">
        <v>466</v>
      </c>
      <c r="CF20" s="63">
        <f>VLOOKUP(CE20,REF_TABLE!$G$7:$H$32,2)</f>
        <v>500</v>
      </c>
      <c r="CG20" s="63">
        <v>205</v>
      </c>
      <c r="CH20" s="63">
        <f>ABS(RESULT_ITTE!DD190)</f>
        <v>4.9219250936544418E-2</v>
      </c>
      <c r="CI20" s="63">
        <f t="shared" si="16"/>
        <v>0.46600000000000003</v>
      </c>
      <c r="CJ20" s="63">
        <f t="shared" si="17"/>
        <v>1.8036543042401414E-2</v>
      </c>
      <c r="CK20" s="63">
        <f>ABS(RESULT_ITTE!CZ190)</f>
        <v>0.30465239351750117</v>
      </c>
      <c r="CL20" s="63">
        <f t="shared" si="32"/>
        <v>3.3354269335842579</v>
      </c>
      <c r="CM20" s="63">
        <f>INDEX('Junctions — junctions'!$F$2:$F$197,MATCH(CD20,'Junctions — junctions'!$B$2:$B$197,0))</f>
        <v>16</v>
      </c>
      <c r="CN20" s="63">
        <v>10</v>
      </c>
      <c r="CO20" s="63">
        <f t="shared" si="18"/>
        <v>29.335426933584259</v>
      </c>
      <c r="CP20" s="63">
        <f t="shared" si="19"/>
        <v>17.131652772073252</v>
      </c>
      <c r="CV20" s="63" t="s">
        <v>143</v>
      </c>
      <c r="CW20" s="63" t="s">
        <v>608</v>
      </c>
      <c r="CX20" s="63" t="s">
        <v>607</v>
      </c>
      <c r="CY20" s="63">
        <v>466</v>
      </c>
      <c r="CZ20" s="63">
        <f>VLOOKUP(CY20,REF_TABLE!$G$7:$H$32,2)</f>
        <v>500</v>
      </c>
      <c r="DA20" s="63">
        <v>80</v>
      </c>
      <c r="DB20" s="63">
        <f>ABS(RESULT_ITTE!EB190)</f>
        <v>0.19283186988742035</v>
      </c>
      <c r="DC20" s="63">
        <f t="shared" si="20"/>
        <v>0.46600000000000003</v>
      </c>
      <c r="DD20" s="63">
        <f t="shared" si="21"/>
        <v>7.0663820659424906E-2</v>
      </c>
      <c r="DE20" s="63">
        <f>ABS(RESULT_ITTE!DX190)</f>
        <v>0.11888873893365898</v>
      </c>
      <c r="DF20" s="63">
        <f t="shared" si="33"/>
        <v>2.6536963250022265</v>
      </c>
      <c r="DG20" s="63">
        <f>INDEX('Junctions — junctions'!$F$2:$F$197,MATCH(CX20,'Junctions — junctions'!$B$2:$B$197,0))</f>
        <v>20</v>
      </c>
      <c r="DH20" s="63">
        <v>10</v>
      </c>
      <c r="DI20" s="63">
        <f t="shared" si="22"/>
        <v>32.65369632500223</v>
      </c>
      <c r="DJ20" s="63">
        <f t="shared" si="23"/>
        <v>12.197642889146099</v>
      </c>
      <c r="DP20" s="63" t="s">
        <v>155</v>
      </c>
      <c r="DQ20" s="63" t="s">
        <v>595</v>
      </c>
      <c r="DR20" s="63" t="s">
        <v>594</v>
      </c>
      <c r="DS20" s="63">
        <v>350</v>
      </c>
      <c r="DT20" s="63">
        <f>VLOOKUP(DS20,REF_TABLE!$G$7:$H$32,2)</f>
        <v>350</v>
      </c>
      <c r="DU20" s="63">
        <v>795</v>
      </c>
      <c r="DV20" s="63">
        <v>1.4524275359280906E-3</v>
      </c>
      <c r="DW20" s="63">
        <f t="shared" si="24"/>
        <v>0.35</v>
      </c>
      <c r="DX20" s="63">
        <f t="shared" si="25"/>
        <v>9.4351437479892682E-4</v>
      </c>
      <c r="DY20" s="63">
        <f>ABS(RESULT_ITTE!EW190)</f>
        <v>7.0787868499755857E-3</v>
      </c>
      <c r="DZ20" s="63">
        <f t="shared" si="34"/>
        <v>1.8387316398620603</v>
      </c>
      <c r="EA20" s="63">
        <f>INDEX('Junctions — junctions'!$F$2:$F$197,MATCH(DR20,'Junctions — junctions'!$B$2:$B$197,0))</f>
        <v>15</v>
      </c>
      <c r="EB20" s="63">
        <v>10</v>
      </c>
      <c r="EC20" s="63">
        <f t="shared" si="26"/>
        <v>26.838731639862061</v>
      </c>
      <c r="ED20" s="63">
        <f t="shared" si="27"/>
        <v>17.700311132669448</v>
      </c>
      <c r="EH20" s="63" t="s">
        <v>426</v>
      </c>
      <c r="EI20" s="63" t="s">
        <v>679</v>
      </c>
      <c r="EJ20" s="63" t="s">
        <v>774</v>
      </c>
      <c r="EK20" s="63">
        <v>565</v>
      </c>
      <c r="EL20" s="63">
        <v>600</v>
      </c>
      <c r="EM20" s="63">
        <v>184</v>
      </c>
      <c r="EN20" s="63">
        <v>2.5297522971591841E-3</v>
      </c>
      <c r="EO20" s="63">
        <v>0.56499999999999995</v>
      </c>
      <c r="EP20" s="63">
        <v>6.3062508088489557E-4</v>
      </c>
      <c r="EQ20" s="63">
        <v>0.12865954661016527</v>
      </c>
      <c r="ER20" s="63">
        <v>2.9791495475540053</v>
      </c>
      <c r="ES20" s="63">
        <v>8</v>
      </c>
      <c r="ET20" s="63">
        <v>10</v>
      </c>
      <c r="EU20" s="63">
        <v>20.979149547554005</v>
      </c>
      <c r="EV20" s="63">
        <v>29.227346464740496</v>
      </c>
    </row>
    <row r="21" spans="2:152" x14ac:dyDescent="0.25">
      <c r="B21" s="63" t="s">
        <v>426</v>
      </c>
      <c r="C21" s="63" t="s">
        <v>679</v>
      </c>
      <c r="D21" s="63" t="s">
        <v>774</v>
      </c>
      <c r="E21" s="63">
        <v>565</v>
      </c>
      <c r="F21" s="63">
        <f>VLOOKUP(E21,REF_TABLE!$G$7:$H$32,2)</f>
        <v>600</v>
      </c>
      <c r="G21" s="63">
        <v>184</v>
      </c>
      <c r="H21" s="63">
        <f>ABS(RESULT_ITTE!Q191)</f>
        <v>2.5297522971591841E-3</v>
      </c>
      <c r="I21" s="63">
        <f t="shared" si="0"/>
        <v>0.56499999999999995</v>
      </c>
      <c r="J21" s="63">
        <f t="shared" si="1"/>
        <v>6.3062508088489557E-4</v>
      </c>
      <c r="K21" s="66">
        <f>ABS(RESULT_ITTE!M191)</f>
        <v>0.12865954661016527</v>
      </c>
      <c r="L21" s="66">
        <f t="shared" si="28"/>
        <v>2.9791495475540053</v>
      </c>
      <c r="M21" s="63">
        <f>INDEX('Junctions — junctions'!$F$2:$F$197,MATCH(D21,'Junctions — junctions'!$B$2:$B$197,0))</f>
        <v>8</v>
      </c>
      <c r="N21" s="63">
        <v>10</v>
      </c>
      <c r="O21" s="63">
        <f t="shared" si="2"/>
        <v>20.979149547554005</v>
      </c>
      <c r="P21" s="63">
        <f t="shared" si="3"/>
        <v>29.227346464740496</v>
      </c>
      <c r="T21" s="63" t="s">
        <v>302</v>
      </c>
      <c r="U21" s="63" t="s">
        <v>718</v>
      </c>
      <c r="V21" s="63" t="s">
        <v>719</v>
      </c>
      <c r="W21" s="63">
        <v>300</v>
      </c>
      <c r="X21" s="63">
        <f>VLOOKUP(W21,REF_TABLE!$G$7:$H$32,2)</f>
        <v>300</v>
      </c>
      <c r="Y21" s="63">
        <v>270</v>
      </c>
      <c r="Z21" s="63">
        <f>ABS(RESULT_ITTE!AO191)</f>
        <v>2.1210473254807391E-2</v>
      </c>
      <c r="AA21" s="63">
        <f t="shared" si="4"/>
        <v>0.3</v>
      </c>
      <c r="AB21" s="63">
        <f t="shared" si="5"/>
        <v>1.8754175910116879E-2</v>
      </c>
      <c r="AC21" s="69">
        <f>ABS(RESULT_ITTE!AK191)</f>
        <v>0.48684225205054421</v>
      </c>
      <c r="AD21" s="69">
        <f t="shared" si="29"/>
        <v>5.0631450690042037</v>
      </c>
      <c r="AE21" s="63">
        <f>INDEX('Junctions — junctions'!$F$2:$F$197,MATCH(V21,'Junctions — junctions'!$B$2:$B$197,0))</f>
        <v>18</v>
      </c>
      <c r="AF21" s="69">
        <v>10</v>
      </c>
      <c r="AG21" s="63">
        <f t="shared" si="6"/>
        <v>33.063145069004207</v>
      </c>
      <c r="AH21" s="63">
        <f t="shared" si="7"/>
        <v>61.809487138705236</v>
      </c>
      <c r="AM21" s="63" t="s">
        <v>316</v>
      </c>
      <c r="AN21" s="63" t="s">
        <v>696</v>
      </c>
      <c r="AO21" s="63" t="s">
        <v>695</v>
      </c>
      <c r="AP21" s="63">
        <v>250</v>
      </c>
      <c r="AQ21" s="63">
        <f>VLOOKUP(AP21,REF_TABLE!$G$7:$H$32,2)</f>
        <v>250</v>
      </c>
      <c r="AR21" s="63">
        <v>115</v>
      </c>
      <c r="AS21" s="63">
        <f>ABS(RESULT_ITTE!BK191)</f>
        <v>4.9122492283646723E-3</v>
      </c>
      <c r="AT21" s="63">
        <f t="shared" si="8"/>
        <v>0.25</v>
      </c>
      <c r="AU21" s="63">
        <f t="shared" si="9"/>
        <v>6.2544699711486896E-3</v>
      </c>
      <c r="AV21" s="63">
        <f>ABS(RESULT_ITTE!BG191)</f>
        <v>0.17540694504267082</v>
      </c>
      <c r="AW21" s="63">
        <f t="shared" si="30"/>
        <v>2.0910293115064791</v>
      </c>
      <c r="AX21" s="63">
        <f>INDEX('Junctions — junctions'!$F$2:$F$197,MATCH(AO21,'Junctions — junctions'!$B$2:$B$197,0))</f>
        <v>13</v>
      </c>
      <c r="AY21" s="63">
        <v>10</v>
      </c>
      <c r="AZ21" s="63">
        <f t="shared" si="10"/>
        <v>25.091029311506478</v>
      </c>
      <c r="BA21" s="63">
        <f t="shared" si="11"/>
        <v>14.665088712565627</v>
      </c>
      <c r="BG21" s="63" t="s">
        <v>118</v>
      </c>
      <c r="BH21" s="63" t="s">
        <v>647</v>
      </c>
      <c r="BI21" s="63" t="s">
        <v>646</v>
      </c>
      <c r="BJ21" s="63">
        <v>250</v>
      </c>
      <c r="BK21" s="63">
        <f>VLOOKUP(BJ21,REF_TABLE!$G$7:$H$32,2)</f>
        <v>250</v>
      </c>
      <c r="BL21" s="63">
        <v>45</v>
      </c>
      <c r="BM21" s="63">
        <f>ABS(RESULT_ITTE!CH191)</f>
        <v>1.3194835985450761E-2</v>
      </c>
      <c r="BN21" s="63">
        <f t="shared" si="12"/>
        <v>0.25</v>
      </c>
      <c r="BO21" s="63">
        <f t="shared" si="13"/>
        <v>1.6800186962970469E-2</v>
      </c>
      <c r="BP21" s="63">
        <f>ABS(RESULT_ITTE!CD191)</f>
        <v>6.8637500234088572E-2</v>
      </c>
      <c r="BQ21" s="63">
        <f t="shared" si="31"/>
        <v>2.4201588915468393</v>
      </c>
      <c r="BR21" s="63">
        <f>INDEX('Junctions — junctions'!$F$2:$F$197,MATCH(BI21,'Junctions — junctions'!$B$2:$B$197,0))</f>
        <v>12</v>
      </c>
      <c r="BS21" s="63">
        <v>10</v>
      </c>
      <c r="BT21" s="63">
        <f t="shared" si="14"/>
        <v>24.420158891546841</v>
      </c>
      <c r="BU21" s="63">
        <f t="shared" si="15"/>
        <v>19.322143791356687</v>
      </c>
      <c r="CB21" s="63" t="s">
        <v>166</v>
      </c>
      <c r="CC21" s="63" t="s">
        <v>626</v>
      </c>
      <c r="CD21" s="63" t="s">
        <v>625</v>
      </c>
      <c r="CE21" s="63">
        <v>466</v>
      </c>
      <c r="CF21" s="63">
        <f>VLOOKUP(CE21,REF_TABLE!$G$7:$H$32,2)</f>
        <v>500</v>
      </c>
      <c r="CG21" s="63">
        <v>196</v>
      </c>
      <c r="CH21" s="63">
        <f>ABS(RESULT_ITTE!DD191)</f>
        <v>4.6299557545420783E-2</v>
      </c>
      <c r="CI21" s="63">
        <f t="shared" si="16"/>
        <v>0.46600000000000003</v>
      </c>
      <c r="CJ21" s="63">
        <f t="shared" si="17"/>
        <v>1.6966612588004425E-2</v>
      </c>
      <c r="CK21" s="63">
        <f>ABS(RESULT_ITTE!CZ191)</f>
        <v>0.29127741038746446</v>
      </c>
      <c r="CL21" s="63">
        <f t="shared" si="32"/>
        <v>3.6267043439717224</v>
      </c>
      <c r="CM21" s="63">
        <f>INDEX('Junctions — junctions'!$F$2:$F$197,MATCH(CD21,'Junctions — junctions'!$B$2:$B$197,0))</f>
        <v>12</v>
      </c>
      <c r="CN21" s="63">
        <v>10</v>
      </c>
      <c r="CO21" s="63">
        <f t="shared" si="18"/>
        <v>25.626704343971724</v>
      </c>
      <c r="CP21" s="63">
        <f t="shared" si="19"/>
        <v>20.840375361685787</v>
      </c>
      <c r="CV21" s="63" t="s">
        <v>398</v>
      </c>
      <c r="CW21" s="63" t="s">
        <v>776</v>
      </c>
      <c r="CX21" s="63" t="s">
        <v>608</v>
      </c>
      <c r="CY21" s="63">
        <v>466</v>
      </c>
      <c r="CZ21" s="63">
        <f>VLOOKUP(CY21,REF_TABLE!$G$7:$H$32,2)</f>
        <v>500</v>
      </c>
      <c r="DA21" s="63">
        <v>75</v>
      </c>
      <c r="DB21" s="63">
        <f>ABS(RESULT_ITTE!EB191)</f>
        <v>0.19333746688369799</v>
      </c>
      <c r="DC21" s="63">
        <f t="shared" si="20"/>
        <v>0.46600000000000003</v>
      </c>
      <c r="DD21" s="63">
        <f t="shared" si="21"/>
        <v>7.0849098204530739E-2</v>
      </c>
      <c r="DE21" s="63">
        <f>ABS(RESULT_ITTE!DX191)</f>
        <v>0.11145819275030529</v>
      </c>
      <c r="DF21" s="63">
        <f t="shared" si="33"/>
        <v>2.7651545177525318</v>
      </c>
      <c r="DG21" s="63">
        <f>INDEX('Junctions — junctions'!$F$2:$F$197,MATCH(CX21,'Junctions — junctions'!$B$2:$B$197,0))</f>
        <v>12</v>
      </c>
      <c r="DH21" s="63">
        <v>10</v>
      </c>
      <c r="DI21" s="63">
        <f t="shared" si="22"/>
        <v>24.765154517752531</v>
      </c>
      <c r="DJ21" s="63">
        <f t="shared" si="23"/>
        <v>20.086184696395794</v>
      </c>
      <c r="DP21" s="63" t="s">
        <v>154</v>
      </c>
      <c r="DQ21" s="63" t="s">
        <v>596</v>
      </c>
      <c r="DR21" s="63" t="s">
        <v>595</v>
      </c>
      <c r="DS21" s="63">
        <v>350</v>
      </c>
      <c r="DT21" s="63">
        <f>VLOOKUP(DS21,REF_TABLE!$G$7:$H$32,2)</f>
        <v>350</v>
      </c>
      <c r="DU21" s="63">
        <v>496</v>
      </c>
      <c r="DV21" s="63">
        <v>3.5928728627387593E-4</v>
      </c>
      <c r="DW21" s="63">
        <f t="shared" si="24"/>
        <v>0.35</v>
      </c>
      <c r="DX21" s="63">
        <f t="shared" si="25"/>
        <v>2.3339733714514385E-4</v>
      </c>
      <c r="DY21" s="63">
        <f>ABS(RESULT_ITTE!EW191)</f>
        <v>2.8707671165466308E-4</v>
      </c>
      <c r="DZ21" s="63">
        <f t="shared" si="34"/>
        <v>1.8390187165737151</v>
      </c>
      <c r="EA21" s="63">
        <f>INDEX('Junctions — junctions'!$F$2:$F$197,MATCH(DR21,'Junctions — junctions'!$B$2:$B$197,0))</f>
        <v>9</v>
      </c>
      <c r="EB21" s="63">
        <v>10</v>
      </c>
      <c r="EC21" s="63">
        <f t="shared" si="26"/>
        <v>20.839018716573715</v>
      </c>
      <c r="ED21" s="63">
        <f t="shared" si="27"/>
        <v>23.700024055957794</v>
      </c>
      <c r="EH21" s="63" t="s">
        <v>211</v>
      </c>
      <c r="EI21" s="63" t="s">
        <v>680</v>
      </c>
      <c r="EJ21" s="63" t="s">
        <v>679</v>
      </c>
      <c r="EK21" s="63">
        <v>700</v>
      </c>
      <c r="EL21" s="63">
        <v>800</v>
      </c>
      <c r="EM21" s="63">
        <v>289</v>
      </c>
      <c r="EN21" s="63">
        <v>3.5052425549203427E-4</v>
      </c>
      <c r="EO21" s="63">
        <v>0.7</v>
      </c>
      <c r="EP21" s="63">
        <v>5.6926191770575213E-5</v>
      </c>
      <c r="EQ21" s="63">
        <v>0.16421683189371203</v>
      </c>
      <c r="ER21" s="63">
        <v>3.1433663794477171</v>
      </c>
      <c r="ES21" s="63">
        <v>13</v>
      </c>
      <c r="ET21" s="63">
        <v>10</v>
      </c>
      <c r="EU21" s="63">
        <v>26.143366379447716</v>
      </c>
      <c r="EV21" s="63">
        <v>24.063129632846785</v>
      </c>
    </row>
    <row r="22" spans="2:152" x14ac:dyDescent="0.25">
      <c r="B22" s="63" t="s">
        <v>211</v>
      </c>
      <c r="C22" s="63" t="s">
        <v>680</v>
      </c>
      <c r="D22" s="63" t="s">
        <v>679</v>
      </c>
      <c r="E22" s="63">
        <v>700</v>
      </c>
      <c r="F22" s="63">
        <f>VLOOKUP(E22,REF_TABLE!$G$7:$H$32,2)</f>
        <v>800</v>
      </c>
      <c r="G22" s="63">
        <v>289</v>
      </c>
      <c r="H22" s="63">
        <f>ABS(RESULT_ITTE!Q192)</f>
        <v>3.5052425549203427E-4</v>
      </c>
      <c r="I22" s="63">
        <f t="shared" si="0"/>
        <v>0.7</v>
      </c>
      <c r="J22" s="63">
        <f t="shared" si="1"/>
        <v>5.6926191770575213E-5</v>
      </c>
      <c r="K22" s="66">
        <f>ABS(RESULT_ITTE!M192)</f>
        <v>0.16421683189371203</v>
      </c>
      <c r="L22" s="66">
        <f t="shared" si="28"/>
        <v>3.1433663794477171</v>
      </c>
      <c r="M22" s="63">
        <f>INDEX('Junctions — junctions'!$F$2:$F$197,MATCH(D22,'Junctions — junctions'!$B$2:$B$197,0))</f>
        <v>13</v>
      </c>
      <c r="N22" s="63">
        <v>10</v>
      </c>
      <c r="O22" s="63">
        <f t="shared" si="2"/>
        <v>26.143366379447716</v>
      </c>
      <c r="P22" s="63">
        <f t="shared" si="3"/>
        <v>24.063129632846785</v>
      </c>
      <c r="T22" s="63" t="s">
        <v>303</v>
      </c>
      <c r="U22" s="63" t="s">
        <v>719</v>
      </c>
      <c r="V22" s="63" t="s">
        <v>720</v>
      </c>
      <c r="W22" s="63">
        <v>300</v>
      </c>
      <c r="X22" s="63">
        <f>VLOOKUP(W22,REF_TABLE!$G$7:$H$32,2)</f>
        <v>300</v>
      </c>
      <c r="Y22" s="63">
        <v>180</v>
      </c>
      <c r="Z22" s="63">
        <f>ABS(RESULT_ITTE!AO192)</f>
        <v>1.5589817932820625E-2</v>
      </c>
      <c r="AA22" s="63">
        <f t="shared" si="4"/>
        <v>0.3</v>
      </c>
      <c r="AB22" s="63">
        <f t="shared" si="5"/>
        <v>1.3784425477283755E-2</v>
      </c>
      <c r="AC22" s="69">
        <f>ABS(RESULT_ITTE!AK192)</f>
        <v>0.32456150136702949</v>
      </c>
      <c r="AD22" s="69">
        <f t="shared" si="29"/>
        <v>5.3877065703712335</v>
      </c>
      <c r="AE22" s="63">
        <f>INDEX('Junctions — junctions'!$F$2:$F$197,MATCH(V22,'Junctions — junctions'!$B$2:$B$197,0))</f>
        <v>19</v>
      </c>
      <c r="AF22" s="69">
        <v>10</v>
      </c>
      <c r="AG22" s="63">
        <f t="shared" si="6"/>
        <v>34.387706570371236</v>
      </c>
      <c r="AH22" s="63">
        <f t="shared" si="7"/>
        <v>60.484925637338208</v>
      </c>
      <c r="AM22" s="63" t="s">
        <v>412</v>
      </c>
      <c r="AN22" s="63" t="s">
        <v>775</v>
      </c>
      <c r="AO22" s="63" t="s">
        <v>696</v>
      </c>
      <c r="AP22" s="63">
        <v>250</v>
      </c>
      <c r="AQ22" s="63">
        <f>VLOOKUP(AP22,REF_TABLE!$G$7:$H$32,2)</f>
        <v>250</v>
      </c>
      <c r="AR22" s="63">
        <v>116</v>
      </c>
      <c r="AS22" s="63">
        <f>ABS(RESULT_ITTE!BK192)</f>
        <v>4.9864621659175563E-3</v>
      </c>
      <c r="AT22" s="63">
        <f t="shared" si="8"/>
        <v>0.25</v>
      </c>
      <c r="AU22" s="63">
        <f t="shared" si="9"/>
        <v>6.3489608179719825E-3</v>
      </c>
      <c r="AV22" s="63">
        <f>ABS(RESULT_ITTE!BG192)</f>
        <v>0.17693222282565055</v>
      </c>
      <c r="AW22" s="63">
        <f t="shared" si="30"/>
        <v>2.2679615343321298</v>
      </c>
      <c r="AX22" s="63">
        <f>INDEX('Junctions — junctions'!$F$2:$F$197,MATCH(AO22,'Junctions — junctions'!$B$2:$B$197,0))</f>
        <v>15</v>
      </c>
      <c r="AY22" s="63">
        <v>10</v>
      </c>
      <c r="AZ22" s="63">
        <f t="shared" si="10"/>
        <v>27.26796153433213</v>
      </c>
      <c r="BA22" s="63">
        <f t="shared" si="11"/>
        <v>12.488156489739975</v>
      </c>
      <c r="BG22" s="63" t="s">
        <v>117</v>
      </c>
      <c r="BH22" s="63" t="s">
        <v>648</v>
      </c>
      <c r="BI22" s="63" t="s">
        <v>647</v>
      </c>
      <c r="BJ22" s="63">
        <v>250</v>
      </c>
      <c r="BK22" s="63">
        <f>VLOOKUP(BJ22,REF_TABLE!$G$7:$H$32,2)</f>
        <v>250</v>
      </c>
      <c r="BL22" s="63">
        <v>100</v>
      </c>
      <c r="BM22" s="63">
        <f>ABS(RESULT_ITTE!CH192)</f>
        <v>1.163967905548354E-2</v>
      </c>
      <c r="BN22" s="63">
        <f t="shared" si="12"/>
        <v>0.25</v>
      </c>
      <c r="BO22" s="63">
        <f t="shared" si="13"/>
        <v>1.4820099661467271E-2</v>
      </c>
      <c r="BP22" s="63">
        <f>ABS(RESULT_ITTE!CD192)</f>
        <v>0.15252777829797462</v>
      </c>
      <c r="BQ22" s="63">
        <f t="shared" si="31"/>
        <v>2.5726866698448139</v>
      </c>
      <c r="BR22" s="63">
        <f>INDEX('Junctions — junctions'!$F$2:$F$197,MATCH(BI22,'Junctions — junctions'!$B$2:$B$197,0))</f>
        <v>9</v>
      </c>
      <c r="BS22" s="63">
        <v>10</v>
      </c>
      <c r="BT22" s="63">
        <f t="shared" si="14"/>
        <v>21.572686669844813</v>
      </c>
      <c r="BU22" s="63">
        <f t="shared" si="15"/>
        <v>22.169616013058715</v>
      </c>
      <c r="CB22" s="63" t="s">
        <v>165</v>
      </c>
      <c r="CC22" s="63" t="s">
        <v>627</v>
      </c>
      <c r="CD22" s="63" t="s">
        <v>626</v>
      </c>
      <c r="CE22" s="63">
        <v>466</v>
      </c>
      <c r="CF22" s="63">
        <f>VLOOKUP(CE22,REF_TABLE!$G$7:$H$32,2)</f>
        <v>500</v>
      </c>
      <c r="CG22" s="63">
        <v>275</v>
      </c>
      <c r="CH22" s="63">
        <f>ABS(RESULT_ITTE!DD192)</f>
        <v>4.4870044007419126E-2</v>
      </c>
      <c r="CI22" s="63">
        <f t="shared" si="16"/>
        <v>0.46600000000000003</v>
      </c>
      <c r="CJ22" s="63">
        <f t="shared" si="17"/>
        <v>1.6442763037935012E-2</v>
      </c>
      <c r="CK22" s="63">
        <f>ABS(RESULT_ITTE!CZ192)</f>
        <v>0.40868004008445274</v>
      </c>
      <c r="CL22" s="63">
        <f t="shared" si="32"/>
        <v>4.0353843840561749</v>
      </c>
      <c r="CM22" s="63">
        <f>INDEX('Junctions — junctions'!$F$2:$F$197,MATCH(CD22,'Junctions — junctions'!$B$2:$B$197,0))</f>
        <v>11</v>
      </c>
      <c r="CN22" s="63">
        <v>10</v>
      </c>
      <c r="CO22" s="63">
        <f t="shared" si="18"/>
        <v>25.035384384056176</v>
      </c>
      <c r="CP22" s="63">
        <f t="shared" si="19"/>
        <v>21.431695321601335</v>
      </c>
      <c r="CV22" s="63" t="s">
        <v>140</v>
      </c>
      <c r="CW22" s="63" t="s">
        <v>610</v>
      </c>
      <c r="CX22" s="63" t="s">
        <v>609</v>
      </c>
      <c r="CY22" s="63">
        <v>466</v>
      </c>
      <c r="CZ22" s="63">
        <f>VLOOKUP(CY22,REF_TABLE!$G$7:$H$32,2)</f>
        <v>500</v>
      </c>
      <c r="DA22" s="63">
        <v>76</v>
      </c>
      <c r="DB22" s="63">
        <f>ABS(RESULT_ITTE!EB192)</f>
        <v>0.19100464460512906</v>
      </c>
      <c r="DC22" s="63">
        <f t="shared" si="20"/>
        <v>0.46600000000000003</v>
      </c>
      <c r="DD22" s="63">
        <f t="shared" si="21"/>
        <v>6.9994228440423037E-2</v>
      </c>
      <c r="DE22" s="63">
        <f>ABS(RESULT_ITTE!DX192)</f>
        <v>0.11294430198697604</v>
      </c>
      <c r="DF22" s="63">
        <f t="shared" si="33"/>
        <v>2.8780988197395079</v>
      </c>
      <c r="DG22" s="63">
        <f>INDEX('Junctions — junctions'!$F$2:$F$197,MATCH(CX22,'Junctions — junctions'!$B$2:$B$197,0))</f>
        <v>16</v>
      </c>
      <c r="DH22" s="63">
        <v>10</v>
      </c>
      <c r="DI22" s="63">
        <f t="shared" si="22"/>
        <v>28.878098819739506</v>
      </c>
      <c r="DJ22" s="63">
        <f t="shared" si="23"/>
        <v>15.973240394408817</v>
      </c>
      <c r="DP22" s="63" t="s">
        <v>153</v>
      </c>
      <c r="DQ22" s="63" t="s">
        <v>597</v>
      </c>
      <c r="DR22" s="63" t="s">
        <v>596</v>
      </c>
      <c r="DS22" s="63">
        <v>350</v>
      </c>
      <c r="DT22" s="63">
        <f>VLOOKUP(DS22,REF_TABLE!$G$7:$H$32,2)</f>
        <v>350</v>
      </c>
      <c r="DU22" s="63">
        <v>414</v>
      </c>
      <c r="DV22" s="63">
        <v>2.384228132612591E-3</v>
      </c>
      <c r="DW22" s="63">
        <f t="shared" si="24"/>
        <v>0.35</v>
      </c>
      <c r="DX22" s="63">
        <f t="shared" si="25"/>
        <v>1.5488232357716443E-3</v>
      </c>
      <c r="DY22" s="63">
        <f>ABS(RESULT_ITTE!EW192)</f>
        <v>5.4791264533996581E-3</v>
      </c>
      <c r="DZ22" s="63">
        <f t="shared" si="34"/>
        <v>1.8444978430271148</v>
      </c>
      <c r="EA22" s="63">
        <f>INDEX('Junctions — junctions'!$F$2:$F$197,MATCH(DR22,'Junctions — junctions'!$B$2:$B$197,0))</f>
        <v>8</v>
      </c>
      <c r="EB22" s="63">
        <v>10</v>
      </c>
      <c r="EC22" s="63">
        <f t="shared" si="26"/>
        <v>19.844497843027114</v>
      </c>
      <c r="ED22" s="63">
        <f t="shared" si="27"/>
        <v>24.694544929504396</v>
      </c>
      <c r="EH22" s="63" t="s">
        <v>209</v>
      </c>
      <c r="EI22" s="63" t="s">
        <v>681</v>
      </c>
      <c r="EJ22" s="63" t="s">
        <v>680</v>
      </c>
      <c r="EK22" s="63">
        <v>466</v>
      </c>
      <c r="EL22" s="63">
        <v>500</v>
      </c>
      <c r="EM22" s="63">
        <v>153</v>
      </c>
      <c r="EN22" s="63">
        <v>1.7344873335937722E-3</v>
      </c>
      <c r="EO22" s="63">
        <v>0.46600000000000003</v>
      </c>
      <c r="EP22" s="63">
        <v>6.3560811783172026E-4</v>
      </c>
      <c r="EQ22" s="63">
        <v>0.19428610209258285</v>
      </c>
      <c r="ER22" s="63">
        <v>3.3376524815402999</v>
      </c>
      <c r="ES22" s="63">
        <v>13</v>
      </c>
      <c r="ET22" s="63">
        <v>10</v>
      </c>
      <c r="EU22" s="63">
        <v>26.337652481540299</v>
      </c>
      <c r="EV22" s="63">
        <v>23.868843530754202</v>
      </c>
    </row>
    <row r="23" spans="2:152" x14ac:dyDescent="0.25">
      <c r="B23" s="63" t="s">
        <v>209</v>
      </c>
      <c r="C23" s="63" t="s">
        <v>681</v>
      </c>
      <c r="D23" s="63" t="s">
        <v>680</v>
      </c>
      <c r="E23" s="63">
        <v>466</v>
      </c>
      <c r="F23" s="63">
        <f>VLOOKUP(E23,REF_TABLE!$G$7:$H$32,2)</f>
        <v>500</v>
      </c>
      <c r="G23" s="63">
        <v>153</v>
      </c>
      <c r="H23" s="63">
        <f>ABS(RESULT_ITTE!Q193)</f>
        <v>1.7344873335937722E-3</v>
      </c>
      <c r="I23" s="63">
        <f t="shared" si="0"/>
        <v>0.46600000000000003</v>
      </c>
      <c r="J23" s="63">
        <f t="shared" si="1"/>
        <v>6.3560811783172026E-4</v>
      </c>
      <c r="K23" s="66">
        <f>ABS(RESULT_ITTE!M193)</f>
        <v>0.19428610209258285</v>
      </c>
      <c r="L23" s="66">
        <f t="shared" si="28"/>
        <v>3.3376524815402999</v>
      </c>
      <c r="M23" s="63">
        <f>INDEX('Junctions — junctions'!$F$2:$F$197,MATCH(D23,'Junctions — junctions'!$B$2:$B$197,0))</f>
        <v>13</v>
      </c>
      <c r="N23" s="63">
        <v>10</v>
      </c>
      <c r="O23" s="63">
        <f t="shared" si="2"/>
        <v>26.337652481540299</v>
      </c>
      <c r="P23" s="63">
        <f t="shared" si="3"/>
        <v>23.868843530754202</v>
      </c>
      <c r="T23" s="63" t="s">
        <v>304</v>
      </c>
      <c r="U23" s="63" t="s">
        <v>720</v>
      </c>
      <c r="V23" s="63" t="s">
        <v>721</v>
      </c>
      <c r="W23" s="63">
        <v>300</v>
      </c>
      <c r="X23" s="63">
        <f>VLOOKUP(W23,REF_TABLE!$G$7:$H$32,2)</f>
        <v>300</v>
      </c>
      <c r="Y23" s="63">
        <v>210</v>
      </c>
      <c r="Z23" s="63">
        <f>ABS(RESULT_ITTE!AO193)</f>
        <v>1.2149759936825977E-2</v>
      </c>
      <c r="AA23" s="63">
        <f t="shared" si="4"/>
        <v>0.3</v>
      </c>
      <c r="AB23" s="63">
        <f t="shared" si="5"/>
        <v>1.0742746396254046E-2</v>
      </c>
      <c r="AC23" s="69">
        <f>ABS(RESULT_ITTE!AK193)</f>
        <v>0.37865508492820105</v>
      </c>
      <c r="AD23" s="69">
        <f t="shared" si="29"/>
        <v>5.7663616552994341</v>
      </c>
      <c r="AE23" s="63">
        <f>INDEX('Junctions — junctions'!$F$2:$F$197,MATCH(V23,'Junctions — junctions'!$B$2:$B$197,0))</f>
        <v>17</v>
      </c>
      <c r="AF23" s="69">
        <v>10</v>
      </c>
      <c r="AG23" s="63">
        <f t="shared" si="6"/>
        <v>32.766361655299434</v>
      </c>
      <c r="AH23" s="63">
        <f t="shared" si="7"/>
        <v>62.10627055241001</v>
      </c>
      <c r="AM23" s="63" t="s">
        <v>308</v>
      </c>
      <c r="AN23" s="63" t="s">
        <v>698</v>
      </c>
      <c r="AO23" s="63" t="s">
        <v>697</v>
      </c>
      <c r="AP23" s="63">
        <v>250</v>
      </c>
      <c r="AQ23" s="63">
        <f>VLOOKUP(AP23,REF_TABLE!$G$7:$H$32,2)</f>
        <v>250</v>
      </c>
      <c r="AR23" s="63">
        <v>117</v>
      </c>
      <c r="AS23" s="63">
        <f>ABS(RESULT_ITTE!BK193)</f>
        <v>2.8436119017927852E-3</v>
      </c>
      <c r="AT23" s="63">
        <f t="shared" si="8"/>
        <v>0.25</v>
      </c>
      <c r="AU23" s="63">
        <f t="shared" si="9"/>
        <v>3.6205991232421361E-3</v>
      </c>
      <c r="AV23" s="63">
        <f>ABS(RESULT_ITTE!BG193)</f>
        <v>0.1784575006086303</v>
      </c>
      <c r="AW23" s="63">
        <f t="shared" si="30"/>
        <v>2.4464190349407602</v>
      </c>
      <c r="AX23" s="63">
        <f>INDEX('Junctions — junctions'!$F$2:$F$197,MATCH(AO23,'Junctions — junctions'!$B$2:$B$197,0))</f>
        <v>8</v>
      </c>
      <c r="AY23" s="63">
        <v>10</v>
      </c>
      <c r="AZ23" s="63">
        <f t="shared" si="10"/>
        <v>20.44641903494076</v>
      </c>
      <c r="BA23" s="63">
        <f t="shared" si="11"/>
        <v>19.309698989131345</v>
      </c>
      <c r="BG23" s="63" t="s">
        <v>116</v>
      </c>
      <c r="BH23" s="63" t="s">
        <v>649</v>
      </c>
      <c r="BI23" s="63" t="s">
        <v>648</v>
      </c>
      <c r="BJ23" s="63">
        <v>250</v>
      </c>
      <c r="BK23" s="63">
        <f>VLOOKUP(BJ23,REF_TABLE!$G$7:$H$32,2)</f>
        <v>250</v>
      </c>
      <c r="BL23" s="63">
        <v>202</v>
      </c>
      <c r="BM23" s="63">
        <f>ABS(RESULT_ITTE!CH193)</f>
        <v>9.2653627026286108E-3</v>
      </c>
      <c r="BN23" s="63">
        <f t="shared" si="12"/>
        <v>0.25</v>
      </c>
      <c r="BO23" s="63">
        <f t="shared" si="13"/>
        <v>1.1797026189301009E-2</v>
      </c>
      <c r="BP23" s="63">
        <f>ABS(RESULT_ITTE!CD193)</f>
        <v>0.308088735266423</v>
      </c>
      <c r="BQ23" s="63">
        <f t="shared" si="31"/>
        <v>2.8807754051112369</v>
      </c>
      <c r="BR23" s="63">
        <f>INDEX('Junctions — junctions'!$F$2:$F$197,MATCH(BI23,'Junctions — junctions'!$B$2:$B$197,0))</f>
        <v>11</v>
      </c>
      <c r="BS23" s="63">
        <v>10</v>
      </c>
      <c r="BT23" s="63">
        <f t="shared" si="14"/>
        <v>23.880775405111237</v>
      </c>
      <c r="BU23" s="63">
        <f t="shared" si="15"/>
        <v>19.861527277792291</v>
      </c>
      <c r="CB23" s="63" t="s">
        <v>164</v>
      </c>
      <c r="CC23" s="63" t="s">
        <v>628</v>
      </c>
      <c r="CD23" s="63" t="s">
        <v>627</v>
      </c>
      <c r="CE23" s="63">
        <v>466</v>
      </c>
      <c r="CF23" s="63">
        <f>VLOOKUP(CE23,REF_TABLE!$G$7:$H$32,2)</f>
        <v>500</v>
      </c>
      <c r="CG23" s="63">
        <v>407</v>
      </c>
      <c r="CH23" s="63">
        <f>ABS(RESULT_ITTE!DD193)</f>
        <v>3.9875177688846644E-2</v>
      </c>
      <c r="CI23" s="63">
        <f t="shared" si="16"/>
        <v>0.46600000000000003</v>
      </c>
      <c r="CJ23" s="63">
        <f t="shared" si="17"/>
        <v>1.4612379201697402E-2</v>
      </c>
      <c r="CK23" s="63">
        <f>ABS(RESULT_ITTE!CZ193)</f>
        <v>0.60484645932499004</v>
      </c>
      <c r="CL23" s="63">
        <f t="shared" si="32"/>
        <v>4.6402308433811648</v>
      </c>
      <c r="CM23" s="63">
        <f>INDEX('Junctions — junctions'!$F$2:$F$197,MATCH(CD23,'Junctions — junctions'!$B$2:$B$197,0))</f>
        <v>13</v>
      </c>
      <c r="CN23" s="63">
        <v>10</v>
      </c>
      <c r="CO23" s="63">
        <f t="shared" si="18"/>
        <v>27.640230843381165</v>
      </c>
      <c r="CP23" s="63">
        <f t="shared" si="19"/>
        <v>18.826848862276346</v>
      </c>
      <c r="CV23" s="63" t="s">
        <v>909</v>
      </c>
      <c r="CW23" s="63" t="s">
        <v>609</v>
      </c>
      <c r="CX23" s="63" t="s">
        <v>776</v>
      </c>
      <c r="CY23" s="63">
        <v>466</v>
      </c>
      <c r="CZ23" s="63">
        <f>VLOOKUP(CY23,REF_TABLE!$G$7:$H$32,2)</f>
        <v>500</v>
      </c>
      <c r="DA23" s="63">
        <v>69</v>
      </c>
      <c r="DB23" s="63">
        <f>ABS(RESULT_ITTE!EB193)</f>
        <v>0.19188175428006549</v>
      </c>
      <c r="DC23" s="63">
        <f t="shared" si="20"/>
        <v>0.46600000000000003</v>
      </c>
      <c r="DD23" s="63">
        <f t="shared" si="21"/>
        <v>7.0315647927795835E-2</v>
      </c>
      <c r="DE23" s="63">
        <f>ABS(RESULT_ITTE!DX193)</f>
        <v>0.10254153733028086</v>
      </c>
      <c r="DF23" s="63">
        <f t="shared" si="33"/>
        <v>2.9806403570697886</v>
      </c>
      <c r="DG23" s="63">
        <f>INDEX('Junctions — junctions'!$F$2:$F$197,MATCH(CX23,'Junctions — junctions'!$B$2:$B$197,0))</f>
        <v>13</v>
      </c>
      <c r="DH23" s="63">
        <v>10</v>
      </c>
      <c r="DI23" s="63">
        <f t="shared" si="22"/>
        <v>25.980640357069788</v>
      </c>
      <c r="DJ23" s="63">
        <f t="shared" si="23"/>
        <v>18.870698857078537</v>
      </c>
      <c r="DP23" s="63" t="s">
        <v>404</v>
      </c>
      <c r="DQ23" s="63" t="s">
        <v>611</v>
      </c>
      <c r="DR23" s="63" t="s">
        <v>597</v>
      </c>
      <c r="DS23" s="63">
        <v>466</v>
      </c>
      <c r="DT23" s="63">
        <f>VLOOKUP(DS23,REF_TABLE!$G$7:$H$32,2)</f>
        <v>500</v>
      </c>
      <c r="DU23" s="63">
        <v>211</v>
      </c>
      <c r="DV23" s="63">
        <v>6.3262624144627813E-2</v>
      </c>
      <c r="DW23" s="63">
        <f t="shared" si="24"/>
        <v>0.46600000000000003</v>
      </c>
      <c r="DX23" s="63">
        <f t="shared" si="25"/>
        <v>2.3182779535408194E-2</v>
      </c>
      <c r="DY23" s="63">
        <f>ABS(RESULT_ITTE!EW193)</f>
        <v>7.1654319763183594E-2</v>
      </c>
      <c r="DZ23" s="63">
        <f t="shared" si="34"/>
        <v>1.9161521627902984</v>
      </c>
      <c r="EA23" s="63">
        <f>INDEX('Junctions — junctions'!$F$2:$F$197,MATCH(DR23,'Junctions — junctions'!$B$2:$B$197,0))</f>
        <v>17</v>
      </c>
      <c r="EB23" s="63">
        <v>10</v>
      </c>
      <c r="EC23" s="63">
        <f t="shared" si="26"/>
        <v>28.916152162790297</v>
      </c>
      <c r="ED23" s="63">
        <f t="shared" si="27"/>
        <v>15.62289060974121</v>
      </c>
      <c r="EH23" s="63" t="s">
        <v>210</v>
      </c>
      <c r="EI23" s="63" t="s">
        <v>682</v>
      </c>
      <c r="EJ23" s="63" t="s">
        <v>681</v>
      </c>
      <c r="EK23" s="63">
        <v>350</v>
      </c>
      <c r="EL23" s="63">
        <v>350</v>
      </c>
      <c r="EM23" s="63">
        <v>73</v>
      </c>
      <c r="EN23" s="63">
        <v>2.7547797696999138E-3</v>
      </c>
      <c r="EO23" s="63">
        <v>0.35</v>
      </c>
      <c r="EP23" s="63">
        <v>1.7895380305195691E-3</v>
      </c>
      <c r="EQ23" s="63">
        <v>9.4940371718878883E-2</v>
      </c>
      <c r="ER23" s="63">
        <v>3.432592853259179</v>
      </c>
      <c r="ES23" s="63">
        <v>6</v>
      </c>
      <c r="ET23" s="63">
        <v>10</v>
      </c>
      <c r="EU23" s="63">
        <v>19.43259285325918</v>
      </c>
      <c r="EV23" s="63">
        <v>30.773903159035321</v>
      </c>
    </row>
    <row r="24" spans="2:152" x14ac:dyDescent="0.25">
      <c r="B24" s="63" t="s">
        <v>210</v>
      </c>
      <c r="C24" s="63" t="s">
        <v>682</v>
      </c>
      <c r="D24" s="63" t="s">
        <v>681</v>
      </c>
      <c r="E24" s="63">
        <v>350</v>
      </c>
      <c r="F24" s="63">
        <f>VLOOKUP(E24,REF_TABLE!$G$7:$H$32,2)</f>
        <v>350</v>
      </c>
      <c r="G24" s="63">
        <v>73</v>
      </c>
      <c r="H24" s="63">
        <f>ABS(RESULT_ITTE!Q194)</f>
        <v>2.7547797696999138E-3</v>
      </c>
      <c r="I24" s="63">
        <f t="shared" si="0"/>
        <v>0.35</v>
      </c>
      <c r="J24" s="63">
        <f t="shared" si="1"/>
        <v>1.7895380305195691E-3</v>
      </c>
      <c r="K24" s="66">
        <f>ABS(RESULT_ITTE!M194)</f>
        <v>9.4940371718878883E-2</v>
      </c>
      <c r="L24" s="66">
        <f t="shared" si="28"/>
        <v>3.432592853259179</v>
      </c>
      <c r="M24" s="63">
        <f>INDEX('Junctions — junctions'!$F$2:$F$197,MATCH(D24,'Junctions — junctions'!$B$2:$B$197,0))</f>
        <v>6</v>
      </c>
      <c r="N24" s="63">
        <v>10</v>
      </c>
      <c r="O24" s="63">
        <f t="shared" si="2"/>
        <v>19.43259285325918</v>
      </c>
      <c r="P24" s="63">
        <f t="shared" si="3"/>
        <v>30.773903159035321</v>
      </c>
      <c r="T24" s="63" t="s">
        <v>435</v>
      </c>
      <c r="U24" s="63" t="s">
        <v>721</v>
      </c>
      <c r="V24" s="63" t="s">
        <v>722</v>
      </c>
      <c r="W24" s="63">
        <v>300</v>
      </c>
      <c r="X24" s="63">
        <f>VLOOKUP(W24,REF_TABLE!$G$7:$H$32,2)</f>
        <v>300</v>
      </c>
      <c r="Y24" s="63">
        <v>100</v>
      </c>
      <c r="Z24" s="63">
        <f>ABS(RESULT_ITTE!AO194)</f>
        <v>1.1738371043320029E-2</v>
      </c>
      <c r="AA24" s="63">
        <f t="shared" si="4"/>
        <v>0.3</v>
      </c>
      <c r="AB24" s="63">
        <f t="shared" si="5"/>
        <v>1.0378998752173062E-2</v>
      </c>
      <c r="AC24" s="69">
        <f>ABS(RESULT_ITTE!AK194)</f>
        <v>0.18031194520390531</v>
      </c>
      <c r="AD24" s="69">
        <f t="shared" si="29"/>
        <v>5.9466736005033392</v>
      </c>
      <c r="AE24" s="63">
        <f>INDEX('Junctions — junctions'!$F$2:$F$197,MATCH(V24,'Junctions — junctions'!$B$2:$B$197,0))</f>
        <v>15</v>
      </c>
      <c r="AF24" s="69">
        <v>10</v>
      </c>
      <c r="AG24" s="63">
        <f t="shared" si="6"/>
        <v>30.946673600503338</v>
      </c>
      <c r="AH24" s="63">
        <f t="shared" si="7"/>
        <v>63.925958607206105</v>
      </c>
      <c r="AM24" s="63" t="s">
        <v>411</v>
      </c>
      <c r="AN24" s="63" t="s">
        <v>697</v>
      </c>
      <c r="AO24" s="63" t="s">
        <v>775</v>
      </c>
      <c r="AP24" s="63">
        <v>250</v>
      </c>
      <c r="AQ24" s="63">
        <f>VLOOKUP(AP24,REF_TABLE!$G$7:$H$32,2)</f>
        <v>250</v>
      </c>
      <c r="AR24" s="63">
        <v>117</v>
      </c>
      <c r="AS24" s="63">
        <f>ABS(RESULT_ITTE!BK194)</f>
        <v>4.571385252712128E-3</v>
      </c>
      <c r="AT24" s="63">
        <f t="shared" si="8"/>
        <v>0.25</v>
      </c>
      <c r="AU24" s="63">
        <f t="shared" si="9"/>
        <v>5.8204684779722266E-3</v>
      </c>
      <c r="AV24" s="63">
        <f>ABS(RESULT_ITTE!BG194)</f>
        <v>0.1784575006086303</v>
      </c>
      <c r="AW24" s="63">
        <f t="shared" si="30"/>
        <v>2.6248765355493906</v>
      </c>
      <c r="AX24" s="63">
        <f>INDEX('Junctions — junctions'!$F$2:$F$197,MATCH(AO24,'Junctions — junctions'!$B$2:$B$197,0))</f>
        <v>10</v>
      </c>
      <c r="AY24" s="63">
        <v>10</v>
      </c>
      <c r="AZ24" s="63">
        <f t="shared" si="10"/>
        <v>22.62487653554939</v>
      </c>
      <c r="BA24" s="63">
        <f t="shared" si="11"/>
        <v>17.131241488522715</v>
      </c>
      <c r="BG24" s="63" t="s">
        <v>115</v>
      </c>
      <c r="BH24" s="63" t="s">
        <v>650</v>
      </c>
      <c r="BI24" s="63" t="s">
        <v>649</v>
      </c>
      <c r="BJ24" s="63">
        <v>565</v>
      </c>
      <c r="BK24" s="63">
        <f>VLOOKUP(BJ24,REF_TABLE!$G$7:$H$32,2)</f>
        <v>600</v>
      </c>
      <c r="BL24" s="63">
        <v>166</v>
      </c>
      <c r="BM24" s="63">
        <f>ABS(RESULT_ITTE!CH194)</f>
        <v>4.0278430277578207E-2</v>
      </c>
      <c r="BN24" s="63">
        <f t="shared" si="12"/>
        <v>0.56499999999999995</v>
      </c>
      <c r="BO24" s="63">
        <f t="shared" si="13"/>
        <v>1.0040741293223958E-2</v>
      </c>
      <c r="BP24" s="63">
        <f>ABS(RESULT_ITTE!CD194)</f>
        <v>0.13469904721539741</v>
      </c>
      <c r="BQ24" s="63">
        <f t="shared" si="31"/>
        <v>3.0154744523266341</v>
      </c>
      <c r="BR24" s="63">
        <f>INDEX('Junctions — junctions'!$F$2:$F$197,MATCH(BI24,'Junctions — junctions'!$B$2:$B$197,0))</f>
        <v>9</v>
      </c>
      <c r="BS24" s="63">
        <v>10</v>
      </c>
      <c r="BT24" s="63">
        <f t="shared" si="14"/>
        <v>22.015474452326636</v>
      </c>
      <c r="BU24" s="63">
        <f t="shared" si="15"/>
        <v>21.726828230576892</v>
      </c>
      <c r="CB24" s="63" t="s">
        <v>163</v>
      </c>
      <c r="CC24" s="63" t="s">
        <v>629</v>
      </c>
      <c r="CD24" s="63" t="s">
        <v>628</v>
      </c>
      <c r="CE24" s="63">
        <v>466</v>
      </c>
      <c r="CF24" s="63">
        <f>VLOOKUP(CE24,REF_TABLE!$G$7:$H$32,2)</f>
        <v>500</v>
      </c>
      <c r="CG24" s="63">
        <v>395</v>
      </c>
      <c r="CH24" s="63">
        <f>ABS(RESULT_ITTE!DD194)</f>
        <v>3.5987845481947341E-2</v>
      </c>
      <c r="CI24" s="63">
        <f t="shared" si="16"/>
        <v>0.46600000000000003</v>
      </c>
      <c r="CJ24" s="63">
        <f t="shared" si="17"/>
        <v>1.3187854583062986E-2</v>
      </c>
      <c r="CK24" s="63">
        <f>ABS(RESULT_ITTE!CZ194)</f>
        <v>0.58701314848494113</v>
      </c>
      <c r="CL24" s="63">
        <f t="shared" si="32"/>
        <v>5.2272439918661062</v>
      </c>
      <c r="CM24" s="63">
        <f>INDEX('Junctions — junctions'!$F$2:$F$197,MATCH(CD24,'Junctions — junctions'!$B$2:$B$197,0))</f>
        <v>9</v>
      </c>
      <c r="CN24" s="63">
        <v>10</v>
      </c>
      <c r="CO24" s="63">
        <f t="shared" si="18"/>
        <v>24.227243991866107</v>
      </c>
      <c r="CP24" s="63">
        <f t="shared" si="19"/>
        <v>22.239835713791404</v>
      </c>
      <c r="CV24" s="63" t="s">
        <v>139</v>
      </c>
      <c r="CW24" s="63" t="s">
        <v>611</v>
      </c>
      <c r="CX24" s="63" t="s">
        <v>610</v>
      </c>
      <c r="CY24" s="63">
        <v>466</v>
      </c>
      <c r="CZ24" s="63">
        <f>VLOOKUP(CY24,REF_TABLE!$G$7:$H$32,2)</f>
        <v>500</v>
      </c>
      <c r="DA24" s="63">
        <v>251</v>
      </c>
      <c r="DB24" s="63">
        <f>ABS(RESULT_ITTE!EB194)</f>
        <v>0.18919595698173888</v>
      </c>
      <c r="DC24" s="63">
        <f t="shared" si="20"/>
        <v>0.46600000000000003</v>
      </c>
      <c r="DD24" s="63">
        <f t="shared" si="21"/>
        <v>6.9331429402469488E-2</v>
      </c>
      <c r="DE24" s="63">
        <f>ABS(RESULT_ITTE!DX194)</f>
        <v>0.37301341840435503</v>
      </c>
      <c r="DF24" s="63">
        <f t="shared" si="33"/>
        <v>3.3536537754741436</v>
      </c>
      <c r="DG24" s="63">
        <f>INDEX('Junctions — junctions'!$F$2:$F$197,MATCH(CX24,'Junctions — junctions'!$B$2:$B$197,0))</f>
        <v>15</v>
      </c>
      <c r="DH24" s="63">
        <v>10</v>
      </c>
      <c r="DI24" s="63">
        <f t="shared" si="22"/>
        <v>28.353653775474143</v>
      </c>
      <c r="DJ24" s="63">
        <f t="shared" si="23"/>
        <v>16.497685438674182</v>
      </c>
      <c r="DP24" s="63" t="s">
        <v>151</v>
      </c>
      <c r="DQ24" s="63" t="s">
        <v>599</v>
      </c>
      <c r="DR24" s="63" t="s">
        <v>598</v>
      </c>
      <c r="DS24" s="63">
        <v>466</v>
      </c>
      <c r="DT24" s="63">
        <f>VLOOKUP(DS24,REF_TABLE!$G$7:$H$32,2)</f>
        <v>500</v>
      </c>
      <c r="DU24" s="63">
        <v>56</v>
      </c>
      <c r="DV24" s="63">
        <v>0.19832389366436998</v>
      </c>
      <c r="DW24" s="63">
        <f t="shared" si="24"/>
        <v>0.46600000000000003</v>
      </c>
      <c r="DX24" s="63">
        <f t="shared" si="25"/>
        <v>7.2676389346635381E-2</v>
      </c>
      <c r="DY24" s="63">
        <f>ABS(RESULT_ITTE!EW194)</f>
        <v>0.20831297302246091</v>
      </c>
      <c r="DZ24" s="63">
        <f t="shared" si="34"/>
        <v>2.1244651358127595</v>
      </c>
      <c r="EA24" s="63">
        <f>INDEX('Junctions — junctions'!$F$2:$F$197,MATCH(DR24,'Junctions — junctions'!$B$2:$B$197,0))</f>
        <v>12</v>
      </c>
      <c r="EB24" s="63">
        <v>10</v>
      </c>
      <c r="EC24" s="63">
        <f t="shared" si="26"/>
        <v>24.124465135812759</v>
      </c>
      <c r="ED24" s="63">
        <f t="shared" si="27"/>
        <v>20.41457763671875</v>
      </c>
      <c r="EH24" s="63" t="s">
        <v>208</v>
      </c>
      <c r="EI24" s="63" t="s">
        <v>683</v>
      </c>
      <c r="EJ24" s="63" t="s">
        <v>682</v>
      </c>
      <c r="EK24" s="63">
        <v>300</v>
      </c>
      <c r="EL24" s="63">
        <v>300</v>
      </c>
      <c r="EM24" s="63">
        <v>56</v>
      </c>
      <c r="EN24" s="63">
        <v>4.1178197049803727E-3</v>
      </c>
      <c r="EO24" s="63">
        <v>0.3</v>
      </c>
      <c r="EP24" s="63">
        <v>3.640952004493536E-3</v>
      </c>
      <c r="EQ24" s="63">
        <v>9.4446136293034055E-2</v>
      </c>
      <c r="ER24" s="63">
        <v>3.5270389895522132</v>
      </c>
      <c r="ES24" s="63">
        <v>10</v>
      </c>
      <c r="ET24" s="63">
        <v>10</v>
      </c>
      <c r="EU24" s="63">
        <v>23.527038989552214</v>
      </c>
      <c r="EV24" s="63">
        <v>26.679457022742287</v>
      </c>
    </row>
    <row r="25" spans="2:152" x14ac:dyDescent="0.25">
      <c r="B25" s="63" t="s">
        <v>208</v>
      </c>
      <c r="C25" s="63" t="s">
        <v>683</v>
      </c>
      <c r="D25" s="63" t="s">
        <v>682</v>
      </c>
      <c r="E25" s="63">
        <v>300</v>
      </c>
      <c r="F25" s="63">
        <f>VLOOKUP(E25,REF_TABLE!$G$7:$H$32,2)</f>
        <v>300</v>
      </c>
      <c r="G25" s="63">
        <v>56</v>
      </c>
      <c r="H25" s="63">
        <f>ABS(RESULT_ITTE!Q195)</f>
        <v>4.1178197049803727E-3</v>
      </c>
      <c r="I25" s="63">
        <f t="shared" si="0"/>
        <v>0.3</v>
      </c>
      <c r="J25" s="63">
        <f t="shared" si="1"/>
        <v>3.640952004493536E-3</v>
      </c>
      <c r="K25" s="66">
        <f>ABS(RESULT_ITTE!M195)</f>
        <v>9.4446136293034055E-2</v>
      </c>
      <c r="L25" s="66">
        <f t="shared" si="28"/>
        <v>3.5270389895522132</v>
      </c>
      <c r="M25" s="63">
        <f>INDEX('Junctions — junctions'!$F$2:$F$197,MATCH(D25,'Junctions — junctions'!$B$2:$B$197,0))</f>
        <v>10</v>
      </c>
      <c r="N25" s="63">
        <v>10</v>
      </c>
      <c r="O25" s="63">
        <f t="shared" si="2"/>
        <v>23.527038989552214</v>
      </c>
      <c r="P25" s="63">
        <f t="shared" si="3"/>
        <v>26.679457022742287</v>
      </c>
      <c r="T25" s="63" t="s">
        <v>207</v>
      </c>
      <c r="U25" s="63" t="s">
        <v>722</v>
      </c>
      <c r="V25" s="63" t="s">
        <v>723</v>
      </c>
      <c r="W25" s="63">
        <v>300</v>
      </c>
      <c r="X25" s="63">
        <f>VLOOKUP(W25,REF_TABLE!$G$7:$H$32,2)</f>
        <v>300</v>
      </c>
      <c r="Y25" s="63">
        <v>427</v>
      </c>
      <c r="Z25" s="63">
        <f>ABS(RESULT_ITTE!AO195)</f>
        <v>9.6271247287682774E-3</v>
      </c>
      <c r="AA25" s="63">
        <f t="shared" si="4"/>
        <v>0.3</v>
      </c>
      <c r="AB25" s="63">
        <f t="shared" si="5"/>
        <v>8.5122471574760744E-3</v>
      </c>
      <c r="AC25" s="69">
        <f>ABS(RESULT_ITTE!AK195)</f>
        <v>0.76993200602067557</v>
      </c>
      <c r="AD25" s="69">
        <f t="shared" si="29"/>
        <v>6.7166056065240145</v>
      </c>
      <c r="AE25" s="63">
        <f>INDEX('Junctions — junctions'!$F$2:$F$197,MATCH(V25,'Junctions — junctions'!$B$2:$B$197,0))</f>
        <v>15</v>
      </c>
      <c r="AF25" s="69">
        <v>10</v>
      </c>
      <c r="AG25" s="63">
        <f t="shared" si="6"/>
        <v>31.716605606524013</v>
      </c>
      <c r="AH25" s="63">
        <f t="shared" si="7"/>
        <v>63.156026601185431</v>
      </c>
      <c r="AM25" s="63" t="s">
        <v>309</v>
      </c>
      <c r="AN25" s="63" t="s">
        <v>699</v>
      </c>
      <c r="AO25" s="63" t="s">
        <v>698</v>
      </c>
      <c r="AP25" s="63">
        <v>250</v>
      </c>
      <c r="AQ25" s="63">
        <f>VLOOKUP(AP25,REF_TABLE!$G$7:$H$32,2)</f>
        <v>250</v>
      </c>
      <c r="AR25" s="63">
        <v>118</v>
      </c>
      <c r="AS25" s="63">
        <f>ABS(RESULT_ITTE!BK195)</f>
        <v>6.9483369066257114E-5</v>
      </c>
      <c r="AT25" s="63">
        <f t="shared" si="8"/>
        <v>0.25</v>
      </c>
      <c r="AU25" s="63">
        <f t="shared" si="9"/>
        <v>8.8468973196586503E-5</v>
      </c>
      <c r="AV25" s="63">
        <f>ABS(RESULT_ITTE!BG195)</f>
        <v>0.17998277839161003</v>
      </c>
      <c r="AW25" s="63">
        <f t="shared" si="30"/>
        <v>2.8048593139410007</v>
      </c>
      <c r="AX25" s="63">
        <f>INDEX('Junctions — junctions'!$F$2:$F$197,MATCH(AO25,'Junctions — junctions'!$B$2:$B$197,0))</f>
        <v>16</v>
      </c>
      <c r="AY25" s="63">
        <v>10</v>
      </c>
      <c r="AZ25" s="63">
        <f t="shared" si="10"/>
        <v>28.804859313941002</v>
      </c>
      <c r="BA25" s="63">
        <f t="shared" si="11"/>
        <v>10.951258710131103</v>
      </c>
      <c r="BG25" s="63" t="s">
        <v>424</v>
      </c>
      <c r="BH25" s="63" t="s">
        <v>651</v>
      </c>
      <c r="BI25" s="63" t="s">
        <v>650</v>
      </c>
      <c r="BJ25" s="63">
        <v>565</v>
      </c>
      <c r="BK25" s="63">
        <f>VLOOKUP(BJ25,REF_TABLE!$G$7:$H$32,2)</f>
        <v>600</v>
      </c>
      <c r="BL25" s="63">
        <v>584</v>
      </c>
      <c r="BM25" s="63">
        <f>ABS(RESULT_ITTE!CH195)</f>
        <v>3.6347581583337049E-2</v>
      </c>
      <c r="BN25" s="63">
        <f t="shared" si="12"/>
        <v>0.56499999999999995</v>
      </c>
      <c r="BO25" s="63">
        <f t="shared" si="13"/>
        <v>9.0608462345117598E-3</v>
      </c>
      <c r="BP25" s="63">
        <f>ABS(RESULT_ITTE!CD195)</f>
        <v>0.4738809853842898</v>
      </c>
      <c r="BQ25" s="63">
        <f t="shared" si="31"/>
        <v>3.4893554377109242</v>
      </c>
      <c r="BR25" s="63">
        <f>INDEX('Junctions — junctions'!$F$2:$F$197,MATCH(BI25,'Junctions — junctions'!$B$2:$B$197,0))</f>
        <v>12</v>
      </c>
      <c r="BS25" s="63">
        <v>10</v>
      </c>
      <c r="BT25" s="63">
        <f t="shared" si="14"/>
        <v>25.489355437710923</v>
      </c>
      <c r="BU25" s="63">
        <f t="shared" si="15"/>
        <v>18.252947245192605</v>
      </c>
      <c r="CB25" s="63" t="s">
        <v>162</v>
      </c>
      <c r="CC25" s="63" t="s">
        <v>630</v>
      </c>
      <c r="CD25" s="63" t="s">
        <v>629</v>
      </c>
      <c r="CE25" s="63">
        <v>466</v>
      </c>
      <c r="CF25" s="63">
        <f>VLOOKUP(CE25,REF_TABLE!$G$7:$H$32,2)</f>
        <v>500</v>
      </c>
      <c r="CG25" s="63">
        <v>151</v>
      </c>
      <c r="CH25" s="63">
        <f>ABS(RESULT_ITTE!DD195)</f>
        <v>3.2236718686002766E-2</v>
      </c>
      <c r="CI25" s="63">
        <f t="shared" si="16"/>
        <v>0.46600000000000003</v>
      </c>
      <c r="CJ25" s="63">
        <f t="shared" si="17"/>
        <v>1.1813242848321505E-2</v>
      </c>
      <c r="CK25" s="63">
        <f>ABS(RESULT_ITTE!CZ195)</f>
        <v>0.22440249473728133</v>
      </c>
      <c r="CL25" s="63">
        <f t="shared" si="32"/>
        <v>5.4516464866033871</v>
      </c>
      <c r="CM25" s="63">
        <f>INDEX('Junctions — junctions'!$F$2:$F$197,MATCH(CD25,'Junctions — junctions'!$B$2:$B$197,0))</f>
        <v>10</v>
      </c>
      <c r="CN25" s="63">
        <v>10</v>
      </c>
      <c r="CO25" s="63">
        <f t="shared" si="18"/>
        <v>25.451646486603387</v>
      </c>
      <c r="CP25" s="63">
        <f t="shared" si="19"/>
        <v>21.015433219054124</v>
      </c>
      <c r="CV25" s="63" t="s">
        <v>138</v>
      </c>
      <c r="CW25" s="63" t="s">
        <v>612</v>
      </c>
      <c r="CX25" s="63" t="s">
        <v>611</v>
      </c>
      <c r="CY25" s="63">
        <v>350</v>
      </c>
      <c r="CZ25" s="63">
        <f>VLOOKUP(CY25,REF_TABLE!$G$7:$H$32,2)</f>
        <v>350</v>
      </c>
      <c r="DA25" s="63">
        <v>129</v>
      </c>
      <c r="DB25" s="63">
        <f>ABS(RESULT_ITTE!EB195)</f>
        <v>0.11492738092712057</v>
      </c>
      <c r="DC25" s="63">
        <f t="shared" si="20"/>
        <v>0.35</v>
      </c>
      <c r="DD25" s="63">
        <f t="shared" si="21"/>
        <v>7.4658207229210016E-2</v>
      </c>
      <c r="DE25" s="63">
        <f>ABS(RESULT_ITTE!DX195)</f>
        <v>0.27254531158613615</v>
      </c>
      <c r="DF25" s="63">
        <f t="shared" si="33"/>
        <v>3.6261990870602796</v>
      </c>
      <c r="DG25" s="63">
        <f>INDEX('Junctions — junctions'!$F$2:$F$197,MATCH(CX25,'Junctions — junctions'!$B$2:$B$197,0))</f>
        <v>15</v>
      </c>
      <c r="DH25" s="63">
        <v>10</v>
      </c>
      <c r="DI25" s="63">
        <f t="shared" si="22"/>
        <v>28.626199087060279</v>
      </c>
      <c r="DJ25" s="63">
        <f t="shared" si="23"/>
        <v>16.225140127088046</v>
      </c>
      <c r="DP25" s="63" t="s">
        <v>150</v>
      </c>
      <c r="DQ25" s="63" t="s">
        <v>600</v>
      </c>
      <c r="DR25" s="63" t="s">
        <v>599</v>
      </c>
      <c r="DS25" s="63">
        <v>466</v>
      </c>
      <c r="DT25" s="63">
        <f>VLOOKUP(DS25,REF_TABLE!$G$7:$H$32,2)</f>
        <v>500</v>
      </c>
      <c r="DU25" s="63">
        <v>60</v>
      </c>
      <c r="DV25" s="63">
        <v>0.19890919426423928</v>
      </c>
      <c r="DW25" s="63">
        <f t="shared" si="24"/>
        <v>0.46600000000000003</v>
      </c>
      <c r="DX25" s="63">
        <f t="shared" si="25"/>
        <v>7.2890874517811524E-2</v>
      </c>
      <c r="DY25" s="63">
        <f>ABS(RESULT_ITTE!EW195)</f>
        <v>0.207651123046875</v>
      </c>
      <c r="DZ25" s="63">
        <f t="shared" si="34"/>
        <v>2.3321162588596347</v>
      </c>
      <c r="EA25" s="63">
        <f>INDEX('Junctions — junctions'!$F$2:$F$197,MATCH(DR25,'Junctions — junctions'!$B$2:$B$197,0))</f>
        <v>14</v>
      </c>
      <c r="EB25" s="63">
        <v>10</v>
      </c>
      <c r="EC25" s="63">
        <f t="shared" si="26"/>
        <v>26.332116258859635</v>
      </c>
      <c r="ED25" s="63">
        <f t="shared" si="27"/>
        <v>18.206926513671874</v>
      </c>
      <c r="EH25" s="63" t="s">
        <v>229</v>
      </c>
      <c r="EI25" s="63" t="s">
        <v>684</v>
      </c>
      <c r="EJ25" s="63" t="s">
        <v>683</v>
      </c>
      <c r="EK25" s="63">
        <v>200</v>
      </c>
      <c r="EL25" s="63">
        <v>200</v>
      </c>
      <c r="EM25" s="63">
        <v>22</v>
      </c>
      <c r="EN25" s="63">
        <v>4.899302312000104E-3</v>
      </c>
      <c r="EO25" s="63">
        <v>0.2</v>
      </c>
      <c r="EP25" s="63">
        <v>9.7468522582045969E-3</v>
      </c>
      <c r="EQ25" s="63">
        <v>4.7389480906776568E-2</v>
      </c>
      <c r="ER25" s="63">
        <v>3.5744284704589897</v>
      </c>
      <c r="ES25" s="63">
        <v>14</v>
      </c>
      <c r="ET25" s="63">
        <v>10</v>
      </c>
      <c r="EU25" s="63">
        <v>27.57442847045899</v>
      </c>
      <c r="EV25" s="63">
        <v>22.632067541835511</v>
      </c>
    </row>
    <row r="26" spans="2:152" x14ac:dyDescent="0.25">
      <c r="B26" s="63" t="s">
        <v>229</v>
      </c>
      <c r="C26" s="63" t="s">
        <v>684</v>
      </c>
      <c r="D26" s="63" t="s">
        <v>683</v>
      </c>
      <c r="E26" s="63">
        <v>200</v>
      </c>
      <c r="F26" s="63">
        <f>VLOOKUP(E26,REF_TABLE!$G$7:$H$32,2)</f>
        <v>200</v>
      </c>
      <c r="G26" s="63">
        <v>22</v>
      </c>
      <c r="H26" s="63">
        <f>ABS(RESULT_ITTE!Q196)</f>
        <v>4.899302312000104E-3</v>
      </c>
      <c r="I26" s="63">
        <f t="shared" si="0"/>
        <v>0.2</v>
      </c>
      <c r="J26" s="63">
        <f t="shared" si="1"/>
        <v>9.7468522582045969E-3</v>
      </c>
      <c r="K26" s="66">
        <f>ABS(RESULT_ITTE!M196)</f>
        <v>4.7389480906776568E-2</v>
      </c>
      <c r="L26" s="66">
        <f t="shared" si="28"/>
        <v>3.5744284704589897</v>
      </c>
      <c r="M26" s="63">
        <f>INDEX('Junctions — junctions'!$F$2:$F$197,MATCH(D26,'Junctions — junctions'!$B$2:$B$197,0))</f>
        <v>14</v>
      </c>
      <c r="N26" s="63">
        <v>10</v>
      </c>
      <c r="O26" s="63">
        <f t="shared" si="2"/>
        <v>27.57442847045899</v>
      </c>
      <c r="P26" s="63">
        <f t="shared" si="3"/>
        <v>22.632067541835511</v>
      </c>
      <c r="T26" s="63" t="s">
        <v>206</v>
      </c>
      <c r="U26" s="63" t="s">
        <v>723</v>
      </c>
      <c r="V26" s="63" t="s">
        <v>724</v>
      </c>
      <c r="W26" s="63">
        <v>300</v>
      </c>
      <c r="X26" s="63">
        <f>VLOOKUP(W26,REF_TABLE!$G$7:$H$32,2)</f>
        <v>300</v>
      </c>
      <c r="Y26" s="63">
        <v>87</v>
      </c>
      <c r="Z26" s="63">
        <f>ABS(RESULT_ITTE!AO196)</f>
        <v>8.4606213740655439E-3</v>
      </c>
      <c r="AA26" s="63">
        <f t="shared" si="4"/>
        <v>0.3</v>
      </c>
      <c r="AB26" s="63">
        <f t="shared" si="5"/>
        <v>7.4808317406193058E-3</v>
      </c>
      <c r="AC26" s="69">
        <f>ABS(RESULT_ITTE!AK196)</f>
        <v>0.15687139232739758</v>
      </c>
      <c r="AD26" s="69">
        <f t="shared" si="29"/>
        <v>6.8734769988514124</v>
      </c>
      <c r="AE26" s="63">
        <f>INDEX('Junctions — junctions'!$F$2:$F$197,MATCH(V26,'Junctions — junctions'!$B$2:$B$197,0))</f>
        <v>15</v>
      </c>
      <c r="AF26" s="69">
        <v>10</v>
      </c>
      <c r="AG26" s="63">
        <f t="shared" si="6"/>
        <v>31.873476998851412</v>
      </c>
      <c r="AH26" s="63">
        <f t="shared" si="7"/>
        <v>62.999155208858028</v>
      </c>
      <c r="AM26" s="63" t="s">
        <v>310</v>
      </c>
      <c r="AN26" s="63" t="s">
        <v>700</v>
      </c>
      <c r="AO26" s="63" t="s">
        <v>699</v>
      </c>
      <c r="AP26" s="63">
        <v>250</v>
      </c>
      <c r="AQ26" s="63">
        <f>VLOOKUP(AP26,REF_TABLE!$G$7:$H$32,2)</f>
        <v>250</v>
      </c>
      <c r="AR26" s="63">
        <v>119</v>
      </c>
      <c r="AS26" s="63">
        <f>ABS(RESULT_ITTE!BK196)</f>
        <v>1.4383996248023296E-3</v>
      </c>
      <c r="AT26" s="63">
        <f t="shared" si="8"/>
        <v>0.25</v>
      </c>
      <c r="AU26" s="63">
        <f t="shared" si="9"/>
        <v>1.8314272834305471E-3</v>
      </c>
      <c r="AV26" s="63">
        <f>ABS(RESULT_ITTE!BG196)</f>
        <v>0.18150805617458979</v>
      </c>
      <c r="AW26" s="63">
        <f t="shared" si="30"/>
        <v>2.9863673701155906</v>
      </c>
      <c r="AX26" s="63">
        <f>INDEX('Junctions — junctions'!$F$2:$F$197,MATCH(AO26,'Junctions — junctions'!$B$2:$B$197,0))</f>
        <v>8</v>
      </c>
      <c r="AY26" s="63">
        <v>10</v>
      </c>
      <c r="AZ26" s="63">
        <f t="shared" si="10"/>
        <v>20.986367370115591</v>
      </c>
      <c r="BA26" s="63">
        <f t="shared" si="11"/>
        <v>18.769750653956514</v>
      </c>
      <c r="BG26" s="63" t="s">
        <v>428</v>
      </c>
      <c r="BH26" s="63" t="s">
        <v>772</v>
      </c>
      <c r="BI26" s="63" t="s">
        <v>651</v>
      </c>
      <c r="BJ26" s="63">
        <v>565</v>
      </c>
      <c r="BK26" s="63">
        <f>VLOOKUP(BJ26,REF_TABLE!$G$7:$H$32,2)</f>
        <v>600</v>
      </c>
      <c r="BL26" s="63">
        <v>211</v>
      </c>
      <c r="BM26" s="63">
        <f>ABS(RESULT_ITTE!CH196)</f>
        <v>3.1526179338179819E-2</v>
      </c>
      <c r="BN26" s="63">
        <f t="shared" si="12"/>
        <v>0.56499999999999995</v>
      </c>
      <c r="BO26" s="63">
        <f t="shared" si="13"/>
        <v>7.8589510196145317E-3</v>
      </c>
      <c r="BP26" s="63">
        <f>ABS(RESULT_ITTE!CD196)</f>
        <v>0.17121384917137866</v>
      </c>
      <c r="BQ26" s="63">
        <f t="shared" si="31"/>
        <v>3.660569286882303</v>
      </c>
      <c r="BR26" s="63">
        <f>INDEX('Junctions — junctions'!$F$2:$F$197,MATCH(BI26,'Junctions — junctions'!$B$2:$B$197,0))</f>
        <v>8</v>
      </c>
      <c r="BS26" s="63">
        <v>10</v>
      </c>
      <c r="BT26" s="63">
        <f t="shared" si="14"/>
        <v>21.660569286882303</v>
      </c>
      <c r="BU26" s="63">
        <f t="shared" si="15"/>
        <v>22.081733396021225</v>
      </c>
      <c r="CB26" s="63" t="s">
        <v>161</v>
      </c>
      <c r="CC26" s="63" t="s">
        <v>631</v>
      </c>
      <c r="CD26" s="63" t="s">
        <v>630</v>
      </c>
      <c r="CE26" s="63">
        <v>466</v>
      </c>
      <c r="CF26" s="63">
        <f>VLOOKUP(CE26,REF_TABLE!$G$7:$H$32,2)</f>
        <v>500</v>
      </c>
      <c r="CG26" s="63">
        <v>186</v>
      </c>
      <c r="CH26" s="63">
        <f>ABS(RESULT_ITTE!DD196)</f>
        <v>3.0061025927469467E-2</v>
      </c>
      <c r="CI26" s="63">
        <f t="shared" si="16"/>
        <v>0.46600000000000003</v>
      </c>
      <c r="CJ26" s="63">
        <f t="shared" si="17"/>
        <v>1.1015953671025423E-2</v>
      </c>
      <c r="CK26" s="63">
        <f>ABS(RESULT_ITTE!CZ196)</f>
        <v>0.27641631802075711</v>
      </c>
      <c r="CL26" s="63">
        <f t="shared" si="32"/>
        <v>5.7280628046241446</v>
      </c>
      <c r="CM26" s="63">
        <f>INDEX('Junctions — junctions'!$F$2:$F$197,MATCH(CD26,'Junctions — junctions'!$B$2:$B$197,0))</f>
        <v>14</v>
      </c>
      <c r="CN26" s="63">
        <v>10</v>
      </c>
      <c r="CO26" s="63">
        <f t="shared" si="18"/>
        <v>29.728062804624145</v>
      </c>
      <c r="CP26" s="63">
        <f t="shared" si="19"/>
        <v>16.739016901033366</v>
      </c>
      <c r="CV26" s="63" t="s">
        <v>137</v>
      </c>
      <c r="CW26" s="63" t="s">
        <v>613</v>
      </c>
      <c r="CX26" s="63" t="s">
        <v>612</v>
      </c>
      <c r="CY26" s="63">
        <v>350</v>
      </c>
      <c r="CZ26" s="63">
        <f>VLOOKUP(CY26,REF_TABLE!$G$7:$H$32,2)</f>
        <v>350</v>
      </c>
      <c r="DA26" s="63">
        <v>157</v>
      </c>
      <c r="DB26" s="63">
        <f>ABS(RESULT_ITTE!EB196)</f>
        <v>0.11265888178789435</v>
      </c>
      <c r="DC26" s="63">
        <f t="shared" si="20"/>
        <v>0.35</v>
      </c>
      <c r="DD26" s="63">
        <f t="shared" si="21"/>
        <v>7.318456293775058E-2</v>
      </c>
      <c r="DE26" s="63">
        <f>ABS(RESULT_ITTE!DX196)</f>
        <v>0.33170243348080136</v>
      </c>
      <c r="DF26" s="63">
        <f t="shared" si="33"/>
        <v>3.957901520541081</v>
      </c>
      <c r="DG26" s="63">
        <f>INDEX('Junctions — junctions'!$F$2:$F$197,MATCH(CX26,'Junctions — junctions'!$B$2:$B$197,0))</f>
        <v>18</v>
      </c>
      <c r="DH26" s="63">
        <v>10</v>
      </c>
      <c r="DI26" s="63">
        <f t="shared" si="22"/>
        <v>31.957901520541082</v>
      </c>
      <c r="DJ26" s="63">
        <f t="shared" si="23"/>
        <v>12.893437693607243</v>
      </c>
      <c r="DP26" s="63" t="s">
        <v>149</v>
      </c>
      <c r="DQ26" s="63" t="s">
        <v>601</v>
      </c>
      <c r="DR26" s="63" t="s">
        <v>600</v>
      </c>
      <c r="DS26" s="63">
        <v>466</v>
      </c>
      <c r="DT26" s="63">
        <f>VLOOKUP(DS26,REF_TABLE!$G$7:$H$32,2)</f>
        <v>500</v>
      </c>
      <c r="DU26" s="63">
        <v>67</v>
      </c>
      <c r="DV26" s="63">
        <v>0.19638140137781473</v>
      </c>
      <c r="DW26" s="63">
        <f t="shared" si="24"/>
        <v>0.46600000000000003</v>
      </c>
      <c r="DX26" s="63">
        <f t="shared" si="25"/>
        <v>7.196455718606154E-2</v>
      </c>
      <c r="DY26" s="63">
        <f>ABS(RESULT_ITTE!EW196)</f>
        <v>0.20692651367187501</v>
      </c>
      <c r="DZ26" s="63">
        <f t="shared" si="34"/>
        <v>2.5390427725315097</v>
      </c>
      <c r="EA26" s="63">
        <f>INDEX('Junctions — junctions'!$F$2:$F$197,MATCH(DR26,'Junctions — junctions'!$B$2:$B$197,0))</f>
        <v>22</v>
      </c>
      <c r="EB26" s="63">
        <v>10</v>
      </c>
      <c r="EC26" s="63">
        <f t="shared" si="26"/>
        <v>34.539042772531509</v>
      </c>
      <c r="ED26" s="63">
        <f t="shared" si="27"/>
        <v>10</v>
      </c>
      <c r="EH26" s="63" t="s">
        <v>265</v>
      </c>
      <c r="EI26" s="63" t="s">
        <v>685</v>
      </c>
      <c r="EJ26" s="63" t="s">
        <v>684</v>
      </c>
      <c r="EK26" s="63">
        <v>300</v>
      </c>
      <c r="EL26" s="63">
        <v>300</v>
      </c>
      <c r="EM26" s="63">
        <v>54</v>
      </c>
      <c r="EN26" s="63">
        <v>5.1839247217690312E-3</v>
      </c>
      <c r="EO26" s="63">
        <v>0.3</v>
      </c>
      <c r="EP26" s="63">
        <v>4.5835958004767753E-3</v>
      </c>
      <c r="EQ26" s="63">
        <v>8.5141039063695509E-2</v>
      </c>
      <c r="ER26" s="63">
        <v>3.6595695095226852</v>
      </c>
      <c r="ES26" s="63">
        <v>14</v>
      </c>
      <c r="ET26" s="63">
        <v>10</v>
      </c>
      <c r="EU26" s="63">
        <v>27.659569509522687</v>
      </c>
      <c r="EV26" s="63">
        <v>22.546926502771814</v>
      </c>
    </row>
    <row r="27" spans="2:152" x14ac:dyDescent="0.25">
      <c r="B27" s="63" t="s">
        <v>265</v>
      </c>
      <c r="C27" s="63" t="s">
        <v>685</v>
      </c>
      <c r="D27" s="63" t="s">
        <v>684</v>
      </c>
      <c r="E27" s="63">
        <v>300</v>
      </c>
      <c r="F27" s="63">
        <f>VLOOKUP(E27,REF_TABLE!$G$7:$H$32,2)</f>
        <v>300</v>
      </c>
      <c r="G27" s="63">
        <v>54</v>
      </c>
      <c r="H27" s="63">
        <f>ABS(RESULT_ITTE!Q197)</f>
        <v>5.1839247217690312E-3</v>
      </c>
      <c r="I27" s="63">
        <f t="shared" si="0"/>
        <v>0.3</v>
      </c>
      <c r="J27" s="63">
        <f t="shared" si="1"/>
        <v>4.5835958004767753E-3</v>
      </c>
      <c r="K27" s="66">
        <f>ABS(RESULT_ITTE!M197)</f>
        <v>8.5141039063695509E-2</v>
      </c>
      <c r="L27" s="66">
        <f t="shared" si="28"/>
        <v>3.6595695095226852</v>
      </c>
      <c r="M27" s="63">
        <f>INDEX('Junctions — junctions'!$F$2:$F$197,MATCH(D27,'Junctions — junctions'!$B$2:$B$197,0))</f>
        <v>14</v>
      </c>
      <c r="N27" s="63">
        <v>10</v>
      </c>
      <c r="O27" s="63">
        <f t="shared" si="2"/>
        <v>27.659569509522687</v>
      </c>
      <c r="P27" s="63">
        <f t="shared" si="3"/>
        <v>22.546926502771814</v>
      </c>
      <c r="T27" s="63" t="s">
        <v>205</v>
      </c>
      <c r="U27" s="63" t="s">
        <v>724</v>
      </c>
      <c r="V27" s="63" t="s">
        <v>725</v>
      </c>
      <c r="W27" s="63">
        <v>300</v>
      </c>
      <c r="X27" s="63">
        <f>VLOOKUP(W27,REF_TABLE!$G$7:$H$32,2)</f>
        <v>300</v>
      </c>
      <c r="Y27" s="63">
        <v>115</v>
      </c>
      <c r="Z27" s="63">
        <f>ABS(RESULT_ITTE!AO197)</f>
        <v>7.7033973419067111E-3</v>
      </c>
      <c r="AA27" s="63">
        <f t="shared" si="4"/>
        <v>0.3</v>
      </c>
      <c r="AB27" s="63">
        <f t="shared" si="5"/>
        <v>6.8112986975856693E-3</v>
      </c>
      <c r="AC27" s="69">
        <f>ABS(RESULT_ITTE!AK197)</f>
        <v>0.20735873698449106</v>
      </c>
      <c r="AD27" s="69">
        <f t="shared" si="29"/>
        <v>7.0808357358359038</v>
      </c>
      <c r="AE27" s="63">
        <f>INDEX('Junctions — junctions'!$F$2:$F$197,MATCH(V27,'Junctions — junctions'!$B$2:$B$197,0))</f>
        <v>13</v>
      </c>
      <c r="AF27" s="69">
        <v>10</v>
      </c>
      <c r="AG27" s="63">
        <f t="shared" si="6"/>
        <v>30.080835735835905</v>
      </c>
      <c r="AH27" s="63">
        <f t="shared" si="7"/>
        <v>64.791796471873539</v>
      </c>
      <c r="AM27" s="63" t="s">
        <v>312</v>
      </c>
      <c r="AN27" s="63" t="s">
        <v>701</v>
      </c>
      <c r="AO27" s="63" t="s">
        <v>700</v>
      </c>
      <c r="AP27" s="63">
        <v>250</v>
      </c>
      <c r="AQ27" s="63">
        <f>VLOOKUP(AP27,REF_TABLE!$G$7:$H$32,2)</f>
        <v>250</v>
      </c>
      <c r="AR27" s="63">
        <v>120</v>
      </c>
      <c r="AS27" s="63">
        <f>ABS(RESULT_ITTE!BK197)</f>
        <v>3.387243992339333E-3</v>
      </c>
      <c r="AT27" s="63">
        <f t="shared" si="8"/>
        <v>0.25</v>
      </c>
      <c r="AU27" s="63">
        <f t="shared" si="9"/>
        <v>4.3127729987130475E-3</v>
      </c>
      <c r="AV27" s="63">
        <f>ABS(RESULT_ITTE!BG197)</f>
        <v>0.1830230110493602</v>
      </c>
      <c r="AW27" s="63">
        <f t="shared" si="30"/>
        <v>3.1693903811649506</v>
      </c>
      <c r="AX27" s="63">
        <f>INDEX('Junctions — junctions'!$F$2:$F$197,MATCH(AO27,'Junctions — junctions'!$B$2:$B$197,0))</f>
        <v>13</v>
      </c>
      <c r="AY27" s="63">
        <v>10</v>
      </c>
      <c r="AZ27" s="63">
        <f t="shared" si="10"/>
        <v>26.169390381164952</v>
      </c>
      <c r="BA27" s="63">
        <f t="shared" si="11"/>
        <v>13.586727642907155</v>
      </c>
      <c r="BG27" s="63" t="s">
        <v>181</v>
      </c>
      <c r="BH27" s="63" t="s">
        <v>652</v>
      </c>
      <c r="BI27" s="63" t="s">
        <v>653</v>
      </c>
      <c r="BJ27" s="63">
        <v>250</v>
      </c>
      <c r="BK27" s="63">
        <f>VLOOKUP(BJ27,REF_TABLE!$G$7:$H$32,2)</f>
        <v>250</v>
      </c>
      <c r="BL27" s="63">
        <v>80</v>
      </c>
      <c r="BM27" s="63">
        <f>ABS(RESULT_ITTE!CH197)</f>
        <v>5.6926136485617146E-2</v>
      </c>
      <c r="BN27" s="63">
        <f t="shared" si="12"/>
        <v>0.25</v>
      </c>
      <c r="BO27" s="63">
        <f t="shared" si="13"/>
        <v>7.2480608102478916E-2</v>
      </c>
      <c r="BP27" s="63">
        <f>ABS(RESULT_ITTE!CD197)</f>
        <v>0.16187231665420129</v>
      </c>
      <c r="BQ27" s="63">
        <f t="shared" si="31"/>
        <v>3.8224416035365043</v>
      </c>
      <c r="BR27" s="63">
        <f>INDEX('Junctions — junctions'!$F$2:$F$197,MATCH(BI27,'Junctions — junctions'!$B$2:$B$197,0))</f>
        <v>11</v>
      </c>
      <c r="BS27" s="63">
        <v>10</v>
      </c>
      <c r="BT27" s="63">
        <f t="shared" si="14"/>
        <v>24.822441603536504</v>
      </c>
      <c r="BU27" s="63">
        <f t="shared" si="15"/>
        <v>18.919861079367024</v>
      </c>
      <c r="CB27" s="63" t="s">
        <v>415</v>
      </c>
      <c r="CC27" s="63" t="s">
        <v>649</v>
      </c>
      <c r="CD27" s="63" t="s">
        <v>631</v>
      </c>
      <c r="CE27" s="63">
        <v>466</v>
      </c>
      <c r="CF27" s="63">
        <f>VLOOKUP(CE27,REF_TABLE!$G$7:$H$32,2)</f>
        <v>500</v>
      </c>
      <c r="CG27" s="63">
        <v>191</v>
      </c>
      <c r="CH27" s="63">
        <f>ABS(RESULT_ITTE!DD197)</f>
        <v>2.8968674602108418E-2</v>
      </c>
      <c r="CI27" s="63">
        <f t="shared" si="16"/>
        <v>0.46600000000000003</v>
      </c>
      <c r="CJ27" s="63">
        <f t="shared" si="17"/>
        <v>1.0615658231285801E-2</v>
      </c>
      <c r="CK27" s="63">
        <f>ABS(RESULT_ITTE!CZ197)</f>
        <v>0.28384686420411082</v>
      </c>
      <c r="CL27" s="63">
        <f t="shared" si="32"/>
        <v>6.0119096688282552</v>
      </c>
      <c r="CM27" s="63">
        <f>INDEX('Junctions — junctions'!$F$2:$F$197,MATCH(CD27,'Junctions — junctions'!$B$2:$B$197,0))</f>
        <v>9</v>
      </c>
      <c r="CN27" s="63">
        <v>10</v>
      </c>
      <c r="CO27" s="63">
        <f t="shared" si="18"/>
        <v>25.011909668828256</v>
      </c>
      <c r="CP27" s="63">
        <f t="shared" si="19"/>
        <v>21.455170036829255</v>
      </c>
      <c r="CV27" s="63" t="s">
        <v>136</v>
      </c>
      <c r="CW27" s="63" t="s">
        <v>614</v>
      </c>
      <c r="CX27" s="63" t="s">
        <v>613</v>
      </c>
      <c r="CY27" s="63">
        <v>350</v>
      </c>
      <c r="CZ27" s="63">
        <f>VLOOKUP(CY27,REF_TABLE!$G$7:$H$32,2)</f>
        <v>350</v>
      </c>
      <c r="DA27" s="63">
        <v>82</v>
      </c>
      <c r="DB27" s="63">
        <f>ABS(RESULT_ITTE!EB197)</f>
        <v>0.11072408370900942</v>
      </c>
      <c r="DC27" s="63">
        <f t="shared" si="20"/>
        <v>0.35</v>
      </c>
      <c r="DD27" s="63">
        <f t="shared" si="21"/>
        <v>7.1927694863712865E-2</v>
      </c>
      <c r="DE27" s="63">
        <f>ABS(RESULT_ITTE!DX197)</f>
        <v>0.1732458569772338</v>
      </c>
      <c r="DF27" s="63">
        <f t="shared" si="33"/>
        <v>4.1311473775183147</v>
      </c>
      <c r="DG27" s="63">
        <f>INDEX('Junctions — junctions'!$F$2:$F$197,MATCH(CX27,'Junctions — junctions'!$B$2:$B$197,0))</f>
        <v>12</v>
      </c>
      <c r="DH27" s="63">
        <v>10</v>
      </c>
      <c r="DI27" s="63">
        <f t="shared" si="22"/>
        <v>26.131147377518314</v>
      </c>
      <c r="DJ27" s="63">
        <f t="shared" si="23"/>
        <v>18.720191836630011</v>
      </c>
      <c r="DP27" s="63" t="s">
        <v>148</v>
      </c>
      <c r="DQ27" s="63" t="s">
        <v>602</v>
      </c>
      <c r="DR27" s="63" t="s">
        <v>601</v>
      </c>
      <c r="DS27" s="63">
        <v>466</v>
      </c>
      <c r="DT27" s="63">
        <f>VLOOKUP(DS27,REF_TABLE!$G$7:$H$32,2)</f>
        <v>500</v>
      </c>
      <c r="DU27" s="63">
        <v>194</v>
      </c>
      <c r="DV27" s="63">
        <v>0.19401650420675814</v>
      </c>
      <c r="DW27" s="63">
        <f t="shared" si="24"/>
        <v>0.46600000000000003</v>
      </c>
      <c r="DX27" s="63">
        <f t="shared" si="25"/>
        <v>7.1097933480804273E-2</v>
      </c>
      <c r="DY27" s="63">
        <f>ABS(RESULT_ITTE!EW197)</f>
        <v>0.2054373626708984</v>
      </c>
      <c r="DZ27" s="63">
        <f t="shared" si="34"/>
        <v>2.7444801352024082</v>
      </c>
      <c r="EA27" s="63">
        <f>INDEX('Junctions — junctions'!$F$2:$F$197,MATCH(DR27,'Junctions — junctions'!$B$2:$B$197,0))</f>
        <v>13</v>
      </c>
      <c r="EB27" s="63">
        <v>10</v>
      </c>
      <c r="EC27" s="63">
        <f t="shared" si="26"/>
        <v>25.744480135202409</v>
      </c>
      <c r="ED27" s="63">
        <f t="shared" si="27"/>
        <v>18.794562637329101</v>
      </c>
      <c r="EH27" s="63" t="s">
        <v>434</v>
      </c>
      <c r="EI27" s="63" t="s">
        <v>418</v>
      </c>
      <c r="EJ27" s="63" t="s">
        <v>685</v>
      </c>
      <c r="EK27" s="63">
        <v>200</v>
      </c>
      <c r="EL27" s="63">
        <v>200</v>
      </c>
      <c r="EM27" s="63">
        <v>30</v>
      </c>
      <c r="EN27" s="63">
        <v>4.8596935076183498E-2</v>
      </c>
      <c r="EO27" s="63">
        <v>0.2</v>
      </c>
      <c r="EP27" s="63">
        <v>9.6680530456131453E-2</v>
      </c>
      <c r="EQ27" s="63">
        <v>0.11477367408807007</v>
      </c>
      <c r="ER27" s="63">
        <v>3.7743431836107555</v>
      </c>
      <c r="ES27" s="63">
        <v>15</v>
      </c>
      <c r="ET27" s="63">
        <v>10</v>
      </c>
      <c r="EU27" s="63">
        <v>28.774343183610757</v>
      </c>
      <c r="EV27" s="63">
        <v>21.432152828683744</v>
      </c>
    </row>
    <row r="28" spans="2:152" x14ac:dyDescent="0.25">
      <c r="B28" s="63" t="s">
        <v>434</v>
      </c>
      <c r="C28" s="63" t="s">
        <v>418</v>
      </c>
      <c r="D28" s="63" t="s">
        <v>685</v>
      </c>
      <c r="E28" s="63">
        <v>200</v>
      </c>
      <c r="F28" s="63">
        <f>VLOOKUP(E28,REF_TABLE!$G$7:$H$32,2)</f>
        <v>200</v>
      </c>
      <c r="G28" s="63">
        <v>30</v>
      </c>
      <c r="H28" s="63">
        <f>ABS(RESULT_ITTE!Q198)</f>
        <v>4.8596935076183498E-2</v>
      </c>
      <c r="I28" s="63">
        <f t="shared" si="0"/>
        <v>0.2</v>
      </c>
      <c r="J28" s="63">
        <f t="shared" si="1"/>
        <v>9.6680530456131453E-2</v>
      </c>
      <c r="K28" s="66">
        <f>ABS(RESULT_ITTE!M198)</f>
        <v>0.11477367408807007</v>
      </c>
      <c r="L28" s="66">
        <f t="shared" si="28"/>
        <v>3.7743431836107555</v>
      </c>
      <c r="M28" s="63">
        <f>INDEX('Junctions — junctions'!$F$2:$F$197,MATCH(D28,'Junctions — junctions'!$B$2:$B$197,0))</f>
        <v>15</v>
      </c>
      <c r="N28" s="63">
        <v>10</v>
      </c>
      <c r="O28" s="63">
        <f t="shared" si="2"/>
        <v>28.774343183610757</v>
      </c>
      <c r="P28" s="63">
        <f t="shared" si="3"/>
        <v>21.432152828683744</v>
      </c>
      <c r="T28" s="63" t="s">
        <v>204</v>
      </c>
      <c r="U28" s="63" t="s">
        <v>725</v>
      </c>
      <c r="V28" s="63" t="s">
        <v>726</v>
      </c>
      <c r="W28" s="63">
        <v>300</v>
      </c>
      <c r="X28" s="63">
        <f>VLOOKUP(W28,REF_TABLE!$G$7:$H$32,2)</f>
        <v>300</v>
      </c>
      <c r="Y28" s="63">
        <v>168</v>
      </c>
      <c r="Z28" s="63">
        <f>ABS(RESULT_ITTE!AO198)</f>
        <v>2.4601289774330839E-3</v>
      </c>
      <c r="AA28" s="63">
        <f t="shared" si="4"/>
        <v>0.3</v>
      </c>
      <c r="AB28" s="63">
        <f t="shared" si="5"/>
        <v>2.1752315966782508E-3</v>
      </c>
      <c r="AC28" s="69">
        <f>ABS(RESULT_ITTE!AK198)</f>
        <v>0.30292406794256088</v>
      </c>
      <c r="AD28" s="69">
        <f t="shared" si="29"/>
        <v>7.3837598037784646</v>
      </c>
      <c r="AE28" s="63">
        <f>INDEX('Junctions — junctions'!$F$2:$F$197,MATCH(V28,'Junctions — junctions'!$B$2:$B$197,0))</f>
        <v>11</v>
      </c>
      <c r="AF28" s="69">
        <v>10</v>
      </c>
      <c r="AG28" s="63">
        <f t="shared" si="6"/>
        <v>28.383759803778464</v>
      </c>
      <c r="AH28" s="63">
        <f t="shared" si="7"/>
        <v>66.488872403930984</v>
      </c>
      <c r="AM28" s="63" t="s">
        <v>311</v>
      </c>
      <c r="AN28" s="63" t="s">
        <v>701</v>
      </c>
      <c r="AO28" s="63" t="s">
        <v>702</v>
      </c>
      <c r="AP28" s="63">
        <v>400</v>
      </c>
      <c r="AQ28" s="63">
        <f>VLOOKUP(AP28,REF_TABLE!$G$7:$H$32,2)</f>
        <v>400</v>
      </c>
      <c r="AR28" s="63">
        <v>121</v>
      </c>
      <c r="AS28" s="63">
        <f>ABS(RESULT_ITTE!BK198)</f>
        <v>5.2203869364785827E-2</v>
      </c>
      <c r="AT28" s="63">
        <f t="shared" si="8"/>
        <v>0.4</v>
      </c>
      <c r="AU28" s="63">
        <f t="shared" si="9"/>
        <v>2.5964074556028831E-2</v>
      </c>
      <c r="AV28" s="63">
        <f>ABS(RESULT_ITTE!BG198)</f>
        <v>0.19397279997750211</v>
      </c>
      <c r="AW28" s="63">
        <f t="shared" si="30"/>
        <v>3.3633631811424527</v>
      </c>
      <c r="AX28" s="63">
        <f>INDEX('Junctions — junctions'!$F$2:$F$197,MATCH(AO28,'Junctions — junctions'!$B$2:$B$197,0))</f>
        <v>8</v>
      </c>
      <c r="AY28" s="63">
        <v>10</v>
      </c>
      <c r="AZ28" s="63">
        <f t="shared" si="10"/>
        <v>21.363363181142454</v>
      </c>
      <c r="BA28" s="63">
        <f t="shared" si="11"/>
        <v>18.392754842929651</v>
      </c>
      <c r="BG28" s="63" t="s">
        <v>179</v>
      </c>
      <c r="BH28" s="63" t="s">
        <v>653</v>
      </c>
      <c r="BI28" s="63" t="s">
        <v>654</v>
      </c>
      <c r="BJ28" s="63">
        <v>250</v>
      </c>
      <c r="BK28" s="63">
        <f>VLOOKUP(BJ28,REF_TABLE!$G$7:$H$32,2)</f>
        <v>250</v>
      </c>
      <c r="BL28" s="63">
        <v>87</v>
      </c>
      <c r="BM28" s="63">
        <f>ABS(RESULT_ITTE!CH198)</f>
        <v>5.7076732049721926E-2</v>
      </c>
      <c r="BN28" s="63">
        <f t="shared" si="12"/>
        <v>0.25</v>
      </c>
      <c r="BO28" s="63">
        <f t="shared" si="13"/>
        <v>7.267235232995882E-2</v>
      </c>
      <c r="BP28" s="63">
        <f>ABS(RESULT_ITTE!CD198)</f>
        <v>0.17603614436144388</v>
      </c>
      <c r="BQ28" s="63">
        <f t="shared" si="31"/>
        <v>3.9984777478979483</v>
      </c>
      <c r="BR28" s="63">
        <f>INDEX('Junctions — junctions'!$F$2:$F$197,MATCH(BI28,'Junctions — junctions'!$B$2:$B$197,0))</f>
        <v>8</v>
      </c>
      <c r="BS28" s="63">
        <v>10</v>
      </c>
      <c r="BT28" s="63">
        <f t="shared" si="14"/>
        <v>21.998477747897947</v>
      </c>
      <c r="BU28" s="63">
        <f t="shared" si="15"/>
        <v>21.743824935005581</v>
      </c>
      <c r="CB28" s="63" t="s">
        <v>159</v>
      </c>
      <c r="CC28" s="63" t="s">
        <v>633</v>
      </c>
      <c r="CD28" s="63" t="s">
        <v>632</v>
      </c>
      <c r="CE28" s="63">
        <v>250</v>
      </c>
      <c r="CF28" s="63">
        <f>VLOOKUP(CE28,REF_TABLE!$G$7:$H$32,2)</f>
        <v>250</v>
      </c>
      <c r="CG28" s="63">
        <v>94</v>
      </c>
      <c r="CH28" s="63">
        <f>ABS(RESULT_ITTE!DD198)</f>
        <v>2.567610066461315E-2</v>
      </c>
      <c r="CI28" s="63">
        <f t="shared" si="16"/>
        <v>0.25</v>
      </c>
      <c r="CJ28" s="63">
        <f t="shared" si="17"/>
        <v>3.2691826720786257E-2</v>
      </c>
      <c r="CK28" s="63">
        <f>ABS(RESULT_ITTE!CZ198)</f>
        <v>7.7651512635117478E-2</v>
      </c>
      <c r="CL28" s="63">
        <f t="shared" si="32"/>
        <v>6.089561181463373</v>
      </c>
      <c r="CM28" s="63">
        <f>INDEX('Junctions — junctions'!$F$2:$F$197,MATCH(CD28,'Junctions — junctions'!$B$2:$B$197,0))</f>
        <v>10</v>
      </c>
      <c r="CN28" s="63">
        <v>10</v>
      </c>
      <c r="CO28" s="63">
        <f t="shared" si="18"/>
        <v>26.089561181463374</v>
      </c>
      <c r="CP28" s="63">
        <f t="shared" si="19"/>
        <v>20.377518524194137</v>
      </c>
      <c r="CV28" s="63" t="s">
        <v>134</v>
      </c>
      <c r="CW28" s="63" t="s">
        <v>615</v>
      </c>
      <c r="CX28" s="63" t="s">
        <v>614</v>
      </c>
      <c r="CY28" s="63">
        <v>350</v>
      </c>
      <c r="CZ28" s="63">
        <f>VLOOKUP(CY28,REF_TABLE!$G$7:$H$32,2)</f>
        <v>350</v>
      </c>
      <c r="DA28" s="63">
        <v>69</v>
      </c>
      <c r="DB28" s="63">
        <f>ABS(RESULT_ITTE!EB198)</f>
        <v>0.10974783372471916</v>
      </c>
      <c r="DC28" s="63">
        <f t="shared" si="20"/>
        <v>0.35</v>
      </c>
      <c r="DD28" s="63">
        <f t="shared" si="21"/>
        <v>7.1293511146597849E-2</v>
      </c>
      <c r="DE28" s="63">
        <f>ABS(RESULT_ITTE!DX198)</f>
        <v>0.14578005038328212</v>
      </c>
      <c r="DF28" s="63">
        <f t="shared" si="33"/>
        <v>4.2769274279015965</v>
      </c>
      <c r="DG28" s="63">
        <f>INDEX('Junctions — junctions'!$F$2:$F$197,MATCH(CX28,'Junctions — junctions'!$B$2:$B$197,0))</f>
        <v>8</v>
      </c>
      <c r="DH28" s="63">
        <v>10</v>
      </c>
      <c r="DI28" s="63">
        <f t="shared" si="22"/>
        <v>22.276927427901597</v>
      </c>
      <c r="DJ28" s="63">
        <f t="shared" si="23"/>
        <v>22.574411786246728</v>
      </c>
      <c r="DP28" s="63" t="s">
        <v>147</v>
      </c>
      <c r="DQ28" s="63" t="s">
        <v>603</v>
      </c>
      <c r="DR28" s="63" t="s">
        <v>602</v>
      </c>
      <c r="DS28" s="63">
        <v>466</v>
      </c>
      <c r="DT28" s="63">
        <f>VLOOKUP(DS28,REF_TABLE!$G$7:$H$32,2)</f>
        <v>500</v>
      </c>
      <c r="DU28" s="63">
        <v>74</v>
      </c>
      <c r="DV28" s="63">
        <v>0.19356214461411125</v>
      </c>
      <c r="DW28" s="63">
        <f t="shared" si="24"/>
        <v>0.46600000000000003</v>
      </c>
      <c r="DX28" s="63">
        <f t="shared" si="25"/>
        <v>7.0931432036886136E-2</v>
      </c>
      <c r="DY28" s="63">
        <f>ABS(RESULT_ITTE!EW198)</f>
        <v>0.20390827941894532</v>
      </c>
      <c r="DZ28" s="63">
        <f t="shared" si="34"/>
        <v>2.9483884146213537</v>
      </c>
      <c r="EA28" s="63">
        <f>INDEX('Junctions — junctions'!$F$2:$F$197,MATCH(DR28,'Junctions — junctions'!$B$2:$B$197,0))</f>
        <v>11</v>
      </c>
      <c r="EB28" s="63">
        <v>10</v>
      </c>
      <c r="EC28" s="63">
        <f t="shared" si="26"/>
        <v>23.948388414621355</v>
      </c>
      <c r="ED28" s="63">
        <f t="shared" si="27"/>
        <v>20.590654357910154</v>
      </c>
      <c r="EH28" s="63" t="s">
        <v>220</v>
      </c>
      <c r="EI28" s="63" t="s">
        <v>728</v>
      </c>
      <c r="EJ28" s="63" t="s">
        <v>729</v>
      </c>
      <c r="EK28" s="63">
        <v>350</v>
      </c>
      <c r="EL28" s="63">
        <v>350</v>
      </c>
      <c r="EM28" s="63">
        <v>91</v>
      </c>
      <c r="EN28" s="63">
        <v>6.5757426923407046E-3</v>
      </c>
      <c r="EO28" s="63">
        <v>0.35</v>
      </c>
      <c r="EP28" s="63">
        <v>4.271681444842578E-3</v>
      </c>
      <c r="EQ28" s="63">
        <v>0.17800827088336596</v>
      </c>
      <c r="ER28" s="63">
        <v>3.9523514544941216</v>
      </c>
      <c r="ES28" s="63">
        <v>6</v>
      </c>
      <c r="ET28" s="63">
        <v>10</v>
      </c>
      <c r="EU28" s="63">
        <v>19.952351454494121</v>
      </c>
      <c r="EV28" s="63">
        <v>30.25414455780038</v>
      </c>
    </row>
    <row r="29" spans="2:152" x14ac:dyDescent="0.25">
      <c r="B29" s="63" t="s">
        <v>220</v>
      </c>
      <c r="C29" s="63" t="s">
        <v>728</v>
      </c>
      <c r="D29" s="63" t="s">
        <v>729</v>
      </c>
      <c r="E29" s="63">
        <v>350</v>
      </c>
      <c r="F29" s="63">
        <f>VLOOKUP(E29,REF_TABLE!$G$7:$H$32,2)</f>
        <v>350</v>
      </c>
      <c r="G29" s="63">
        <v>91</v>
      </c>
      <c r="H29" s="63">
        <f>ABS(RESULT_ITTE!Q199)</f>
        <v>6.5757426923407046E-3</v>
      </c>
      <c r="I29" s="63">
        <f t="shared" si="0"/>
        <v>0.35</v>
      </c>
      <c r="J29" s="63">
        <f t="shared" si="1"/>
        <v>4.271681444842578E-3</v>
      </c>
      <c r="K29" s="66">
        <f>ABS(RESULT_ITTE!M199)</f>
        <v>0.17800827088336596</v>
      </c>
      <c r="L29" s="66">
        <f t="shared" si="28"/>
        <v>3.9523514544941216</v>
      </c>
      <c r="M29" s="63">
        <f>INDEX('Junctions — junctions'!$F$2:$F$197,MATCH(D29,'Junctions — junctions'!$B$2:$B$197,0))</f>
        <v>6</v>
      </c>
      <c r="N29" s="63">
        <v>10</v>
      </c>
      <c r="O29" s="63">
        <f t="shared" si="2"/>
        <v>19.952351454494121</v>
      </c>
      <c r="P29" s="63">
        <f t="shared" si="3"/>
        <v>30.25414455780038</v>
      </c>
      <c r="T29" s="63" t="s">
        <v>218</v>
      </c>
      <c r="U29" s="63" t="s">
        <v>726</v>
      </c>
      <c r="V29" s="63" t="s">
        <v>727</v>
      </c>
      <c r="W29" s="63">
        <v>300</v>
      </c>
      <c r="X29" s="63">
        <f>VLOOKUP(W29,REF_TABLE!$G$7:$H$32,2)</f>
        <v>300</v>
      </c>
      <c r="Y29" s="63">
        <v>214</v>
      </c>
      <c r="Z29" s="63">
        <f>ABS(RESULT_ITTE!AO199)</f>
        <v>1.9297096944473368E-3</v>
      </c>
      <c r="AA29" s="63">
        <f t="shared" si="4"/>
        <v>0.3</v>
      </c>
      <c r="AB29" s="63">
        <f t="shared" si="5"/>
        <v>1.7062379811313591E-3</v>
      </c>
      <c r="AC29" s="69">
        <f>ABS(RESULT_ITTE!AK199)</f>
        <v>0.38586756273635725</v>
      </c>
      <c r="AD29" s="69">
        <f t="shared" si="29"/>
        <v>7.7696273665148219</v>
      </c>
      <c r="AE29" s="63">
        <f>INDEX('Junctions — junctions'!$F$2:$F$197,MATCH(V29,'Junctions — junctions'!$B$2:$B$197,0))</f>
        <v>15</v>
      </c>
      <c r="AF29" s="69">
        <v>10</v>
      </c>
      <c r="AG29" s="63">
        <f t="shared" si="6"/>
        <v>32.769627366514825</v>
      </c>
      <c r="AH29" s="63">
        <f t="shared" si="7"/>
        <v>62.103004841194618</v>
      </c>
      <c r="AM29" s="63" t="s">
        <v>313</v>
      </c>
      <c r="AN29" s="63" t="s">
        <v>702</v>
      </c>
      <c r="AO29" s="63" t="s">
        <v>703</v>
      </c>
      <c r="AP29" s="63">
        <v>400</v>
      </c>
      <c r="AQ29" s="63">
        <f>VLOOKUP(AP29,REF_TABLE!$G$7:$H$32,2)</f>
        <v>400</v>
      </c>
      <c r="AR29" s="63">
        <v>122</v>
      </c>
      <c r="AS29" s="63">
        <f>ABS(RESULT_ITTE!BK199)</f>
        <v>5.028201965257538E-2</v>
      </c>
      <c r="AT29" s="63">
        <f t="shared" si="8"/>
        <v>0.4</v>
      </c>
      <c r="AU29" s="63">
        <f t="shared" si="9"/>
        <v>2.5008224926097489E-2</v>
      </c>
      <c r="AV29" s="63">
        <f>ABS(RESULT_ITTE!BG199)</f>
        <v>0.19557588096905171</v>
      </c>
      <c r="AW29" s="63">
        <f t="shared" si="30"/>
        <v>3.5589390621115045</v>
      </c>
      <c r="AX29" s="63">
        <f>INDEX('Junctions — junctions'!$F$2:$F$197,MATCH(AO29,'Junctions — junctions'!$B$2:$B$197,0))</f>
        <v>15</v>
      </c>
      <c r="AY29" s="63">
        <v>10</v>
      </c>
      <c r="AZ29" s="63">
        <f t="shared" si="10"/>
        <v>28.558939062111506</v>
      </c>
      <c r="BA29" s="63">
        <f t="shared" si="11"/>
        <v>11.197178961960601</v>
      </c>
      <c r="BG29" s="63" t="s">
        <v>180</v>
      </c>
      <c r="BH29" s="63" t="s">
        <v>654</v>
      </c>
      <c r="BI29" s="63" t="s">
        <v>655</v>
      </c>
      <c r="BJ29" s="63">
        <v>250</v>
      </c>
      <c r="BK29" s="63">
        <f>VLOOKUP(BJ29,REF_TABLE!$G$7:$H$32,2)</f>
        <v>250</v>
      </c>
      <c r="BL29" s="63">
        <v>89</v>
      </c>
      <c r="BM29" s="63">
        <f>ABS(RESULT_ITTE!CH199)</f>
        <v>5.5989810279985203E-2</v>
      </c>
      <c r="BN29" s="63">
        <f t="shared" si="12"/>
        <v>0.25</v>
      </c>
      <c r="BO29" s="63">
        <f t="shared" si="13"/>
        <v>7.1288440550696497E-2</v>
      </c>
      <c r="BP29" s="63">
        <f>ABS(RESULT_ITTE!CD199)</f>
        <v>0.18008295227779894</v>
      </c>
      <c r="BQ29" s="63">
        <f t="shared" si="31"/>
        <v>4.1785607001757477</v>
      </c>
      <c r="BR29" s="63">
        <f>INDEX('Junctions — junctions'!$F$2:$F$197,MATCH(BI29,'Junctions — junctions'!$B$2:$B$197,0))</f>
        <v>13</v>
      </c>
      <c r="BS29" s="63">
        <v>10</v>
      </c>
      <c r="BT29" s="63">
        <f t="shared" si="14"/>
        <v>27.178560700175748</v>
      </c>
      <c r="BU29" s="63">
        <f t="shared" si="15"/>
        <v>16.56374198272778</v>
      </c>
      <c r="CB29" s="63" t="s">
        <v>158</v>
      </c>
      <c r="CC29" s="63" t="s">
        <v>634</v>
      </c>
      <c r="CD29" s="63" t="s">
        <v>633</v>
      </c>
      <c r="CE29" s="63">
        <v>250</v>
      </c>
      <c r="CF29" s="63">
        <f>VLOOKUP(CE29,REF_TABLE!$G$7:$H$32,2)</f>
        <v>250</v>
      </c>
      <c r="CG29" s="63">
        <v>191</v>
      </c>
      <c r="CH29" s="63">
        <f>ABS(RESULT_ITTE!DD199)</f>
        <v>2.419857855476026E-2</v>
      </c>
      <c r="CI29" s="63">
        <f t="shared" si="16"/>
        <v>0.25</v>
      </c>
      <c r="CJ29" s="63">
        <f t="shared" si="17"/>
        <v>3.0810587142301026E-2</v>
      </c>
      <c r="CK29" s="63">
        <f>ABS(RESULT_ITTE!CZ199)</f>
        <v>0.15778126503518553</v>
      </c>
      <c r="CL29" s="63">
        <f t="shared" si="32"/>
        <v>6.2473424464985587</v>
      </c>
      <c r="CM29" s="63">
        <f>INDEX('Junctions — junctions'!$F$2:$F$197,MATCH(CD29,'Junctions — junctions'!$B$2:$B$197,0))</f>
        <v>15</v>
      </c>
      <c r="CN29" s="63">
        <v>10</v>
      </c>
      <c r="CO29" s="63">
        <f t="shared" si="18"/>
        <v>31.247342446498557</v>
      </c>
      <c r="CP29" s="63">
        <f t="shared" si="19"/>
        <v>15.219737259158952</v>
      </c>
      <c r="CV29" s="63" t="s">
        <v>135</v>
      </c>
      <c r="CW29" s="63" t="s">
        <v>616</v>
      </c>
      <c r="CX29" s="63" t="s">
        <v>615</v>
      </c>
      <c r="CY29" s="63">
        <v>350</v>
      </c>
      <c r="CZ29" s="63">
        <f>VLOOKUP(CY29,REF_TABLE!$G$7:$H$32,2)</f>
        <v>350</v>
      </c>
      <c r="DA29" s="63">
        <v>73</v>
      </c>
      <c r="DB29" s="63">
        <f>ABS(RESULT_ITTE!EB199)</f>
        <v>0.10933901969787044</v>
      </c>
      <c r="DC29" s="63">
        <f t="shared" si="20"/>
        <v>0.35</v>
      </c>
      <c r="DD29" s="63">
        <f t="shared" si="21"/>
        <v>7.1027940643829376E-2</v>
      </c>
      <c r="DE29" s="63">
        <f>ABS(RESULT_ITTE!DX199)</f>
        <v>0.1542310677968057</v>
      </c>
      <c r="DF29" s="63">
        <f t="shared" si="33"/>
        <v>4.4311584956984023</v>
      </c>
      <c r="DG29" s="63">
        <f>INDEX('Junctions — junctions'!$F$2:$F$197,MATCH(CX29,'Junctions — junctions'!$B$2:$B$197,0))</f>
        <v>13</v>
      </c>
      <c r="DH29" s="63">
        <v>10</v>
      </c>
      <c r="DI29" s="63">
        <f t="shared" si="22"/>
        <v>27.431158495698401</v>
      </c>
      <c r="DJ29" s="63">
        <f t="shared" si="23"/>
        <v>17.420180718449924</v>
      </c>
      <c r="DP29" s="63" t="s">
        <v>146</v>
      </c>
      <c r="DQ29" s="63" t="s">
        <v>604</v>
      </c>
      <c r="DR29" s="63" t="s">
        <v>603</v>
      </c>
      <c r="DS29" s="63">
        <v>466</v>
      </c>
      <c r="DT29" s="63">
        <f>VLOOKUP(DS29,REF_TABLE!$G$7:$H$32,2)</f>
        <v>500</v>
      </c>
      <c r="DU29" s="63">
        <v>92</v>
      </c>
      <c r="DV29" s="63">
        <v>0.19348136286681875</v>
      </c>
      <c r="DW29" s="63">
        <f t="shared" si="24"/>
        <v>0.46600000000000003</v>
      </c>
      <c r="DX29" s="63">
        <f t="shared" si="25"/>
        <v>7.0901829321802959E-2</v>
      </c>
      <c r="DY29" s="63">
        <f>ABS(RESULT_ITTE!EW199)</f>
        <v>0.20296116638183592</v>
      </c>
      <c r="DZ29" s="63">
        <f t="shared" si="34"/>
        <v>3.1513495810031897</v>
      </c>
      <c r="EA29" s="63">
        <f>INDEX('Junctions — junctions'!$F$2:$F$197,MATCH(DR29,'Junctions — junctions'!$B$2:$B$197,0))</f>
        <v>12</v>
      </c>
      <c r="EB29" s="63">
        <v>10</v>
      </c>
      <c r="EC29" s="63">
        <f t="shared" si="26"/>
        <v>25.151349581003188</v>
      </c>
      <c r="ED29" s="63">
        <f t="shared" si="27"/>
        <v>19.387693191528321</v>
      </c>
      <c r="EH29" s="63" t="s">
        <v>431</v>
      </c>
      <c r="EI29" s="63" t="s">
        <v>728</v>
      </c>
      <c r="EJ29" s="63" t="s">
        <v>746</v>
      </c>
      <c r="EK29" s="63">
        <v>400</v>
      </c>
      <c r="EL29" s="63">
        <v>400</v>
      </c>
      <c r="EM29" s="63">
        <v>101</v>
      </c>
      <c r="EN29" s="63">
        <v>7.9186732488670981E-3</v>
      </c>
      <c r="EO29" s="63">
        <v>0.4</v>
      </c>
      <c r="EP29" s="63">
        <v>3.9384249696461154E-3</v>
      </c>
      <c r="EQ29" s="63">
        <v>0.12505467014160557</v>
      </c>
      <c r="ER29" s="63">
        <v>4.0774061246357274</v>
      </c>
      <c r="ES29" s="63">
        <v>9</v>
      </c>
      <c r="ET29" s="63">
        <v>10</v>
      </c>
      <c r="EU29" s="63">
        <v>23.077406124635729</v>
      </c>
      <c r="EV29" s="63">
        <v>27.129089887658772</v>
      </c>
    </row>
    <row r="30" spans="2:152" x14ac:dyDescent="0.25">
      <c r="B30" s="63" t="s">
        <v>431</v>
      </c>
      <c r="C30" s="63" t="s">
        <v>728</v>
      </c>
      <c r="D30" s="63" t="s">
        <v>746</v>
      </c>
      <c r="E30" s="63">
        <v>400</v>
      </c>
      <c r="F30" s="63">
        <f>VLOOKUP(E30,REF_TABLE!$G$7:$H$32,2)</f>
        <v>400</v>
      </c>
      <c r="G30" s="63">
        <v>101</v>
      </c>
      <c r="H30" s="63">
        <f>ABS(RESULT_ITTE!Q200)</f>
        <v>7.9186732488670981E-3</v>
      </c>
      <c r="I30" s="63">
        <f t="shared" si="0"/>
        <v>0.4</v>
      </c>
      <c r="J30" s="63">
        <f t="shared" si="1"/>
        <v>3.9384249696461154E-3</v>
      </c>
      <c r="K30" s="66">
        <f>ABS(RESULT_ITTE!M200)</f>
        <v>0.12505467014160557</v>
      </c>
      <c r="L30" s="66">
        <f t="shared" si="28"/>
        <v>4.0774061246357274</v>
      </c>
      <c r="M30" s="63">
        <f>INDEX('Junctions — junctions'!$F$2:$F$197,MATCH(D30,'Junctions — junctions'!$B$2:$B$197,0))</f>
        <v>9</v>
      </c>
      <c r="N30" s="63">
        <v>10</v>
      </c>
      <c r="O30" s="63">
        <f t="shared" si="2"/>
        <v>23.077406124635729</v>
      </c>
      <c r="P30" s="63">
        <f t="shared" si="3"/>
        <v>27.129089887658772</v>
      </c>
      <c r="T30" s="63" t="s">
        <v>216</v>
      </c>
      <c r="U30" s="63" t="s">
        <v>727</v>
      </c>
      <c r="V30" s="63" t="s">
        <v>728</v>
      </c>
      <c r="W30" s="63">
        <v>300</v>
      </c>
      <c r="X30" s="63">
        <f>VLOOKUP(W30,REF_TABLE!$G$7:$H$32,2)</f>
        <v>300</v>
      </c>
      <c r="Y30" s="63">
        <v>70</v>
      </c>
      <c r="Z30" s="63">
        <f>ABS(RESULT_ITTE!AO200)</f>
        <v>1.1233622356655423E-3</v>
      </c>
      <c r="AA30" s="63">
        <f t="shared" si="4"/>
        <v>0.3</v>
      </c>
      <c r="AB30" s="63">
        <f t="shared" si="5"/>
        <v>9.9327029271629834E-4</v>
      </c>
      <c r="AC30" s="69">
        <f>ABS(RESULT_ITTE!AK200)</f>
        <v>0.12621836164273367</v>
      </c>
      <c r="AD30" s="69">
        <f t="shared" si="29"/>
        <v>7.8958457281575551</v>
      </c>
      <c r="AE30" s="63">
        <f>INDEX('Junctions — junctions'!$F$2:$F$197,MATCH(V30,'Junctions — junctions'!$B$2:$B$197,0))</f>
        <v>10</v>
      </c>
      <c r="AF30" s="69">
        <v>10</v>
      </c>
      <c r="AG30" s="63">
        <f t="shared" si="6"/>
        <v>27.895845728157553</v>
      </c>
      <c r="AH30" s="63">
        <f t="shared" si="7"/>
        <v>66.97678647955189</v>
      </c>
      <c r="AM30" s="63" t="s">
        <v>314</v>
      </c>
      <c r="AN30" s="63" t="s">
        <v>703</v>
      </c>
      <c r="AO30" s="63" t="s">
        <v>704</v>
      </c>
      <c r="AP30" s="63">
        <v>400</v>
      </c>
      <c r="AQ30" s="63">
        <f>VLOOKUP(AP30,REF_TABLE!$G$7:$H$32,2)</f>
        <v>400</v>
      </c>
      <c r="AR30" s="63">
        <v>123</v>
      </c>
      <c r="AS30" s="63">
        <f>ABS(RESULT_ITTE!BK200)</f>
        <v>4.7687501843167619E-2</v>
      </c>
      <c r="AT30" s="63">
        <f t="shared" si="8"/>
        <v>0.4</v>
      </c>
      <c r="AU30" s="63">
        <f t="shared" si="9"/>
        <v>2.3717817631387486E-2</v>
      </c>
      <c r="AV30" s="63">
        <f>ABS(RESULT_ITTE!BG200)</f>
        <v>0.19717896196060131</v>
      </c>
      <c r="AW30" s="63">
        <f t="shared" si="30"/>
        <v>3.7561180240721059</v>
      </c>
      <c r="AX30" s="63">
        <f>INDEX('Junctions — junctions'!$F$2:$F$197,MATCH(AO30,'Junctions — junctions'!$B$2:$B$197,0))</f>
        <v>16</v>
      </c>
      <c r="AY30" s="63">
        <v>10</v>
      </c>
      <c r="AZ30" s="63">
        <f t="shared" si="10"/>
        <v>29.756118024072105</v>
      </c>
      <c r="BA30" s="63">
        <f t="shared" si="11"/>
        <v>10</v>
      </c>
      <c r="BG30" s="63" t="s">
        <v>178</v>
      </c>
      <c r="BH30" s="63" t="s">
        <v>655</v>
      </c>
      <c r="BI30" s="63" t="s">
        <v>656</v>
      </c>
      <c r="BJ30" s="63">
        <v>250</v>
      </c>
      <c r="BK30" s="63">
        <f>VLOOKUP(BJ30,REF_TABLE!$G$7:$H$32,2)</f>
        <v>250</v>
      </c>
      <c r="BL30" s="63">
        <v>88</v>
      </c>
      <c r="BM30" s="63">
        <f>ABS(RESULT_ITTE!CH200)</f>
        <v>5.5325845180068216E-2</v>
      </c>
      <c r="BN30" s="63">
        <f t="shared" si="12"/>
        <v>0.25</v>
      </c>
      <c r="BO30" s="63">
        <f t="shared" si="13"/>
        <v>7.0443053929158159E-2</v>
      </c>
      <c r="BP30" s="63">
        <f>ABS(RESULT_ITTE!CD200)</f>
        <v>0.17805954831962142</v>
      </c>
      <c r="BQ30" s="63">
        <f t="shared" si="31"/>
        <v>4.3566202484953687</v>
      </c>
      <c r="BR30" s="63">
        <f>INDEX('Junctions — junctions'!$F$2:$F$197,MATCH(BI30,'Junctions — junctions'!$B$2:$B$197,0))</f>
        <v>10</v>
      </c>
      <c r="BS30" s="63">
        <v>10</v>
      </c>
      <c r="BT30" s="63">
        <f t="shared" si="14"/>
        <v>24.356620248495368</v>
      </c>
      <c r="BU30" s="63">
        <f t="shared" si="15"/>
        <v>19.38568243440816</v>
      </c>
      <c r="CB30" s="63" t="s">
        <v>130</v>
      </c>
      <c r="CC30" s="63" t="s">
        <v>635</v>
      </c>
      <c r="CD30" s="63" t="s">
        <v>634</v>
      </c>
      <c r="CE30" s="63">
        <v>250</v>
      </c>
      <c r="CF30" s="63">
        <f>VLOOKUP(CE30,REF_TABLE!$G$7:$H$32,2)</f>
        <v>250</v>
      </c>
      <c r="CG30" s="63">
        <v>77</v>
      </c>
      <c r="CH30" s="63">
        <f>ABS(RESULT_ITTE!DD200)</f>
        <v>2.2618335351518505E-2</v>
      </c>
      <c r="CI30" s="63">
        <f t="shared" si="16"/>
        <v>0.25</v>
      </c>
      <c r="CJ30" s="63">
        <f t="shared" si="17"/>
        <v>2.8798559005634657E-2</v>
      </c>
      <c r="CK30" s="63">
        <f>ABS(RESULT_ITTE!CZ200)</f>
        <v>6.3608153967064318E-2</v>
      </c>
      <c r="CL30" s="63">
        <f t="shared" si="32"/>
        <v>6.3109506004656231</v>
      </c>
      <c r="CM30" s="63">
        <f>INDEX('Junctions — junctions'!$F$2:$F$197,MATCH(CD30,'Junctions — junctions'!$B$2:$B$197,0))</f>
        <v>15</v>
      </c>
      <c r="CN30" s="63">
        <v>10</v>
      </c>
      <c r="CO30" s="63">
        <f t="shared" si="18"/>
        <v>31.310950600465624</v>
      </c>
      <c r="CP30" s="63">
        <f t="shared" si="19"/>
        <v>15.156129105191887</v>
      </c>
      <c r="CV30" s="63" t="s">
        <v>133</v>
      </c>
      <c r="CW30" s="63" t="s">
        <v>617</v>
      </c>
      <c r="CX30" s="63" t="s">
        <v>616</v>
      </c>
      <c r="CY30" s="63">
        <v>350</v>
      </c>
      <c r="CZ30" s="63">
        <f>VLOOKUP(CY30,REF_TABLE!$G$7:$H$32,2)</f>
        <v>350</v>
      </c>
      <c r="DA30" s="63">
        <v>81</v>
      </c>
      <c r="DB30" s="63">
        <f>ABS(RESULT_ITTE!EB200)</f>
        <v>0.10877622031843998</v>
      </c>
      <c r="DC30" s="63">
        <f t="shared" si="20"/>
        <v>0.35</v>
      </c>
      <c r="DD30" s="63">
        <f t="shared" si="21"/>
        <v>7.0662339406256269E-2</v>
      </c>
      <c r="DE30" s="63">
        <f>ABS(RESULT_ITTE!DX200)</f>
        <v>0.17113310262385292</v>
      </c>
      <c r="DF30" s="63">
        <f t="shared" si="33"/>
        <v>4.602291598322255</v>
      </c>
      <c r="DG30" s="63">
        <f>INDEX('Junctions — junctions'!$F$2:$F$197,MATCH(CX30,'Junctions — junctions'!$B$2:$B$197,0))</f>
        <v>18</v>
      </c>
      <c r="DH30" s="63">
        <v>10</v>
      </c>
      <c r="DI30" s="63">
        <f t="shared" si="22"/>
        <v>32.602291598322253</v>
      </c>
      <c r="DJ30" s="63">
        <f t="shared" si="23"/>
        <v>12.24904761582607</v>
      </c>
      <c r="DP30" s="63" t="s">
        <v>145</v>
      </c>
      <c r="DQ30" s="63" t="s">
        <v>605</v>
      </c>
      <c r="DR30" s="63" t="s">
        <v>604</v>
      </c>
      <c r="DS30" s="63">
        <v>466</v>
      </c>
      <c r="DT30" s="63">
        <f>VLOOKUP(DS30,REF_TABLE!$G$7:$H$32,2)</f>
        <v>500</v>
      </c>
      <c r="DU30" s="63">
        <v>75</v>
      </c>
      <c r="DV30" s="63">
        <v>0.19434220140296449</v>
      </c>
      <c r="DW30" s="63">
        <f t="shared" si="24"/>
        <v>0.46600000000000003</v>
      </c>
      <c r="DX30" s="63">
        <f t="shared" si="25"/>
        <v>7.1217286201261942E-2</v>
      </c>
      <c r="DY30" s="63">
        <f>ABS(RESULT_ITTE!EW200)</f>
        <v>0.20200834655761718</v>
      </c>
      <c r="DZ30" s="63">
        <f t="shared" si="34"/>
        <v>3.3533579275608068</v>
      </c>
      <c r="EA30" s="63">
        <f>INDEX('Junctions — junctions'!$F$2:$F$197,MATCH(DR30,'Junctions — junctions'!$B$2:$B$197,0))</f>
        <v>18</v>
      </c>
      <c r="EB30" s="63">
        <v>10</v>
      </c>
      <c r="EC30" s="63">
        <f t="shared" si="26"/>
        <v>31.353357927560808</v>
      </c>
      <c r="ED30" s="63">
        <f t="shared" si="27"/>
        <v>13.185684844970702</v>
      </c>
      <c r="EH30" s="63" t="s">
        <v>219</v>
      </c>
      <c r="EI30" s="63" t="s">
        <v>729</v>
      </c>
      <c r="EJ30" s="63" t="s">
        <v>730</v>
      </c>
      <c r="EK30" s="63">
        <v>200</v>
      </c>
      <c r="EL30" s="63">
        <v>200</v>
      </c>
      <c r="EM30" s="63">
        <v>30</v>
      </c>
      <c r="EN30" s="63">
        <v>8.2070792912686402E-3</v>
      </c>
      <c r="EO30" s="63">
        <v>0.2</v>
      </c>
      <c r="EP30" s="63">
        <v>1.6327465469406662E-2</v>
      </c>
      <c r="EQ30" s="63">
        <v>0.11477367408807007</v>
      </c>
      <c r="ER30" s="63">
        <v>4.1921797987237976</v>
      </c>
      <c r="ES30" s="63">
        <v>9</v>
      </c>
      <c r="ET30" s="63">
        <v>10</v>
      </c>
      <c r="EU30" s="63">
        <v>23.192179798723799</v>
      </c>
      <c r="EV30" s="63">
        <v>27.014316213570702</v>
      </c>
    </row>
    <row r="31" spans="2:152" x14ac:dyDescent="0.25">
      <c r="B31" s="63" t="s">
        <v>219</v>
      </c>
      <c r="C31" s="63" t="s">
        <v>729</v>
      </c>
      <c r="D31" s="63" t="s">
        <v>730</v>
      </c>
      <c r="E31" s="63">
        <v>200</v>
      </c>
      <c r="F31" s="63">
        <f>VLOOKUP(E31,REF_TABLE!$G$7:$H$32,2)</f>
        <v>200</v>
      </c>
      <c r="G31" s="63">
        <v>30</v>
      </c>
      <c r="H31" s="63">
        <f>ABS(RESULT_ITTE!Q201)</f>
        <v>8.2070792912686402E-3</v>
      </c>
      <c r="I31" s="63">
        <f t="shared" si="0"/>
        <v>0.2</v>
      </c>
      <c r="J31" s="63">
        <f t="shared" si="1"/>
        <v>1.6327465469406662E-2</v>
      </c>
      <c r="K31" s="66">
        <f>ABS(RESULT_ITTE!M201)</f>
        <v>0.11477367408807007</v>
      </c>
      <c r="L31" s="66">
        <f t="shared" si="28"/>
        <v>4.1921797987237976</v>
      </c>
      <c r="M31" s="63">
        <f>INDEX('Junctions — junctions'!$F$2:$F$197,MATCH(D31,'Junctions — junctions'!$B$2:$B$197,0))</f>
        <v>9</v>
      </c>
      <c r="N31" s="63">
        <v>10</v>
      </c>
      <c r="O31" s="63">
        <f t="shared" si="2"/>
        <v>23.192179798723799</v>
      </c>
      <c r="P31" s="63">
        <f t="shared" si="3"/>
        <v>27.014316213570702</v>
      </c>
      <c r="T31" s="63" t="s">
        <v>220</v>
      </c>
      <c r="U31" s="63" t="s">
        <v>728</v>
      </c>
      <c r="V31" s="63" t="s">
        <v>729</v>
      </c>
      <c r="W31" s="63">
        <v>200</v>
      </c>
      <c r="X31" s="63">
        <f>VLOOKUP(W31,REF_TABLE!$G$7:$H$32,2)</f>
        <v>200</v>
      </c>
      <c r="Y31" s="63">
        <v>91</v>
      </c>
      <c r="Z31" s="63">
        <f>ABS(RESULT_ITTE!AO201)</f>
        <v>8.134972383825434E-3</v>
      </c>
      <c r="AA31" s="63">
        <f t="shared" si="4"/>
        <v>0.2</v>
      </c>
      <c r="AB31" s="63">
        <f t="shared" si="5"/>
        <v>1.6184013335023464E-2</v>
      </c>
      <c r="AC31" s="69">
        <f>ABS(RESULT_ITTE!AK201)</f>
        <v>3.0943516202637942</v>
      </c>
      <c r="AD31" s="69">
        <f t="shared" si="29"/>
        <v>10.990197348421349</v>
      </c>
      <c r="AE31" s="63">
        <f>INDEX('Junctions — junctions'!$F$2:$F$197,MATCH(V31,'Junctions — junctions'!$B$2:$B$197,0))</f>
        <v>6</v>
      </c>
      <c r="AF31" s="69">
        <v>10</v>
      </c>
      <c r="AG31" s="63">
        <f t="shared" si="6"/>
        <v>26.990197348421347</v>
      </c>
      <c r="AH31" s="63">
        <f t="shared" si="7"/>
        <v>67.882434859288097</v>
      </c>
      <c r="AM31" s="63" t="s">
        <v>420</v>
      </c>
      <c r="AN31" s="63" t="s">
        <v>704</v>
      </c>
      <c r="AO31" s="63" t="s">
        <v>705</v>
      </c>
      <c r="AP31" s="63">
        <v>400</v>
      </c>
      <c r="AQ31" s="63">
        <f>VLOOKUP(AP31,REF_TABLE!$G$7:$H$32,2)</f>
        <v>400</v>
      </c>
      <c r="AR31" s="63">
        <v>124</v>
      </c>
      <c r="AS31" s="63">
        <f>ABS(RESULT_ITTE!BK201)</f>
        <v>4.5326157749270214E-2</v>
      </c>
      <c r="AT31" s="63">
        <f t="shared" si="8"/>
        <v>0.4</v>
      </c>
      <c r="AU31" s="63">
        <f t="shared" si="9"/>
        <v>2.2543381428623034E-2</v>
      </c>
      <c r="AV31" s="63">
        <f>ABS(RESULT_ITTE!BG201)</f>
        <v>0.19878204295215093</v>
      </c>
      <c r="AW31" s="63">
        <f t="shared" si="30"/>
        <v>3.9549000670242567</v>
      </c>
      <c r="AX31" s="63">
        <f>INDEX('Junctions — junctions'!$F$2:$F$197,MATCH(AO31,'Junctions — junctions'!$B$2:$B$197,0))</f>
        <v>14</v>
      </c>
      <c r="AY31" s="63">
        <v>10</v>
      </c>
      <c r="AZ31" s="63">
        <f t="shared" si="10"/>
        <v>27.954900067024255</v>
      </c>
      <c r="BA31" s="63">
        <f t="shared" si="11"/>
        <v>11.801217957047848</v>
      </c>
      <c r="BG31" s="63" t="s">
        <v>189</v>
      </c>
      <c r="BH31" s="63" t="s">
        <v>656</v>
      </c>
      <c r="BI31" s="63" t="s">
        <v>657</v>
      </c>
      <c r="BJ31" s="63">
        <v>250</v>
      </c>
      <c r="BK31" s="63">
        <f>VLOOKUP(BJ31,REF_TABLE!$G$7:$H$32,2)</f>
        <v>250</v>
      </c>
      <c r="BL31" s="63">
        <v>76</v>
      </c>
      <c r="BM31" s="63">
        <f>ABS(RESULT_ITTE!CH201)</f>
        <v>5.414352531667465E-2</v>
      </c>
      <c r="BN31" s="63">
        <f t="shared" si="12"/>
        <v>0.25</v>
      </c>
      <c r="BO31" s="63">
        <f t="shared" si="13"/>
        <v>6.8937677524559593E-2</v>
      </c>
      <c r="BP31" s="63">
        <f>ABS(RESULT_ITTE!CD201)</f>
        <v>0.1537787008214912</v>
      </c>
      <c r="BQ31" s="63">
        <f t="shared" si="31"/>
        <v>4.5103989493168601</v>
      </c>
      <c r="BR31" s="63">
        <f>INDEX('Junctions — junctions'!$F$2:$F$197,MATCH(BI31,'Junctions — junctions'!$B$2:$B$197,0))</f>
        <v>13</v>
      </c>
      <c r="BS31" s="63">
        <v>10</v>
      </c>
      <c r="BT31" s="63">
        <f t="shared" si="14"/>
        <v>27.510398949316858</v>
      </c>
      <c r="BU31" s="63">
        <f t="shared" si="15"/>
        <v>16.23190373358667</v>
      </c>
      <c r="CB31" s="63" t="s">
        <v>129</v>
      </c>
      <c r="CC31" s="63" t="s">
        <v>636</v>
      </c>
      <c r="CD31" s="63" t="s">
        <v>635</v>
      </c>
      <c r="CE31" s="63">
        <v>250</v>
      </c>
      <c r="CF31" s="63">
        <f>VLOOKUP(CE31,REF_TABLE!$G$7:$H$32,2)</f>
        <v>250</v>
      </c>
      <c r="CG31" s="63">
        <v>77</v>
      </c>
      <c r="CH31" s="63">
        <f>ABS(RESULT_ITTE!DD201)</f>
        <v>2.2609118131915362E-2</v>
      </c>
      <c r="CI31" s="63">
        <f t="shared" si="16"/>
        <v>0.25</v>
      </c>
      <c r="CJ31" s="63">
        <f t="shared" si="17"/>
        <v>2.8786823277143429E-2</v>
      </c>
      <c r="CK31" s="63">
        <f>ABS(RESULT_ITTE!CZ201)</f>
        <v>6.3608153967064318E-2</v>
      </c>
      <c r="CL31" s="63">
        <f t="shared" si="32"/>
        <v>6.3745587544326874</v>
      </c>
      <c r="CM31" s="63">
        <f>INDEX('Junctions — junctions'!$F$2:$F$197,MATCH(CD31,'Junctions — junctions'!$B$2:$B$197,0))</f>
        <v>12</v>
      </c>
      <c r="CN31" s="63">
        <v>10</v>
      </c>
      <c r="CO31" s="63">
        <f t="shared" si="18"/>
        <v>28.374558754432687</v>
      </c>
      <c r="CP31" s="63">
        <f t="shared" si="19"/>
        <v>18.092520951224824</v>
      </c>
      <c r="CV31" s="63" t="s">
        <v>132</v>
      </c>
      <c r="CW31" s="63" t="s">
        <v>618</v>
      </c>
      <c r="CX31" s="63" t="s">
        <v>617</v>
      </c>
      <c r="CY31" s="63">
        <v>350</v>
      </c>
      <c r="CZ31" s="63">
        <f>VLOOKUP(CY31,REF_TABLE!$G$7:$H$32,2)</f>
        <v>350</v>
      </c>
      <c r="DA31" s="63">
        <v>101</v>
      </c>
      <c r="DB31" s="63">
        <f>ABS(RESULT_ITTE!EB201)</f>
        <v>0.10688779292319475</v>
      </c>
      <c r="DC31" s="63">
        <f t="shared" si="20"/>
        <v>0.35</v>
      </c>
      <c r="DD31" s="63">
        <f t="shared" si="21"/>
        <v>6.9435594285344321E-2</v>
      </c>
      <c r="DE31" s="63">
        <f>ABS(RESULT_ITTE!DX201)</f>
        <v>0.21338818969147089</v>
      </c>
      <c r="DF31" s="63">
        <f t="shared" si="33"/>
        <v>4.8156797880137256</v>
      </c>
      <c r="DG31" s="63">
        <f>INDEX('Junctions — junctions'!$F$2:$F$197,MATCH(CX31,'Junctions — junctions'!$B$2:$B$197,0))</f>
        <v>14</v>
      </c>
      <c r="DH31" s="63">
        <v>10</v>
      </c>
      <c r="DI31" s="63">
        <f t="shared" si="22"/>
        <v>28.815679788013725</v>
      </c>
      <c r="DJ31" s="63">
        <f t="shared" si="23"/>
        <v>16.0356594261346</v>
      </c>
      <c r="DP31" s="63" t="s">
        <v>144</v>
      </c>
      <c r="DQ31" s="63" t="s">
        <v>606</v>
      </c>
      <c r="DR31" s="63" t="s">
        <v>605</v>
      </c>
      <c r="DS31" s="63">
        <v>466</v>
      </c>
      <c r="DT31" s="63">
        <f>VLOOKUP(DS31,REF_TABLE!$G$7:$H$32,2)</f>
        <v>500</v>
      </c>
      <c r="DU31" s="63">
        <v>76</v>
      </c>
      <c r="DV31" s="63">
        <v>0.19316319259177056</v>
      </c>
      <c r="DW31" s="63">
        <f t="shared" si="24"/>
        <v>0.46600000000000003</v>
      </c>
      <c r="DX31" s="63">
        <f t="shared" si="25"/>
        <v>7.0785234864318883E-2</v>
      </c>
      <c r="DY31" s="63">
        <f>ABS(RESULT_ITTE!EW201)</f>
        <v>0.20114678955078119</v>
      </c>
      <c r="DZ31" s="63">
        <f t="shared" si="34"/>
        <v>3.554504717111588</v>
      </c>
      <c r="EA31" s="63">
        <f>INDEX('Junctions — junctions'!$F$2:$F$197,MATCH(DR31,'Junctions — junctions'!$B$2:$B$197,0))</f>
        <v>9</v>
      </c>
      <c r="EB31" s="63">
        <v>10</v>
      </c>
      <c r="EC31" s="63">
        <f t="shared" si="26"/>
        <v>22.554504717111588</v>
      </c>
      <c r="ED31" s="63">
        <f t="shared" si="27"/>
        <v>21.984538055419922</v>
      </c>
      <c r="EH31" s="63" t="s">
        <v>221</v>
      </c>
      <c r="EI31" s="63" t="s">
        <v>730</v>
      </c>
      <c r="EJ31" s="63" t="s">
        <v>731</v>
      </c>
      <c r="EK31" s="63">
        <v>250</v>
      </c>
      <c r="EL31" s="63">
        <v>250</v>
      </c>
      <c r="EM31" s="63">
        <v>35</v>
      </c>
      <c r="EN31" s="63">
        <v>7.5738741129898774E-3</v>
      </c>
      <c r="EO31" s="63">
        <v>0.25</v>
      </c>
      <c r="EP31" s="63">
        <v>9.6433560275046657E-3</v>
      </c>
      <c r="EQ31" s="63">
        <v>6.0079437098534257E-2</v>
      </c>
      <c r="ER31" s="63">
        <v>4.2522592358223319</v>
      </c>
      <c r="ES31" s="63">
        <v>11</v>
      </c>
      <c r="ET31" s="63">
        <v>10</v>
      </c>
      <c r="EU31" s="63">
        <v>25.252259235822333</v>
      </c>
      <c r="EV31" s="63">
        <v>24.954236776472168</v>
      </c>
    </row>
    <row r="32" spans="2:152" x14ac:dyDescent="0.25">
      <c r="B32" s="63" t="s">
        <v>221</v>
      </c>
      <c r="C32" s="63" t="s">
        <v>730</v>
      </c>
      <c r="D32" s="63" t="s">
        <v>731</v>
      </c>
      <c r="E32" s="63">
        <v>250</v>
      </c>
      <c r="F32" s="63">
        <f>VLOOKUP(E32,REF_TABLE!$G$7:$H$32,2)</f>
        <v>250</v>
      </c>
      <c r="G32" s="63">
        <v>35</v>
      </c>
      <c r="H32" s="63">
        <f>ABS(RESULT_ITTE!Q202)</f>
        <v>7.5738741129898774E-3</v>
      </c>
      <c r="I32" s="63">
        <f t="shared" si="0"/>
        <v>0.25</v>
      </c>
      <c r="J32" s="63">
        <f t="shared" si="1"/>
        <v>9.6433560275046657E-3</v>
      </c>
      <c r="K32" s="66">
        <f>ABS(RESULT_ITTE!M202)</f>
        <v>6.0079437098534257E-2</v>
      </c>
      <c r="L32" s="66">
        <f t="shared" si="28"/>
        <v>4.2522592358223319</v>
      </c>
      <c r="M32" s="63">
        <f>INDEX('Junctions — junctions'!$F$2:$F$197,MATCH(D32,'Junctions — junctions'!$B$2:$B$197,0))</f>
        <v>11</v>
      </c>
      <c r="N32" s="63">
        <v>10</v>
      </c>
      <c r="O32" s="63">
        <f t="shared" si="2"/>
        <v>25.252259235822333</v>
      </c>
      <c r="P32" s="63">
        <f t="shared" si="3"/>
        <v>24.954236776472168</v>
      </c>
      <c r="T32" s="63" t="s">
        <v>219</v>
      </c>
      <c r="U32" s="63" t="s">
        <v>729</v>
      </c>
      <c r="V32" s="63" t="s">
        <v>730</v>
      </c>
      <c r="W32" s="63">
        <v>200</v>
      </c>
      <c r="X32" s="63">
        <f>VLOOKUP(W32,REF_TABLE!$G$7:$H$32,2)</f>
        <v>200</v>
      </c>
      <c r="Y32" s="63">
        <v>30</v>
      </c>
      <c r="Z32" s="63">
        <f>ABS(RESULT_ITTE!AO202)</f>
        <v>1.1639572052696461E-2</v>
      </c>
      <c r="AA32" s="63">
        <f t="shared" si="4"/>
        <v>0.2</v>
      </c>
      <c r="AB32" s="63">
        <f t="shared" si="5"/>
        <v>2.3156192845761505E-2</v>
      </c>
      <c r="AC32" s="69">
        <f>ABS(RESULT_ITTE!AK202)</f>
        <v>0.16584918199856438</v>
      </c>
      <c r="AD32" s="69">
        <f t="shared" si="29"/>
        <v>11.156046530419914</v>
      </c>
      <c r="AE32" s="63">
        <f>INDEX('Junctions — junctions'!$F$2:$F$197,MATCH(V32,'Junctions — junctions'!$B$2:$B$197,0))</f>
        <v>9</v>
      </c>
      <c r="AF32" s="69">
        <v>10</v>
      </c>
      <c r="AG32" s="63">
        <f t="shared" si="6"/>
        <v>30.156046530419914</v>
      </c>
      <c r="AH32" s="63">
        <f t="shared" si="7"/>
        <v>64.71658567728953</v>
      </c>
      <c r="AM32" s="63" t="s">
        <v>288</v>
      </c>
      <c r="AN32" s="63" t="s">
        <v>705</v>
      </c>
      <c r="AO32" s="63" t="s">
        <v>706</v>
      </c>
      <c r="AP32" s="63">
        <v>400</v>
      </c>
      <c r="AQ32" s="63">
        <f>VLOOKUP(AP32,REF_TABLE!$G$7:$H$32,2)</f>
        <v>400</v>
      </c>
      <c r="AR32" s="63">
        <v>125</v>
      </c>
      <c r="AS32" s="63">
        <f>ABS(RESULT_ITTE!BK202)</f>
        <v>4.2018307472397938E-2</v>
      </c>
      <c r="AT32" s="63">
        <f t="shared" si="8"/>
        <v>0.4</v>
      </c>
      <c r="AU32" s="63">
        <f t="shared" si="9"/>
        <v>2.0898191670585167E-2</v>
      </c>
      <c r="AV32" s="63">
        <f>ABS(RESULT_ITTE!BG202)</f>
        <v>0.2003851239437005</v>
      </c>
      <c r="AW32" s="63">
        <f t="shared" si="30"/>
        <v>4.1552851909679571</v>
      </c>
      <c r="AX32" s="63">
        <f>INDEX('Junctions — junctions'!$F$2:$F$197,MATCH(AO32,'Junctions — junctions'!$B$2:$B$197,0))</f>
        <v>13</v>
      </c>
      <c r="AY32" s="63">
        <v>10</v>
      </c>
      <c r="AZ32" s="63">
        <f t="shared" si="10"/>
        <v>27.155285190967959</v>
      </c>
      <c r="BA32" s="63">
        <f t="shared" si="11"/>
        <v>12.600832833104148</v>
      </c>
      <c r="BG32" s="63" t="s">
        <v>188</v>
      </c>
      <c r="BH32" s="63" t="s">
        <v>657</v>
      </c>
      <c r="BI32" s="63" t="s">
        <v>658</v>
      </c>
      <c r="BJ32" s="63">
        <v>250</v>
      </c>
      <c r="BK32" s="63">
        <f>VLOOKUP(BJ32,REF_TABLE!$G$7:$H$32,2)</f>
        <v>250</v>
      </c>
      <c r="BL32" s="63">
        <v>80</v>
      </c>
      <c r="BM32" s="63">
        <f>ABS(RESULT_ITTE!CH202)</f>
        <v>5.3288224365538421E-2</v>
      </c>
      <c r="BN32" s="63">
        <f t="shared" si="12"/>
        <v>0.25</v>
      </c>
      <c r="BO32" s="63">
        <f t="shared" si="13"/>
        <v>6.7848674530923345E-2</v>
      </c>
      <c r="BP32" s="63">
        <f>ABS(RESULT_ITTE!CD202)</f>
        <v>0.16187231665420129</v>
      </c>
      <c r="BQ32" s="63">
        <f t="shared" si="31"/>
        <v>4.6722712659710615</v>
      </c>
      <c r="BR32" s="63">
        <f>INDEX('Junctions — junctions'!$F$2:$F$197,MATCH(BI32,'Junctions — junctions'!$B$2:$B$197,0))</f>
        <v>11</v>
      </c>
      <c r="BS32" s="63">
        <v>10</v>
      </c>
      <c r="BT32" s="63">
        <f t="shared" si="14"/>
        <v>25.672271265971062</v>
      </c>
      <c r="BU32" s="63">
        <f t="shared" si="15"/>
        <v>18.070031416932466</v>
      </c>
      <c r="CB32" s="63" t="s">
        <v>128</v>
      </c>
      <c r="CC32" s="63" t="s">
        <v>637</v>
      </c>
      <c r="CD32" s="63" t="s">
        <v>636</v>
      </c>
      <c r="CE32" s="63">
        <v>250</v>
      </c>
      <c r="CF32" s="63">
        <f>VLOOKUP(CE32,REF_TABLE!$G$7:$H$32,2)</f>
        <v>250</v>
      </c>
      <c r="CG32" s="63">
        <v>76</v>
      </c>
      <c r="CH32" s="63">
        <f>ABS(RESULT_ITTE!DD202)</f>
        <v>2.1427061362760701E-2</v>
      </c>
      <c r="CI32" s="63">
        <f t="shared" si="16"/>
        <v>0.25</v>
      </c>
      <c r="CJ32" s="63">
        <f t="shared" si="17"/>
        <v>2.7281781854533831E-2</v>
      </c>
      <c r="CK32" s="63">
        <f>ABS(RESULT_ITTE!CZ202)</f>
        <v>6.2782074045414138E-2</v>
      </c>
      <c r="CL32" s="63">
        <f t="shared" si="32"/>
        <v>6.4373408284781011</v>
      </c>
      <c r="CM32" s="63">
        <f>INDEX('Junctions — junctions'!$F$2:$F$197,MATCH(CD32,'Junctions — junctions'!$B$2:$B$197,0))</f>
        <v>13</v>
      </c>
      <c r="CN32" s="63">
        <v>10</v>
      </c>
      <c r="CO32" s="63">
        <f t="shared" si="18"/>
        <v>29.437340828478099</v>
      </c>
      <c r="CP32" s="63">
        <f t="shared" si="19"/>
        <v>17.029738877179412</v>
      </c>
      <c r="CV32" s="63" t="s">
        <v>408</v>
      </c>
      <c r="CW32" s="63" t="s">
        <v>619</v>
      </c>
      <c r="CX32" s="63" t="s">
        <v>618</v>
      </c>
      <c r="CY32" s="63">
        <v>350</v>
      </c>
      <c r="CZ32" s="63">
        <f>VLOOKUP(CY32,REF_TABLE!$G$7:$H$32,2)</f>
        <v>350</v>
      </c>
      <c r="DA32" s="63">
        <v>91</v>
      </c>
      <c r="DB32" s="63">
        <f>ABS(RESULT_ITTE!EB202)</f>
        <v>0.10685680333419756</v>
      </c>
      <c r="DC32" s="63">
        <f t="shared" si="20"/>
        <v>0.35</v>
      </c>
      <c r="DD32" s="63">
        <f t="shared" si="21"/>
        <v>6.9415463076065581E-2</v>
      </c>
      <c r="DE32" s="63">
        <f>ABS(RESULT_ITTE!DX202)</f>
        <v>0.19226064615766192</v>
      </c>
      <c r="DF32" s="63">
        <f t="shared" si="33"/>
        <v>5.0079404341713873</v>
      </c>
      <c r="DG32" s="63">
        <f>INDEX('Junctions — junctions'!$F$2:$F$197,MATCH(CX32,'Junctions — junctions'!$B$2:$B$197,0))</f>
        <v>15</v>
      </c>
      <c r="DH32" s="63">
        <v>10</v>
      </c>
      <c r="DI32" s="63">
        <f t="shared" si="22"/>
        <v>30.007940434171388</v>
      </c>
      <c r="DJ32" s="63">
        <f t="shared" si="23"/>
        <v>14.843398779976937</v>
      </c>
      <c r="DP32" s="63" t="s">
        <v>142</v>
      </c>
      <c r="DQ32" s="63" t="s">
        <v>607</v>
      </c>
      <c r="DR32" s="63" t="s">
        <v>606</v>
      </c>
      <c r="DS32" s="63">
        <v>466</v>
      </c>
      <c r="DT32" s="63">
        <f>VLOOKUP(DS32,REF_TABLE!$G$7:$H$32,2)</f>
        <v>500</v>
      </c>
      <c r="DU32" s="63">
        <v>76</v>
      </c>
      <c r="DV32" s="63">
        <v>0.1892810904984645</v>
      </c>
      <c r="DW32" s="63">
        <f t="shared" si="24"/>
        <v>0.46600000000000003</v>
      </c>
      <c r="DX32" s="63">
        <f t="shared" si="25"/>
        <v>6.9362626836594443E-2</v>
      </c>
      <c r="DY32" s="63">
        <f>ABS(RESULT_ITTE!EW202)</f>
        <v>0.2002795562744141</v>
      </c>
      <c r="DZ32" s="63">
        <f t="shared" si="34"/>
        <v>3.7547842733860022</v>
      </c>
      <c r="EA32" s="63">
        <f>INDEX('Junctions — junctions'!$F$2:$F$197,MATCH(DR32,'Junctions — junctions'!$B$2:$B$197,0))</f>
        <v>13</v>
      </c>
      <c r="EB32" s="63">
        <v>10</v>
      </c>
      <c r="EC32" s="63">
        <f t="shared" si="26"/>
        <v>26.754784273386001</v>
      </c>
      <c r="ED32" s="63">
        <f t="shared" si="27"/>
        <v>17.784258499145508</v>
      </c>
      <c r="EH32" s="63" t="s">
        <v>222</v>
      </c>
      <c r="EI32" s="63" t="s">
        <v>731</v>
      </c>
      <c r="EJ32" s="63" t="s">
        <v>732</v>
      </c>
      <c r="EK32" s="63">
        <v>250</v>
      </c>
      <c r="EL32" s="63">
        <v>250</v>
      </c>
      <c r="EM32" s="63">
        <v>49</v>
      </c>
      <c r="EN32" s="63">
        <v>8.0152868444800952E-3</v>
      </c>
      <c r="EO32" s="63">
        <v>0.25</v>
      </c>
      <c r="EP32" s="63">
        <v>1.0205380172787576E-2</v>
      </c>
      <c r="EQ32" s="63">
        <v>0.15684945454255206</v>
      </c>
      <c r="ER32" s="63">
        <v>4.4091086903648842</v>
      </c>
      <c r="ES32" s="63">
        <v>10</v>
      </c>
      <c r="ET32" s="63">
        <v>10</v>
      </c>
      <c r="EU32" s="63">
        <v>24.409108690364885</v>
      </c>
      <c r="EV32" s="63">
        <v>25.797387321929616</v>
      </c>
    </row>
    <row r="33" spans="2:152" x14ac:dyDescent="0.25">
      <c r="B33" s="63" t="s">
        <v>222</v>
      </c>
      <c r="C33" s="63" t="s">
        <v>731</v>
      </c>
      <c r="D33" s="63" t="s">
        <v>732</v>
      </c>
      <c r="E33" s="63">
        <v>250</v>
      </c>
      <c r="F33" s="63">
        <f>VLOOKUP(E33,REF_TABLE!$G$7:$H$32,2)</f>
        <v>250</v>
      </c>
      <c r="G33" s="63">
        <v>49</v>
      </c>
      <c r="H33" s="63">
        <f>ABS(RESULT_ITTE!Q203)</f>
        <v>8.0152868444800952E-3</v>
      </c>
      <c r="I33" s="63">
        <f t="shared" si="0"/>
        <v>0.25</v>
      </c>
      <c r="J33" s="63">
        <f t="shared" si="1"/>
        <v>1.0205380172787576E-2</v>
      </c>
      <c r="K33" s="66">
        <f>ABS(RESULT_ITTE!M203)</f>
        <v>0.15684945454255206</v>
      </c>
      <c r="L33" s="66">
        <f t="shared" si="28"/>
        <v>4.4091086903648842</v>
      </c>
      <c r="M33" s="63">
        <f>INDEX('Junctions — junctions'!$F$2:$F$197,MATCH(D33,'Junctions — junctions'!$B$2:$B$197,0))</f>
        <v>10</v>
      </c>
      <c r="N33" s="63">
        <v>10</v>
      </c>
      <c r="O33" s="63">
        <f t="shared" si="2"/>
        <v>24.409108690364885</v>
      </c>
      <c r="P33" s="63">
        <f t="shared" si="3"/>
        <v>25.797387321929616</v>
      </c>
      <c r="T33" s="63" t="s">
        <v>221</v>
      </c>
      <c r="U33" s="63" t="s">
        <v>730</v>
      </c>
      <c r="V33" s="63" t="s">
        <v>731</v>
      </c>
      <c r="W33" s="63">
        <v>200</v>
      </c>
      <c r="X33" s="63">
        <f>VLOOKUP(W33,REF_TABLE!$G$7:$H$32,2)</f>
        <v>200</v>
      </c>
      <c r="Y33" s="63">
        <v>35</v>
      </c>
      <c r="Z33" s="63">
        <f>ABS(RESULT_ITTE!AO203)</f>
        <v>1.145345918657068E-2</v>
      </c>
      <c r="AA33" s="63">
        <f t="shared" si="4"/>
        <v>0.2</v>
      </c>
      <c r="AB33" s="63">
        <f t="shared" si="5"/>
        <v>2.2785933063050028E-2</v>
      </c>
      <c r="AC33" s="69">
        <f>ABS(RESULT_ITTE!AK203)</f>
        <v>0.24527997752358771</v>
      </c>
      <c r="AD33" s="69">
        <f t="shared" si="29"/>
        <v>11.401326507943502</v>
      </c>
      <c r="AE33" s="63">
        <f>INDEX('Junctions — junctions'!$F$2:$F$197,MATCH(V33,'Junctions — junctions'!$B$2:$B$197,0))</f>
        <v>11</v>
      </c>
      <c r="AF33" s="69">
        <v>10</v>
      </c>
      <c r="AG33" s="63">
        <f t="shared" si="6"/>
        <v>32.401326507943502</v>
      </c>
      <c r="AH33" s="63">
        <f t="shared" si="7"/>
        <v>62.471305699765942</v>
      </c>
      <c r="AM33" s="63" t="s">
        <v>423</v>
      </c>
      <c r="AN33" s="63" t="s">
        <v>706</v>
      </c>
      <c r="AO33" s="63" t="s">
        <v>707</v>
      </c>
      <c r="AP33" s="63">
        <v>400</v>
      </c>
      <c r="AQ33" s="63">
        <f>VLOOKUP(AP33,REF_TABLE!$G$7:$H$32,2)</f>
        <v>400</v>
      </c>
      <c r="AR33" s="63">
        <v>126</v>
      </c>
      <c r="AS33" s="63">
        <f>ABS(RESULT_ITTE!BK203)</f>
        <v>3.8754659570581509E-2</v>
      </c>
      <c r="AT33" s="63">
        <f t="shared" si="8"/>
        <v>0.4</v>
      </c>
      <c r="AU33" s="63">
        <f t="shared" si="9"/>
        <v>1.9274986370317739E-2</v>
      </c>
      <c r="AV33" s="63">
        <f>ABS(RESULT_ITTE!BG203)</f>
        <v>0.20198820493525013</v>
      </c>
      <c r="AW33" s="63">
        <f t="shared" si="30"/>
        <v>4.3572733959032073</v>
      </c>
      <c r="AX33" s="63">
        <f>INDEX('Junctions — junctions'!$F$2:$F$197,MATCH(AO33,'Junctions — junctions'!$B$2:$B$197,0))</f>
        <v>13</v>
      </c>
      <c r="AY33" s="63">
        <v>10</v>
      </c>
      <c r="AZ33" s="63">
        <f t="shared" si="10"/>
        <v>27.357273395903206</v>
      </c>
      <c r="BA33" s="63">
        <f t="shared" si="11"/>
        <v>12.398844628168899</v>
      </c>
      <c r="BG33" s="63" t="s">
        <v>186</v>
      </c>
      <c r="BH33" s="63" t="s">
        <v>658</v>
      </c>
      <c r="BI33" s="63" t="s">
        <v>659</v>
      </c>
      <c r="BJ33" s="63">
        <v>250</v>
      </c>
      <c r="BK33" s="63">
        <f>VLOOKUP(BJ33,REF_TABLE!$G$7:$H$32,2)</f>
        <v>250</v>
      </c>
      <c r="BL33" s="63">
        <v>158</v>
      </c>
      <c r="BM33" s="63">
        <f>ABS(RESULT_ITTE!CH203)</f>
        <v>5.1566686166368718E-2</v>
      </c>
      <c r="BN33" s="63">
        <f t="shared" si="12"/>
        <v>0.25</v>
      </c>
      <c r="BO33" s="63">
        <f t="shared" si="13"/>
        <v>6.5656744017968324E-2</v>
      </c>
      <c r="BP33" s="63">
        <f>ABS(RESULT_ITTE!CD203)</f>
        <v>0.31969782539204755</v>
      </c>
      <c r="BQ33" s="63">
        <f t="shared" si="31"/>
        <v>4.9919690913631092</v>
      </c>
      <c r="BR33" s="63">
        <f>INDEX('Junctions — junctions'!$F$2:$F$197,MATCH(BI33,'Junctions — junctions'!$B$2:$B$197,0))</f>
        <v>15</v>
      </c>
      <c r="BS33" s="63">
        <v>10</v>
      </c>
      <c r="BT33" s="63">
        <f t="shared" si="14"/>
        <v>29.99196909136311</v>
      </c>
      <c r="BU33" s="63">
        <f t="shared" si="15"/>
        <v>13.750333591540418</v>
      </c>
      <c r="CB33" s="63" t="s">
        <v>127</v>
      </c>
      <c r="CC33" s="63" t="s">
        <v>638</v>
      </c>
      <c r="CD33" s="63" t="s">
        <v>637</v>
      </c>
      <c r="CE33" s="63">
        <v>250</v>
      </c>
      <c r="CF33" s="63">
        <f>VLOOKUP(CE33,REF_TABLE!$G$7:$H$32,2)</f>
        <v>250</v>
      </c>
      <c r="CG33" s="63">
        <v>36</v>
      </c>
      <c r="CH33" s="63">
        <f>ABS(RESULT_ITTE!DD203)</f>
        <v>2.0388336538195332E-2</v>
      </c>
      <c r="CI33" s="63">
        <f t="shared" si="16"/>
        <v>0.25</v>
      </c>
      <c r="CJ33" s="63">
        <f t="shared" si="17"/>
        <v>2.5959236331799109E-2</v>
      </c>
      <c r="CK33" s="63">
        <f>ABS(RESULT_ITTE!CZ203)</f>
        <v>2.9738877179406698E-2</v>
      </c>
      <c r="CL33" s="63">
        <f t="shared" si="32"/>
        <v>6.4670797056575076</v>
      </c>
      <c r="CM33" s="63">
        <f>INDEX('Junctions — junctions'!$F$2:$F$197,MATCH(CD33,'Junctions — junctions'!$B$2:$B$197,0))</f>
        <v>20</v>
      </c>
      <c r="CN33" s="63">
        <v>10</v>
      </c>
      <c r="CO33" s="63">
        <f t="shared" si="18"/>
        <v>36.467079705657511</v>
      </c>
      <c r="CP33" s="63">
        <f t="shared" si="19"/>
        <v>10.000000000000004</v>
      </c>
      <c r="CV33" s="63" t="s">
        <v>172</v>
      </c>
      <c r="CW33" s="63" t="s">
        <v>620</v>
      </c>
      <c r="CX33" s="63" t="s">
        <v>619</v>
      </c>
      <c r="CY33" s="63">
        <v>350</v>
      </c>
      <c r="CZ33" s="63">
        <f>VLOOKUP(CY33,REF_TABLE!$G$7:$H$32,2)</f>
        <v>350</v>
      </c>
      <c r="DA33" s="63">
        <v>87</v>
      </c>
      <c r="DB33" s="63">
        <f>ABS(RESULT_ITTE!EB203)</f>
        <v>0.10539382343429968</v>
      </c>
      <c r="DC33" s="63">
        <f t="shared" si="20"/>
        <v>0.35</v>
      </c>
      <c r="DD33" s="63">
        <f t="shared" si="21"/>
        <v>6.8465093758870346E-2</v>
      </c>
      <c r="DE33" s="63">
        <f>ABS(RESULT_ITTE!DX203)</f>
        <v>0.18380962874413831</v>
      </c>
      <c r="DF33" s="63">
        <f t="shared" si="33"/>
        <v>5.191750062915526</v>
      </c>
      <c r="DG33" s="63">
        <f>INDEX('Junctions — junctions'!$F$2:$F$197,MATCH(CX33,'Junctions — junctions'!$B$2:$B$197,0))</f>
        <v>12</v>
      </c>
      <c r="DH33" s="63">
        <v>10</v>
      </c>
      <c r="DI33" s="63">
        <f t="shared" si="22"/>
        <v>27.191750062915524</v>
      </c>
      <c r="DJ33" s="63">
        <f t="shared" si="23"/>
        <v>17.659589151232801</v>
      </c>
      <c r="DP33" s="63" t="s">
        <v>143</v>
      </c>
      <c r="DQ33" s="63" t="s">
        <v>608</v>
      </c>
      <c r="DR33" s="63" t="s">
        <v>607</v>
      </c>
      <c r="DS33" s="63">
        <v>466</v>
      </c>
      <c r="DT33" s="63">
        <f>VLOOKUP(DS33,REF_TABLE!$G$7:$H$32,2)</f>
        <v>500</v>
      </c>
      <c r="DU33" s="63">
        <v>80</v>
      </c>
      <c r="DV33" s="63">
        <v>0.18749754345472944</v>
      </c>
      <c r="DW33" s="63">
        <f t="shared" si="24"/>
        <v>0.46600000000000003</v>
      </c>
      <c r="DX33" s="63">
        <f t="shared" si="25"/>
        <v>6.8709040639926222E-2</v>
      </c>
      <c r="DY33" s="63">
        <f>ABS(RESULT_ITTE!EW203)</f>
        <v>0.19938948059082032</v>
      </c>
      <c r="DZ33" s="63">
        <f t="shared" si="34"/>
        <v>3.9541737539768227</v>
      </c>
      <c r="EA33" s="63">
        <f>INDEX('Junctions — junctions'!$F$2:$F$197,MATCH(DR33,'Junctions — junctions'!$B$2:$B$197,0))</f>
        <v>20</v>
      </c>
      <c r="EB33" s="63">
        <v>10</v>
      </c>
      <c r="EC33" s="63">
        <f t="shared" si="26"/>
        <v>33.954173753976825</v>
      </c>
      <c r="ED33" s="63">
        <f t="shared" si="27"/>
        <v>10.584869018554686</v>
      </c>
      <c r="EH33" s="63" t="s">
        <v>223</v>
      </c>
      <c r="EI33" s="63" t="s">
        <v>732</v>
      </c>
      <c r="EJ33" s="63" t="s">
        <v>733</v>
      </c>
      <c r="EK33" s="63">
        <v>350</v>
      </c>
      <c r="EL33" s="63">
        <v>350</v>
      </c>
      <c r="EM33" s="63">
        <v>89</v>
      </c>
      <c r="EN33" s="63">
        <v>9.8437607048732119E-3</v>
      </c>
      <c r="EO33" s="63">
        <v>0.35</v>
      </c>
      <c r="EP33" s="63">
        <v>6.3946252032421706E-3</v>
      </c>
      <c r="EQ33" s="63">
        <v>0.16707613867720356</v>
      </c>
      <c r="ER33" s="63">
        <v>4.5761848290420879</v>
      </c>
      <c r="ES33" s="63">
        <v>7</v>
      </c>
      <c r="ET33" s="63">
        <v>10</v>
      </c>
      <c r="EU33" s="63">
        <v>21.576184829042088</v>
      </c>
      <c r="EV33" s="63">
        <v>28.630311183252413</v>
      </c>
    </row>
    <row r="34" spans="2:152" x14ac:dyDescent="0.25">
      <c r="B34" s="63" t="s">
        <v>223</v>
      </c>
      <c r="C34" s="63" t="s">
        <v>732</v>
      </c>
      <c r="D34" s="63" t="s">
        <v>733</v>
      </c>
      <c r="E34" s="63">
        <v>350</v>
      </c>
      <c r="F34" s="63">
        <f>VLOOKUP(E34,REF_TABLE!$G$7:$H$32,2)</f>
        <v>350</v>
      </c>
      <c r="G34" s="63">
        <v>89</v>
      </c>
      <c r="H34" s="63">
        <f>ABS(RESULT_ITTE!Q204)</f>
        <v>9.8437607048732119E-3</v>
      </c>
      <c r="I34" s="63">
        <f t="shared" si="0"/>
        <v>0.35</v>
      </c>
      <c r="J34" s="63">
        <f t="shared" si="1"/>
        <v>6.3946252032421706E-3</v>
      </c>
      <c r="K34" s="66">
        <f>ABS(RESULT_ITTE!M204)</f>
        <v>0.16707613867720356</v>
      </c>
      <c r="L34" s="66">
        <f t="shared" si="28"/>
        <v>4.5761848290420879</v>
      </c>
      <c r="M34" s="63">
        <f>INDEX('Junctions — junctions'!$F$2:$F$197,MATCH(D34,'Junctions — junctions'!$B$2:$B$197,0))</f>
        <v>7</v>
      </c>
      <c r="N34" s="63">
        <v>10</v>
      </c>
      <c r="O34" s="63">
        <f t="shared" si="2"/>
        <v>21.576184829042088</v>
      </c>
      <c r="P34" s="63">
        <f t="shared" si="3"/>
        <v>28.630311183252413</v>
      </c>
      <c r="T34" s="63" t="s">
        <v>222</v>
      </c>
      <c r="U34" s="63" t="s">
        <v>731</v>
      </c>
      <c r="V34" s="63" t="s">
        <v>732</v>
      </c>
      <c r="W34" s="63">
        <v>200</v>
      </c>
      <c r="X34" s="63">
        <f>VLOOKUP(W34,REF_TABLE!$G$7:$H$32,2)</f>
        <v>200</v>
      </c>
      <c r="Y34" s="63">
        <v>49</v>
      </c>
      <c r="Z34" s="63">
        <f>ABS(RESULT_ITTE!AO204)</f>
        <v>1.1065039289850538E-2</v>
      </c>
      <c r="AA34" s="63">
        <f t="shared" si="4"/>
        <v>0.2</v>
      </c>
      <c r="AB34" s="63">
        <f t="shared" si="5"/>
        <v>2.2013196231071855E-2</v>
      </c>
      <c r="AC34" s="69">
        <f>ABS(RESULT_ITTE!AK204)</f>
        <v>0.5876553864915437</v>
      </c>
      <c r="AD34" s="69">
        <f t="shared" si="29"/>
        <v>11.988981894435046</v>
      </c>
      <c r="AE34" s="63">
        <f>INDEX('Junctions — junctions'!$F$2:$F$197,MATCH(V34,'Junctions — junctions'!$B$2:$B$197,0))</f>
        <v>10</v>
      </c>
      <c r="AF34" s="69">
        <v>10</v>
      </c>
      <c r="AG34" s="63">
        <f t="shared" si="6"/>
        <v>31.988981894435046</v>
      </c>
      <c r="AH34" s="63">
        <f t="shared" si="7"/>
        <v>62.883650313274401</v>
      </c>
      <c r="AM34" s="63" t="s">
        <v>292</v>
      </c>
      <c r="AN34" s="63" t="s">
        <v>708</v>
      </c>
      <c r="AO34" s="63" t="s">
        <v>707</v>
      </c>
      <c r="AP34" s="63">
        <v>300</v>
      </c>
      <c r="AQ34" s="63">
        <f>VLOOKUP(AP34,REF_TABLE!$G$7:$H$32,2)</f>
        <v>300</v>
      </c>
      <c r="AR34" s="63">
        <v>127</v>
      </c>
      <c r="AS34" s="63">
        <f>ABS(RESULT_ITTE!BK204)</f>
        <v>3.103235923977132E-3</v>
      </c>
      <c r="AT34" s="63">
        <f t="shared" si="8"/>
        <v>0.3</v>
      </c>
      <c r="AU34" s="63">
        <f t="shared" si="9"/>
        <v>2.7438629826739207E-3</v>
      </c>
      <c r="AV34" s="63">
        <f>ABS(RESULT_ITTE!BG204)</f>
        <v>9.0700161921813224E-2</v>
      </c>
      <c r="AW34" s="63">
        <f t="shared" si="30"/>
        <v>4.4479735578250201</v>
      </c>
      <c r="AX34" s="63">
        <f>INDEX('Junctions — junctions'!$F$2:$F$197,MATCH(AO34,'Junctions — junctions'!$B$2:$B$197,0))</f>
        <v>13</v>
      </c>
      <c r="AY34" s="63">
        <v>10</v>
      </c>
      <c r="AZ34" s="63">
        <f t="shared" si="10"/>
        <v>27.447973557825019</v>
      </c>
      <c r="BA34" s="63">
        <f t="shared" si="11"/>
        <v>12.308144466247086</v>
      </c>
      <c r="BG34" s="63" t="s">
        <v>187</v>
      </c>
      <c r="BH34" s="63" t="s">
        <v>660</v>
      </c>
      <c r="BI34" s="63" t="s">
        <v>659</v>
      </c>
      <c r="BJ34" s="63">
        <v>250</v>
      </c>
      <c r="BK34" s="63">
        <f>VLOOKUP(BJ34,REF_TABLE!$G$7:$H$32,2)</f>
        <v>250</v>
      </c>
      <c r="BL34" s="63">
        <v>70</v>
      </c>
      <c r="BM34" s="63">
        <f>ABS(RESULT_ITTE!CH204)</f>
        <v>5.0764470058797077E-2</v>
      </c>
      <c r="BN34" s="63">
        <f t="shared" si="12"/>
        <v>0.25</v>
      </c>
      <c r="BO34" s="63">
        <f t="shared" si="13"/>
        <v>6.4635330746384584E-2</v>
      </c>
      <c r="BP34" s="63">
        <f>ABS(RESULT_ITTE!CD204)</f>
        <v>0.1416382770724261</v>
      </c>
      <c r="BQ34" s="63">
        <f t="shared" si="31"/>
        <v>5.133607368435535</v>
      </c>
      <c r="BR34" s="63">
        <f>INDEX('Junctions — junctions'!$F$2:$F$197,MATCH(BI34,'Junctions — junctions'!$B$2:$B$197,0))</f>
        <v>15</v>
      </c>
      <c r="BS34" s="63">
        <v>10</v>
      </c>
      <c r="BT34" s="63">
        <f t="shared" si="14"/>
        <v>30.133607368435534</v>
      </c>
      <c r="BU34" s="63">
        <f t="shared" si="15"/>
        <v>13.608695314467994</v>
      </c>
      <c r="CB34" s="63" t="s">
        <v>126</v>
      </c>
      <c r="CC34" s="63" t="s">
        <v>639</v>
      </c>
      <c r="CD34" s="63" t="s">
        <v>638</v>
      </c>
      <c r="CE34" s="63">
        <v>250</v>
      </c>
      <c r="CF34" s="63">
        <f>VLOOKUP(CE34,REF_TABLE!$G$7:$H$32,2)</f>
        <v>250</v>
      </c>
      <c r="CG34" s="63">
        <v>32</v>
      </c>
      <c r="CH34" s="63">
        <f>ABS(RESULT_ITTE!DD204)</f>
        <v>1.9596661628583138E-2</v>
      </c>
      <c r="CI34" s="63">
        <f t="shared" si="16"/>
        <v>0.25</v>
      </c>
      <c r="CJ34" s="63">
        <f t="shared" si="17"/>
        <v>2.4951244530306227E-2</v>
      </c>
      <c r="CK34" s="63">
        <f>ABS(RESULT_ITTE!CZ204)</f>
        <v>2.6434557492805953E-2</v>
      </c>
      <c r="CL34" s="63">
        <f t="shared" si="32"/>
        <v>6.4935142631503133</v>
      </c>
      <c r="CM34" s="63">
        <f>INDEX('Junctions — junctions'!$F$2:$F$197,MATCH(CD34,'Junctions — junctions'!$B$2:$B$197,0))</f>
        <v>17</v>
      </c>
      <c r="CN34" s="63">
        <v>10</v>
      </c>
      <c r="CO34" s="63">
        <f t="shared" si="18"/>
        <v>33.493514263150317</v>
      </c>
      <c r="CP34" s="63">
        <f t="shared" si="19"/>
        <v>12.973565442507198</v>
      </c>
      <c r="CV34" s="63" t="s">
        <v>170</v>
      </c>
      <c r="CW34" s="63" t="s">
        <v>621</v>
      </c>
      <c r="CX34" s="63" t="s">
        <v>620</v>
      </c>
      <c r="CY34" s="63">
        <v>350</v>
      </c>
      <c r="CZ34" s="63">
        <f>VLOOKUP(CY34,REF_TABLE!$G$7:$H$32,2)</f>
        <v>350</v>
      </c>
      <c r="DA34" s="63">
        <v>94</v>
      </c>
      <c r="DB34" s="63">
        <f>ABS(RESULT_ITTE!EB204)</f>
        <v>0.10387601811623667</v>
      </c>
      <c r="DC34" s="63">
        <f t="shared" si="20"/>
        <v>0.35</v>
      </c>
      <c r="DD34" s="63">
        <f t="shared" si="21"/>
        <v>6.7479109191438125E-2</v>
      </c>
      <c r="DE34" s="63">
        <f>ABS(RESULT_ITTE!DX204)</f>
        <v>0.19859890921780463</v>
      </c>
      <c r="DF34" s="63">
        <f t="shared" si="33"/>
        <v>5.3903489721333306</v>
      </c>
      <c r="DG34" s="63">
        <f>INDEX('Junctions — junctions'!$F$2:$F$197,MATCH(CX34,'Junctions — junctions'!$B$2:$B$197,0))</f>
        <v>10</v>
      </c>
      <c r="DH34" s="63">
        <v>10</v>
      </c>
      <c r="DI34" s="63">
        <f t="shared" si="22"/>
        <v>25.390348972133332</v>
      </c>
      <c r="DJ34" s="63">
        <f t="shared" si="23"/>
        <v>19.460990242014994</v>
      </c>
      <c r="DP34" s="63" t="s">
        <v>398</v>
      </c>
      <c r="DQ34" s="63" t="s">
        <v>776</v>
      </c>
      <c r="DR34" s="63" t="s">
        <v>608</v>
      </c>
      <c r="DS34" s="63">
        <v>466</v>
      </c>
      <c r="DT34" s="63">
        <f>VLOOKUP(DS34,REF_TABLE!$G$7:$H$32,2)</f>
        <v>500</v>
      </c>
      <c r="DU34" s="63">
        <v>75</v>
      </c>
      <c r="DV34" s="63">
        <v>0.18703494873323204</v>
      </c>
      <c r="DW34" s="63">
        <f t="shared" si="24"/>
        <v>0.46600000000000003</v>
      </c>
      <c r="DX34" s="63">
        <f t="shared" si="25"/>
        <v>6.8539521408188364E-2</v>
      </c>
      <c r="DY34" s="63">
        <f>ABS(RESULT_ITTE!EW204)</f>
        <v>0.198505126953125</v>
      </c>
      <c r="DZ34" s="63">
        <f t="shared" si="34"/>
        <v>4.1526788809299475</v>
      </c>
      <c r="EA34" s="63">
        <f>INDEX('Junctions — junctions'!$F$2:$F$197,MATCH(DR34,'Junctions — junctions'!$B$2:$B$197,0))</f>
        <v>12</v>
      </c>
      <c r="EB34" s="63">
        <v>10</v>
      </c>
      <c r="EC34" s="63">
        <f t="shared" si="26"/>
        <v>26.152678880929948</v>
      </c>
      <c r="ED34" s="63">
        <f t="shared" si="27"/>
        <v>18.386363891601562</v>
      </c>
      <c r="EH34" s="63" t="s">
        <v>224</v>
      </c>
      <c r="EI34" s="63" t="s">
        <v>733</v>
      </c>
      <c r="EJ34" s="63" t="s">
        <v>734</v>
      </c>
      <c r="EK34" s="63">
        <v>350</v>
      </c>
      <c r="EL34" s="63">
        <v>350</v>
      </c>
      <c r="EM34" s="63">
        <v>77</v>
      </c>
      <c r="EN34" s="63">
        <v>1.0444741196510071E-2</v>
      </c>
      <c r="EO34" s="63">
        <v>0.35</v>
      </c>
      <c r="EP34" s="63">
        <v>6.7850293499597363E-3</v>
      </c>
      <c r="EQ34" s="63">
        <v>0.11054158283193545</v>
      </c>
      <c r="ER34" s="63">
        <v>4.6867264118740231</v>
      </c>
      <c r="ES34" s="63">
        <v>4</v>
      </c>
      <c r="ET34" s="63">
        <v>10</v>
      </c>
      <c r="EU34" s="63">
        <v>18.686726411874023</v>
      </c>
      <c r="EV34" s="63">
        <v>31.519769600420478</v>
      </c>
    </row>
    <row r="35" spans="2:152" x14ac:dyDescent="0.25">
      <c r="B35" s="63" t="s">
        <v>224</v>
      </c>
      <c r="C35" s="63" t="s">
        <v>733</v>
      </c>
      <c r="D35" s="63" t="s">
        <v>734</v>
      </c>
      <c r="E35" s="63">
        <v>350</v>
      </c>
      <c r="F35" s="63">
        <f>VLOOKUP(E35,REF_TABLE!$G$7:$H$32,2)</f>
        <v>350</v>
      </c>
      <c r="G35" s="63">
        <v>77</v>
      </c>
      <c r="H35" s="63">
        <f>ABS(RESULT_ITTE!Q205)</f>
        <v>1.0444741196510071E-2</v>
      </c>
      <c r="I35" s="63">
        <f t="shared" si="0"/>
        <v>0.35</v>
      </c>
      <c r="J35" s="63">
        <f t="shared" si="1"/>
        <v>6.7850293499597363E-3</v>
      </c>
      <c r="K35" s="66">
        <f>ABS(RESULT_ITTE!M205)</f>
        <v>0.11054158283193545</v>
      </c>
      <c r="L35" s="66">
        <f t="shared" si="28"/>
        <v>4.6867264118740231</v>
      </c>
      <c r="M35" s="63">
        <f>INDEX('Junctions — junctions'!$F$2:$F$197,MATCH(D35,'Junctions — junctions'!$B$2:$B$197,0))</f>
        <v>4</v>
      </c>
      <c r="N35" s="63">
        <v>10</v>
      </c>
      <c r="O35" s="63">
        <f t="shared" si="2"/>
        <v>18.686726411874023</v>
      </c>
      <c r="P35" s="63">
        <f t="shared" si="3"/>
        <v>31.519769600420478</v>
      </c>
      <c r="T35" s="63" t="s">
        <v>223</v>
      </c>
      <c r="U35" s="63" t="s">
        <v>732</v>
      </c>
      <c r="V35" s="63" t="s">
        <v>733</v>
      </c>
      <c r="W35" s="63">
        <v>200</v>
      </c>
      <c r="X35" s="63">
        <f>VLOOKUP(W35,REF_TABLE!$G$7:$H$32,2)</f>
        <v>200</v>
      </c>
      <c r="Y35" s="63">
        <v>89</v>
      </c>
      <c r="Z35" s="63">
        <f>ABS(RESULT_ITTE!AO205)</f>
        <v>1.3669986404243713E-2</v>
      </c>
      <c r="AA35" s="63">
        <f t="shared" si="4"/>
        <v>0.2</v>
      </c>
      <c r="AB35" s="63">
        <f t="shared" si="5"/>
        <v>2.7195573852929887E-2</v>
      </c>
      <c r="AC35" s="69">
        <f>ABS(RESULT_ITTE!AK205)</f>
        <v>2.912491740352483</v>
      </c>
      <c r="AD35" s="69">
        <f t="shared" si="29"/>
        <v>14.901473634787529</v>
      </c>
      <c r="AE35" s="63">
        <f>INDEX('Junctions — junctions'!$F$2:$F$197,MATCH(V35,'Junctions — junctions'!$B$2:$B$197,0))</f>
        <v>7</v>
      </c>
      <c r="AF35" s="69">
        <v>10</v>
      </c>
      <c r="AG35" s="63">
        <f t="shared" si="6"/>
        <v>31.901473634787529</v>
      </c>
      <c r="AH35" s="63">
        <f t="shared" si="7"/>
        <v>62.971158572921915</v>
      </c>
      <c r="AM35" s="63" t="s">
        <v>291</v>
      </c>
      <c r="AN35" s="63" t="s">
        <v>709</v>
      </c>
      <c r="AO35" s="63" t="s">
        <v>708</v>
      </c>
      <c r="AP35" s="63">
        <v>300</v>
      </c>
      <c r="AQ35" s="63">
        <f>VLOOKUP(AP35,REF_TABLE!$G$7:$H$32,2)</f>
        <v>300</v>
      </c>
      <c r="AR35" s="63">
        <v>128</v>
      </c>
      <c r="AS35" s="63">
        <f>ABS(RESULT_ITTE!BK205)</f>
        <v>5.7979133559458908E-4</v>
      </c>
      <c r="AT35" s="63">
        <f t="shared" si="8"/>
        <v>0.3</v>
      </c>
      <c r="AU35" s="63">
        <f t="shared" si="9"/>
        <v>5.1264809456517122E-4</v>
      </c>
      <c r="AV35" s="63">
        <f>ABS(RESULT_ITTE!BG205)</f>
        <v>9.1414336425134607E-2</v>
      </c>
      <c r="AW35" s="63">
        <f t="shared" si="30"/>
        <v>4.5393878942501544</v>
      </c>
      <c r="AX35" s="63">
        <f>INDEX('Junctions — junctions'!$F$2:$F$197,MATCH(AO35,'Junctions — junctions'!$B$2:$B$197,0))</f>
        <v>11</v>
      </c>
      <c r="AY35" s="63">
        <v>10</v>
      </c>
      <c r="AZ35" s="63">
        <f t="shared" si="10"/>
        <v>25.539387894250154</v>
      </c>
      <c r="BA35" s="63">
        <f t="shared" si="11"/>
        <v>14.216730129821951</v>
      </c>
      <c r="BG35" s="63" t="s">
        <v>185</v>
      </c>
      <c r="BH35" s="63" t="s">
        <v>661</v>
      </c>
      <c r="BI35" s="63" t="s">
        <v>660</v>
      </c>
      <c r="BJ35" s="63">
        <v>250</v>
      </c>
      <c r="BK35" s="63">
        <f>VLOOKUP(BJ35,REF_TABLE!$G$7:$H$32,2)</f>
        <v>250</v>
      </c>
      <c r="BL35" s="63">
        <v>80</v>
      </c>
      <c r="BM35" s="63">
        <f>ABS(RESULT_ITTE!CH205)</f>
        <v>4.8576797853272291E-2</v>
      </c>
      <c r="BN35" s="63">
        <f t="shared" si="12"/>
        <v>0.25</v>
      </c>
      <c r="BO35" s="63">
        <f t="shared" si="13"/>
        <v>6.1849899983392444E-2</v>
      </c>
      <c r="BP35" s="63">
        <f>ABS(RESULT_ITTE!CD205)</f>
        <v>0.16186447921138786</v>
      </c>
      <c r="BQ35" s="63">
        <f t="shared" si="31"/>
        <v>5.2954718476469225</v>
      </c>
      <c r="BR35" s="63">
        <f>INDEX('Junctions — junctions'!$F$2:$F$197,MATCH(BI35,'Junctions — junctions'!$B$2:$B$197,0))</f>
        <v>18</v>
      </c>
      <c r="BS35" s="63">
        <v>10</v>
      </c>
      <c r="BT35" s="63">
        <f t="shared" si="14"/>
        <v>33.295471847646922</v>
      </c>
      <c r="BU35" s="63">
        <f t="shared" si="15"/>
        <v>10.446830835256605</v>
      </c>
      <c r="CB35" s="63" t="s">
        <v>125</v>
      </c>
      <c r="CC35" s="63" t="s">
        <v>640</v>
      </c>
      <c r="CD35" s="63" t="s">
        <v>639</v>
      </c>
      <c r="CE35" s="63">
        <v>250</v>
      </c>
      <c r="CF35" s="63">
        <f>VLOOKUP(CE35,REF_TABLE!$G$7:$H$32,2)</f>
        <v>250</v>
      </c>
      <c r="CG35" s="63">
        <v>79</v>
      </c>
      <c r="CH35" s="63">
        <f>ABS(RESULT_ITTE!DD205)</f>
        <v>1.9613566672003892E-2</v>
      </c>
      <c r="CI35" s="63">
        <f t="shared" si="16"/>
        <v>0.25</v>
      </c>
      <c r="CJ35" s="63">
        <f t="shared" si="17"/>
        <v>2.4972768700094995E-2</v>
      </c>
      <c r="CK35" s="63">
        <f>ABS(RESULT_ITTE!CZ205)</f>
        <v>6.5260313810364706E-2</v>
      </c>
      <c r="CL35" s="63">
        <f t="shared" si="32"/>
        <v>6.558774576960678</v>
      </c>
      <c r="CM35" s="63">
        <f>INDEX('Junctions — junctions'!$F$2:$F$197,MATCH(CD35,'Junctions — junctions'!$B$2:$B$197,0))</f>
        <v>16</v>
      </c>
      <c r="CN35" s="63">
        <v>10</v>
      </c>
      <c r="CO35" s="63">
        <f t="shared" si="18"/>
        <v>32.55877457696068</v>
      </c>
      <c r="CP35" s="63">
        <f t="shared" si="19"/>
        <v>13.908305128696833</v>
      </c>
      <c r="CV35" s="63" t="s">
        <v>171</v>
      </c>
      <c r="CW35" s="63" t="s">
        <v>621</v>
      </c>
      <c r="CX35" s="63" t="s">
        <v>622</v>
      </c>
      <c r="CY35" s="63">
        <v>400</v>
      </c>
      <c r="CZ35" s="63">
        <f>VLOOKUP(CY35,REF_TABLE!$G$7:$H$32,2)</f>
        <v>400</v>
      </c>
      <c r="DA35" s="63">
        <v>70</v>
      </c>
      <c r="DB35" s="63">
        <f>ABS(RESULT_ITTE!EB205)</f>
        <v>0.10191419697451586</v>
      </c>
      <c r="DC35" s="63">
        <f t="shared" si="20"/>
        <v>0.4</v>
      </c>
      <c r="DD35" s="63">
        <f t="shared" si="21"/>
        <v>5.0687963186672756E-2</v>
      </c>
      <c r="DE35" s="63">
        <f>ABS(RESULT_ITTE!DX205)</f>
        <v>0.10167689645312228</v>
      </c>
      <c r="DF35" s="63">
        <f t="shared" si="33"/>
        <v>5.4920258685864525</v>
      </c>
      <c r="DG35" s="63">
        <f>INDEX('Junctions — junctions'!$F$2:$F$197,MATCH(CX35,'Junctions — junctions'!$B$2:$B$197,0))</f>
        <v>11</v>
      </c>
      <c r="DH35" s="63">
        <v>10</v>
      </c>
      <c r="DI35" s="63">
        <f t="shared" si="22"/>
        <v>26.492025868586452</v>
      </c>
      <c r="DJ35" s="63">
        <f t="shared" si="23"/>
        <v>18.359313345561873</v>
      </c>
      <c r="DP35" s="63" t="s">
        <v>140</v>
      </c>
      <c r="DQ35" s="63" t="s">
        <v>610</v>
      </c>
      <c r="DR35" s="63" t="s">
        <v>609</v>
      </c>
      <c r="DS35" s="63">
        <v>466</v>
      </c>
      <c r="DT35" s="63">
        <f>VLOOKUP(DS35,REF_TABLE!$G$7:$H$32,2)</f>
        <v>500</v>
      </c>
      <c r="DU35" s="63">
        <v>76</v>
      </c>
      <c r="DV35" s="63">
        <v>0.1894049105032844</v>
      </c>
      <c r="DW35" s="63">
        <f t="shared" si="24"/>
        <v>0.46600000000000003</v>
      </c>
      <c r="DX35" s="63">
        <f t="shared" si="25"/>
        <v>6.9408001051031884E-2</v>
      </c>
      <c r="DY35" s="63">
        <f>ABS(RESULT_ITTE!EW205)</f>
        <v>0.19685621643066409</v>
      </c>
      <c r="DZ35" s="63">
        <f t="shared" si="34"/>
        <v>4.3495350973606115</v>
      </c>
      <c r="EA35" s="63">
        <f>INDEX('Junctions — junctions'!$F$2:$F$197,MATCH(DR35,'Junctions — junctions'!$B$2:$B$197,0))</f>
        <v>16</v>
      </c>
      <c r="EB35" s="63">
        <v>10</v>
      </c>
      <c r="EC35" s="63">
        <f t="shared" si="26"/>
        <v>30.349535097360612</v>
      </c>
      <c r="ED35" s="63">
        <f t="shared" si="27"/>
        <v>14.189507675170898</v>
      </c>
      <c r="EH35" s="63" t="s">
        <v>225</v>
      </c>
      <c r="EI35" s="63" t="s">
        <v>734</v>
      </c>
      <c r="EJ35" s="63" t="s">
        <v>735</v>
      </c>
      <c r="EK35" s="63">
        <v>250</v>
      </c>
      <c r="EL35" s="63">
        <v>250</v>
      </c>
      <c r="EM35" s="63">
        <v>37</v>
      </c>
      <c r="EN35" s="63">
        <v>1.1570607137653602E-2</v>
      </c>
      <c r="EO35" s="63">
        <v>0.25</v>
      </c>
      <c r="EP35" s="63">
        <v>1.4732154564255497E-2</v>
      </c>
      <c r="EQ35" s="63">
        <v>7.0397155231682926E-2</v>
      </c>
      <c r="ER35" s="63">
        <v>4.7571235671057064</v>
      </c>
      <c r="ES35" s="63">
        <v>11</v>
      </c>
      <c r="ET35" s="63">
        <v>10</v>
      </c>
      <c r="EU35" s="63">
        <v>25.757123567105708</v>
      </c>
      <c r="EV35" s="63">
        <v>24.449372445188793</v>
      </c>
    </row>
    <row r="36" spans="2:152" x14ac:dyDescent="0.25">
      <c r="B36" s="63" t="s">
        <v>225</v>
      </c>
      <c r="C36" s="63" t="s">
        <v>734</v>
      </c>
      <c r="D36" s="63" t="s">
        <v>735</v>
      </c>
      <c r="E36" s="63">
        <v>250</v>
      </c>
      <c r="F36" s="63">
        <f>VLOOKUP(E36,REF_TABLE!$G$7:$H$32,2)</f>
        <v>250</v>
      </c>
      <c r="G36" s="63">
        <v>37</v>
      </c>
      <c r="H36" s="63">
        <f>ABS(RESULT_ITTE!Q206)</f>
        <v>1.1570607137653602E-2</v>
      </c>
      <c r="I36" s="63">
        <f t="shared" si="0"/>
        <v>0.25</v>
      </c>
      <c r="J36" s="63">
        <f t="shared" si="1"/>
        <v>1.4732154564255497E-2</v>
      </c>
      <c r="K36" s="66">
        <f>ABS(RESULT_ITTE!M206)</f>
        <v>7.0397155231682926E-2</v>
      </c>
      <c r="L36" s="66">
        <f t="shared" si="28"/>
        <v>4.7571235671057064</v>
      </c>
      <c r="M36" s="63">
        <f>INDEX('Junctions — junctions'!$F$2:$F$197,MATCH(D36,'Junctions — junctions'!$B$2:$B$197,0))</f>
        <v>11</v>
      </c>
      <c r="N36" s="63">
        <v>10</v>
      </c>
      <c r="O36" s="63">
        <f t="shared" si="2"/>
        <v>25.757123567105708</v>
      </c>
      <c r="P36" s="63">
        <f t="shared" si="3"/>
        <v>24.449372445188793</v>
      </c>
      <c r="T36" s="63" t="s">
        <v>224</v>
      </c>
      <c r="U36" s="63" t="s">
        <v>733</v>
      </c>
      <c r="V36" s="63" t="s">
        <v>734</v>
      </c>
      <c r="W36" s="63">
        <v>200</v>
      </c>
      <c r="X36" s="63">
        <f>VLOOKUP(W36,REF_TABLE!$G$7:$H$32,2)</f>
        <v>200</v>
      </c>
      <c r="Y36" s="63">
        <v>77</v>
      </c>
      <c r="Z36" s="63">
        <f>ABS(RESULT_ITTE!AO206)</f>
        <v>1.5988191704550677E-2</v>
      </c>
      <c r="AA36" s="63">
        <f t="shared" si="4"/>
        <v>0.2</v>
      </c>
      <c r="AB36" s="63">
        <f t="shared" si="5"/>
        <v>3.1807496761000947E-2</v>
      </c>
      <c r="AC36" s="69">
        <f>ABS(RESULT_ITTE!AK206)</f>
        <v>1.9655302348454322</v>
      </c>
      <c r="AD36" s="69">
        <f t="shared" si="29"/>
        <v>16.86700386963296</v>
      </c>
      <c r="AE36" s="63">
        <f>INDEX('Junctions — junctions'!$F$2:$F$197,MATCH(V36,'Junctions — junctions'!$B$2:$B$197,0))</f>
        <v>4</v>
      </c>
      <c r="AF36" s="69">
        <v>10</v>
      </c>
      <c r="AG36" s="63">
        <f t="shared" si="6"/>
        <v>30.86700386963296</v>
      </c>
      <c r="AH36" s="63">
        <f t="shared" si="7"/>
        <v>64.005628338076491</v>
      </c>
      <c r="AM36" s="63" t="s">
        <v>293</v>
      </c>
      <c r="AN36" s="63" t="s">
        <v>710</v>
      </c>
      <c r="AO36" s="63" t="s">
        <v>709</v>
      </c>
      <c r="AP36" s="63">
        <v>300</v>
      </c>
      <c r="AQ36" s="63">
        <f>VLOOKUP(AP36,REF_TABLE!$G$7:$H$32,2)</f>
        <v>300</v>
      </c>
      <c r="AR36" s="63">
        <v>129</v>
      </c>
      <c r="AS36" s="63">
        <f>ABS(RESULT_ITTE!BK206)</f>
        <v>1.0173735665667304E-3</v>
      </c>
      <c r="AT36" s="63">
        <f t="shared" si="8"/>
        <v>0.3</v>
      </c>
      <c r="AU36" s="63">
        <f t="shared" si="9"/>
        <v>8.9955573383403652E-4</v>
      </c>
      <c r="AV36" s="63">
        <f>ABS(RESULT_ITTE!BG206)</f>
        <v>9.2128510928455962E-2</v>
      </c>
      <c r="AW36" s="63">
        <f t="shared" si="30"/>
        <v>4.6315164051786102</v>
      </c>
      <c r="AX36" s="63">
        <f>INDEX('Junctions — junctions'!$F$2:$F$197,MATCH(AO36,'Junctions — junctions'!$B$2:$B$197,0))</f>
        <v>15</v>
      </c>
      <c r="AY36" s="63">
        <v>10</v>
      </c>
      <c r="AZ36" s="63">
        <f t="shared" si="10"/>
        <v>29.631516405178608</v>
      </c>
      <c r="BA36" s="63">
        <f t="shared" si="11"/>
        <v>10.124601618893495</v>
      </c>
      <c r="BG36" s="63" t="s">
        <v>184</v>
      </c>
      <c r="BH36" s="63" t="s">
        <v>662</v>
      </c>
      <c r="BI36" s="63" t="s">
        <v>661</v>
      </c>
      <c r="BJ36" s="63">
        <v>350</v>
      </c>
      <c r="BK36" s="63">
        <f>VLOOKUP(BJ36,REF_TABLE!$G$7:$H$32,2)</f>
        <v>350</v>
      </c>
      <c r="BL36" s="63">
        <v>68</v>
      </c>
      <c r="BM36" s="63">
        <f>ABS(RESULT_ITTE!CH206)</f>
        <v>4.5224191290407702E-2</v>
      </c>
      <c r="BN36" s="63">
        <f t="shared" si="12"/>
        <v>0.35</v>
      </c>
      <c r="BO36" s="63">
        <f t="shared" si="13"/>
        <v>2.9378177923272766E-2</v>
      </c>
      <c r="BP36" s="63">
        <f>ABS(RESULT_ITTE!CD206)</f>
        <v>0.13273035727434446</v>
      </c>
      <c r="BQ36" s="63">
        <f t="shared" si="31"/>
        <v>5.4282022049212673</v>
      </c>
      <c r="BR36" s="63">
        <f>INDEX('Junctions — junctions'!$F$2:$F$197,MATCH(BI36,'Junctions — junctions'!$B$2:$B$197,0))</f>
        <v>16</v>
      </c>
      <c r="BS36" s="63">
        <v>10</v>
      </c>
      <c r="BT36" s="63">
        <f t="shared" si="14"/>
        <v>31.428202204921266</v>
      </c>
      <c r="BU36" s="63">
        <f t="shared" si="15"/>
        <v>12.314100477982262</v>
      </c>
      <c r="CB36" s="63" t="s">
        <v>124</v>
      </c>
      <c r="CC36" s="63" t="s">
        <v>641</v>
      </c>
      <c r="CD36" s="63" t="s">
        <v>640</v>
      </c>
      <c r="CE36" s="63">
        <v>250</v>
      </c>
      <c r="CF36" s="63">
        <f>VLOOKUP(CE36,REF_TABLE!$G$7:$H$32,2)</f>
        <v>250</v>
      </c>
      <c r="CG36" s="63">
        <v>51</v>
      </c>
      <c r="CH36" s="63">
        <f>ABS(RESULT_ITTE!DD206)</f>
        <v>1.9346842143917888E-2</v>
      </c>
      <c r="CI36" s="63">
        <f t="shared" si="16"/>
        <v>0.25</v>
      </c>
      <c r="CJ36" s="63">
        <f t="shared" si="17"/>
        <v>2.4633164483385071E-2</v>
      </c>
      <c r="CK36" s="63">
        <f>ABS(RESULT_ITTE!CZ206)</f>
        <v>4.2130076004159488E-2</v>
      </c>
      <c r="CL36" s="63">
        <f t="shared" si="32"/>
        <v>6.6009046529648376</v>
      </c>
      <c r="CM36" s="63">
        <f>INDEX('Junctions — junctions'!$F$2:$F$197,MATCH(CD36,'Junctions — junctions'!$B$2:$B$197,0))</f>
        <v>15</v>
      </c>
      <c r="CN36" s="63">
        <v>10</v>
      </c>
      <c r="CO36" s="63">
        <f t="shared" si="18"/>
        <v>31.600904652964836</v>
      </c>
      <c r="CP36" s="63">
        <f t="shared" si="19"/>
        <v>14.866175052692673</v>
      </c>
      <c r="CV36" s="63" t="s">
        <v>413</v>
      </c>
      <c r="CW36" s="63" t="s">
        <v>691</v>
      </c>
      <c r="CX36" s="63" t="s">
        <v>622</v>
      </c>
      <c r="CY36" s="63">
        <v>250</v>
      </c>
      <c r="CZ36" s="63">
        <f>VLOOKUP(CY36,REF_TABLE!$G$7:$H$32,2)</f>
        <v>250</v>
      </c>
      <c r="DA36" s="63">
        <v>59</v>
      </c>
      <c r="DB36" s="63">
        <f>ABS(RESULT_ITTE!EB206)</f>
        <v>1.9795627454542077E-3</v>
      </c>
      <c r="DC36" s="63">
        <f t="shared" si="20"/>
        <v>0.25</v>
      </c>
      <c r="DD36" s="63">
        <f t="shared" si="21"/>
        <v>2.5204575687968042E-3</v>
      </c>
      <c r="DE36" s="63">
        <f>ABS(RESULT_ITTE!DX206)</f>
        <v>8.9986313765935425E-2</v>
      </c>
      <c r="DF36" s="63">
        <f t="shared" si="33"/>
        <v>5.5820121823523881</v>
      </c>
      <c r="DG36" s="63">
        <f>INDEX('Junctions — junctions'!$F$2:$F$197,MATCH(CX36,'Junctions — junctions'!$B$2:$B$197,0))</f>
        <v>11</v>
      </c>
      <c r="DH36" s="63">
        <v>10</v>
      </c>
      <c r="DI36" s="63">
        <f t="shared" si="22"/>
        <v>26.582012182352386</v>
      </c>
      <c r="DJ36" s="63">
        <f t="shared" si="23"/>
        <v>18.269327031795939</v>
      </c>
      <c r="DP36" s="63" t="s">
        <v>909</v>
      </c>
      <c r="DQ36" s="63" t="s">
        <v>609</v>
      </c>
      <c r="DR36" s="63" t="s">
        <v>776</v>
      </c>
      <c r="DS36" s="63">
        <v>466</v>
      </c>
      <c r="DT36" s="63">
        <f>VLOOKUP(DS36,REF_TABLE!$G$7:$H$32,2)</f>
        <v>500</v>
      </c>
      <c r="DU36" s="63">
        <v>69</v>
      </c>
      <c r="DV36" s="63">
        <v>0.18765519608070916</v>
      </c>
      <c r="DW36" s="63">
        <f t="shared" si="24"/>
        <v>0.46600000000000003</v>
      </c>
      <c r="DX36" s="63">
        <f t="shared" si="25"/>
        <v>6.8766812920489709E-2</v>
      </c>
      <c r="DY36" s="63">
        <f>ABS(RESULT_ITTE!EW206)</f>
        <v>0.19768353271484382</v>
      </c>
      <c r="DZ36" s="63">
        <f t="shared" si="34"/>
        <v>4.5472186300754549</v>
      </c>
      <c r="EA36" s="63">
        <f>INDEX('Junctions — junctions'!$F$2:$F$197,MATCH(DR36,'Junctions — junctions'!$B$2:$B$197,0))</f>
        <v>13</v>
      </c>
      <c r="EB36" s="63">
        <v>10</v>
      </c>
      <c r="EC36" s="63">
        <f t="shared" si="26"/>
        <v>27.547218630075456</v>
      </c>
      <c r="ED36" s="63">
        <f t="shared" si="27"/>
        <v>16.991824142456053</v>
      </c>
      <c r="EH36" s="63" t="s">
        <v>226</v>
      </c>
      <c r="EI36" s="63" t="s">
        <v>735</v>
      </c>
      <c r="EJ36" s="63" t="s">
        <v>736</v>
      </c>
      <c r="EK36" s="63">
        <v>421</v>
      </c>
      <c r="EL36" s="63">
        <v>450</v>
      </c>
      <c r="EM36" s="63">
        <v>129</v>
      </c>
      <c r="EN36" s="63">
        <v>1.2080196732373786E-2</v>
      </c>
      <c r="EO36" s="63">
        <v>0.42099999999999999</v>
      </c>
      <c r="EP36" s="63">
        <v>5.4237535995617561E-3</v>
      </c>
      <c r="EQ36" s="63">
        <v>0.19585440315176539</v>
      </c>
      <c r="ER36" s="63">
        <v>4.9529779702574714</v>
      </c>
      <c r="ES36" s="63">
        <v>9</v>
      </c>
      <c r="ET36" s="63">
        <v>10</v>
      </c>
      <c r="EU36" s="63">
        <v>23.952977970257471</v>
      </c>
      <c r="EV36" s="63">
        <v>26.25351804203703</v>
      </c>
    </row>
    <row r="37" spans="2:152" x14ac:dyDescent="0.25">
      <c r="B37" s="63" t="s">
        <v>226</v>
      </c>
      <c r="C37" s="63" t="s">
        <v>735</v>
      </c>
      <c r="D37" s="63" t="s">
        <v>736</v>
      </c>
      <c r="E37" s="63">
        <v>421</v>
      </c>
      <c r="F37" s="63">
        <f>VLOOKUP(E37,REF_TABLE!$G$7:$H$32,2)</f>
        <v>450</v>
      </c>
      <c r="G37" s="63">
        <v>129</v>
      </c>
      <c r="H37" s="63">
        <f>ABS(RESULT_ITTE!Q207)</f>
        <v>1.2080196732373786E-2</v>
      </c>
      <c r="I37" s="63">
        <f t="shared" si="0"/>
        <v>0.42099999999999999</v>
      </c>
      <c r="J37" s="63">
        <f t="shared" si="1"/>
        <v>5.4237535995617561E-3</v>
      </c>
      <c r="K37" s="66">
        <f>ABS(RESULT_ITTE!M207)</f>
        <v>0.19585440315176539</v>
      </c>
      <c r="L37" s="66">
        <f t="shared" si="28"/>
        <v>4.9529779702574714</v>
      </c>
      <c r="M37" s="63">
        <f>INDEX('Junctions — junctions'!$F$2:$F$197,MATCH(D37,'Junctions — junctions'!$B$2:$B$197,0))</f>
        <v>9</v>
      </c>
      <c r="N37" s="63">
        <v>10</v>
      </c>
      <c r="O37" s="63">
        <f t="shared" si="2"/>
        <v>23.952977970257471</v>
      </c>
      <c r="P37" s="63">
        <f t="shared" si="3"/>
        <v>26.25351804203703</v>
      </c>
      <c r="T37" s="63" t="s">
        <v>225</v>
      </c>
      <c r="U37" s="63" t="s">
        <v>734</v>
      </c>
      <c r="V37" s="63" t="s">
        <v>735</v>
      </c>
      <c r="W37" s="63">
        <v>200</v>
      </c>
      <c r="X37" s="63">
        <f>VLOOKUP(W37,REF_TABLE!$G$7:$H$32,2)</f>
        <v>200</v>
      </c>
      <c r="Y37" s="63">
        <v>37</v>
      </c>
      <c r="Z37" s="63">
        <f>ABS(RESULT_ITTE!AO207)</f>
        <v>1.3580285307680264E-2</v>
      </c>
      <c r="AA37" s="63">
        <f t="shared" si="4"/>
        <v>0.2</v>
      </c>
      <c r="AB37" s="63">
        <f t="shared" si="5"/>
        <v>2.7017119191444432E-2</v>
      </c>
      <c r="AC37" s="69">
        <f>ABS(RESULT_ITTE!AK207)</f>
        <v>0.28285680122909845</v>
      </c>
      <c r="AD37" s="69">
        <f t="shared" si="29"/>
        <v>17.149860670862058</v>
      </c>
      <c r="AE37" s="63">
        <f>INDEX('Junctions — junctions'!$F$2:$F$197,MATCH(V37,'Junctions — junctions'!$B$2:$B$197,0))</f>
        <v>11</v>
      </c>
      <c r="AF37" s="69">
        <v>10</v>
      </c>
      <c r="AG37" s="63">
        <f t="shared" si="6"/>
        <v>38.149860670862054</v>
      </c>
      <c r="AH37" s="63">
        <f t="shared" si="7"/>
        <v>56.722771536847389</v>
      </c>
      <c r="AM37" s="63" t="s">
        <v>294</v>
      </c>
      <c r="AN37" s="63" t="s">
        <v>711</v>
      </c>
      <c r="AO37" s="63" t="s">
        <v>710</v>
      </c>
      <c r="AP37" s="63">
        <v>300</v>
      </c>
      <c r="AQ37" s="63">
        <f>VLOOKUP(AP37,REF_TABLE!$G$7:$H$32,2)</f>
        <v>300</v>
      </c>
      <c r="AR37" s="63">
        <v>130</v>
      </c>
      <c r="AS37" s="63">
        <f>ABS(RESULT_ITTE!BK207)</f>
        <v>1.7731734437795156E-3</v>
      </c>
      <c r="AT37" s="63">
        <f t="shared" si="8"/>
        <v>0.3</v>
      </c>
      <c r="AU37" s="63">
        <f t="shared" si="9"/>
        <v>1.5678295474266049E-3</v>
      </c>
      <c r="AV37" s="63">
        <f>ABS(RESULT_ITTE!BG207)</f>
        <v>9.2842685431777316E-2</v>
      </c>
      <c r="AW37" s="63">
        <f t="shared" si="30"/>
        <v>4.7243590906103874</v>
      </c>
      <c r="AX37" s="63">
        <f>INDEX('Junctions — junctions'!$F$2:$F$197,MATCH(AO37,'Junctions — junctions'!$B$2:$B$197,0))</f>
        <v>10</v>
      </c>
      <c r="AY37" s="63">
        <v>10</v>
      </c>
      <c r="AZ37" s="63">
        <f t="shared" si="10"/>
        <v>24.724359090610388</v>
      </c>
      <c r="BA37" s="63">
        <f t="shared" si="11"/>
        <v>15.031758933461717</v>
      </c>
      <c r="BG37" s="63" t="s">
        <v>200</v>
      </c>
      <c r="BH37" s="63" t="s">
        <v>663</v>
      </c>
      <c r="BI37" s="63" t="s">
        <v>662</v>
      </c>
      <c r="BJ37" s="63">
        <v>350</v>
      </c>
      <c r="BK37" s="63">
        <f>VLOOKUP(BJ37,REF_TABLE!$G$7:$H$32,2)</f>
        <v>350</v>
      </c>
      <c r="BL37" s="63">
        <v>152</v>
      </c>
      <c r="BM37" s="63">
        <f>ABS(RESULT_ITTE!CH207)</f>
        <v>4.4475582353763941E-2</v>
      </c>
      <c r="BN37" s="63">
        <f t="shared" si="12"/>
        <v>0.35</v>
      </c>
      <c r="BO37" s="63">
        <f t="shared" si="13"/>
        <v>2.8891872565274309E-2</v>
      </c>
      <c r="BP37" s="63">
        <f>ABS(RESULT_ITTE!CD207)</f>
        <v>0.29669138684853463</v>
      </c>
      <c r="BQ37" s="63">
        <f t="shared" si="31"/>
        <v>5.7248935917698018</v>
      </c>
      <c r="BR37" s="63">
        <f>INDEX('Junctions — junctions'!$F$2:$F$197,MATCH(BI37,'Junctions — junctions'!$B$2:$B$197,0))</f>
        <v>13</v>
      </c>
      <c r="BS37" s="63">
        <v>10</v>
      </c>
      <c r="BT37" s="63">
        <f t="shared" si="14"/>
        <v>28.724893591769803</v>
      </c>
      <c r="BU37" s="63">
        <f t="shared" si="15"/>
        <v>15.017409091133725</v>
      </c>
      <c r="CB37" s="63" t="s">
        <v>123</v>
      </c>
      <c r="CC37" s="63" t="s">
        <v>642</v>
      </c>
      <c r="CD37" s="63" t="s">
        <v>641</v>
      </c>
      <c r="CE37" s="63">
        <v>250</v>
      </c>
      <c r="CF37" s="63">
        <f>VLOOKUP(CE37,REF_TABLE!$G$7:$H$32,2)</f>
        <v>250</v>
      </c>
      <c r="CG37" s="63">
        <v>73</v>
      </c>
      <c r="CH37" s="63">
        <f>ABS(RESULT_ITTE!DD207)</f>
        <v>1.7954359292195445E-2</v>
      </c>
      <c r="CI37" s="63">
        <f t="shared" si="16"/>
        <v>0.25</v>
      </c>
      <c r="CJ37" s="63">
        <f t="shared" si="17"/>
        <v>2.2860200251206466E-2</v>
      </c>
      <c r="CK37" s="63">
        <f>ABS(RESULT_ITTE!CZ207)</f>
        <v>6.0303834280463577E-2</v>
      </c>
      <c r="CL37" s="63">
        <f t="shared" si="32"/>
        <v>6.6612084872453012</v>
      </c>
      <c r="CM37" s="63">
        <f>INDEX('Junctions — junctions'!$F$2:$F$197,MATCH(CD37,'Junctions — junctions'!$B$2:$B$197,0))</f>
        <v>8</v>
      </c>
      <c r="CN37" s="63">
        <v>10</v>
      </c>
      <c r="CO37" s="63">
        <f t="shared" si="18"/>
        <v>24.6612084872453</v>
      </c>
      <c r="CP37" s="63">
        <f t="shared" si="19"/>
        <v>21.805871218412211</v>
      </c>
      <c r="CV37" s="63" t="s">
        <v>258</v>
      </c>
      <c r="CW37" s="63" t="s">
        <v>686</v>
      </c>
      <c r="CX37" s="63" t="s">
        <v>687</v>
      </c>
      <c r="CY37" s="63">
        <v>350</v>
      </c>
      <c r="CZ37" s="63">
        <f>VLOOKUP(CY37,REF_TABLE!$G$7:$H$32,2)</f>
        <v>350</v>
      </c>
      <c r="DA37" s="63">
        <v>218</v>
      </c>
      <c r="DB37" s="63">
        <f>ABS(RESULT_ITTE!EB207)</f>
        <v>7.0133763091527745E-2</v>
      </c>
      <c r="DC37" s="63">
        <f t="shared" si="20"/>
        <v>0.35</v>
      </c>
      <c r="DD37" s="63">
        <f t="shared" si="21"/>
        <v>4.5559734994500285E-2</v>
      </c>
      <c r="DE37" s="63">
        <f>ABS(RESULT_ITTE!DX207)</f>
        <v>0.36186954243828162</v>
      </c>
      <c r="DF37" s="63">
        <f t="shared" si="33"/>
        <v>5.9438817247906695</v>
      </c>
      <c r="DG37" s="63">
        <f>INDEX('Junctions — junctions'!$F$2:$F$197,MATCH(CX37,'Junctions — junctions'!$B$2:$B$197,0))</f>
        <v>9</v>
      </c>
      <c r="DH37" s="63">
        <v>10</v>
      </c>
      <c r="DI37" s="63">
        <f t="shared" si="22"/>
        <v>24.943881724790671</v>
      </c>
      <c r="DJ37" s="63">
        <f t="shared" si="23"/>
        <v>19.907457489357654</v>
      </c>
      <c r="DP37" s="63" t="s">
        <v>139</v>
      </c>
      <c r="DQ37" s="63" t="s">
        <v>611</v>
      </c>
      <c r="DR37" s="63" t="s">
        <v>610</v>
      </c>
      <c r="DS37" s="63">
        <v>466</v>
      </c>
      <c r="DT37" s="63">
        <f>VLOOKUP(DS37,REF_TABLE!$G$7:$H$32,2)</f>
        <v>500</v>
      </c>
      <c r="DU37" s="63">
        <v>251</v>
      </c>
      <c r="DV37" s="63">
        <v>0.1859269421591519</v>
      </c>
      <c r="DW37" s="63">
        <f t="shared" si="24"/>
        <v>0.46600000000000003</v>
      </c>
      <c r="DX37" s="63">
        <f t="shared" si="25"/>
        <v>6.8133489055310317E-2</v>
      </c>
      <c r="DY37" s="63">
        <f>ABS(RESULT_ITTE!EW207)</f>
        <v>0.19499050903320311</v>
      </c>
      <c r="DZ37" s="63">
        <f t="shared" si="34"/>
        <v>4.7422091391086578</v>
      </c>
      <c r="EA37" s="63">
        <f>INDEX('Junctions — junctions'!$F$2:$F$197,MATCH(DR37,'Junctions — junctions'!$B$2:$B$197,0))</f>
        <v>15</v>
      </c>
      <c r="EB37" s="63">
        <v>10</v>
      </c>
      <c r="EC37" s="63">
        <f t="shared" si="26"/>
        <v>29.74220913910866</v>
      </c>
      <c r="ED37" s="63">
        <f t="shared" si="27"/>
        <v>14.796833633422851</v>
      </c>
      <c r="EH37" s="63" t="s">
        <v>228</v>
      </c>
      <c r="EI37" s="63" t="s">
        <v>736</v>
      </c>
      <c r="EJ37" s="63" t="s">
        <v>737</v>
      </c>
      <c r="EK37" s="63">
        <v>350</v>
      </c>
      <c r="EL37" s="63">
        <v>350</v>
      </c>
      <c r="EM37" s="63">
        <v>85</v>
      </c>
      <c r="EN37" s="63">
        <v>1.3440495541544629E-2</v>
      </c>
      <c r="EO37" s="63">
        <v>0.35</v>
      </c>
      <c r="EP37" s="63">
        <v>8.7311073593526883E-3</v>
      </c>
      <c r="EQ37" s="63">
        <v>0.14654024282313405</v>
      </c>
      <c r="ER37" s="63">
        <v>5.0995182130806054</v>
      </c>
      <c r="ES37" s="63">
        <v>10</v>
      </c>
      <c r="ET37" s="63">
        <v>10</v>
      </c>
      <c r="EU37" s="63">
        <v>25.099518213080607</v>
      </c>
      <c r="EV37" s="63">
        <v>25.106977799213894</v>
      </c>
    </row>
    <row r="38" spans="2:152" x14ac:dyDescent="0.25">
      <c r="B38" s="63" t="s">
        <v>228</v>
      </c>
      <c r="C38" s="63" t="s">
        <v>736</v>
      </c>
      <c r="D38" s="63" t="s">
        <v>737</v>
      </c>
      <c r="E38" s="63">
        <v>350</v>
      </c>
      <c r="F38" s="63">
        <f>VLOOKUP(E38,REF_TABLE!$G$7:$H$32,2)</f>
        <v>350</v>
      </c>
      <c r="G38" s="63">
        <v>85</v>
      </c>
      <c r="H38" s="63">
        <f>ABS(RESULT_ITTE!Q208)</f>
        <v>1.3440495541544629E-2</v>
      </c>
      <c r="I38" s="63">
        <f t="shared" si="0"/>
        <v>0.35</v>
      </c>
      <c r="J38" s="63">
        <f t="shared" si="1"/>
        <v>8.7311073593526883E-3</v>
      </c>
      <c r="K38" s="66">
        <f>ABS(RESULT_ITTE!M208)</f>
        <v>0.14654024282313405</v>
      </c>
      <c r="L38" s="66">
        <f t="shared" si="28"/>
        <v>5.0995182130806054</v>
      </c>
      <c r="M38" s="63">
        <f>INDEX('Junctions — junctions'!$F$2:$F$197,MATCH(D38,'Junctions — junctions'!$B$2:$B$197,0))</f>
        <v>10</v>
      </c>
      <c r="N38" s="63">
        <v>10</v>
      </c>
      <c r="O38" s="63">
        <f t="shared" si="2"/>
        <v>25.099518213080607</v>
      </c>
      <c r="P38" s="63">
        <f t="shared" si="3"/>
        <v>25.106977799213894</v>
      </c>
      <c r="T38" s="63" t="s">
        <v>226</v>
      </c>
      <c r="U38" s="63" t="s">
        <v>735</v>
      </c>
      <c r="V38" s="63" t="s">
        <v>736</v>
      </c>
      <c r="W38" s="63">
        <v>200</v>
      </c>
      <c r="X38" s="63">
        <f>VLOOKUP(W38,REF_TABLE!$G$7:$H$32,2)</f>
        <v>200</v>
      </c>
      <c r="Y38" s="63">
        <v>129</v>
      </c>
      <c r="Z38" s="63">
        <f>ABS(RESULT_ITTE!AO208)</f>
        <v>1.4611096030467624E-2</v>
      </c>
      <c r="AA38" s="63">
        <f t="shared" si="4"/>
        <v>0.2</v>
      </c>
      <c r="AB38" s="63">
        <f t="shared" si="5"/>
        <v>2.9067851965491154E-2</v>
      </c>
      <c r="AC38" s="69">
        <f>ABS(RESULT_ITTE!AK208)</f>
        <v>8.0650848595285289</v>
      </c>
      <c r="AD38" s="69">
        <f t="shared" si="29"/>
        <v>25.214945530390587</v>
      </c>
      <c r="AE38" s="63">
        <f>INDEX('Junctions — junctions'!$F$2:$F$197,MATCH(V38,'Junctions — junctions'!$B$2:$B$197,0))</f>
        <v>9</v>
      </c>
      <c r="AF38" s="69">
        <v>10</v>
      </c>
      <c r="AG38" s="63">
        <f t="shared" si="6"/>
        <v>44.214945530390587</v>
      </c>
      <c r="AH38" s="63">
        <f t="shared" si="7"/>
        <v>50.657686677318857</v>
      </c>
      <c r="AM38" s="63" t="s">
        <v>295</v>
      </c>
      <c r="AN38" s="63" t="s">
        <v>712</v>
      </c>
      <c r="AO38" s="63" t="s">
        <v>711</v>
      </c>
      <c r="AP38" s="63">
        <v>300</v>
      </c>
      <c r="AQ38" s="63">
        <f>VLOOKUP(AP38,REF_TABLE!$G$7:$H$32,2)</f>
        <v>300</v>
      </c>
      <c r="AR38" s="63">
        <v>131</v>
      </c>
      <c r="AS38" s="63">
        <f>ABS(RESULT_ITTE!BK208)</f>
        <v>4.1864077444097583E-3</v>
      </c>
      <c r="AT38" s="63">
        <f t="shared" si="8"/>
        <v>0.3</v>
      </c>
      <c r="AU38" s="63">
        <f t="shared" si="9"/>
        <v>3.7015971462278055E-3</v>
      </c>
      <c r="AV38" s="63">
        <f>ABS(RESULT_ITTE!BG208)</f>
        <v>9.3556859935098699E-2</v>
      </c>
      <c r="AW38" s="63">
        <f t="shared" si="30"/>
        <v>4.817915950545486</v>
      </c>
      <c r="AX38" s="63">
        <f>INDEX('Junctions — junctions'!$F$2:$F$197,MATCH(AO38,'Junctions — junctions'!$B$2:$B$197,0))</f>
        <v>10</v>
      </c>
      <c r="AY38" s="63">
        <v>10</v>
      </c>
      <c r="AZ38" s="63">
        <f t="shared" si="10"/>
        <v>24.817915950545487</v>
      </c>
      <c r="BA38" s="63">
        <f t="shared" si="11"/>
        <v>14.938202073526618</v>
      </c>
      <c r="BG38" s="63" t="s">
        <v>202</v>
      </c>
      <c r="BH38" s="63" t="s">
        <v>664</v>
      </c>
      <c r="BI38" s="63" t="s">
        <v>663</v>
      </c>
      <c r="BJ38" s="63">
        <v>350</v>
      </c>
      <c r="BK38" s="63">
        <f>VLOOKUP(BJ38,REF_TABLE!$G$7:$H$32,2)</f>
        <v>350</v>
      </c>
      <c r="BL38" s="63">
        <v>75</v>
      </c>
      <c r="BM38" s="63">
        <f>ABS(RESULT_ITTE!CH208)</f>
        <v>4.3797946856807699E-2</v>
      </c>
      <c r="BN38" s="63">
        <f t="shared" si="12"/>
        <v>0.35</v>
      </c>
      <c r="BO38" s="63">
        <f t="shared" si="13"/>
        <v>2.8451672406273824E-2</v>
      </c>
      <c r="BP38" s="63">
        <f>ABS(RESULT_ITTE!CD208)</f>
        <v>0.14639377640552698</v>
      </c>
      <c r="BQ38" s="63">
        <f t="shared" si="31"/>
        <v>5.871287368175329</v>
      </c>
      <c r="BR38" s="63">
        <f>INDEX('Junctions — junctions'!$F$2:$F$197,MATCH(BI38,'Junctions — junctions'!$B$2:$B$197,0))</f>
        <v>13</v>
      </c>
      <c r="BS38" s="63">
        <v>10</v>
      </c>
      <c r="BT38" s="63">
        <f t="shared" si="14"/>
        <v>28.871287368175331</v>
      </c>
      <c r="BU38" s="63">
        <f t="shared" si="15"/>
        <v>14.871015314728199</v>
      </c>
      <c r="CB38" s="63" t="s">
        <v>122</v>
      </c>
      <c r="CC38" s="63" t="s">
        <v>643</v>
      </c>
      <c r="CD38" s="63" t="s">
        <v>642</v>
      </c>
      <c r="CE38" s="63">
        <v>250</v>
      </c>
      <c r="CF38" s="63">
        <f>VLOOKUP(CE38,REF_TABLE!$G$7:$H$32,2)</f>
        <v>250</v>
      </c>
      <c r="CG38" s="63">
        <v>58</v>
      </c>
      <c r="CH38" s="63">
        <f>ABS(RESULT_ITTE!DD208)</f>
        <v>1.7818206246515533E-2</v>
      </c>
      <c r="CI38" s="63">
        <f t="shared" si="16"/>
        <v>0.25</v>
      </c>
      <c r="CJ38" s="63">
        <f t="shared" si="17"/>
        <v>2.2686844809310672E-2</v>
      </c>
      <c r="CK38" s="63">
        <f>ABS(RESULT_ITTE!CZ208)</f>
        <v>4.7912635455710791E-2</v>
      </c>
      <c r="CL38" s="63">
        <f t="shared" si="32"/>
        <v>6.7091211227010117</v>
      </c>
      <c r="CM38" s="63">
        <f>INDEX('Junctions — junctions'!$F$2:$F$197,MATCH(CD38,'Junctions — junctions'!$B$2:$B$197,0))</f>
        <v>8</v>
      </c>
      <c r="CN38" s="63">
        <v>10</v>
      </c>
      <c r="CO38" s="63">
        <f t="shared" si="18"/>
        <v>24.709121122701013</v>
      </c>
      <c r="CP38" s="63">
        <f t="shared" si="19"/>
        <v>21.757958582956498</v>
      </c>
      <c r="CV38" s="63" t="s">
        <v>259</v>
      </c>
      <c r="CW38" s="63" t="s">
        <v>687</v>
      </c>
      <c r="CX38" s="63" t="s">
        <v>688</v>
      </c>
      <c r="CY38" s="63">
        <v>350</v>
      </c>
      <c r="CZ38" s="63">
        <f>VLOOKUP(CY38,REF_TABLE!$G$7:$H$32,2)</f>
        <v>350</v>
      </c>
      <c r="DA38" s="63">
        <v>101</v>
      </c>
      <c r="DB38" s="63">
        <f>ABS(RESULT_ITTE!EB208)</f>
        <v>6.7808844197154716E-2</v>
      </c>
      <c r="DC38" s="63">
        <f t="shared" si="20"/>
        <v>0.35</v>
      </c>
      <c r="DD38" s="63">
        <f t="shared" si="21"/>
        <v>4.4049439752348402E-2</v>
      </c>
      <c r="DE38" s="63">
        <f>ABS(RESULT_ITTE!DX208)</f>
        <v>0.16765515498287359</v>
      </c>
      <c r="DF38" s="63">
        <f t="shared" si="33"/>
        <v>6.111536879773543</v>
      </c>
      <c r="DG38" s="63">
        <f>INDEX('Junctions — junctions'!$F$2:$F$197,MATCH(CX38,'Junctions — junctions'!$B$2:$B$197,0))</f>
        <v>16</v>
      </c>
      <c r="DH38" s="63">
        <v>10</v>
      </c>
      <c r="DI38" s="63">
        <f t="shared" si="22"/>
        <v>32.111536879773546</v>
      </c>
      <c r="DJ38" s="63">
        <f t="shared" si="23"/>
        <v>12.739802334374783</v>
      </c>
      <c r="DP38" s="63"/>
      <c r="DQ38" s="63"/>
      <c r="DR38" s="63"/>
      <c r="DS38" s="63"/>
      <c r="DT38" s="63">
        <f>MIN(DT5:DT37)</f>
        <v>350</v>
      </c>
      <c r="DU38" s="63"/>
      <c r="DV38" s="63"/>
      <c r="DW38" s="63"/>
      <c r="DX38" s="63"/>
      <c r="DY38" s="63"/>
      <c r="DZ38" s="63"/>
      <c r="EA38" s="63"/>
      <c r="EB38" s="63"/>
      <c r="EC38" s="63">
        <f>MAX(EC5:EC37)</f>
        <v>34.539042772531509</v>
      </c>
      <c r="ED38" s="63"/>
      <c r="EH38" s="63" t="s">
        <v>227</v>
      </c>
      <c r="EI38" s="63" t="s">
        <v>737</v>
      </c>
      <c r="EJ38" s="63" t="s">
        <v>738</v>
      </c>
      <c r="EK38" s="63">
        <v>350</v>
      </c>
      <c r="EL38" s="63">
        <v>350</v>
      </c>
      <c r="EM38" s="63">
        <v>75</v>
      </c>
      <c r="EN38" s="63">
        <v>1.3551805505591012E-2</v>
      </c>
      <c r="EO38" s="63">
        <v>0.35</v>
      </c>
      <c r="EP38" s="63">
        <v>8.8034156491215172E-3</v>
      </c>
      <c r="EQ38" s="63">
        <v>0.10254839177742346</v>
      </c>
      <c r="ER38" s="63">
        <v>5.2020666048580289</v>
      </c>
      <c r="ES38" s="63">
        <v>11</v>
      </c>
      <c r="ET38" s="63">
        <v>10</v>
      </c>
      <c r="EU38" s="63">
        <v>26.202066604858029</v>
      </c>
      <c r="EV38" s="63">
        <v>24.004429407436472</v>
      </c>
    </row>
    <row r="39" spans="2:152" x14ac:dyDescent="0.25">
      <c r="B39" s="63" t="s">
        <v>227</v>
      </c>
      <c r="C39" s="63" t="s">
        <v>737</v>
      </c>
      <c r="D39" s="63" t="s">
        <v>738</v>
      </c>
      <c r="E39" s="63">
        <v>350</v>
      </c>
      <c r="F39" s="63">
        <f>VLOOKUP(E39,REF_TABLE!$G$7:$H$32,2)</f>
        <v>350</v>
      </c>
      <c r="G39" s="63">
        <v>75</v>
      </c>
      <c r="H39" s="63">
        <f>ABS(RESULT_ITTE!Q209)</f>
        <v>1.3551805505591012E-2</v>
      </c>
      <c r="I39" s="63">
        <f t="shared" si="0"/>
        <v>0.35</v>
      </c>
      <c r="J39" s="63">
        <f t="shared" si="1"/>
        <v>8.8034156491215172E-3</v>
      </c>
      <c r="K39" s="66">
        <f>ABS(RESULT_ITTE!M209)</f>
        <v>0.10254839177742346</v>
      </c>
      <c r="L39" s="66">
        <f t="shared" si="28"/>
        <v>5.2020666048580289</v>
      </c>
      <c r="M39" s="63">
        <f>INDEX('Junctions — junctions'!$F$2:$F$197,MATCH(D39,'Junctions — junctions'!$B$2:$B$197,0))</f>
        <v>11</v>
      </c>
      <c r="N39" s="63">
        <v>10</v>
      </c>
      <c r="O39" s="63">
        <f t="shared" si="2"/>
        <v>26.202066604858029</v>
      </c>
      <c r="P39" s="63">
        <f t="shared" si="3"/>
        <v>24.004429407436472</v>
      </c>
      <c r="T39" s="63" t="s">
        <v>228</v>
      </c>
      <c r="U39" s="63" t="s">
        <v>736</v>
      </c>
      <c r="V39" s="63" t="s">
        <v>737</v>
      </c>
      <c r="W39" s="63">
        <v>200</v>
      </c>
      <c r="X39" s="63">
        <f>VLOOKUP(W39,REF_TABLE!$G$7:$H$32,2)</f>
        <v>200</v>
      </c>
      <c r="Y39" s="63">
        <v>85</v>
      </c>
      <c r="Z39" s="63">
        <f>ABS(RESULT_ITTE!AO209)</f>
        <v>1.7163472536927748E-2</v>
      </c>
      <c r="AA39" s="63">
        <f t="shared" si="4"/>
        <v>0.2</v>
      </c>
      <c r="AB39" s="63">
        <f t="shared" si="5"/>
        <v>3.4145643685925549E-2</v>
      </c>
      <c r="AC39" s="69">
        <f>ABS(RESULT_ITTE!AK209)</f>
        <v>2.5698921402347308</v>
      </c>
      <c r="AD39" s="69">
        <f t="shared" si="29"/>
        <v>27.784837670625318</v>
      </c>
      <c r="AE39" s="63">
        <f>INDEX('Junctions — junctions'!$F$2:$F$197,MATCH(V39,'Junctions — junctions'!$B$2:$B$197,0))</f>
        <v>10</v>
      </c>
      <c r="AF39" s="69">
        <v>10</v>
      </c>
      <c r="AG39" s="63">
        <f t="shared" si="6"/>
        <v>47.784837670625322</v>
      </c>
      <c r="AH39" s="63">
        <f t="shared" si="7"/>
        <v>47.087794537084122</v>
      </c>
      <c r="AM39" s="63" t="s">
        <v>296</v>
      </c>
      <c r="AN39" s="63" t="s">
        <v>713</v>
      </c>
      <c r="AO39" s="63" t="s">
        <v>712</v>
      </c>
      <c r="AP39" s="63">
        <v>300</v>
      </c>
      <c r="AQ39" s="63">
        <f>VLOOKUP(AP39,REF_TABLE!$G$7:$H$32,2)</f>
        <v>300</v>
      </c>
      <c r="AR39" s="63">
        <v>132</v>
      </c>
      <c r="AS39" s="63">
        <f>ABS(RESULT_ITTE!BK209)</f>
        <v>4.9287703268229722E-3</v>
      </c>
      <c r="AT39" s="63">
        <f t="shared" si="8"/>
        <v>0.3</v>
      </c>
      <c r="AU39" s="63">
        <f t="shared" si="9"/>
        <v>4.357989782658514E-3</v>
      </c>
      <c r="AV39" s="63">
        <f>ABS(RESULT_ITTE!BG209)</f>
        <v>9.4271034438420054E-2</v>
      </c>
      <c r="AW39" s="63">
        <f t="shared" si="30"/>
        <v>4.9121869849839062</v>
      </c>
      <c r="AX39" s="63">
        <f>INDEX('Junctions — junctions'!$F$2:$F$197,MATCH(AO39,'Junctions — junctions'!$B$2:$B$197,0))</f>
        <v>4</v>
      </c>
      <c r="AY39" s="63">
        <v>10</v>
      </c>
      <c r="AZ39" s="63">
        <f t="shared" si="10"/>
        <v>18.912186984983904</v>
      </c>
      <c r="BA39" s="63">
        <f t="shared" si="11"/>
        <v>20.843931039088197</v>
      </c>
      <c r="BG39" s="63" t="s">
        <v>201</v>
      </c>
      <c r="BH39" s="63" t="s">
        <v>664</v>
      </c>
      <c r="BI39" s="63" t="s">
        <v>665</v>
      </c>
      <c r="BJ39" s="63">
        <v>400</v>
      </c>
      <c r="BK39" s="63">
        <f>VLOOKUP(BJ39,REF_TABLE!$G$7:$H$32,2)</f>
        <v>400</v>
      </c>
      <c r="BL39" s="63">
        <v>95</v>
      </c>
      <c r="BM39" s="63">
        <f>ABS(RESULT_ITTE!CH209)</f>
        <v>1.5000265543708355E-2</v>
      </c>
      <c r="BN39" s="63">
        <f t="shared" si="12"/>
        <v>0.4</v>
      </c>
      <c r="BO39" s="63">
        <f t="shared" si="13"/>
        <v>7.4605200280381924E-3</v>
      </c>
      <c r="BP39" s="63">
        <f>ABS(RESULT_ITTE!CD209)</f>
        <v>0.16166885526910485</v>
      </c>
      <c r="BQ39" s="63">
        <f t="shared" si="31"/>
        <v>6.0329562234444341</v>
      </c>
      <c r="BR39" s="63">
        <f>INDEX('Junctions — junctions'!$F$2:$F$197,MATCH(BI39,'Junctions — junctions'!$B$2:$B$197,0))</f>
        <v>12</v>
      </c>
      <c r="BS39" s="63">
        <v>10</v>
      </c>
      <c r="BT39" s="63">
        <f t="shared" si="14"/>
        <v>28.032956223444433</v>
      </c>
      <c r="BU39" s="63">
        <f t="shared" si="15"/>
        <v>15.709346459459095</v>
      </c>
      <c r="CB39" s="63" t="s">
        <v>121</v>
      </c>
      <c r="CC39" s="63" t="s">
        <v>644</v>
      </c>
      <c r="CD39" s="63" t="s">
        <v>643</v>
      </c>
      <c r="CE39" s="63">
        <v>250</v>
      </c>
      <c r="CF39" s="63">
        <f>VLOOKUP(CE39,REF_TABLE!$G$7:$H$32,2)</f>
        <v>250</v>
      </c>
      <c r="CG39" s="63">
        <v>216</v>
      </c>
      <c r="CH39" s="63">
        <f>ABS(RESULT_ITTE!DD209)</f>
        <v>1.5749708194817382E-2</v>
      </c>
      <c r="CI39" s="63">
        <f t="shared" si="16"/>
        <v>0.25</v>
      </c>
      <c r="CJ39" s="63">
        <f t="shared" si="17"/>
        <v>2.0053151291680945E-2</v>
      </c>
      <c r="CK39" s="63">
        <f>ABS(RESULT_ITTE!CZ209)</f>
        <v>0.1784332630764402</v>
      </c>
      <c r="CL39" s="63">
        <f t="shared" si="32"/>
        <v>6.8875543857774515</v>
      </c>
      <c r="CM39" s="63">
        <f>INDEX('Junctions — junctions'!$F$2:$F$197,MATCH(CD39,'Junctions — junctions'!$B$2:$B$197,0))</f>
        <v>14</v>
      </c>
      <c r="CN39" s="63">
        <v>10</v>
      </c>
      <c r="CO39" s="63">
        <f t="shared" si="18"/>
        <v>30.887554385777452</v>
      </c>
      <c r="CP39" s="63">
        <f t="shared" si="19"/>
        <v>15.579525319880059</v>
      </c>
      <c r="CV39" s="63" t="s">
        <v>261</v>
      </c>
      <c r="CW39" s="63" t="s">
        <v>688</v>
      </c>
      <c r="CX39" s="63" t="s">
        <v>689</v>
      </c>
      <c r="CY39" s="63">
        <v>350</v>
      </c>
      <c r="CZ39" s="63">
        <f>VLOOKUP(CY39,REF_TABLE!$G$7:$H$32,2)</f>
        <v>350</v>
      </c>
      <c r="DA39" s="63">
        <v>149</v>
      </c>
      <c r="DB39" s="63">
        <f>ABS(RESULT_ITTE!EB209)</f>
        <v>6.6685904906306714E-2</v>
      </c>
      <c r="DC39" s="63">
        <f t="shared" si="20"/>
        <v>0.35</v>
      </c>
      <c r="DD39" s="63">
        <f t="shared" si="21"/>
        <v>4.331996489957058E-2</v>
      </c>
      <c r="DE39" s="63">
        <f>ABS(RESULT_ITTE!DX209)</f>
        <v>0.24733285240047689</v>
      </c>
      <c r="DF39" s="63">
        <f t="shared" si="33"/>
        <v>6.3588697321740195</v>
      </c>
      <c r="DG39" s="63">
        <f>INDEX('Junctions — junctions'!$F$2:$F$197,MATCH(CX39,'Junctions — junctions'!$B$2:$B$197,0))</f>
        <v>16</v>
      </c>
      <c r="DH39" s="63">
        <v>10</v>
      </c>
      <c r="DI39" s="63">
        <f t="shared" si="22"/>
        <v>32.358869732174021</v>
      </c>
      <c r="DJ39" s="63">
        <f t="shared" si="23"/>
        <v>12.492469481974306</v>
      </c>
      <c r="DT39">
        <f>MAX(DT5:DT37)</f>
        <v>800</v>
      </c>
      <c r="EH39" s="63" t="s">
        <v>429</v>
      </c>
      <c r="EI39" s="63" t="s">
        <v>738</v>
      </c>
      <c r="EJ39" s="63" t="s">
        <v>739</v>
      </c>
      <c r="EK39" s="63">
        <v>350</v>
      </c>
      <c r="EL39" s="63">
        <v>350</v>
      </c>
      <c r="EM39" s="63">
        <v>83</v>
      </c>
      <c r="EN39" s="63">
        <v>1.5181102533791693E-2</v>
      </c>
      <c r="EO39" s="63">
        <v>0.35</v>
      </c>
      <c r="EP39" s="63">
        <v>9.8618265707667158E-3</v>
      </c>
      <c r="EQ39" s="63">
        <v>0.13691935675646288</v>
      </c>
      <c r="ER39" s="63">
        <v>5.3389859616144921</v>
      </c>
      <c r="ES39" s="63">
        <v>8</v>
      </c>
      <c r="ET39" s="63">
        <v>10</v>
      </c>
      <c r="EU39" s="63">
        <v>23.33898596161449</v>
      </c>
      <c r="EV39" s="63">
        <v>26.867510050680011</v>
      </c>
    </row>
    <row r="40" spans="2:152" x14ac:dyDescent="0.25">
      <c r="B40" s="63" t="s">
        <v>429</v>
      </c>
      <c r="C40" s="63" t="s">
        <v>738</v>
      </c>
      <c r="D40" s="63" t="s">
        <v>739</v>
      </c>
      <c r="E40" s="63">
        <v>350</v>
      </c>
      <c r="F40" s="63">
        <f>VLOOKUP(E40,REF_TABLE!$G$7:$H$32,2)</f>
        <v>350</v>
      </c>
      <c r="G40" s="63">
        <v>83</v>
      </c>
      <c r="H40" s="63">
        <f>ABS(RESULT_ITTE!Q210)</f>
        <v>1.5181102533791693E-2</v>
      </c>
      <c r="I40" s="63">
        <f t="shared" si="0"/>
        <v>0.35</v>
      </c>
      <c r="J40" s="63">
        <f t="shared" si="1"/>
        <v>9.8618265707667158E-3</v>
      </c>
      <c r="K40" s="66">
        <f>ABS(RESULT_ITTE!M210)</f>
        <v>0.13691935675646288</v>
      </c>
      <c r="L40" s="66">
        <f t="shared" si="28"/>
        <v>5.3389859616144921</v>
      </c>
      <c r="M40" s="63">
        <f>INDEX('Junctions — junctions'!$F$2:$F$197,MATCH(D40,'Junctions — junctions'!$B$2:$B$197,0))</f>
        <v>8</v>
      </c>
      <c r="N40" s="63">
        <v>10</v>
      </c>
      <c r="O40" s="63">
        <f t="shared" si="2"/>
        <v>23.33898596161449</v>
      </c>
      <c r="P40" s="63">
        <f t="shared" si="3"/>
        <v>26.867510050680011</v>
      </c>
      <c r="T40" s="63" t="s">
        <v>227</v>
      </c>
      <c r="U40" s="63" t="s">
        <v>737</v>
      </c>
      <c r="V40" s="63" t="s">
        <v>738</v>
      </c>
      <c r="W40" s="63">
        <v>200</v>
      </c>
      <c r="X40" s="63">
        <f>VLOOKUP(W40,REF_TABLE!$G$7:$H$32,2)</f>
        <v>200</v>
      </c>
      <c r="Y40" s="63">
        <v>75</v>
      </c>
      <c r="Z40" s="63">
        <f>ABS(RESULT_ITTE!AO210)</f>
        <v>1.575112677736926E-2</v>
      </c>
      <c r="AA40" s="63">
        <f t="shared" si="4"/>
        <v>0.2</v>
      </c>
      <c r="AB40" s="63">
        <f t="shared" si="5"/>
        <v>3.1335871073567917E-2</v>
      </c>
      <c r="AC40" s="69">
        <f>ABS(RESULT_ITTE!AK210)</f>
        <v>1.8305166876164278</v>
      </c>
      <c r="AD40" s="69">
        <f t="shared" si="29"/>
        <v>29.615354358241746</v>
      </c>
      <c r="AE40" s="63">
        <f>INDEX('Junctions — junctions'!$F$2:$F$197,MATCH(V40,'Junctions — junctions'!$B$2:$B$197,0))</f>
        <v>11</v>
      </c>
      <c r="AF40" s="69">
        <v>10</v>
      </c>
      <c r="AG40" s="63">
        <f t="shared" si="6"/>
        <v>50.615354358241746</v>
      </c>
      <c r="AH40" s="63">
        <f t="shared" si="7"/>
        <v>44.257277849467698</v>
      </c>
      <c r="AM40" s="63" t="s">
        <v>297</v>
      </c>
      <c r="AN40" s="63" t="s">
        <v>714</v>
      </c>
      <c r="AO40" s="63" t="s">
        <v>713</v>
      </c>
      <c r="AP40" s="63">
        <v>300</v>
      </c>
      <c r="AQ40" s="63">
        <f>VLOOKUP(AP40,REF_TABLE!$G$7:$H$32,2)</f>
        <v>300</v>
      </c>
      <c r="AR40" s="63">
        <v>133</v>
      </c>
      <c r="AS40" s="63">
        <f>ABS(RESULT_ITTE!BK210)</f>
        <v>5.5204835379649656E-3</v>
      </c>
      <c r="AT40" s="63">
        <f t="shared" si="8"/>
        <v>0.3</v>
      </c>
      <c r="AU40" s="63">
        <f t="shared" si="9"/>
        <v>4.8811791295808845E-3</v>
      </c>
      <c r="AV40" s="63">
        <f>ABS(RESULT_ITTE!BG210)</f>
        <v>9.4985208941741409E-2</v>
      </c>
      <c r="AW40" s="63">
        <f t="shared" si="30"/>
        <v>5.0071721939256477</v>
      </c>
      <c r="AX40" s="63">
        <f>INDEX('Junctions — junctions'!$F$2:$F$197,MATCH(AO40,'Junctions — junctions'!$B$2:$B$197,0))</f>
        <v>13</v>
      </c>
      <c r="AY40" s="63">
        <v>10</v>
      </c>
      <c r="AZ40" s="63">
        <f t="shared" si="10"/>
        <v>28.007172193925648</v>
      </c>
      <c r="BA40" s="63">
        <f t="shared" si="11"/>
        <v>11.748945830146457</v>
      </c>
      <c r="BG40" s="63" t="s">
        <v>199</v>
      </c>
      <c r="BH40" s="63" t="s">
        <v>665</v>
      </c>
      <c r="BI40" s="63" t="s">
        <v>666</v>
      </c>
      <c r="BJ40" s="63">
        <v>400</v>
      </c>
      <c r="BK40" s="63">
        <f>VLOOKUP(BJ40,REF_TABLE!$G$7:$H$32,2)</f>
        <v>400</v>
      </c>
      <c r="BL40" s="63">
        <v>73</v>
      </c>
      <c r="BM40" s="63">
        <f>ABS(RESULT_ITTE!CH210)</f>
        <v>1.2998590957586381E-2</v>
      </c>
      <c r="BN40" s="63">
        <f t="shared" si="12"/>
        <v>0.4</v>
      </c>
      <c r="BO40" s="63">
        <f t="shared" si="13"/>
        <v>6.4649687629046429E-3</v>
      </c>
      <c r="BP40" s="63">
        <f>ABS(RESULT_ITTE!CD210)</f>
        <v>0.12422975194362795</v>
      </c>
      <c r="BQ40" s="63">
        <f t="shared" si="31"/>
        <v>6.157185975388062</v>
      </c>
      <c r="BR40" s="63">
        <f>INDEX('Junctions — junctions'!$F$2:$F$197,MATCH(BI40,'Junctions — junctions'!$B$2:$B$197,0))</f>
        <v>8</v>
      </c>
      <c r="BS40" s="63">
        <v>10</v>
      </c>
      <c r="BT40" s="63">
        <f t="shared" si="14"/>
        <v>24.15718597538806</v>
      </c>
      <c r="BU40" s="63">
        <f t="shared" si="15"/>
        <v>19.585116707515468</v>
      </c>
      <c r="CB40" s="63" t="s">
        <v>119</v>
      </c>
      <c r="CC40" s="63" t="s">
        <v>645</v>
      </c>
      <c r="CD40" s="63" t="s">
        <v>644</v>
      </c>
      <c r="CE40" s="63">
        <v>250</v>
      </c>
      <c r="CF40" s="63">
        <f>VLOOKUP(CE40,REF_TABLE!$G$7:$H$32,2)</f>
        <v>250</v>
      </c>
      <c r="CG40" s="63">
        <v>73</v>
      </c>
      <c r="CH40" s="63">
        <f>ABS(RESULT_ITTE!DD210)</f>
        <v>1.4314870899545834E-2</v>
      </c>
      <c r="CI40" s="63">
        <f t="shared" si="16"/>
        <v>0.25</v>
      </c>
      <c r="CJ40" s="63">
        <f t="shared" si="17"/>
        <v>1.8226259707080368E-2</v>
      </c>
      <c r="CK40" s="63">
        <f>ABS(RESULT_ITTE!CZ210)</f>
        <v>6.0303834280463577E-2</v>
      </c>
      <c r="CL40" s="63">
        <f t="shared" si="32"/>
        <v>6.9478582200579151</v>
      </c>
      <c r="CM40" s="63">
        <f>INDEX('Junctions — junctions'!$F$2:$F$197,MATCH(CD40,'Junctions — junctions'!$B$2:$B$197,0))</f>
        <v>10</v>
      </c>
      <c r="CN40" s="63">
        <v>10</v>
      </c>
      <c r="CO40" s="63">
        <f t="shared" si="18"/>
        <v>26.947858220057917</v>
      </c>
      <c r="CP40" s="63">
        <f t="shared" si="19"/>
        <v>19.519221485599594</v>
      </c>
      <c r="CV40" s="63" t="s">
        <v>260</v>
      </c>
      <c r="CW40" s="63" t="s">
        <v>689</v>
      </c>
      <c r="CX40" s="63" t="s">
        <v>690</v>
      </c>
      <c r="CY40" s="63">
        <v>350</v>
      </c>
      <c r="CZ40" s="63">
        <f>VLOOKUP(CY40,REF_TABLE!$G$7:$H$32,2)</f>
        <v>350</v>
      </c>
      <c r="DA40" s="63">
        <v>260</v>
      </c>
      <c r="DB40" s="63">
        <f>ABS(RESULT_ITTE!EB210)</f>
        <v>6.4212306552556886E-2</v>
      </c>
      <c r="DC40" s="63">
        <f t="shared" si="20"/>
        <v>0.35</v>
      </c>
      <c r="DD40" s="63">
        <f t="shared" si="21"/>
        <v>4.1713085694577677E-2</v>
      </c>
      <c r="DE40" s="63">
        <f>ABS(RESULT_ITTE!DX210)</f>
        <v>0.43158752767868452</v>
      </c>
      <c r="DF40" s="63">
        <f t="shared" si="33"/>
        <v>6.7904572598527038</v>
      </c>
      <c r="DG40" s="63">
        <f>INDEX('Junctions — junctions'!$F$2:$F$197,MATCH(CX40,'Junctions — junctions'!$B$2:$B$197,0))</f>
        <v>16</v>
      </c>
      <c r="DH40" s="63">
        <v>10</v>
      </c>
      <c r="DI40" s="63">
        <f t="shared" si="22"/>
        <v>32.790457259852701</v>
      </c>
      <c r="DJ40" s="63">
        <f t="shared" si="23"/>
        <v>12.06088195429562</v>
      </c>
      <c r="EH40" s="63" t="s">
        <v>285</v>
      </c>
      <c r="EI40" s="63" t="s">
        <v>739</v>
      </c>
      <c r="EJ40" s="63" t="s">
        <v>740</v>
      </c>
      <c r="EK40" s="63">
        <v>350</v>
      </c>
      <c r="EL40" s="63">
        <v>350</v>
      </c>
      <c r="EM40" s="63">
        <v>84</v>
      </c>
      <c r="EN40" s="63">
        <v>1.5653140908892596E-2</v>
      </c>
      <c r="EO40" s="63">
        <v>0.35</v>
      </c>
      <c r="EP40" s="63">
        <v>1.016846836964988E-2</v>
      </c>
      <c r="EQ40" s="63">
        <v>0.14167677243743118</v>
      </c>
      <c r="ER40" s="63">
        <v>5.4806627340519229</v>
      </c>
      <c r="ES40" s="63">
        <v>12</v>
      </c>
      <c r="ET40" s="63">
        <v>10</v>
      </c>
      <c r="EU40" s="63">
        <v>27.480662734051922</v>
      </c>
      <c r="EV40" s="63">
        <v>22.725833278242579</v>
      </c>
    </row>
    <row r="41" spans="2:152" x14ac:dyDescent="0.25">
      <c r="B41" s="63" t="s">
        <v>285</v>
      </c>
      <c r="C41" s="63" t="s">
        <v>739</v>
      </c>
      <c r="D41" s="63" t="s">
        <v>740</v>
      </c>
      <c r="E41" s="63">
        <v>350</v>
      </c>
      <c r="F41" s="63">
        <f>VLOOKUP(E41,REF_TABLE!$G$7:$H$32,2)</f>
        <v>350</v>
      </c>
      <c r="G41" s="63">
        <v>84</v>
      </c>
      <c r="H41" s="63">
        <f>ABS(RESULT_ITTE!Q211)</f>
        <v>1.5653140908892596E-2</v>
      </c>
      <c r="I41" s="63">
        <f t="shared" si="0"/>
        <v>0.35</v>
      </c>
      <c r="J41" s="63">
        <f t="shared" si="1"/>
        <v>1.016846836964988E-2</v>
      </c>
      <c r="K41" s="66">
        <f>ABS(RESULT_ITTE!M211)</f>
        <v>0.14167677243743118</v>
      </c>
      <c r="L41" s="66">
        <f t="shared" si="28"/>
        <v>5.4806627340519229</v>
      </c>
      <c r="M41" s="63">
        <f>INDEX('Junctions — junctions'!$F$2:$F$197,MATCH(D41,'Junctions — junctions'!$B$2:$B$197,0))</f>
        <v>12</v>
      </c>
      <c r="N41" s="63">
        <v>10</v>
      </c>
      <c r="O41" s="63">
        <f t="shared" si="2"/>
        <v>27.480662734051922</v>
      </c>
      <c r="P41" s="63">
        <f t="shared" si="3"/>
        <v>22.725833278242579</v>
      </c>
      <c r="T41" s="63" t="s">
        <v>429</v>
      </c>
      <c r="U41" s="63" t="s">
        <v>738</v>
      </c>
      <c r="V41" s="63" t="s">
        <v>739</v>
      </c>
      <c r="W41" s="63">
        <v>200</v>
      </c>
      <c r="X41" s="63">
        <f>VLOOKUP(W41,REF_TABLE!$G$7:$H$32,2)</f>
        <v>200</v>
      </c>
      <c r="Y41" s="63">
        <v>83</v>
      </c>
      <c r="Z41" s="63">
        <f>ABS(RESULT_ITTE!AO211)</f>
        <v>1.7869263081348691E-2</v>
      </c>
      <c r="AA41" s="63">
        <f t="shared" si="4"/>
        <v>0.2</v>
      </c>
      <c r="AB41" s="63">
        <f t="shared" si="5"/>
        <v>3.5549769360076963E-2</v>
      </c>
      <c r="AC41" s="69">
        <f>ABS(RESULT_ITTE!AK211)</f>
        <v>2.4088928286696114</v>
      </c>
      <c r="AD41" s="69">
        <f t="shared" si="29"/>
        <v>32.02424718691136</v>
      </c>
      <c r="AE41" s="63">
        <f>INDEX('Junctions — junctions'!$F$2:$F$197,MATCH(V41,'Junctions — junctions'!$B$2:$B$197,0))</f>
        <v>8</v>
      </c>
      <c r="AF41" s="69">
        <v>10</v>
      </c>
      <c r="AG41" s="63">
        <f t="shared" si="6"/>
        <v>50.02424718691136</v>
      </c>
      <c r="AH41" s="63">
        <f t="shared" si="7"/>
        <v>44.848385020798084</v>
      </c>
      <c r="AM41" s="63" t="s">
        <v>298</v>
      </c>
      <c r="AN41" s="63" t="s">
        <v>715</v>
      </c>
      <c r="AO41" s="63" t="s">
        <v>714</v>
      </c>
      <c r="AP41" s="63">
        <v>300</v>
      </c>
      <c r="AQ41" s="63">
        <f>VLOOKUP(AP41,REF_TABLE!$G$7:$H$32,2)</f>
        <v>300</v>
      </c>
      <c r="AR41" s="63">
        <v>134</v>
      </c>
      <c r="AS41" s="63">
        <f>ABS(RESULT_ITTE!BK211)</f>
        <v>4.6445384196223353E-3</v>
      </c>
      <c r="AT41" s="63">
        <f t="shared" si="8"/>
        <v>0.3</v>
      </c>
      <c r="AU41" s="63">
        <f t="shared" si="9"/>
        <v>4.1066735992395234E-3</v>
      </c>
      <c r="AV41" s="63">
        <f>ABS(RESULT_ITTE!BG211)</f>
        <v>9.5699383445062791E-2</v>
      </c>
      <c r="AW41" s="63">
        <f t="shared" si="30"/>
        <v>5.1028715773707107</v>
      </c>
      <c r="AX41" s="63">
        <f>INDEX('Junctions — junctions'!$F$2:$F$197,MATCH(AO41,'Junctions — junctions'!$B$2:$B$197,0))</f>
        <v>11</v>
      </c>
      <c r="AY41" s="63">
        <v>10</v>
      </c>
      <c r="AZ41" s="63">
        <f t="shared" si="10"/>
        <v>26.10287157737071</v>
      </c>
      <c r="BA41" s="63">
        <f>$AZ$42-AX41-AW41</f>
        <v>13.653246446701395</v>
      </c>
      <c r="BG41" s="63" t="s">
        <v>198</v>
      </c>
      <c r="BH41" s="63" t="s">
        <v>666</v>
      </c>
      <c r="BI41" s="63" t="s">
        <v>667</v>
      </c>
      <c r="BJ41" s="63">
        <v>400</v>
      </c>
      <c r="BK41" s="63">
        <f>VLOOKUP(BJ41,REF_TABLE!$G$7:$H$32,2)</f>
        <v>400</v>
      </c>
      <c r="BL41" s="63">
        <v>77</v>
      </c>
      <c r="BM41" s="63">
        <f>ABS(RESULT_ITTE!CH211)</f>
        <v>1.2791367711759967E-2</v>
      </c>
      <c r="BN41" s="63">
        <f t="shared" si="12"/>
        <v>0.4</v>
      </c>
      <c r="BO41" s="63">
        <f t="shared" si="13"/>
        <v>6.3619043757270777E-3</v>
      </c>
      <c r="BP41" s="63">
        <f>ABS(RESULT_ITTE!CD211)</f>
        <v>0.13103686163916922</v>
      </c>
      <c r="BQ41" s="63">
        <f t="shared" si="31"/>
        <v>6.2882228370272308</v>
      </c>
      <c r="BR41" s="63">
        <f>INDEX('Junctions — junctions'!$F$2:$F$197,MATCH(BI41,'Junctions — junctions'!$B$2:$B$197,0))</f>
        <v>14</v>
      </c>
      <c r="BS41" s="63">
        <v>10</v>
      </c>
      <c r="BT41" s="63">
        <f t="shared" si="14"/>
        <v>30.288222837027231</v>
      </c>
      <c r="BU41" s="63">
        <f t="shared" si="15"/>
        <v>13.454079845876297</v>
      </c>
      <c r="CB41" s="63" t="s">
        <v>120</v>
      </c>
      <c r="CC41" s="63" t="s">
        <v>646</v>
      </c>
      <c r="CD41" s="63" t="s">
        <v>645</v>
      </c>
      <c r="CE41" s="63">
        <v>250</v>
      </c>
      <c r="CF41" s="63">
        <f>VLOOKUP(CE41,REF_TABLE!$G$7:$H$32,2)</f>
        <v>250</v>
      </c>
      <c r="CG41" s="63">
        <v>65</v>
      </c>
      <c r="CH41" s="63">
        <f>ABS(RESULT_ITTE!DD211)</f>
        <v>1.3051364156792495E-2</v>
      </c>
      <c r="CI41" s="63">
        <f t="shared" si="16"/>
        <v>0.25</v>
      </c>
      <c r="CJ41" s="63">
        <f t="shared" si="17"/>
        <v>1.6617512957167298E-2</v>
      </c>
      <c r="CK41" s="63">
        <f>ABS(RESULT_ITTE!CZ211)</f>
        <v>5.3695194907262093E-2</v>
      </c>
      <c r="CL41" s="63">
        <f t="shared" si="32"/>
        <v>7.0015534149651772</v>
      </c>
      <c r="CM41" s="63">
        <f>INDEX('Junctions — junctions'!$F$2:$F$197,MATCH(CD41,'Junctions — junctions'!$B$2:$B$197,0))</f>
        <v>10</v>
      </c>
      <c r="CN41" s="63">
        <v>10</v>
      </c>
      <c r="CO41" s="63">
        <f t="shared" si="18"/>
        <v>27.001553414965176</v>
      </c>
      <c r="CP41" s="63">
        <f t="shared" si="19"/>
        <v>19.465526290692335</v>
      </c>
      <c r="CV41" s="63" t="s">
        <v>410</v>
      </c>
      <c r="CW41" s="63" t="s">
        <v>690</v>
      </c>
      <c r="CX41" s="63" t="s">
        <v>701</v>
      </c>
      <c r="CY41" s="63">
        <v>350</v>
      </c>
      <c r="CZ41" s="63">
        <f>VLOOKUP(CY41,REF_TABLE!$G$7:$H$32,2)</f>
        <v>350</v>
      </c>
      <c r="DA41" s="63">
        <v>81</v>
      </c>
      <c r="DB41" s="63">
        <f>ABS(RESULT_ITTE!EB211)</f>
        <v>6.2086070535941118E-2</v>
      </c>
      <c r="DC41" s="63">
        <f t="shared" si="20"/>
        <v>0.35</v>
      </c>
      <c r="DD41" s="63">
        <f t="shared" si="21"/>
        <v>4.0331857236518817E-2</v>
      </c>
      <c r="DE41" s="63">
        <f>ABS(RESULT_ITTE!DX211)</f>
        <v>0.13445611439220556</v>
      </c>
      <c r="DF41" s="63">
        <f t="shared" si="33"/>
        <v>6.9249133742449089</v>
      </c>
      <c r="DG41" s="63">
        <f>INDEX('Junctions — junctions'!$F$2:$F$197,MATCH(CX41,'Junctions — junctions'!$B$2:$B$197,0))</f>
        <v>12</v>
      </c>
      <c r="DH41" s="63">
        <v>10</v>
      </c>
      <c r="DI41" s="63">
        <f t="shared" si="22"/>
        <v>28.924913374244909</v>
      </c>
      <c r="DJ41" s="63">
        <f t="shared" si="23"/>
        <v>15.926425839903416</v>
      </c>
      <c r="EH41" s="63" t="s">
        <v>284</v>
      </c>
      <c r="EI41" s="63" t="s">
        <v>740</v>
      </c>
      <c r="EJ41" s="63" t="s">
        <v>741</v>
      </c>
      <c r="EK41" s="63">
        <v>350</v>
      </c>
      <c r="EL41" s="63">
        <v>350</v>
      </c>
      <c r="EM41" s="63">
        <v>78</v>
      </c>
      <c r="EN41" s="63">
        <v>1.6432974118929002E-2</v>
      </c>
      <c r="EO41" s="63">
        <v>0.35</v>
      </c>
      <c r="EP41" s="63">
        <v>1.0675057390729529E-2</v>
      </c>
      <c r="EQ41" s="63">
        <v>0.11468534822271816</v>
      </c>
      <c r="ER41" s="63">
        <v>5.5953480822746409</v>
      </c>
      <c r="ES41" s="63">
        <v>10</v>
      </c>
      <c r="ET41" s="63">
        <v>10</v>
      </c>
      <c r="EU41" s="63">
        <v>25.59534808227464</v>
      </c>
      <c r="EV41" s="63">
        <v>24.611147930019861</v>
      </c>
    </row>
    <row r="42" spans="2:152" x14ac:dyDescent="0.25">
      <c r="B42" s="63" t="s">
        <v>284</v>
      </c>
      <c r="C42" s="63" t="s">
        <v>740</v>
      </c>
      <c r="D42" s="63" t="s">
        <v>741</v>
      </c>
      <c r="E42" s="63">
        <v>350</v>
      </c>
      <c r="F42" s="63">
        <f>VLOOKUP(E42,REF_TABLE!$G$7:$H$32,2)</f>
        <v>350</v>
      </c>
      <c r="G42" s="63">
        <v>78</v>
      </c>
      <c r="H42" s="63">
        <f>ABS(RESULT_ITTE!Q212)</f>
        <v>1.6432974118929002E-2</v>
      </c>
      <c r="I42" s="63">
        <f t="shared" si="0"/>
        <v>0.35</v>
      </c>
      <c r="J42" s="63">
        <f t="shared" si="1"/>
        <v>1.0675057390729529E-2</v>
      </c>
      <c r="K42" s="66">
        <f>ABS(RESULT_ITTE!M212)</f>
        <v>0.11468534822271816</v>
      </c>
      <c r="L42" s="66">
        <f t="shared" si="28"/>
        <v>5.5953480822746409</v>
      </c>
      <c r="M42" s="63">
        <f>INDEX('Junctions — junctions'!$F$2:$F$197,MATCH(D42,'Junctions — junctions'!$B$2:$B$197,0))</f>
        <v>10</v>
      </c>
      <c r="N42" s="63">
        <v>10</v>
      </c>
      <c r="O42" s="63">
        <f t="shared" si="2"/>
        <v>25.59534808227464</v>
      </c>
      <c r="P42" s="63">
        <f t="shared" si="3"/>
        <v>24.611147930019861</v>
      </c>
      <c r="T42" s="63" t="s">
        <v>285</v>
      </c>
      <c r="U42" s="63" t="s">
        <v>739</v>
      </c>
      <c r="V42" s="63" t="s">
        <v>740</v>
      </c>
      <c r="W42" s="63">
        <v>200</v>
      </c>
      <c r="X42" s="63">
        <f>VLOOKUP(W42,REF_TABLE!$G$7:$H$32,2)</f>
        <v>200</v>
      </c>
      <c r="Y42" s="63">
        <v>84</v>
      </c>
      <c r="Z42" s="63">
        <f>ABS(RESULT_ITTE!AO212)</f>
        <v>1.7443268151482401E-2</v>
      </c>
      <c r="AA42" s="63">
        <f t="shared" si="4"/>
        <v>0.2</v>
      </c>
      <c r="AB42" s="63">
        <f t="shared" si="5"/>
        <v>3.4702279374823147E-2</v>
      </c>
      <c r="AC42" s="69">
        <f>ABS(RESULT_ITTE!AK212)</f>
        <v>2.4885476694281339</v>
      </c>
      <c r="AD42" s="69">
        <f t="shared" si="29"/>
        <v>34.512794856339497</v>
      </c>
      <c r="AE42" s="63">
        <f>INDEX('Junctions — junctions'!$F$2:$F$197,MATCH(V42,'Junctions — junctions'!$B$2:$B$197,0))</f>
        <v>12</v>
      </c>
      <c r="AF42" s="69">
        <v>10</v>
      </c>
      <c r="AG42" s="63">
        <f t="shared" si="6"/>
        <v>56.512794856339497</v>
      </c>
      <c r="AH42" s="63">
        <f t="shared" si="7"/>
        <v>38.359837351369947</v>
      </c>
      <c r="AM42" s="63"/>
      <c r="AN42" s="63"/>
      <c r="AO42" s="63"/>
      <c r="AP42" s="63"/>
      <c r="AQ42" s="63">
        <f>MIN(AQ5:AQ41)</f>
        <v>250</v>
      </c>
      <c r="AR42" s="63"/>
      <c r="AS42" s="63"/>
      <c r="AT42" s="63"/>
      <c r="AU42" s="63"/>
      <c r="AV42" s="63"/>
      <c r="AW42" s="63"/>
      <c r="AX42" s="63"/>
      <c r="AY42" s="63"/>
      <c r="AZ42" s="63">
        <f>MAX(AZ5:AZ41)</f>
        <v>29.756118024072105</v>
      </c>
      <c r="BA42" s="63"/>
      <c r="BG42" s="63" t="s">
        <v>197</v>
      </c>
      <c r="BH42" s="63" t="s">
        <v>667</v>
      </c>
      <c r="BI42" s="63" t="s">
        <v>668</v>
      </c>
      <c r="BJ42" s="63">
        <v>400</v>
      </c>
      <c r="BK42" s="63">
        <f>VLOOKUP(BJ42,REF_TABLE!$G$7:$H$32,2)</f>
        <v>400</v>
      </c>
      <c r="BL42" s="63">
        <v>250</v>
      </c>
      <c r="BM42" s="63">
        <f>ABS(RESULT_ITTE!CH212)</f>
        <v>1.031482399744893E-2</v>
      </c>
      <c r="BN42" s="63">
        <f t="shared" si="12"/>
        <v>0.4</v>
      </c>
      <c r="BO42" s="63">
        <f t="shared" si="13"/>
        <v>5.1301725822403147E-3</v>
      </c>
      <c r="BP42" s="63">
        <f>ABS(RESULT_ITTE!CD212)</f>
        <v>0.42544435597132857</v>
      </c>
      <c r="BQ42" s="63">
        <f t="shared" si="31"/>
        <v>6.7136671929985594</v>
      </c>
      <c r="BR42" s="63">
        <f>INDEX('Junctions — junctions'!$F$2:$F$197,MATCH(BI42,'Junctions — junctions'!$B$2:$B$197,0))</f>
        <v>13</v>
      </c>
      <c r="BS42" s="63">
        <v>10</v>
      </c>
      <c r="BT42" s="63">
        <f t="shared" si="14"/>
        <v>29.71366719299856</v>
      </c>
      <c r="BU42" s="63">
        <f t="shared" si="15"/>
        <v>14.028635489904968</v>
      </c>
      <c r="CB42" s="63" t="s">
        <v>118</v>
      </c>
      <c r="CC42" s="63" t="s">
        <v>647</v>
      </c>
      <c r="CD42" s="63" t="s">
        <v>646</v>
      </c>
      <c r="CE42" s="63">
        <v>250</v>
      </c>
      <c r="CF42" s="63">
        <f>VLOOKUP(CE42,REF_TABLE!$G$7:$H$32,2)</f>
        <v>250</v>
      </c>
      <c r="CG42" s="63">
        <v>45</v>
      </c>
      <c r="CH42" s="63">
        <f>ABS(RESULT_ITTE!DD212)</f>
        <v>1.173316550602249E-2</v>
      </c>
      <c r="CI42" s="63">
        <f t="shared" si="16"/>
        <v>0.25</v>
      </c>
      <c r="CJ42" s="63">
        <f t="shared" si="17"/>
        <v>1.493913030719039E-2</v>
      </c>
      <c r="CK42" s="63">
        <f>ABS(RESULT_ITTE!CZ212)</f>
        <v>3.7173596474258372E-2</v>
      </c>
      <c r="CL42" s="63">
        <f t="shared" si="32"/>
        <v>7.0387270114394358</v>
      </c>
      <c r="CM42" s="63">
        <f>INDEX('Junctions — junctions'!$F$2:$F$197,MATCH(CD42,'Junctions — junctions'!$B$2:$B$197,0))</f>
        <v>12</v>
      </c>
      <c r="CN42" s="63">
        <v>10</v>
      </c>
      <c r="CO42" s="63">
        <f t="shared" si="18"/>
        <v>29.038727011439434</v>
      </c>
      <c r="CP42" s="63">
        <f t="shared" si="19"/>
        <v>17.428352694218077</v>
      </c>
      <c r="CV42" s="63" t="s">
        <v>263</v>
      </c>
      <c r="CW42" s="63" t="s">
        <v>692</v>
      </c>
      <c r="CX42" s="63" t="s">
        <v>691</v>
      </c>
      <c r="CY42" s="63">
        <v>250</v>
      </c>
      <c r="CZ42" s="63">
        <f>VLOOKUP(CY42,REF_TABLE!$G$7:$H$32,2)</f>
        <v>250</v>
      </c>
      <c r="DA42" s="63">
        <v>234</v>
      </c>
      <c r="DB42" s="63">
        <f>ABS(RESULT_ITTE!EB212)</f>
        <v>7.5790581407477429E-4</v>
      </c>
      <c r="DC42" s="63">
        <f t="shared" si="20"/>
        <v>0.25</v>
      </c>
      <c r="DD42" s="63">
        <f t="shared" si="21"/>
        <v>9.649956536646985E-4</v>
      </c>
      <c r="DE42" s="63">
        <f>ABS(RESULT_ITTE!DX212)</f>
        <v>0.35691500121726061</v>
      </c>
      <c r="DF42" s="63">
        <f t="shared" si="33"/>
        <v>7.2818283754621698</v>
      </c>
      <c r="DG42" s="63">
        <f>INDEX('Junctions — junctions'!$F$2:$F$197,MATCH(CX42,'Junctions — junctions'!$B$2:$B$197,0))</f>
        <v>16</v>
      </c>
      <c r="DH42" s="63">
        <v>10</v>
      </c>
      <c r="DI42" s="63">
        <f t="shared" si="22"/>
        <v>33.281828375462169</v>
      </c>
      <c r="DJ42" s="63">
        <f t="shared" si="23"/>
        <v>11.569510838686156</v>
      </c>
      <c r="EH42" s="63" t="s">
        <v>283</v>
      </c>
      <c r="EI42" s="63" t="s">
        <v>741</v>
      </c>
      <c r="EJ42" s="63" t="s">
        <v>742</v>
      </c>
      <c r="EK42" s="63">
        <v>466</v>
      </c>
      <c r="EL42" s="63">
        <v>500</v>
      </c>
      <c r="EM42" s="63">
        <v>151</v>
      </c>
      <c r="EN42" s="63">
        <v>1.7336437868687445E-2</v>
      </c>
      <c r="EO42" s="63">
        <v>0.46600000000000003</v>
      </c>
      <c r="EP42" s="63">
        <v>6.352989975886297E-3</v>
      </c>
      <c r="EQ42" s="63">
        <v>0.18713026311110245</v>
      </c>
      <c r="ER42" s="63">
        <v>5.7824783453857433</v>
      </c>
      <c r="ES42" s="63">
        <v>6</v>
      </c>
      <c r="ET42" s="63">
        <v>10</v>
      </c>
      <c r="EU42" s="63">
        <v>21.782478345385744</v>
      </c>
      <c r="EV42" s="63">
        <v>28.424017666908757</v>
      </c>
    </row>
    <row r="43" spans="2:152" x14ac:dyDescent="0.25">
      <c r="B43" s="63" t="s">
        <v>283</v>
      </c>
      <c r="C43" s="63" t="s">
        <v>741</v>
      </c>
      <c r="D43" s="63" t="s">
        <v>742</v>
      </c>
      <c r="E43" s="63">
        <v>466</v>
      </c>
      <c r="F43" s="63">
        <f>VLOOKUP(E43,REF_TABLE!$G$7:$H$32,2)</f>
        <v>500</v>
      </c>
      <c r="G43" s="63">
        <v>151</v>
      </c>
      <c r="H43" s="63">
        <f>ABS(RESULT_ITTE!Q213)</f>
        <v>1.7336437868687445E-2</v>
      </c>
      <c r="I43" s="63">
        <f t="shared" si="0"/>
        <v>0.46600000000000003</v>
      </c>
      <c r="J43" s="63">
        <f t="shared" si="1"/>
        <v>6.352989975886297E-3</v>
      </c>
      <c r="K43" s="66">
        <f>ABS(RESULT_ITTE!M213)</f>
        <v>0.18713026311110245</v>
      </c>
      <c r="L43" s="66">
        <f t="shared" si="28"/>
        <v>5.7824783453857433</v>
      </c>
      <c r="M43" s="63">
        <f>INDEX('Junctions — junctions'!$F$2:$F$197,MATCH(D43,'Junctions — junctions'!$B$2:$B$197,0))</f>
        <v>6</v>
      </c>
      <c r="N43" s="63">
        <v>10</v>
      </c>
      <c r="O43" s="63">
        <f t="shared" si="2"/>
        <v>21.782478345385744</v>
      </c>
      <c r="P43" s="63">
        <f t="shared" si="3"/>
        <v>28.424017666908757</v>
      </c>
      <c r="T43" s="63" t="s">
        <v>284</v>
      </c>
      <c r="U43" s="63" t="s">
        <v>740</v>
      </c>
      <c r="V43" s="63" t="s">
        <v>741</v>
      </c>
      <c r="W43" s="63">
        <v>200</v>
      </c>
      <c r="X43" s="63">
        <f>VLOOKUP(W43,REF_TABLE!$G$7:$H$32,2)</f>
        <v>200</v>
      </c>
      <c r="Y43" s="63">
        <v>78</v>
      </c>
      <c r="Z43" s="63">
        <f>ABS(RESULT_ITTE!AO213)</f>
        <v>2.2002156226095377E-2</v>
      </c>
      <c r="AA43" s="63">
        <f t="shared" si="4"/>
        <v>0.2</v>
      </c>
      <c r="AB43" s="63">
        <f t="shared" si="5"/>
        <v>4.3771899025790005E-2</v>
      </c>
      <c r="AC43" s="69">
        <f>ABS(RESULT_ITTE!AK213)</f>
        <v>2.0353909603128959</v>
      </c>
      <c r="AD43" s="69">
        <f t="shared" si="29"/>
        <v>36.548185816652392</v>
      </c>
      <c r="AE43" s="63">
        <f>INDEX('Junctions — junctions'!$F$2:$F$197,MATCH(V43,'Junctions — junctions'!$B$2:$B$197,0))</f>
        <v>10</v>
      </c>
      <c r="AF43" s="69">
        <v>10</v>
      </c>
      <c r="AG43" s="63">
        <f t="shared" si="6"/>
        <v>56.548185816652392</v>
      </c>
      <c r="AH43" s="63">
        <f t="shared" si="7"/>
        <v>38.324446391057052</v>
      </c>
      <c r="AQ43">
        <f>MAX(AQ5:AQ41)</f>
        <v>400</v>
      </c>
      <c r="BG43" s="63" t="s">
        <v>196</v>
      </c>
      <c r="BH43" s="63" t="s">
        <v>668</v>
      </c>
      <c r="BI43" s="63" t="s">
        <v>669</v>
      </c>
      <c r="BJ43" s="63">
        <v>400</v>
      </c>
      <c r="BK43" s="63">
        <f>VLOOKUP(BJ43,REF_TABLE!$G$7:$H$32,2)</f>
        <v>400</v>
      </c>
      <c r="BL43" s="63">
        <v>63</v>
      </c>
      <c r="BM43" s="63">
        <f>ABS(RESULT_ITTE!CH213)</f>
        <v>8.9903760997850114E-3</v>
      </c>
      <c r="BN43" s="63">
        <f t="shared" si="12"/>
        <v>0.4</v>
      </c>
      <c r="BO43" s="63">
        <f t="shared" si="13"/>
        <v>4.4714462391750604E-3</v>
      </c>
      <c r="BP43" s="63">
        <f>ABS(RESULT_ITTE!CD213)</f>
        <v>0.10721197770477481</v>
      </c>
      <c r="BQ43" s="63">
        <f t="shared" si="31"/>
        <v>6.8208791707033338</v>
      </c>
      <c r="BR43" s="63">
        <f>INDEX('Junctions — junctions'!$F$2:$F$197,MATCH(BI43,'Junctions — junctions'!$B$2:$B$197,0))</f>
        <v>16</v>
      </c>
      <c r="BS43" s="63">
        <v>10</v>
      </c>
      <c r="BT43" s="63">
        <f t="shared" si="14"/>
        <v>32.820879170703336</v>
      </c>
      <c r="BU43" s="63">
        <f t="shared" si="15"/>
        <v>10.921423512200194</v>
      </c>
      <c r="CB43" s="63" t="s">
        <v>117</v>
      </c>
      <c r="CC43" s="63" t="s">
        <v>648</v>
      </c>
      <c r="CD43" s="63" t="s">
        <v>647</v>
      </c>
      <c r="CE43" s="63">
        <v>250</v>
      </c>
      <c r="CF43" s="63">
        <f>VLOOKUP(CE43,REF_TABLE!$G$7:$H$32,2)</f>
        <v>250</v>
      </c>
      <c r="CG43" s="63">
        <v>100</v>
      </c>
      <c r="CH43" s="63">
        <f>ABS(RESULT_ITTE!DD213)</f>
        <v>1.1368146115916826E-2</v>
      </c>
      <c r="CI43" s="63">
        <f t="shared" si="16"/>
        <v>0.25</v>
      </c>
      <c r="CJ43" s="63">
        <f t="shared" si="17"/>
        <v>1.4474373185112747E-2</v>
      </c>
      <c r="CK43" s="63">
        <f>ABS(RESULT_ITTE!CZ213)</f>
        <v>8.2607992165018601E-2</v>
      </c>
      <c r="CL43" s="63">
        <f t="shared" si="32"/>
        <v>7.1213350036044547</v>
      </c>
      <c r="CM43" s="63">
        <f>INDEX('Junctions — junctions'!$F$2:$F$197,MATCH(CD43,'Junctions — junctions'!$B$2:$B$197,0))</f>
        <v>9</v>
      </c>
      <c r="CN43" s="63">
        <v>10</v>
      </c>
      <c r="CO43" s="63">
        <f t="shared" si="18"/>
        <v>26.121335003604454</v>
      </c>
      <c r="CP43" s="63">
        <f t="shared" si="19"/>
        <v>20.345744702053057</v>
      </c>
      <c r="CV43" s="63" t="s">
        <v>264</v>
      </c>
      <c r="CW43" s="63" t="s">
        <v>693</v>
      </c>
      <c r="CX43" s="63" t="s">
        <v>692</v>
      </c>
      <c r="CY43" s="63">
        <v>250</v>
      </c>
      <c r="CZ43" s="63">
        <f>VLOOKUP(CY43,REF_TABLE!$G$7:$H$32,2)</f>
        <v>250</v>
      </c>
      <c r="DA43" s="63">
        <v>74</v>
      </c>
      <c r="DB43" s="63">
        <f>ABS(RESULT_ITTE!EB213)</f>
        <v>1.6875265397991862E-3</v>
      </c>
      <c r="DC43" s="63">
        <f t="shared" si="20"/>
        <v>0.25</v>
      </c>
      <c r="DD43" s="63">
        <f t="shared" si="21"/>
        <v>2.1486255232624203E-3</v>
      </c>
      <c r="DE43" s="63">
        <f>ABS(RESULT_ITTE!DX213)</f>
        <v>0.1128705559405012</v>
      </c>
      <c r="DF43" s="63">
        <f t="shared" si="33"/>
        <v>7.3946989314026705</v>
      </c>
      <c r="DG43" s="63">
        <f>INDEX('Junctions — junctions'!$F$2:$F$197,MATCH(CX43,'Junctions — junctions'!$B$2:$B$197,0))</f>
        <v>9</v>
      </c>
      <c r="DH43" s="63">
        <v>10</v>
      </c>
      <c r="DI43" s="63">
        <f t="shared" si="22"/>
        <v>26.394698931402672</v>
      </c>
      <c r="DJ43" s="63">
        <f t="shared" si="23"/>
        <v>18.456640282745653</v>
      </c>
      <c r="EH43" s="63" t="s">
        <v>280</v>
      </c>
      <c r="EI43" s="63" t="s">
        <v>742</v>
      </c>
      <c r="EJ43" s="63" t="s">
        <v>743</v>
      </c>
      <c r="EK43" s="63">
        <v>300</v>
      </c>
      <c r="EL43" s="63">
        <v>300</v>
      </c>
      <c r="EM43" s="63">
        <v>54</v>
      </c>
      <c r="EN43" s="63">
        <v>1.9566196206081993E-2</v>
      </c>
      <c r="EO43" s="63">
        <v>0.3</v>
      </c>
      <c r="EP43" s="63">
        <v>1.7300315798354657E-2</v>
      </c>
      <c r="EQ43" s="63">
        <v>8.5141039063695509E-2</v>
      </c>
      <c r="ER43" s="63">
        <v>5.8676193844494389</v>
      </c>
      <c r="ES43" s="63">
        <v>7</v>
      </c>
      <c r="ET43" s="63">
        <v>10</v>
      </c>
      <c r="EU43" s="63">
        <v>22.867619384449441</v>
      </c>
      <c r="EV43" s="63">
        <v>27.33887662784506</v>
      </c>
    </row>
    <row r="44" spans="2:152" x14ac:dyDescent="0.25">
      <c r="B44" s="63" t="s">
        <v>280</v>
      </c>
      <c r="C44" s="63" t="s">
        <v>742</v>
      </c>
      <c r="D44" s="63" t="s">
        <v>743</v>
      </c>
      <c r="E44" s="63">
        <v>300</v>
      </c>
      <c r="F44" s="63">
        <f>VLOOKUP(E44,REF_TABLE!$G$7:$H$32,2)</f>
        <v>300</v>
      </c>
      <c r="G44" s="63">
        <v>54</v>
      </c>
      <c r="H44" s="63">
        <f>ABS(RESULT_ITTE!Q214)</f>
        <v>1.9566196206081993E-2</v>
      </c>
      <c r="I44" s="63">
        <f t="shared" si="0"/>
        <v>0.3</v>
      </c>
      <c r="J44" s="63">
        <f t="shared" si="1"/>
        <v>1.7300315798354657E-2</v>
      </c>
      <c r="K44" s="66">
        <f>ABS(RESULT_ITTE!M214)</f>
        <v>8.5141039063695509E-2</v>
      </c>
      <c r="L44" s="66">
        <f t="shared" si="28"/>
        <v>5.8676193844494389</v>
      </c>
      <c r="M44" s="63">
        <f>INDEX('Junctions — junctions'!$F$2:$F$197,MATCH(D44,'Junctions — junctions'!$B$2:$B$197,0))</f>
        <v>7</v>
      </c>
      <c r="N44" s="63">
        <v>10</v>
      </c>
      <c r="O44" s="63">
        <f t="shared" si="2"/>
        <v>22.867619384449441</v>
      </c>
      <c r="P44" s="63">
        <f t="shared" si="3"/>
        <v>27.33887662784506</v>
      </c>
      <c r="T44" s="63" t="s">
        <v>283</v>
      </c>
      <c r="U44" s="63" t="s">
        <v>741</v>
      </c>
      <c r="V44" s="63" t="s">
        <v>742</v>
      </c>
      <c r="W44" s="63">
        <v>200</v>
      </c>
      <c r="X44" s="63">
        <f>VLOOKUP(W44,REF_TABLE!$G$7:$H$32,2)</f>
        <v>200</v>
      </c>
      <c r="Y44" s="63">
        <v>151</v>
      </c>
      <c r="Z44" s="63">
        <f>ABS(RESULT_ITTE!AO214)</f>
        <v>2.1427920330376111E-2</v>
      </c>
      <c r="AA44" s="63">
        <f t="shared" si="4"/>
        <v>0.2</v>
      </c>
      <c r="AB44" s="63">
        <f t="shared" si="5"/>
        <v>4.262949300948346E-2</v>
      </c>
      <c r="AC44" s="69">
        <f>ABS(RESULT_ITTE!AK214)</f>
        <v>12.471763818331654</v>
      </c>
      <c r="AD44" s="69">
        <f t="shared" si="29"/>
        <v>49.019949634984044</v>
      </c>
      <c r="AE44" s="63">
        <f>INDEX('Junctions — junctions'!$F$2:$F$197,MATCH(V44,'Junctions — junctions'!$B$2:$B$197,0))</f>
        <v>6</v>
      </c>
      <c r="AF44" s="69">
        <v>10</v>
      </c>
      <c r="AG44" s="63">
        <f t="shared" si="6"/>
        <v>65.019949634984044</v>
      </c>
      <c r="AH44" s="63">
        <f t="shared" si="7"/>
        <v>29.852682572725399</v>
      </c>
      <c r="BG44" s="63" t="s">
        <v>195</v>
      </c>
      <c r="BH44" s="63" t="s">
        <v>669</v>
      </c>
      <c r="BI44" s="63" t="s">
        <v>670</v>
      </c>
      <c r="BJ44" s="63">
        <v>400</v>
      </c>
      <c r="BK44" s="63">
        <f>VLOOKUP(BJ44,REF_TABLE!$G$7:$H$32,2)</f>
        <v>400</v>
      </c>
      <c r="BL44" s="63">
        <v>41</v>
      </c>
      <c r="BM44" s="63">
        <f>ABS(RESULT_ITTE!CH214)</f>
        <v>8.2089583080714908E-3</v>
      </c>
      <c r="BN44" s="63">
        <f t="shared" si="12"/>
        <v>0.4</v>
      </c>
      <c r="BO44" s="63">
        <f t="shared" si="13"/>
        <v>4.0828009136401862E-3</v>
      </c>
      <c r="BP44" s="63">
        <f>ABS(RESULT_ITTE!CD214)</f>
        <v>6.9772874379297897E-2</v>
      </c>
      <c r="BQ44" s="63">
        <f t="shared" si="31"/>
        <v>6.8906520450826321</v>
      </c>
      <c r="BR44" s="63">
        <f>INDEX('Junctions — junctions'!$F$2:$F$197,MATCH(BI44,'Junctions — junctions'!$B$2:$B$197,0))</f>
        <v>16</v>
      </c>
      <c r="BS44" s="63">
        <v>10</v>
      </c>
      <c r="BT44" s="63">
        <f t="shared" si="14"/>
        <v>32.890652045082632</v>
      </c>
      <c r="BU44" s="63">
        <f t="shared" si="15"/>
        <v>10.851650637820896</v>
      </c>
      <c r="CB44" s="63" t="s">
        <v>116</v>
      </c>
      <c r="CC44" s="63" t="s">
        <v>649</v>
      </c>
      <c r="CD44" s="63" t="s">
        <v>648</v>
      </c>
      <c r="CE44" s="63">
        <v>250</v>
      </c>
      <c r="CF44" s="63">
        <f>VLOOKUP(CE44,REF_TABLE!$G$7:$H$32,2)</f>
        <v>250</v>
      </c>
      <c r="CG44" s="63">
        <v>202</v>
      </c>
      <c r="CH44" s="63">
        <f>ABS(RESULT_ITTE!DD214)</f>
        <v>9.5934509300807762E-3</v>
      </c>
      <c r="CI44" s="63">
        <f t="shared" si="16"/>
        <v>0.25</v>
      </c>
      <c r="CJ44" s="63">
        <f t="shared" si="17"/>
        <v>1.221476109465517E-2</v>
      </c>
      <c r="CK44" s="63">
        <f>ABS(RESULT_ITTE!CZ214)</f>
        <v>0.1668550388388729</v>
      </c>
      <c r="CL44" s="63">
        <f t="shared" si="32"/>
        <v>7.2881900424433272</v>
      </c>
      <c r="CM44" s="63">
        <f>INDEX('Junctions — junctions'!$F$2:$F$197,MATCH(CD44,'Junctions — junctions'!$B$2:$B$197,0))</f>
        <v>11</v>
      </c>
      <c r="CN44" s="63">
        <v>10</v>
      </c>
      <c r="CO44" s="63">
        <f t="shared" si="18"/>
        <v>28.288190042443325</v>
      </c>
      <c r="CP44" s="63">
        <f t="shared" si="19"/>
        <v>18.178889663214186</v>
      </c>
      <c r="CV44" s="63" t="s">
        <v>266</v>
      </c>
      <c r="CW44" s="63" t="s">
        <v>694</v>
      </c>
      <c r="CX44" s="63" t="s">
        <v>693</v>
      </c>
      <c r="CY44" s="63">
        <v>250</v>
      </c>
      <c r="CZ44" s="63">
        <f>VLOOKUP(CY44,REF_TABLE!$G$7:$H$32,2)</f>
        <v>250</v>
      </c>
      <c r="DA44" s="63">
        <v>79</v>
      </c>
      <c r="DB44" s="63">
        <f>ABS(RESULT_ITTE!EB214)</f>
        <v>1.5957880706549475E-3</v>
      </c>
      <c r="DC44" s="63">
        <f t="shared" si="20"/>
        <v>0.25</v>
      </c>
      <c r="DD44" s="63">
        <f t="shared" si="21"/>
        <v>2.0318204765745092E-3</v>
      </c>
      <c r="DE44" s="63">
        <f>ABS(RESULT_ITTE!DX214)</f>
        <v>0.12049694485539995</v>
      </c>
      <c r="DF44" s="63">
        <f t="shared" si="33"/>
        <v>7.5151958762580708</v>
      </c>
      <c r="DG44" s="63">
        <f>INDEX('Junctions — junctions'!$F$2:$F$197,MATCH(CX44,'Junctions — junctions'!$B$2:$B$197,0))</f>
        <v>13</v>
      </c>
      <c r="DH44" s="63">
        <v>10</v>
      </c>
      <c r="DI44" s="63">
        <f t="shared" si="22"/>
        <v>30.515195876258069</v>
      </c>
      <c r="DJ44" s="63">
        <f t="shared" si="23"/>
        <v>14.336143337890254</v>
      </c>
      <c r="EH44" s="63" t="s">
        <v>282</v>
      </c>
      <c r="EI44" s="63" t="s">
        <v>743</v>
      </c>
      <c r="EJ44" s="63" t="s">
        <v>744</v>
      </c>
      <c r="EK44" s="63">
        <v>250</v>
      </c>
      <c r="EL44" s="63">
        <v>250</v>
      </c>
      <c r="EM44" s="63">
        <v>35</v>
      </c>
      <c r="EN44" s="63">
        <v>1.9731093319003384E-2</v>
      </c>
      <c r="EO44" s="63">
        <v>0.25</v>
      </c>
      <c r="EP44" s="63">
        <v>2.5122408274614882E-2</v>
      </c>
      <c r="EQ44" s="63">
        <v>6.0079437098534257E-2</v>
      </c>
      <c r="ER44" s="63">
        <v>5.9276988215479731</v>
      </c>
      <c r="ES44" s="63">
        <v>6</v>
      </c>
      <c r="ET44" s="63">
        <v>10</v>
      </c>
      <c r="EU44" s="63">
        <v>21.927698821547974</v>
      </c>
      <c r="EV44" s="63">
        <v>28.278797190746527</v>
      </c>
    </row>
    <row r="45" spans="2:152" x14ac:dyDescent="0.25">
      <c r="B45" s="63" t="s">
        <v>282</v>
      </c>
      <c r="C45" s="63" t="s">
        <v>743</v>
      </c>
      <c r="D45" s="63" t="s">
        <v>744</v>
      </c>
      <c r="E45" s="63">
        <v>250</v>
      </c>
      <c r="F45" s="63">
        <f>VLOOKUP(E45,REF_TABLE!$G$7:$H$32,2)</f>
        <v>250</v>
      </c>
      <c r="G45" s="63">
        <v>35</v>
      </c>
      <c r="H45" s="63">
        <f>ABS(RESULT_ITTE!Q215)</f>
        <v>1.9731093319003384E-2</v>
      </c>
      <c r="I45" s="63">
        <f t="shared" si="0"/>
        <v>0.25</v>
      </c>
      <c r="J45" s="63">
        <f t="shared" si="1"/>
        <v>2.5122408274614882E-2</v>
      </c>
      <c r="K45" s="66">
        <f>ABS(RESULT_ITTE!M215)</f>
        <v>6.0079437098534257E-2</v>
      </c>
      <c r="L45" s="66">
        <f t="shared" si="28"/>
        <v>5.9276988215479731</v>
      </c>
      <c r="M45" s="63">
        <f>INDEX('Junctions — junctions'!$F$2:$F$197,MATCH(D45,'Junctions — junctions'!$B$2:$B$197,0))</f>
        <v>6</v>
      </c>
      <c r="N45" s="63">
        <v>10</v>
      </c>
      <c r="O45" s="63">
        <f t="shared" si="2"/>
        <v>21.927698821547974</v>
      </c>
      <c r="P45" s="63">
        <f t="shared" si="3"/>
        <v>28.278797190746527</v>
      </c>
      <c r="T45" s="63" t="s">
        <v>280</v>
      </c>
      <c r="U45" s="63" t="s">
        <v>742</v>
      </c>
      <c r="V45" s="63" t="s">
        <v>743</v>
      </c>
      <c r="W45" s="63">
        <v>200</v>
      </c>
      <c r="X45" s="63">
        <f>VLOOKUP(W45,REF_TABLE!$G$7:$H$32,2)</f>
        <v>200</v>
      </c>
      <c r="Y45" s="63">
        <v>54</v>
      </c>
      <c r="Z45" s="63">
        <f>ABS(RESULT_ITTE!AO215)</f>
        <v>2.2880308540549472E-2</v>
      </c>
      <c r="AA45" s="63">
        <f t="shared" si="4"/>
        <v>0.2</v>
      </c>
      <c r="AB45" s="63">
        <f t="shared" si="5"/>
        <v>4.5518927546201973E-2</v>
      </c>
      <c r="AC45" s="69">
        <f>ABS(RESULT_ITTE!AK215)</f>
        <v>0.75959980646985081</v>
      </c>
      <c r="AD45" s="69">
        <f t="shared" si="29"/>
        <v>49.779549441453895</v>
      </c>
      <c r="AE45" s="63">
        <f>INDEX('Junctions — junctions'!$F$2:$F$197,MATCH(V45,'Junctions — junctions'!$B$2:$B$197,0))</f>
        <v>7</v>
      </c>
      <c r="AF45" s="69">
        <v>10</v>
      </c>
      <c r="AG45" s="63">
        <f t="shared" si="6"/>
        <v>66.779549441453895</v>
      </c>
      <c r="AH45" s="63">
        <f t="shared" si="7"/>
        <v>28.093082766255549</v>
      </c>
      <c r="BG45" s="63" t="s">
        <v>194</v>
      </c>
      <c r="BH45" s="63" t="s">
        <v>670</v>
      </c>
      <c r="BI45" s="63" t="s">
        <v>671</v>
      </c>
      <c r="BJ45" s="63">
        <v>400</v>
      </c>
      <c r="BK45" s="63">
        <f>VLOOKUP(BJ45,REF_TABLE!$G$7:$H$32,2)</f>
        <v>400</v>
      </c>
      <c r="BL45" s="63">
        <v>201</v>
      </c>
      <c r="BM45" s="63">
        <f>ABS(RESULT_ITTE!CH215)</f>
        <v>7.1716527560649855E-3</v>
      </c>
      <c r="BN45" s="63">
        <f t="shared" si="12"/>
        <v>0.4</v>
      </c>
      <c r="BO45" s="63">
        <f t="shared" si="13"/>
        <v>3.5668874570823658E-3</v>
      </c>
      <c r="BP45" s="63">
        <f>ABS(RESULT_ITTE!CD215)</f>
        <v>0.34205726220094823</v>
      </c>
      <c r="BQ45" s="63">
        <f t="shared" si="31"/>
        <v>7.2327093072835806</v>
      </c>
      <c r="BR45" s="63">
        <f>INDEX('Junctions — junctions'!$F$2:$F$197,MATCH(BI45,'Junctions — junctions'!$B$2:$B$197,0))</f>
        <v>11</v>
      </c>
      <c r="BS45" s="63">
        <v>10</v>
      </c>
      <c r="BT45" s="63">
        <f t="shared" si="14"/>
        <v>28.232709307283582</v>
      </c>
      <c r="BU45" s="63">
        <f t="shared" si="15"/>
        <v>15.509593375619946</v>
      </c>
      <c r="CB45" s="63" t="s">
        <v>417</v>
      </c>
      <c r="CC45" s="63" t="s">
        <v>568</v>
      </c>
      <c r="CD45" s="63" t="s">
        <v>621</v>
      </c>
      <c r="CE45" s="63">
        <v>400</v>
      </c>
      <c r="CF45" s="63">
        <f>VLOOKUP(CE45,REF_TABLE!$G$7:$H$32,2)</f>
        <v>400</v>
      </c>
      <c r="CG45" s="63">
        <v>9</v>
      </c>
      <c r="CH45" s="63">
        <f>ABS(RESULT_ITTE!DD215)</f>
        <v>8.6925643734511754E-2</v>
      </c>
      <c r="CI45" s="63">
        <f t="shared" si="16"/>
        <v>0.4</v>
      </c>
      <c r="CJ45" s="63">
        <f t="shared" si="17"/>
        <v>4.3233268380601833E-2</v>
      </c>
      <c r="CK45" s="63">
        <f>ABS(RESULT_ITTE!CZ215)</f>
        <v>1.0640043839006231E-2</v>
      </c>
      <c r="CL45" s="63">
        <f t="shared" si="32"/>
        <v>7.2988300862823339</v>
      </c>
      <c r="CM45" s="63">
        <f>INDEX('Junctions — junctions'!$F$2:$F$197,MATCH(CD45,'Junctions — junctions'!$B$2:$B$197,0))</f>
        <v>15</v>
      </c>
      <c r="CN45" s="63">
        <v>10</v>
      </c>
      <c r="CO45" s="63">
        <f t="shared" si="18"/>
        <v>32.298830086282337</v>
      </c>
      <c r="CP45" s="63">
        <f t="shared" si="19"/>
        <v>14.168249619375178</v>
      </c>
      <c r="CV45" s="63" t="s">
        <v>276</v>
      </c>
      <c r="CW45" s="63" t="s">
        <v>695</v>
      </c>
      <c r="CX45" s="63" t="s">
        <v>694</v>
      </c>
      <c r="CY45" s="63">
        <v>250</v>
      </c>
      <c r="CZ45" s="63">
        <f>VLOOKUP(CY45,REF_TABLE!$G$7:$H$32,2)</f>
        <v>250</v>
      </c>
      <c r="DA45" s="63">
        <v>241</v>
      </c>
      <c r="DB45" s="63">
        <f>ABS(RESULT_ITTE!EB215)</f>
        <v>3.8781924199989834E-3</v>
      </c>
      <c r="DC45" s="63">
        <f t="shared" si="20"/>
        <v>0.25</v>
      </c>
      <c r="DD45" s="63">
        <f t="shared" si="21"/>
        <v>4.9378679512348646E-3</v>
      </c>
      <c r="DE45" s="63">
        <f>ABS(RESULT_ITTE!DX215)</f>
        <v>0.36759194569811882</v>
      </c>
      <c r="DF45" s="63">
        <f t="shared" si="33"/>
        <v>7.8827878219561898</v>
      </c>
      <c r="DG45" s="63">
        <f>INDEX('Junctions — junctions'!$F$2:$F$197,MATCH(CX45,'Junctions — junctions'!$B$2:$B$197,0))</f>
        <v>9</v>
      </c>
      <c r="DH45" s="63">
        <v>10</v>
      </c>
      <c r="DI45" s="63">
        <f t="shared" si="22"/>
        <v>26.882787821956189</v>
      </c>
      <c r="DJ45" s="63">
        <f t="shared" si="23"/>
        <v>17.968551392192136</v>
      </c>
      <c r="EH45" s="63" t="s">
        <v>430</v>
      </c>
      <c r="EI45" s="63" t="s">
        <v>744</v>
      </c>
      <c r="EJ45" s="63" t="s">
        <v>745</v>
      </c>
      <c r="EK45" s="63">
        <v>350</v>
      </c>
      <c r="EL45" s="63">
        <v>350</v>
      </c>
      <c r="EM45" s="63">
        <v>88</v>
      </c>
      <c r="EN45" s="63">
        <v>2.1117570768017388E-2</v>
      </c>
      <c r="EO45" s="63">
        <v>0.35</v>
      </c>
      <c r="EP45" s="63">
        <v>1.3718227648256656E-2</v>
      </c>
      <c r="EQ45" s="63">
        <v>0.16177772046556005</v>
      </c>
      <c r="ER45" s="63">
        <v>6.0894765420135331</v>
      </c>
      <c r="ES45" s="63">
        <v>13</v>
      </c>
      <c r="ET45" s="63">
        <v>10</v>
      </c>
      <c r="EU45" s="63">
        <v>29.089476542013532</v>
      </c>
      <c r="EV45" s="63">
        <v>21.117019470280969</v>
      </c>
    </row>
    <row r="46" spans="2:152" x14ac:dyDescent="0.25">
      <c r="B46" s="63" t="s">
        <v>430</v>
      </c>
      <c r="C46" s="63" t="s">
        <v>744</v>
      </c>
      <c r="D46" s="63" t="s">
        <v>745</v>
      </c>
      <c r="E46" s="63">
        <v>350</v>
      </c>
      <c r="F46" s="63">
        <f>VLOOKUP(E46,REF_TABLE!$G$7:$H$32,2)</f>
        <v>350</v>
      </c>
      <c r="G46" s="63">
        <v>88</v>
      </c>
      <c r="H46" s="63">
        <f>ABS(RESULT_ITTE!Q216)</f>
        <v>2.1117570768017388E-2</v>
      </c>
      <c r="I46" s="63">
        <f t="shared" si="0"/>
        <v>0.35</v>
      </c>
      <c r="J46" s="63">
        <f t="shared" si="1"/>
        <v>1.3718227648256656E-2</v>
      </c>
      <c r="K46" s="66">
        <f>ABS(RESULT_ITTE!M216)</f>
        <v>0.16177772046556005</v>
      </c>
      <c r="L46" s="66">
        <f t="shared" si="28"/>
        <v>6.0894765420135331</v>
      </c>
      <c r="M46" s="63">
        <f>INDEX('Junctions — junctions'!$F$2:$F$197,MATCH(D46,'Junctions — junctions'!$B$2:$B$197,0))</f>
        <v>13</v>
      </c>
      <c r="N46" s="63">
        <v>10</v>
      </c>
      <c r="O46" s="63">
        <f t="shared" si="2"/>
        <v>29.089476542013532</v>
      </c>
      <c r="P46" s="63">
        <f t="shared" si="3"/>
        <v>21.117019470280969</v>
      </c>
      <c r="T46" s="63" t="s">
        <v>282</v>
      </c>
      <c r="U46" s="63" t="s">
        <v>743</v>
      </c>
      <c r="V46" s="63" t="s">
        <v>744</v>
      </c>
      <c r="W46" s="63">
        <v>200</v>
      </c>
      <c r="X46" s="63">
        <f>VLOOKUP(W46,REF_TABLE!$G$7:$H$32,2)</f>
        <v>200</v>
      </c>
      <c r="Y46" s="63">
        <v>35</v>
      </c>
      <c r="Z46" s="63">
        <f>ABS(RESULT_ITTE!AO216)</f>
        <v>2.1097988070816663E-2</v>
      </c>
      <c r="AA46" s="63">
        <f t="shared" si="4"/>
        <v>0.2</v>
      </c>
      <c r="AB46" s="63">
        <f t="shared" si="5"/>
        <v>4.1973113634553909E-2</v>
      </c>
      <c r="AC46" s="69">
        <f>ABS(RESULT_ITTE!AK216)</f>
        <v>0.24527997752358771</v>
      </c>
      <c r="AD46" s="69">
        <f t="shared" si="29"/>
        <v>50.024829418977482</v>
      </c>
      <c r="AE46" s="63">
        <f>INDEX('Junctions — junctions'!$F$2:$F$197,MATCH(V46,'Junctions — junctions'!$B$2:$B$197,0))</f>
        <v>6</v>
      </c>
      <c r="AF46" s="69">
        <v>10</v>
      </c>
      <c r="AG46" s="63">
        <f t="shared" si="6"/>
        <v>66.024829418977475</v>
      </c>
      <c r="AH46" s="63">
        <f t="shared" si="7"/>
        <v>28.847802788731961</v>
      </c>
      <c r="BG46" s="63" t="s">
        <v>425</v>
      </c>
      <c r="BH46" s="63" t="s">
        <v>671</v>
      </c>
      <c r="BI46" s="63" t="s">
        <v>672</v>
      </c>
      <c r="BJ46" s="63">
        <v>400</v>
      </c>
      <c r="BK46" s="63">
        <f>VLOOKUP(BJ46,REF_TABLE!$G$7:$H$32,2)</f>
        <v>400</v>
      </c>
      <c r="BL46" s="63">
        <v>129</v>
      </c>
      <c r="BM46" s="63">
        <f>ABS(RESULT_ITTE!CH216)</f>
        <v>4.447456650375315E-3</v>
      </c>
      <c r="BN46" s="63">
        <f t="shared" si="12"/>
        <v>0.4</v>
      </c>
      <c r="BO46" s="63">
        <f t="shared" si="13"/>
        <v>2.2119834690442334E-3</v>
      </c>
      <c r="BP46" s="63">
        <f>ABS(RESULT_ITTE!CD216)</f>
        <v>0.21952928768120558</v>
      </c>
      <c r="BQ46" s="63">
        <f t="shared" si="31"/>
        <v>7.4522385949647862</v>
      </c>
      <c r="BR46" s="63">
        <f>INDEX('Junctions — junctions'!$F$2:$F$197,MATCH(BI46,'Junctions — junctions'!$B$2:$B$197,0))</f>
        <v>9</v>
      </c>
      <c r="BS46" s="63">
        <v>10</v>
      </c>
      <c r="BT46" s="63">
        <f t="shared" si="14"/>
        <v>26.452238594964786</v>
      </c>
      <c r="BU46" s="63">
        <f t="shared" si="15"/>
        <v>17.290064087938742</v>
      </c>
      <c r="CB46" s="63"/>
      <c r="CC46" s="63"/>
      <c r="CD46" s="63"/>
      <c r="CE46" s="63"/>
      <c r="CF46" s="63">
        <f>MIN(CF5:CF45)</f>
        <v>250</v>
      </c>
      <c r="CG46" s="63"/>
      <c r="CH46" s="63"/>
      <c r="CI46" s="63"/>
      <c r="CJ46" s="63"/>
      <c r="CK46" s="63"/>
      <c r="CL46" s="63"/>
      <c r="CM46" s="63"/>
      <c r="CN46" s="63"/>
      <c r="CO46" s="63">
        <f>MAX(CO5:CO45)</f>
        <v>36.467079705657511</v>
      </c>
      <c r="CP46" s="63"/>
      <c r="CV46" s="63" t="s">
        <v>316</v>
      </c>
      <c r="CW46" s="63" t="s">
        <v>696</v>
      </c>
      <c r="CX46" s="63" t="s">
        <v>695</v>
      </c>
      <c r="CY46" s="63">
        <v>250</v>
      </c>
      <c r="CZ46" s="63">
        <f>VLOOKUP(CY46,REF_TABLE!$G$7:$H$32,2)</f>
        <v>250</v>
      </c>
      <c r="DA46" s="63">
        <v>61</v>
      </c>
      <c r="DB46" s="63">
        <f>ABS(RESULT_ITTE!EB216)</f>
        <v>6.2940476480171049E-3</v>
      </c>
      <c r="DC46" s="63">
        <f t="shared" si="20"/>
        <v>0.25</v>
      </c>
      <c r="DD46" s="63">
        <f t="shared" si="21"/>
        <v>8.0138303619027209E-3</v>
      </c>
      <c r="DE46" s="63">
        <f>ABS(RESULT_ITTE!DX216)</f>
        <v>9.30419447617645E-2</v>
      </c>
      <c r="DF46" s="63">
        <f t="shared" si="33"/>
        <v>7.9758297667179541</v>
      </c>
      <c r="DG46" s="63">
        <f>INDEX('Junctions — junctions'!$F$2:$F$197,MATCH(CX46,'Junctions — junctions'!$B$2:$B$197,0))</f>
        <v>13</v>
      </c>
      <c r="DH46" s="63">
        <v>10</v>
      </c>
      <c r="DI46" s="63">
        <f t="shared" si="22"/>
        <v>30.975829766717954</v>
      </c>
      <c r="DJ46" s="63">
        <f t="shared" si="23"/>
        <v>13.875509447430371</v>
      </c>
      <c r="EH46" s="63" t="s">
        <v>252</v>
      </c>
      <c r="EI46" s="63" t="s">
        <v>746</v>
      </c>
      <c r="EJ46" s="63" t="s">
        <v>747</v>
      </c>
      <c r="EK46" s="63">
        <v>565</v>
      </c>
      <c r="EL46" s="63">
        <v>600</v>
      </c>
      <c r="EM46" s="63">
        <v>230</v>
      </c>
      <c r="EN46" s="63">
        <v>5.7204614229803994E-3</v>
      </c>
      <c r="EO46" s="63">
        <v>0.56499999999999995</v>
      </c>
      <c r="EP46" s="63">
        <v>1.4260156820954319E-3</v>
      </c>
      <c r="EQ46" s="63">
        <v>0.24312486288101076</v>
      </c>
      <c r="ER46" s="63">
        <v>6.332601404894544</v>
      </c>
      <c r="ES46" s="63">
        <v>10</v>
      </c>
      <c r="ET46" s="63">
        <v>10</v>
      </c>
      <c r="EU46" s="63">
        <v>26.332601404894543</v>
      </c>
      <c r="EV46" s="63">
        <v>23.873894607399958</v>
      </c>
    </row>
    <row r="47" spans="2:152" x14ac:dyDescent="0.25">
      <c r="B47" s="63" t="s">
        <v>252</v>
      </c>
      <c r="C47" s="63" t="s">
        <v>746</v>
      </c>
      <c r="D47" s="63" t="s">
        <v>747</v>
      </c>
      <c r="E47" s="63">
        <v>565</v>
      </c>
      <c r="F47" s="63">
        <f>VLOOKUP(E47,REF_TABLE!$G$7:$H$32,2)</f>
        <v>600</v>
      </c>
      <c r="G47" s="63">
        <v>230</v>
      </c>
      <c r="H47" s="63">
        <f>ABS(RESULT_ITTE!Q217)</f>
        <v>5.7204614229803994E-3</v>
      </c>
      <c r="I47" s="63">
        <f t="shared" si="0"/>
        <v>0.56499999999999995</v>
      </c>
      <c r="J47" s="63">
        <f t="shared" si="1"/>
        <v>1.4260156820954319E-3</v>
      </c>
      <c r="K47" s="66">
        <f>ABS(RESULT_ITTE!M217)</f>
        <v>0.24312486288101076</v>
      </c>
      <c r="L47" s="66">
        <f t="shared" si="28"/>
        <v>6.332601404894544</v>
      </c>
      <c r="M47" s="63">
        <f>INDEX('Junctions — junctions'!$F$2:$F$197,MATCH(D47,'Junctions — junctions'!$B$2:$B$197,0))</f>
        <v>10</v>
      </c>
      <c r="N47" s="63">
        <v>10</v>
      </c>
      <c r="O47" s="63">
        <f t="shared" si="2"/>
        <v>26.332601404894543</v>
      </c>
      <c r="P47" s="63">
        <f t="shared" si="3"/>
        <v>23.873894607399958</v>
      </c>
      <c r="T47" s="63" t="s">
        <v>430</v>
      </c>
      <c r="U47" s="63" t="s">
        <v>744</v>
      </c>
      <c r="V47" s="63" t="s">
        <v>745</v>
      </c>
      <c r="W47" s="63">
        <v>200</v>
      </c>
      <c r="X47" s="63">
        <f>VLOOKUP(W47,REF_TABLE!$G$7:$H$32,2)</f>
        <v>200</v>
      </c>
      <c r="Y47" s="63">
        <v>88</v>
      </c>
      <c r="Z47" s="63">
        <f>ABS(RESULT_ITTE!AO217)</f>
        <v>2.3312312747534994E-2</v>
      </c>
      <c r="AA47" s="63">
        <f t="shared" si="4"/>
        <v>0.2</v>
      </c>
      <c r="AB47" s="63">
        <f t="shared" si="5"/>
        <v>4.6378372608429974E-2</v>
      </c>
      <c r="AC47" s="69">
        <f>ABS(RESULT_ITTE!AK217)</f>
        <v>2.8242261078771005</v>
      </c>
      <c r="AD47" s="69">
        <f t="shared" si="29"/>
        <v>52.849055526854585</v>
      </c>
      <c r="AE47" s="63">
        <f>INDEX('Junctions — junctions'!$F$2:$F$197,MATCH(V47,'Junctions — junctions'!$B$2:$B$197,0))</f>
        <v>13</v>
      </c>
      <c r="AF47" s="69">
        <v>10</v>
      </c>
      <c r="AG47" s="63">
        <f t="shared" si="6"/>
        <v>75.849055526854585</v>
      </c>
      <c r="AH47" s="63">
        <f t="shared" si="7"/>
        <v>19.023576680854859</v>
      </c>
      <c r="BG47" s="63" t="s">
        <v>183</v>
      </c>
      <c r="BH47" s="63" t="s">
        <v>672</v>
      </c>
      <c r="BI47" s="63" t="s">
        <v>673</v>
      </c>
      <c r="BJ47" s="63">
        <v>400</v>
      </c>
      <c r="BK47" s="63">
        <f>VLOOKUP(BJ47,REF_TABLE!$G$7:$H$32,2)</f>
        <v>400</v>
      </c>
      <c r="BL47" s="63">
        <v>111</v>
      </c>
      <c r="BM47" s="63">
        <f>ABS(RESULT_ITTE!CH217)</f>
        <v>4.1994560157712427E-3</v>
      </c>
      <c r="BN47" s="63">
        <f t="shared" si="12"/>
        <v>0.4</v>
      </c>
      <c r="BO47" s="63">
        <f t="shared" si="13"/>
        <v>2.0886380725218426E-3</v>
      </c>
      <c r="BP47" s="63">
        <f>ABS(RESULT_ITTE!CD217)</f>
        <v>0.18889729405126993</v>
      </c>
      <c r="BQ47" s="63">
        <f t="shared" si="31"/>
        <v>7.6411358890160566</v>
      </c>
      <c r="BR47" s="63">
        <f>INDEX('Junctions — junctions'!$F$2:$F$197,MATCH(BI47,'Junctions — junctions'!$B$2:$B$197,0))</f>
        <v>15</v>
      </c>
      <c r="BS47" s="63">
        <v>10</v>
      </c>
      <c r="BT47" s="63">
        <f t="shared" si="14"/>
        <v>32.641135889016056</v>
      </c>
      <c r="BU47" s="63">
        <f t="shared" si="15"/>
        <v>11.101166793887472</v>
      </c>
      <c r="CF47">
        <f>MAX(CF5:CF45)</f>
        <v>500</v>
      </c>
      <c r="CV47" s="63" t="s">
        <v>412</v>
      </c>
      <c r="CW47" s="63" t="s">
        <v>775</v>
      </c>
      <c r="CX47" s="63" t="s">
        <v>696</v>
      </c>
      <c r="CY47" s="63">
        <v>250</v>
      </c>
      <c r="CZ47" s="63">
        <f>VLOOKUP(CY47,REF_TABLE!$G$7:$H$32,2)</f>
        <v>250</v>
      </c>
      <c r="DA47" s="63">
        <v>76</v>
      </c>
      <c r="DB47" s="63">
        <f>ABS(RESULT_ITTE!EB217)</f>
        <v>4.8204183594252655E-3</v>
      </c>
      <c r="DC47" s="63">
        <f t="shared" si="20"/>
        <v>0.25</v>
      </c>
      <c r="DD47" s="63">
        <f t="shared" si="21"/>
        <v>6.1375472773876451E-3</v>
      </c>
      <c r="DE47" s="63">
        <f>ABS(RESULT_ITTE!DX217)</f>
        <v>0.1159211115064607</v>
      </c>
      <c r="DF47" s="63">
        <f t="shared" si="33"/>
        <v>8.0917508782244152</v>
      </c>
      <c r="DG47" s="63">
        <f>INDEX('Junctions — junctions'!$F$2:$F$197,MATCH(CX47,'Junctions — junctions'!$B$2:$B$197,0))</f>
        <v>15</v>
      </c>
      <c r="DH47" s="63">
        <v>10</v>
      </c>
      <c r="DI47" s="63">
        <f t="shared" si="22"/>
        <v>33.091750878224417</v>
      </c>
      <c r="DJ47" s="63">
        <f t="shared" si="23"/>
        <v>11.75958833592391</v>
      </c>
      <c r="EH47" s="63" t="s">
        <v>253</v>
      </c>
      <c r="EI47" s="63" t="s">
        <v>747</v>
      </c>
      <c r="EJ47" s="63" t="s">
        <v>748</v>
      </c>
      <c r="EK47" s="63">
        <v>200</v>
      </c>
      <c r="EL47" s="63">
        <v>200</v>
      </c>
      <c r="EM47" s="63">
        <v>145</v>
      </c>
      <c r="EN47" s="63">
        <v>3.4158959983891946E-3</v>
      </c>
      <c r="EO47" s="63">
        <v>0.2</v>
      </c>
      <c r="EP47" s="63">
        <v>6.7957091653933158E-3</v>
      </c>
      <c r="EQ47" s="63">
        <v>0.52194587745420518</v>
      </c>
      <c r="ER47" s="63">
        <v>6.854547282348749</v>
      </c>
      <c r="ES47" s="63">
        <v>10</v>
      </c>
      <c r="ET47" s="63">
        <v>10</v>
      </c>
      <c r="EU47" s="63">
        <v>26.854547282348747</v>
      </c>
      <c r="EV47" s="63">
        <v>23.351948729945754</v>
      </c>
    </row>
    <row r="48" spans="2:152" x14ac:dyDescent="0.25">
      <c r="B48" s="63" t="s">
        <v>253</v>
      </c>
      <c r="C48" s="63" t="s">
        <v>747</v>
      </c>
      <c r="D48" s="63" t="s">
        <v>748</v>
      </c>
      <c r="E48" s="63">
        <v>200</v>
      </c>
      <c r="F48" s="63">
        <f>VLOOKUP(E48,REF_TABLE!$G$7:$H$32,2)</f>
        <v>200</v>
      </c>
      <c r="G48" s="63">
        <v>145</v>
      </c>
      <c r="H48" s="63">
        <f>ABS(RESULT_ITTE!Q218)</f>
        <v>3.4158959983891946E-3</v>
      </c>
      <c r="I48" s="63">
        <f t="shared" si="0"/>
        <v>0.2</v>
      </c>
      <c r="J48" s="63">
        <f t="shared" si="1"/>
        <v>6.7957091653933158E-3</v>
      </c>
      <c r="K48" s="66">
        <f>ABS(RESULT_ITTE!M218)</f>
        <v>0.52194587745420518</v>
      </c>
      <c r="L48" s="66">
        <f t="shared" si="28"/>
        <v>6.854547282348749</v>
      </c>
      <c r="M48" s="63">
        <f>INDEX('Junctions — junctions'!$F$2:$F$197,MATCH(D48,'Junctions — junctions'!$B$2:$B$197,0))</f>
        <v>10</v>
      </c>
      <c r="N48" s="63">
        <v>10</v>
      </c>
      <c r="O48" s="63">
        <f t="shared" si="2"/>
        <v>26.854547282348747</v>
      </c>
      <c r="P48" s="63">
        <f t="shared" si="3"/>
        <v>23.351948729945754</v>
      </c>
      <c r="T48" s="63" t="s">
        <v>253</v>
      </c>
      <c r="U48" s="63" t="s">
        <v>747</v>
      </c>
      <c r="V48" s="63" t="s">
        <v>748</v>
      </c>
      <c r="W48" s="63">
        <v>200</v>
      </c>
      <c r="X48" s="63">
        <f>VLOOKUP(W48,REF_TABLE!$G$7:$H$32,2)</f>
        <v>200</v>
      </c>
      <c r="Y48" s="63">
        <v>145</v>
      </c>
      <c r="Z48" s="63">
        <f>ABS(RESULT_ITTE!AO218)</f>
        <v>5.7178107520392636E-3</v>
      </c>
      <c r="AA48" s="63">
        <f t="shared" si="4"/>
        <v>0.2</v>
      </c>
      <c r="AB48" s="63">
        <f t="shared" si="5"/>
        <v>1.1375223060637953E-2</v>
      </c>
      <c r="AC48" s="69">
        <f>ABS(RESULT_ITTE!AK218)</f>
        <v>0.3237951393825354</v>
      </c>
      <c r="AD48" s="69">
        <f t="shared" si="29"/>
        <v>53.172850666237117</v>
      </c>
      <c r="AE48" s="63">
        <f>INDEX('Junctions — junctions'!$F$2:$F$197,MATCH(V48,'Junctions — junctions'!$B$2:$B$197,0))</f>
        <v>10</v>
      </c>
      <c r="AF48" s="69">
        <v>10</v>
      </c>
      <c r="AG48" s="63">
        <f t="shared" si="6"/>
        <v>73.17285066623711</v>
      </c>
      <c r="AH48" s="63">
        <f t="shared" si="7"/>
        <v>21.699781541472326</v>
      </c>
      <c r="BG48" s="63" t="s">
        <v>192</v>
      </c>
      <c r="BH48" s="63" t="s">
        <v>673</v>
      </c>
      <c r="BI48" s="63" t="s">
        <v>674</v>
      </c>
      <c r="BJ48" s="63">
        <v>466</v>
      </c>
      <c r="BK48" s="63">
        <f>VLOOKUP(BJ48,REF_TABLE!$G$7:$H$32,2)</f>
        <v>500</v>
      </c>
      <c r="BL48" s="63">
        <v>88</v>
      </c>
      <c r="BM48" s="63">
        <f>ABS(RESULT_ITTE!CH218)</f>
        <v>2.3955468716315258E-3</v>
      </c>
      <c r="BN48" s="63">
        <f t="shared" si="12"/>
        <v>0.46600000000000003</v>
      </c>
      <c r="BO48" s="63">
        <f t="shared" si="13"/>
        <v>8.7785538052939681E-4</v>
      </c>
      <c r="BP48" s="63">
        <f>ABS(RESULT_ITTE!CD218)</f>
        <v>0.10116679388747182</v>
      </c>
      <c r="BQ48" s="63">
        <f t="shared" si="31"/>
        <v>7.742302682903528</v>
      </c>
      <c r="BR48" s="63">
        <f>INDEX('Junctions — junctions'!$F$2:$F$197,MATCH(BI48,'Junctions — junctions'!$B$2:$B$197,0))</f>
        <v>16</v>
      </c>
      <c r="BS48" s="63">
        <v>10</v>
      </c>
      <c r="BT48" s="63">
        <f t="shared" si="14"/>
        <v>33.742302682903528</v>
      </c>
      <c r="BU48" s="63">
        <f t="shared" si="15"/>
        <v>10</v>
      </c>
      <c r="CV48" s="63" t="s">
        <v>308</v>
      </c>
      <c r="CW48" s="63" t="s">
        <v>698</v>
      </c>
      <c r="CX48" s="63" t="s">
        <v>697</v>
      </c>
      <c r="CY48" s="63">
        <v>250</v>
      </c>
      <c r="CZ48" s="63">
        <f>VLOOKUP(CY48,REF_TABLE!$G$7:$H$32,2)</f>
        <v>250</v>
      </c>
      <c r="DA48" s="63">
        <v>132</v>
      </c>
      <c r="DB48" s="63">
        <f>ABS(RESULT_ITTE!EB218)</f>
        <v>2.7931675626914295E-3</v>
      </c>
      <c r="DC48" s="63">
        <f t="shared" si="20"/>
        <v>0.25</v>
      </c>
      <c r="DD48" s="63">
        <f t="shared" si="21"/>
        <v>3.5563713958902598E-3</v>
      </c>
      <c r="DE48" s="63">
        <f>ABS(RESULT_ITTE!DX218)</f>
        <v>0.20133666735332648</v>
      </c>
      <c r="DF48" s="63">
        <f t="shared" si="33"/>
        <v>8.2930875455777411</v>
      </c>
      <c r="DG48" s="63">
        <f>INDEX('Junctions — junctions'!$F$2:$F$197,MATCH(CX48,'Junctions — junctions'!$B$2:$B$197,0))</f>
        <v>8</v>
      </c>
      <c r="DH48" s="63">
        <v>10</v>
      </c>
      <c r="DI48" s="63">
        <f t="shared" si="22"/>
        <v>26.293087545577741</v>
      </c>
      <c r="DJ48" s="63">
        <f t="shared" si="23"/>
        <v>18.558251668570584</v>
      </c>
      <c r="EH48" s="63" t="s">
        <v>235</v>
      </c>
      <c r="EI48" s="63" t="s">
        <v>748</v>
      </c>
      <c r="EJ48" s="63" t="s">
        <v>749</v>
      </c>
      <c r="EK48" s="63">
        <v>200</v>
      </c>
      <c r="EL48" s="63">
        <v>200</v>
      </c>
      <c r="EM48" s="63">
        <v>129</v>
      </c>
      <c r="EN48" s="63">
        <v>2.8483790914413144E-3</v>
      </c>
      <c r="EO48" s="63">
        <v>0.2</v>
      </c>
      <c r="EP48" s="63">
        <v>5.6666701525310862E-3</v>
      </c>
      <c r="EQ48" s="63">
        <v>0.46435184959718945</v>
      </c>
      <c r="ER48" s="63">
        <v>7.3188991319459387</v>
      </c>
      <c r="ES48" s="63">
        <v>11</v>
      </c>
      <c r="ET48" s="63">
        <v>10</v>
      </c>
      <c r="EU48" s="63">
        <v>28.31889913194594</v>
      </c>
      <c r="EV48" s="63">
        <v>21.887596880348561</v>
      </c>
    </row>
    <row r="49" spans="2:152" x14ac:dyDescent="0.25">
      <c r="B49" s="63" t="s">
        <v>235</v>
      </c>
      <c r="C49" s="63" t="s">
        <v>748</v>
      </c>
      <c r="D49" s="63" t="s">
        <v>749</v>
      </c>
      <c r="E49" s="63">
        <v>200</v>
      </c>
      <c r="F49" s="63">
        <f>VLOOKUP(E49,REF_TABLE!$G$7:$H$32,2)</f>
        <v>200</v>
      </c>
      <c r="G49" s="63">
        <v>129</v>
      </c>
      <c r="H49" s="63">
        <f>ABS(RESULT_ITTE!Q219)</f>
        <v>2.8483790914413144E-3</v>
      </c>
      <c r="I49" s="63">
        <f t="shared" si="0"/>
        <v>0.2</v>
      </c>
      <c r="J49" s="63">
        <f t="shared" si="1"/>
        <v>5.6666701525310862E-3</v>
      </c>
      <c r="K49" s="66">
        <f>ABS(RESULT_ITTE!M219)</f>
        <v>0.46435184959718945</v>
      </c>
      <c r="L49" s="66">
        <f t="shared" si="28"/>
        <v>7.3188991319459387</v>
      </c>
      <c r="M49" s="63">
        <f>INDEX('Junctions — junctions'!$F$2:$F$197,MATCH(D49,'Junctions — junctions'!$B$2:$B$197,0))</f>
        <v>11</v>
      </c>
      <c r="N49" s="63">
        <v>10</v>
      </c>
      <c r="O49" s="63">
        <f t="shared" si="2"/>
        <v>28.31889913194594</v>
      </c>
      <c r="P49" s="63">
        <f t="shared" si="3"/>
        <v>21.887596880348561</v>
      </c>
      <c r="T49" s="63" t="s">
        <v>235</v>
      </c>
      <c r="U49" s="63" t="s">
        <v>748</v>
      </c>
      <c r="V49" s="63" t="s">
        <v>749</v>
      </c>
      <c r="W49" s="63">
        <v>200</v>
      </c>
      <c r="X49" s="63">
        <f>VLOOKUP(W49,REF_TABLE!$G$7:$H$32,2)</f>
        <v>200</v>
      </c>
      <c r="Y49" s="63">
        <v>129</v>
      </c>
      <c r="Z49" s="63">
        <f>ABS(RESULT_ITTE!AO219)</f>
        <v>7.4004426018153989E-3</v>
      </c>
      <c r="AA49" s="63">
        <f t="shared" si="4"/>
        <v>0.2</v>
      </c>
      <c r="AB49" s="63">
        <f t="shared" si="5"/>
        <v>1.4722712764334595E-2</v>
      </c>
      <c r="AC49" s="69">
        <f>ABS(RESULT_ITTE!AK219)</f>
        <v>0.28806602055411779</v>
      </c>
      <c r="AD49" s="69">
        <f t="shared" si="29"/>
        <v>53.460916686791236</v>
      </c>
      <c r="AE49" s="63">
        <f>INDEX('Junctions — junctions'!$F$2:$F$197,MATCH(V49,'Junctions — junctions'!$B$2:$B$197,0))</f>
        <v>11</v>
      </c>
      <c r="AF49" s="69">
        <v>10</v>
      </c>
      <c r="AG49" s="63">
        <f t="shared" si="6"/>
        <v>74.460916686791236</v>
      </c>
      <c r="AH49" s="63">
        <f t="shared" si="7"/>
        <v>20.411715520918207</v>
      </c>
      <c r="BG49" s="63" t="s">
        <v>230</v>
      </c>
      <c r="BH49" s="63" t="s">
        <v>674</v>
      </c>
      <c r="BI49" s="63" t="s">
        <v>675</v>
      </c>
      <c r="BJ49" s="63">
        <v>421</v>
      </c>
      <c r="BK49" s="63">
        <f>VLOOKUP(BJ49,REF_TABLE!$G$7:$H$32,2)</f>
        <v>450</v>
      </c>
      <c r="BL49" s="63">
        <v>74</v>
      </c>
      <c r="BM49" s="63">
        <f>ABS(RESULT_ITTE!CH219)</f>
        <v>1.5235698901016606E-3</v>
      </c>
      <c r="BN49" s="63">
        <f t="shared" si="12"/>
        <v>0.42099999999999999</v>
      </c>
      <c r="BO49" s="63">
        <f t="shared" si="13"/>
        <v>6.8405075336873259E-4</v>
      </c>
      <c r="BP49" s="63">
        <f>ABS(RESULT_ITTE!CD219)</f>
        <v>0.11235058785450108</v>
      </c>
      <c r="BQ49" s="63">
        <f t="shared" si="31"/>
        <v>7.8546532707580292</v>
      </c>
      <c r="BR49" s="63">
        <f>INDEX('Junctions — junctions'!$F$2:$F$197,MATCH(BI49,'Junctions — junctions'!$B$2:$B$197,0))</f>
        <v>13</v>
      </c>
      <c r="BS49" s="63">
        <v>10</v>
      </c>
      <c r="BT49" s="63">
        <f t="shared" si="14"/>
        <v>30.854653270758028</v>
      </c>
      <c r="BU49" s="63">
        <f t="shared" si="15"/>
        <v>12.8876494121455</v>
      </c>
      <c r="CV49" s="63" t="s">
        <v>411</v>
      </c>
      <c r="CW49" s="63" t="s">
        <v>697</v>
      </c>
      <c r="CX49" s="63" t="s">
        <v>775</v>
      </c>
      <c r="CY49" s="63">
        <v>250</v>
      </c>
      <c r="CZ49" s="63">
        <f>VLOOKUP(CY49,REF_TABLE!$G$7:$H$32,2)</f>
        <v>250</v>
      </c>
      <c r="DA49" s="63">
        <v>154</v>
      </c>
      <c r="DB49" s="63">
        <f>ABS(RESULT_ITTE!EB219)</f>
        <v>3.7213845051180475E-3</v>
      </c>
      <c r="DC49" s="63">
        <f t="shared" si="20"/>
        <v>0.25</v>
      </c>
      <c r="DD49" s="63">
        <f t="shared" si="21"/>
        <v>4.7382139130809917E-3</v>
      </c>
      <c r="DE49" s="63">
        <f>ABS(RESULT_ITTE!DX219)</f>
        <v>0.23489277857888088</v>
      </c>
      <c r="DF49" s="63">
        <f t="shared" si="33"/>
        <v>8.5279803241566228</v>
      </c>
      <c r="DG49" s="63">
        <f>INDEX('Junctions — junctions'!$F$2:$F$197,MATCH(CX49,'Junctions — junctions'!$B$2:$B$197,0))</f>
        <v>10</v>
      </c>
      <c r="DH49" s="63">
        <v>10</v>
      </c>
      <c r="DI49" s="63">
        <f t="shared" si="22"/>
        <v>28.527980324156623</v>
      </c>
      <c r="DJ49" s="63">
        <f t="shared" si="23"/>
        <v>16.323358889991702</v>
      </c>
      <c r="EH49" s="63" t="s">
        <v>236</v>
      </c>
      <c r="EI49" s="63" t="s">
        <v>749</v>
      </c>
      <c r="EJ49" s="63" t="s">
        <v>750</v>
      </c>
      <c r="EK49" s="63">
        <v>200</v>
      </c>
      <c r="EL49" s="63">
        <v>200</v>
      </c>
      <c r="EM49" s="63">
        <v>104</v>
      </c>
      <c r="EN49" s="63">
        <v>8.2525626731084004E-4</v>
      </c>
      <c r="EO49" s="63">
        <v>0.2</v>
      </c>
      <c r="EP49" s="63">
        <v>1.6417951782510837E-3</v>
      </c>
      <c r="EQ49" s="63">
        <v>0.37436118107060234</v>
      </c>
      <c r="ER49" s="63">
        <v>7.6932603130165411</v>
      </c>
      <c r="ES49" s="63">
        <v>9</v>
      </c>
      <c r="ET49" s="63">
        <v>10</v>
      </c>
      <c r="EU49" s="63">
        <v>26.693260313016541</v>
      </c>
      <c r="EV49" s="63">
        <v>23.51323569927796</v>
      </c>
    </row>
    <row r="50" spans="2:152" x14ac:dyDescent="0.25">
      <c r="B50" s="63" t="s">
        <v>236</v>
      </c>
      <c r="C50" s="63" t="s">
        <v>749</v>
      </c>
      <c r="D50" s="63" t="s">
        <v>750</v>
      </c>
      <c r="E50" s="63">
        <v>200</v>
      </c>
      <c r="F50" s="63">
        <f>VLOOKUP(E50,REF_TABLE!$G$7:$H$32,2)</f>
        <v>200</v>
      </c>
      <c r="G50" s="63">
        <v>104</v>
      </c>
      <c r="H50" s="63">
        <f>ABS(RESULT_ITTE!Q220)</f>
        <v>8.2525626731084004E-4</v>
      </c>
      <c r="I50" s="63">
        <f t="shared" si="0"/>
        <v>0.2</v>
      </c>
      <c r="J50" s="63">
        <f t="shared" si="1"/>
        <v>1.6417951782510837E-3</v>
      </c>
      <c r="K50" s="66">
        <f>ABS(RESULT_ITTE!M220)</f>
        <v>0.37436118107060234</v>
      </c>
      <c r="L50" s="66">
        <f t="shared" si="28"/>
        <v>7.6932603130165411</v>
      </c>
      <c r="M50" s="63">
        <f>INDEX('Junctions — junctions'!$F$2:$F$197,MATCH(D50,'Junctions — junctions'!$B$2:$B$197,0))</f>
        <v>9</v>
      </c>
      <c r="N50" s="63">
        <v>10</v>
      </c>
      <c r="O50" s="63">
        <f t="shared" si="2"/>
        <v>26.693260313016541</v>
      </c>
      <c r="P50" s="63">
        <f t="shared" si="3"/>
        <v>23.51323569927796</v>
      </c>
      <c r="T50" s="63" t="s">
        <v>236</v>
      </c>
      <c r="U50" s="63" t="s">
        <v>749</v>
      </c>
      <c r="V50" s="63" t="s">
        <v>750</v>
      </c>
      <c r="W50" s="63">
        <v>200</v>
      </c>
      <c r="X50" s="63">
        <f>VLOOKUP(W50,REF_TABLE!$G$7:$H$32,2)</f>
        <v>200</v>
      </c>
      <c r="Y50" s="63">
        <v>104</v>
      </c>
      <c r="Z50" s="63">
        <f>ABS(RESULT_ITTE!AO220)</f>
        <v>2.7450861712727077E-3</v>
      </c>
      <c r="AA50" s="63">
        <f t="shared" si="4"/>
        <v>0.2</v>
      </c>
      <c r="AB50" s="63">
        <f t="shared" si="5"/>
        <v>5.4611754171407078E-3</v>
      </c>
      <c r="AC50" s="69">
        <f>ABS(RESULT_ITTE!AK220)</f>
        <v>0.23223927238471509</v>
      </c>
      <c r="AD50" s="69">
        <f t="shared" si="29"/>
        <v>53.693155959175954</v>
      </c>
      <c r="AE50" s="63">
        <f>INDEX('Junctions — junctions'!$F$2:$F$197,MATCH(V50,'Junctions — junctions'!$B$2:$B$197,0))</f>
        <v>9</v>
      </c>
      <c r="AF50" s="69">
        <v>10</v>
      </c>
      <c r="AG50" s="63">
        <f t="shared" si="6"/>
        <v>72.693155959175954</v>
      </c>
      <c r="AH50" s="63">
        <f t="shared" si="7"/>
        <v>22.17947624853349</v>
      </c>
      <c r="BG50" s="63" t="s">
        <v>215</v>
      </c>
      <c r="BH50" s="63" t="s">
        <v>675</v>
      </c>
      <c r="BI50" s="63" t="s">
        <v>676</v>
      </c>
      <c r="BJ50" s="63">
        <v>400</v>
      </c>
      <c r="BK50" s="63">
        <f>VLOOKUP(BJ50,REF_TABLE!$G$7:$H$32,2)</f>
        <v>400</v>
      </c>
      <c r="BL50" s="63">
        <v>248</v>
      </c>
      <c r="BM50" s="63">
        <f>ABS(RESULT_ITTE!CH220)</f>
        <v>5.1529138225554685E-4</v>
      </c>
      <c r="BN50" s="63">
        <f t="shared" si="12"/>
        <v>0.4</v>
      </c>
      <c r="BO50" s="63">
        <f t="shared" si="13"/>
        <v>2.5628490818320514E-4</v>
      </c>
      <c r="BP50" s="63">
        <f>ABS(RESULT_ITTE!CD220)</f>
        <v>0.32416997102445538</v>
      </c>
      <c r="BQ50" s="63">
        <f t="shared" si="31"/>
        <v>8.1788232417824851</v>
      </c>
      <c r="BR50" s="63">
        <f>INDEX('Junctions — junctions'!$F$2:$F$197,MATCH(BI50,'Junctions — junctions'!$B$2:$B$197,0))</f>
        <v>14</v>
      </c>
      <c r="BS50" s="63">
        <v>10</v>
      </c>
      <c r="BT50" s="63">
        <f t="shared" si="14"/>
        <v>32.178823241782482</v>
      </c>
      <c r="BU50" s="63">
        <f t="shared" si="15"/>
        <v>11.563479441121043</v>
      </c>
      <c r="CV50" s="63" t="s">
        <v>309</v>
      </c>
      <c r="CW50" s="63" t="s">
        <v>699</v>
      </c>
      <c r="CX50" s="63" t="s">
        <v>698</v>
      </c>
      <c r="CY50" s="63">
        <v>250</v>
      </c>
      <c r="CZ50" s="63">
        <f>VLOOKUP(CY50,REF_TABLE!$G$7:$H$32,2)</f>
        <v>250</v>
      </c>
      <c r="DA50" s="63">
        <v>212</v>
      </c>
      <c r="DB50" s="63">
        <f>ABS(RESULT_ITTE!EB220)</f>
        <v>9.8794479951817143E-7</v>
      </c>
      <c r="DC50" s="63">
        <f t="shared" si="20"/>
        <v>0.25</v>
      </c>
      <c r="DD50" s="63">
        <f t="shared" si="21"/>
        <v>1.2578903867619882E-6</v>
      </c>
      <c r="DE50" s="63">
        <f>ABS(RESULT_ITTE!DX220)</f>
        <v>0.32335888999170614</v>
      </c>
      <c r="DF50" s="63">
        <f t="shared" si="33"/>
        <v>8.8513392141483287</v>
      </c>
      <c r="DG50" s="63">
        <f>INDEX('Junctions — junctions'!$F$2:$F$197,MATCH(CX50,'Junctions — junctions'!$B$2:$B$197,0))</f>
        <v>16</v>
      </c>
      <c r="DH50" s="63">
        <v>10</v>
      </c>
      <c r="DI50" s="63">
        <f t="shared" si="22"/>
        <v>34.851339214148325</v>
      </c>
      <c r="DJ50" s="63">
        <f t="shared" si="23"/>
        <v>9.9999999999999964</v>
      </c>
      <c r="EH50" s="63" t="s">
        <v>237</v>
      </c>
      <c r="EI50" s="63" t="s">
        <v>750</v>
      </c>
      <c r="EJ50" s="63" t="s">
        <v>751</v>
      </c>
      <c r="EK50" s="63">
        <v>200</v>
      </c>
      <c r="EL50" s="63">
        <v>200</v>
      </c>
      <c r="EM50" s="63">
        <v>79</v>
      </c>
      <c r="EN50" s="63">
        <v>5.5067698178077554E-4</v>
      </c>
      <c r="EO50" s="63">
        <v>0.2</v>
      </c>
      <c r="EP50" s="63">
        <v>1.0955370462167001E-3</v>
      </c>
      <c r="EQ50" s="63">
        <v>0.28437051254401524</v>
      </c>
      <c r="ER50" s="63">
        <v>7.9776308255605564</v>
      </c>
      <c r="ES50" s="63">
        <v>13</v>
      </c>
      <c r="ET50" s="63">
        <v>10</v>
      </c>
      <c r="EU50" s="63">
        <v>30.977630825560556</v>
      </c>
      <c r="EV50" s="63">
        <v>19.228865186733945</v>
      </c>
    </row>
    <row r="51" spans="2:152" x14ac:dyDescent="0.25">
      <c r="B51" s="63" t="s">
        <v>237</v>
      </c>
      <c r="C51" s="63" t="s">
        <v>750</v>
      </c>
      <c r="D51" s="63" t="s">
        <v>751</v>
      </c>
      <c r="E51" s="63">
        <v>200</v>
      </c>
      <c r="F51" s="63">
        <f>VLOOKUP(E51,REF_TABLE!$G$7:$H$32,2)</f>
        <v>200</v>
      </c>
      <c r="G51" s="63">
        <v>79</v>
      </c>
      <c r="H51" s="63">
        <f>ABS(RESULT_ITTE!Q221)</f>
        <v>5.5067698178077554E-4</v>
      </c>
      <c r="I51" s="63">
        <f t="shared" si="0"/>
        <v>0.2</v>
      </c>
      <c r="J51" s="63">
        <f t="shared" si="1"/>
        <v>1.0955370462167001E-3</v>
      </c>
      <c r="K51" s="66">
        <f>ABS(RESULT_ITTE!M221)</f>
        <v>0.28437051254401524</v>
      </c>
      <c r="L51" s="66">
        <f t="shared" si="28"/>
        <v>7.9776308255605564</v>
      </c>
      <c r="M51" s="63">
        <f>INDEX('Junctions — junctions'!$F$2:$F$197,MATCH(D51,'Junctions — junctions'!$B$2:$B$197,0))</f>
        <v>13</v>
      </c>
      <c r="N51" s="63">
        <v>10</v>
      </c>
      <c r="O51" s="63">
        <f t="shared" si="2"/>
        <v>30.977630825560556</v>
      </c>
      <c r="P51" s="63">
        <f t="shared" si="3"/>
        <v>19.228865186733945</v>
      </c>
      <c r="T51" s="63" t="s">
        <v>237</v>
      </c>
      <c r="U51" s="63" t="s">
        <v>750</v>
      </c>
      <c r="V51" s="63" t="s">
        <v>751</v>
      </c>
      <c r="W51" s="63">
        <v>200</v>
      </c>
      <c r="X51" s="63">
        <f>VLOOKUP(W51,REF_TABLE!$G$7:$H$32,2)</f>
        <v>200</v>
      </c>
      <c r="Y51" s="63">
        <v>79</v>
      </c>
      <c r="Z51" s="63">
        <f>ABS(RESULT_ITTE!AO221)</f>
        <v>4.4884453938549137E-3</v>
      </c>
      <c r="AA51" s="63">
        <f t="shared" si="4"/>
        <v>0.2</v>
      </c>
      <c r="AB51" s="63">
        <f t="shared" si="5"/>
        <v>8.9294783903757311E-3</v>
      </c>
      <c r="AC51" s="69">
        <f>ABS(RESULT_ITTE!AK221)</f>
        <v>0.17641252421531242</v>
      </c>
      <c r="AD51" s="69">
        <f t="shared" si="29"/>
        <v>53.869568483391269</v>
      </c>
      <c r="AE51" s="63">
        <f>INDEX('Junctions — junctions'!$F$2:$F$197,MATCH(V51,'Junctions — junctions'!$B$2:$B$197,0))</f>
        <v>13</v>
      </c>
      <c r="AF51" s="69">
        <v>10</v>
      </c>
      <c r="AG51" s="63">
        <f t="shared" si="6"/>
        <v>76.869568483391276</v>
      </c>
      <c r="AH51" s="63">
        <f t="shared" si="7"/>
        <v>18.003063724318174</v>
      </c>
      <c r="BG51" s="63" t="s">
        <v>214</v>
      </c>
      <c r="BH51" s="63" t="s">
        <v>676</v>
      </c>
      <c r="BI51" s="63" t="s">
        <v>677</v>
      </c>
      <c r="BJ51" s="63">
        <v>350</v>
      </c>
      <c r="BK51" s="63">
        <f>VLOOKUP(BJ51,REF_TABLE!$G$7:$H$32,2)</f>
        <v>350</v>
      </c>
      <c r="BL51" s="63">
        <v>116</v>
      </c>
      <c r="BM51" s="63">
        <f>ABS(RESULT_ITTE!CH221)</f>
        <v>2.7954308054694227E-3</v>
      </c>
      <c r="BN51" s="63">
        <f t="shared" si="12"/>
        <v>0.35</v>
      </c>
      <c r="BO51" s="63">
        <f t="shared" si="13"/>
        <v>1.8159454316808866E-3</v>
      </c>
      <c r="BP51" s="63">
        <f>ABS(RESULT_ITTE!CD221)</f>
        <v>0.17462945274308583</v>
      </c>
      <c r="BQ51" s="63">
        <f t="shared" si="31"/>
        <v>8.3534526945255703</v>
      </c>
      <c r="BR51" s="63">
        <f>INDEX('Junctions — junctions'!$F$2:$F$197,MATCH(BI51,'Junctions — junctions'!$B$2:$B$197,0))</f>
        <v>10</v>
      </c>
      <c r="BS51" s="63">
        <v>10</v>
      </c>
      <c r="BT51" s="63">
        <f t="shared" si="14"/>
        <v>28.353452694525572</v>
      </c>
      <c r="BU51" s="63">
        <f t="shared" si="15"/>
        <v>15.388849988377958</v>
      </c>
      <c r="CV51" s="63" t="s">
        <v>310</v>
      </c>
      <c r="CW51" s="63" t="s">
        <v>700</v>
      </c>
      <c r="CX51" s="63" t="s">
        <v>699</v>
      </c>
      <c r="CY51" s="63">
        <v>250</v>
      </c>
      <c r="CZ51" s="63">
        <f>VLOOKUP(CY51,REF_TABLE!$G$7:$H$32,2)</f>
        <v>250</v>
      </c>
      <c r="DA51" s="63">
        <v>173</v>
      </c>
      <c r="DB51" s="63">
        <f>ABS(RESULT_ITTE!EB221)</f>
        <v>2.3196888687243922E-3</v>
      </c>
      <c r="DC51" s="63">
        <f t="shared" si="20"/>
        <v>0.25</v>
      </c>
      <c r="DD51" s="63">
        <f t="shared" si="21"/>
        <v>2.9535195991418697E-3</v>
      </c>
      <c r="DE51" s="63">
        <f>ABS(RESULT_ITTE!DX221)</f>
        <v>0.26387305645549608</v>
      </c>
      <c r="DF51" s="63">
        <f t="shared" si="33"/>
        <v>9.1152122706038252</v>
      </c>
      <c r="DG51" s="63">
        <f>INDEX('Junctions — junctions'!$F$2:$F$197,MATCH(CX51,'Junctions — junctions'!$B$2:$B$197,0))</f>
        <v>8</v>
      </c>
      <c r="DH51" s="63">
        <v>10</v>
      </c>
      <c r="DI51" s="63">
        <f t="shared" si="22"/>
        <v>27.115212270603827</v>
      </c>
      <c r="DJ51" s="63">
        <f t="shared" si="23"/>
        <v>17.736126943544498</v>
      </c>
      <c r="EH51" s="63" t="s">
        <v>238</v>
      </c>
      <c r="EI51" s="63" t="s">
        <v>751</v>
      </c>
      <c r="EJ51" s="63" t="s">
        <v>752</v>
      </c>
      <c r="EK51" s="63">
        <v>200</v>
      </c>
      <c r="EL51" s="63">
        <v>200</v>
      </c>
      <c r="EM51" s="63">
        <v>89</v>
      </c>
      <c r="EN51" s="63">
        <v>1.0289757278739231E-3</v>
      </c>
      <c r="EO51" s="63">
        <v>0.2</v>
      </c>
      <c r="EP51" s="63">
        <v>2.0470821676589475E-3</v>
      </c>
      <c r="EQ51" s="63">
        <v>0.32036677995465007</v>
      </c>
      <c r="ER51" s="63">
        <v>8.2979976055152065</v>
      </c>
      <c r="ES51" s="63">
        <v>13</v>
      </c>
      <c r="ET51" s="63">
        <v>10</v>
      </c>
      <c r="EU51" s="63">
        <v>31.297997605515206</v>
      </c>
      <c r="EV51" s="63">
        <v>18.908498406779294</v>
      </c>
    </row>
    <row r="52" spans="2:152" x14ac:dyDescent="0.25">
      <c r="B52" s="63" t="s">
        <v>238</v>
      </c>
      <c r="C52" s="63" t="s">
        <v>751</v>
      </c>
      <c r="D52" s="63" t="s">
        <v>752</v>
      </c>
      <c r="E52" s="63">
        <v>200</v>
      </c>
      <c r="F52" s="63">
        <f>VLOOKUP(E52,REF_TABLE!$G$7:$H$32,2)</f>
        <v>200</v>
      </c>
      <c r="G52" s="63">
        <v>89</v>
      </c>
      <c r="H52" s="63">
        <f>ABS(RESULT_ITTE!Q222)</f>
        <v>1.0289757278739231E-3</v>
      </c>
      <c r="I52" s="63">
        <f t="shared" si="0"/>
        <v>0.2</v>
      </c>
      <c r="J52" s="63">
        <f t="shared" si="1"/>
        <v>2.0470821676589475E-3</v>
      </c>
      <c r="K52" s="66">
        <f>ABS(RESULT_ITTE!M222)</f>
        <v>0.32036677995465007</v>
      </c>
      <c r="L52" s="66">
        <f t="shared" si="28"/>
        <v>8.2979976055152065</v>
      </c>
      <c r="M52" s="63">
        <f>INDEX('Junctions — junctions'!$F$2:$F$197,MATCH(D52,'Junctions — junctions'!$B$2:$B$197,0))</f>
        <v>13</v>
      </c>
      <c r="N52" s="63">
        <v>10</v>
      </c>
      <c r="O52" s="63">
        <f t="shared" si="2"/>
        <v>31.297997605515206</v>
      </c>
      <c r="P52" s="63">
        <f t="shared" si="3"/>
        <v>18.908498406779294</v>
      </c>
      <c r="T52" s="63" t="s">
        <v>238</v>
      </c>
      <c r="U52" s="63" t="s">
        <v>751</v>
      </c>
      <c r="V52" s="63" t="s">
        <v>752</v>
      </c>
      <c r="W52" s="63">
        <v>200</v>
      </c>
      <c r="X52" s="63">
        <f>VLOOKUP(W52,REF_TABLE!$G$7:$H$32,2)</f>
        <v>200</v>
      </c>
      <c r="Y52" s="63">
        <v>89</v>
      </c>
      <c r="Z52" s="63">
        <f>ABS(RESULT_ITTE!AO222)</f>
        <v>2.378096114085002E-3</v>
      </c>
      <c r="AA52" s="63">
        <f t="shared" si="4"/>
        <v>0.2</v>
      </c>
      <c r="AB52" s="63">
        <f t="shared" si="5"/>
        <v>4.7310718963031991E-3</v>
      </c>
      <c r="AC52" s="69">
        <f>ABS(RESULT_ITTE!AK222)</f>
        <v>0.19874322348307349</v>
      </c>
      <c r="AD52" s="69">
        <f t="shared" si="29"/>
        <v>54.06831170687434</v>
      </c>
      <c r="AE52" s="63">
        <f>INDEX('Junctions — junctions'!$F$2:$F$197,MATCH(V52,'Junctions — junctions'!$B$2:$B$197,0))</f>
        <v>13</v>
      </c>
      <c r="AF52" s="69">
        <v>10</v>
      </c>
      <c r="AG52" s="63">
        <f t="shared" si="6"/>
        <v>77.06831170687434</v>
      </c>
      <c r="AH52" s="63">
        <f t="shared" si="7"/>
        <v>17.804320500835104</v>
      </c>
      <c r="BG52" s="63" t="s">
        <v>213</v>
      </c>
      <c r="BH52" s="63" t="s">
        <v>677</v>
      </c>
      <c r="BI52" s="63" t="s">
        <v>678</v>
      </c>
      <c r="BJ52" s="63">
        <v>350</v>
      </c>
      <c r="BK52" s="63">
        <f>VLOOKUP(BJ52,REF_TABLE!$G$7:$H$32,2)</f>
        <v>350</v>
      </c>
      <c r="BL52" s="63">
        <v>128</v>
      </c>
      <c r="BM52" s="63">
        <f>ABS(RESULT_ITTE!CH222)</f>
        <v>4.271707055219111E-3</v>
      </c>
      <c r="BN52" s="63">
        <f t="shared" si="12"/>
        <v>0.35</v>
      </c>
      <c r="BO52" s="63">
        <f t="shared" si="13"/>
        <v>2.7749522174638592E-3</v>
      </c>
      <c r="BP52" s="63">
        <f>ABS(RESULT_ITTE!CD222)</f>
        <v>0.24028927809755118</v>
      </c>
      <c r="BQ52" s="63">
        <f t="shared" si="31"/>
        <v>8.5937419726231212</v>
      </c>
      <c r="BR52" s="63">
        <f>INDEX('Junctions — junctions'!$F$2:$F$197,MATCH(BI52,'Junctions — junctions'!$B$2:$B$197,0))</f>
        <v>12</v>
      </c>
      <c r="BS52" s="63">
        <v>10</v>
      </c>
      <c r="BT52" s="63">
        <f t="shared" si="14"/>
        <v>30.593741972623121</v>
      </c>
      <c r="BU52" s="63">
        <f t="shared" si="15"/>
        <v>13.148560710280407</v>
      </c>
      <c r="CV52" s="63" t="s">
        <v>312</v>
      </c>
      <c r="CW52" s="63" t="s">
        <v>701</v>
      </c>
      <c r="CX52" s="63" t="s">
        <v>700</v>
      </c>
      <c r="CY52" s="63">
        <v>250</v>
      </c>
      <c r="CZ52" s="63">
        <f>VLOOKUP(CY52,REF_TABLE!$G$7:$H$32,2)</f>
        <v>250</v>
      </c>
      <c r="DA52" s="63">
        <v>133</v>
      </c>
      <c r="DB52" s="63">
        <f>ABS(RESULT_ITTE!EB222)</f>
        <v>4.2142145374784905E-3</v>
      </c>
      <c r="DC52" s="63">
        <f t="shared" si="20"/>
        <v>0.25</v>
      </c>
      <c r="DD52" s="63">
        <f t="shared" si="21"/>
        <v>5.3657045991154177E-3</v>
      </c>
      <c r="DE52" s="63">
        <f>ABS(RESULT_ITTE!DX222)</f>
        <v>0.20285050391304088</v>
      </c>
      <c r="DF52" s="63">
        <f t="shared" si="33"/>
        <v>9.318062774516866</v>
      </c>
      <c r="DG52" s="63">
        <f>INDEX('Junctions — junctions'!$F$2:$F$197,MATCH(CX52,'Junctions — junctions'!$B$2:$B$197,0))</f>
        <v>13</v>
      </c>
      <c r="DH52" s="63">
        <v>10</v>
      </c>
      <c r="DI52" s="63">
        <f t="shared" si="22"/>
        <v>32.318062774516868</v>
      </c>
      <c r="DJ52" s="63">
        <f t="shared" si="23"/>
        <v>12.533276439631459</v>
      </c>
      <c r="EH52" s="63" t="s">
        <v>239</v>
      </c>
      <c r="EI52" s="63" t="s">
        <v>752</v>
      </c>
      <c r="EJ52" s="63" t="s">
        <v>753</v>
      </c>
      <c r="EK52" s="63">
        <v>200</v>
      </c>
      <c r="EL52" s="63">
        <v>200</v>
      </c>
      <c r="EM52" s="63">
        <v>89</v>
      </c>
      <c r="EN52" s="63">
        <v>1.8232894456951519E-3</v>
      </c>
      <c r="EO52" s="63">
        <v>0.2</v>
      </c>
      <c r="EP52" s="63">
        <v>3.6273190996208159E-3</v>
      </c>
      <c r="EQ52" s="63">
        <v>0.32036677995465007</v>
      </c>
      <c r="ER52" s="63">
        <v>8.6183643854698566</v>
      </c>
      <c r="ES52" s="63">
        <v>11</v>
      </c>
      <c r="ET52" s="63">
        <v>10</v>
      </c>
      <c r="EU52" s="63">
        <v>29.618364385469857</v>
      </c>
      <c r="EV52" s="63">
        <v>20.588131626824644</v>
      </c>
    </row>
    <row r="53" spans="2:152" x14ac:dyDescent="0.25">
      <c r="B53" s="63" t="s">
        <v>239</v>
      </c>
      <c r="C53" s="63" t="s">
        <v>752</v>
      </c>
      <c r="D53" s="63" t="s">
        <v>753</v>
      </c>
      <c r="E53" s="63">
        <v>200</v>
      </c>
      <c r="F53" s="63">
        <f>VLOOKUP(E53,REF_TABLE!$G$7:$H$32,2)</f>
        <v>200</v>
      </c>
      <c r="G53" s="63">
        <v>89</v>
      </c>
      <c r="H53" s="63">
        <f>ABS(RESULT_ITTE!Q223)</f>
        <v>1.8232894456951519E-3</v>
      </c>
      <c r="I53" s="63">
        <f t="shared" si="0"/>
        <v>0.2</v>
      </c>
      <c r="J53" s="63">
        <f t="shared" si="1"/>
        <v>3.6273190996208159E-3</v>
      </c>
      <c r="K53" s="66">
        <f>ABS(RESULT_ITTE!M223)</f>
        <v>0.32036677995465007</v>
      </c>
      <c r="L53" s="66">
        <f t="shared" si="28"/>
        <v>8.6183643854698566</v>
      </c>
      <c r="M53" s="63">
        <f>INDEX('Junctions — junctions'!$F$2:$F$197,MATCH(D53,'Junctions — junctions'!$B$2:$B$197,0))</f>
        <v>11</v>
      </c>
      <c r="N53" s="63">
        <v>10</v>
      </c>
      <c r="O53" s="63">
        <f t="shared" si="2"/>
        <v>29.618364385469857</v>
      </c>
      <c r="P53" s="63">
        <f t="shared" si="3"/>
        <v>20.588131626824644</v>
      </c>
      <c r="T53" s="63" t="s">
        <v>239</v>
      </c>
      <c r="U53" s="63" t="s">
        <v>752</v>
      </c>
      <c r="V53" s="63" t="s">
        <v>753</v>
      </c>
      <c r="W53" s="63">
        <v>200</v>
      </c>
      <c r="X53" s="63">
        <f>VLOOKUP(W53,REF_TABLE!$G$7:$H$32,2)</f>
        <v>200</v>
      </c>
      <c r="Y53" s="63">
        <v>89</v>
      </c>
      <c r="Z53" s="63">
        <f>ABS(RESULT_ITTE!AO223)</f>
        <v>5.1559089004894016E-4</v>
      </c>
      <c r="AA53" s="63">
        <f t="shared" si="4"/>
        <v>0.2</v>
      </c>
      <c r="AB53" s="63">
        <f t="shared" si="5"/>
        <v>1.0257354845554841E-3</v>
      </c>
      <c r="AC53" s="69">
        <f>ABS(RESULT_ITTE!AK223)</f>
        <v>0.19874322348307349</v>
      </c>
      <c r="AD53" s="69">
        <f t="shared" si="29"/>
        <v>54.267054930357411</v>
      </c>
      <c r="AE53" s="63">
        <f>INDEX('Junctions — junctions'!$F$2:$F$197,MATCH(V53,'Junctions — junctions'!$B$2:$B$197,0))</f>
        <v>11</v>
      </c>
      <c r="AF53" s="69">
        <v>10</v>
      </c>
      <c r="AG53" s="63">
        <f t="shared" si="6"/>
        <v>75.267054930357403</v>
      </c>
      <c r="AH53" s="63">
        <f t="shared" si="7"/>
        <v>19.605577277352033</v>
      </c>
      <c r="BG53" s="63" t="s">
        <v>212</v>
      </c>
      <c r="BH53" s="63" t="s">
        <v>678</v>
      </c>
      <c r="BI53" s="63" t="s">
        <v>679</v>
      </c>
      <c r="BJ53" s="63">
        <v>350</v>
      </c>
      <c r="BK53" s="63">
        <f>VLOOKUP(BJ53,REF_TABLE!$G$7:$H$32,2)</f>
        <v>350</v>
      </c>
      <c r="BL53" s="63">
        <v>138</v>
      </c>
      <c r="BM53" s="63">
        <f>ABS(RESULT_ITTE!CH223)</f>
        <v>4.8575364315767448E-3</v>
      </c>
      <c r="BN53" s="63">
        <f t="shared" si="12"/>
        <v>0.35</v>
      </c>
      <c r="BO53" s="63">
        <f t="shared" si="13"/>
        <v>3.1555140176914502E-3</v>
      </c>
      <c r="BP53" s="63">
        <f>ABS(RESULT_ITTE!CD223)</f>
        <v>0.25906187794892238</v>
      </c>
      <c r="BQ53" s="63">
        <f t="shared" si="31"/>
        <v>8.8528038505720428</v>
      </c>
      <c r="BR53" s="63">
        <f>INDEX('Junctions — junctions'!$F$2:$F$197,MATCH(BI53,'Junctions — junctions'!$B$2:$B$197,0))</f>
        <v>13</v>
      </c>
      <c r="BS53" s="63">
        <v>10</v>
      </c>
      <c r="BT53" s="63">
        <f t="shared" si="14"/>
        <v>31.852803850572045</v>
      </c>
      <c r="BU53" s="63">
        <f t="shared" si="15"/>
        <v>11.889498832331485</v>
      </c>
      <c r="CV53" s="63"/>
      <c r="CW53" s="63"/>
      <c r="CX53" s="63"/>
      <c r="CY53" s="63"/>
      <c r="CZ53" s="63">
        <f>MIN(CZ5:CZ52)</f>
        <v>250</v>
      </c>
      <c r="DA53" s="63"/>
      <c r="DB53" s="63"/>
      <c r="DC53" s="63"/>
      <c r="DD53" s="63"/>
      <c r="DE53" s="63"/>
      <c r="DF53" s="63"/>
      <c r="DG53" s="63"/>
      <c r="DH53" s="63"/>
      <c r="DI53" s="63">
        <f>MAX(DI5:DI52)</f>
        <v>34.851339214148325</v>
      </c>
      <c r="DJ53" s="63"/>
      <c r="EH53" s="63" t="s">
        <v>240</v>
      </c>
      <c r="EI53" s="63" t="s">
        <v>753</v>
      </c>
      <c r="EJ53" s="63" t="s">
        <v>754</v>
      </c>
      <c r="EK53" s="63">
        <v>200</v>
      </c>
      <c r="EL53" s="63">
        <v>200</v>
      </c>
      <c r="EM53" s="63">
        <v>45</v>
      </c>
      <c r="EN53" s="63">
        <v>2.7536849631541582E-3</v>
      </c>
      <c r="EO53" s="63">
        <v>0.2</v>
      </c>
      <c r="EP53" s="63">
        <v>5.4782821700475994E-3</v>
      </c>
      <c r="EQ53" s="63">
        <v>0.16198320334785676</v>
      </c>
      <c r="ER53" s="63">
        <v>8.7803475888177136</v>
      </c>
      <c r="ES53" s="63">
        <v>8</v>
      </c>
      <c r="ET53" s="63">
        <v>10</v>
      </c>
      <c r="EU53" s="63">
        <v>26.780347588817712</v>
      </c>
      <c r="EV53" s="63">
        <v>23.426148423476789</v>
      </c>
    </row>
    <row r="54" spans="2:152" x14ac:dyDescent="0.25">
      <c r="B54" s="63" t="s">
        <v>240</v>
      </c>
      <c r="C54" s="63" t="s">
        <v>753</v>
      </c>
      <c r="D54" s="63" t="s">
        <v>754</v>
      </c>
      <c r="E54" s="63">
        <v>200</v>
      </c>
      <c r="F54" s="63">
        <f>VLOOKUP(E54,REF_TABLE!$G$7:$H$32,2)</f>
        <v>200</v>
      </c>
      <c r="G54" s="63">
        <v>45</v>
      </c>
      <c r="H54" s="63">
        <f>ABS(RESULT_ITTE!Q224)</f>
        <v>2.7536849631541582E-3</v>
      </c>
      <c r="I54" s="63">
        <f t="shared" si="0"/>
        <v>0.2</v>
      </c>
      <c r="J54" s="63">
        <f t="shared" si="1"/>
        <v>5.4782821700475994E-3</v>
      </c>
      <c r="K54" s="66">
        <f>ABS(RESULT_ITTE!M224)</f>
        <v>0.16198320334785676</v>
      </c>
      <c r="L54" s="66">
        <f t="shared" si="28"/>
        <v>8.7803475888177136</v>
      </c>
      <c r="M54" s="63">
        <f>INDEX('Junctions — junctions'!$F$2:$F$197,MATCH(D54,'Junctions — junctions'!$B$2:$B$197,0))</f>
        <v>8</v>
      </c>
      <c r="N54" s="63">
        <v>10</v>
      </c>
      <c r="O54" s="63">
        <f t="shared" si="2"/>
        <v>26.780347588817712</v>
      </c>
      <c r="P54" s="63">
        <f t="shared" si="3"/>
        <v>23.426148423476789</v>
      </c>
      <c r="T54" s="63" t="s">
        <v>240</v>
      </c>
      <c r="U54" s="63" t="s">
        <v>753</v>
      </c>
      <c r="V54" s="63" t="s">
        <v>754</v>
      </c>
      <c r="W54" s="63">
        <v>200</v>
      </c>
      <c r="X54" s="63">
        <f>VLOOKUP(W54,REF_TABLE!$G$7:$H$32,2)</f>
        <v>200</v>
      </c>
      <c r="Y54" s="63">
        <v>45</v>
      </c>
      <c r="Z54" s="63">
        <f>ABS(RESULT_ITTE!AO224)</f>
        <v>1.8946841983272754E-3</v>
      </c>
      <c r="AA54" s="63">
        <f t="shared" si="4"/>
        <v>0.2</v>
      </c>
      <c r="AB54" s="63">
        <f t="shared" si="5"/>
        <v>3.7693544470236355E-3</v>
      </c>
      <c r="AC54" s="69">
        <f>ABS(RESULT_ITTE!AK224)</f>
        <v>0.10048814670492479</v>
      </c>
      <c r="AD54" s="69">
        <f t="shared" si="29"/>
        <v>54.367543077062336</v>
      </c>
      <c r="AE54" s="63">
        <f>INDEX('Junctions — junctions'!$F$2:$F$197,MATCH(V54,'Junctions — junctions'!$B$2:$B$197,0))</f>
        <v>8</v>
      </c>
      <c r="AF54" s="69">
        <v>10</v>
      </c>
      <c r="AG54" s="63">
        <f t="shared" si="6"/>
        <v>72.367543077062336</v>
      </c>
      <c r="AH54" s="63">
        <f t="shared" si="7"/>
        <v>22.505089130647107</v>
      </c>
      <c r="BG54" s="63" t="s">
        <v>426</v>
      </c>
      <c r="BH54" s="63" t="s">
        <v>679</v>
      </c>
      <c r="BI54" s="63" t="s">
        <v>774</v>
      </c>
      <c r="BJ54" s="63">
        <v>250</v>
      </c>
      <c r="BK54" s="63">
        <f>VLOOKUP(BJ54,REF_TABLE!$G$7:$H$32,2)</f>
        <v>250</v>
      </c>
      <c r="BL54" s="63">
        <v>184</v>
      </c>
      <c r="BM54" s="63">
        <f>ABS(RESULT_ITTE!CH224)</f>
        <v>3.9728490816759296E-3</v>
      </c>
      <c r="BN54" s="63">
        <f t="shared" si="12"/>
        <v>0.25</v>
      </c>
      <c r="BO54" s="63">
        <f t="shared" si="13"/>
        <v>5.05838855605457E-3</v>
      </c>
      <c r="BP54" s="63">
        <f>ABS(RESULT_ITTE!CD224)</f>
        <v>0.50305004365010741</v>
      </c>
      <c r="BQ54" s="63">
        <f t="shared" si="31"/>
        <v>9.3558538942221503</v>
      </c>
      <c r="BR54" s="63">
        <f>INDEX('Junctions — junctions'!$F$2:$F$197,MATCH(BI54,'Junctions — junctions'!$B$2:$B$197,0))</f>
        <v>8</v>
      </c>
      <c r="BS54" s="63">
        <v>10</v>
      </c>
      <c r="BT54" s="63">
        <f t="shared" si="14"/>
        <v>27.35585389422215</v>
      </c>
      <c r="BU54" s="63">
        <f t="shared" si="15"/>
        <v>16.386448788681378</v>
      </c>
      <c r="CZ54">
        <f>MAX(CZ5:CZ52)</f>
        <v>500</v>
      </c>
      <c r="EH54" s="63" t="s">
        <v>241</v>
      </c>
      <c r="EI54" s="63" t="s">
        <v>754</v>
      </c>
      <c r="EJ54" s="63" t="s">
        <v>755</v>
      </c>
      <c r="EK54" s="63">
        <v>200</v>
      </c>
      <c r="EL54" s="63">
        <v>200</v>
      </c>
      <c r="EM54" s="63">
        <v>43</v>
      </c>
      <c r="EN54" s="63">
        <v>2.6788435646668452E-3</v>
      </c>
      <c r="EO54" s="63">
        <v>0.2</v>
      </c>
      <c r="EP54" s="63">
        <v>5.3293899385830224E-3</v>
      </c>
      <c r="EQ54" s="63">
        <v>0.1547839498657298</v>
      </c>
      <c r="ER54" s="63">
        <v>8.9351315386834429</v>
      </c>
      <c r="ES54" s="63">
        <v>9</v>
      </c>
      <c r="ET54" s="63">
        <v>10</v>
      </c>
      <c r="EU54" s="63">
        <v>27.935131538683443</v>
      </c>
      <c r="EV54" s="63">
        <v>22.271364473611058</v>
      </c>
    </row>
    <row r="55" spans="2:152" x14ac:dyDescent="0.25">
      <c r="B55" s="63" t="s">
        <v>241</v>
      </c>
      <c r="C55" s="63" t="s">
        <v>754</v>
      </c>
      <c r="D55" s="63" t="s">
        <v>755</v>
      </c>
      <c r="E55" s="63">
        <v>200</v>
      </c>
      <c r="F55" s="63">
        <f>VLOOKUP(E55,REF_TABLE!$G$7:$H$32,2)</f>
        <v>200</v>
      </c>
      <c r="G55" s="63">
        <v>43</v>
      </c>
      <c r="H55" s="63">
        <f>ABS(RESULT_ITTE!Q225)</f>
        <v>2.6788435646668452E-3</v>
      </c>
      <c r="I55" s="63">
        <f t="shared" si="0"/>
        <v>0.2</v>
      </c>
      <c r="J55" s="63">
        <f t="shared" si="1"/>
        <v>5.3293899385830224E-3</v>
      </c>
      <c r="K55" s="66">
        <f>ABS(RESULT_ITTE!M225)</f>
        <v>0.1547839498657298</v>
      </c>
      <c r="L55" s="66">
        <f t="shared" si="28"/>
        <v>8.9351315386834429</v>
      </c>
      <c r="M55" s="63">
        <f>INDEX('Junctions — junctions'!$F$2:$F$197,MATCH(D55,'Junctions — junctions'!$B$2:$B$197,0))</f>
        <v>9</v>
      </c>
      <c r="N55" s="63">
        <v>10</v>
      </c>
      <c r="O55" s="63">
        <f t="shared" si="2"/>
        <v>27.935131538683443</v>
      </c>
      <c r="P55" s="63">
        <f t="shared" si="3"/>
        <v>22.271364473611058</v>
      </c>
      <c r="T55" s="63" t="s">
        <v>241</v>
      </c>
      <c r="U55" s="63" t="s">
        <v>754</v>
      </c>
      <c r="V55" s="63" t="s">
        <v>755</v>
      </c>
      <c r="W55" s="63">
        <v>200</v>
      </c>
      <c r="X55" s="63">
        <f>VLOOKUP(W55,REF_TABLE!$G$7:$H$32,2)</f>
        <v>200</v>
      </c>
      <c r="Y55" s="63">
        <v>43</v>
      </c>
      <c r="Z55" s="63">
        <f>ABS(RESULT_ITTE!AO225)</f>
        <v>1.6010217641143263E-3</v>
      </c>
      <c r="AA55" s="63">
        <f t="shared" si="4"/>
        <v>0.2</v>
      </c>
      <c r="AB55" s="63">
        <f t="shared" si="5"/>
        <v>3.1851315969562682E-3</v>
      </c>
      <c r="AC55" s="69">
        <f>ABS(RESULT_ITTE!AK225)</f>
        <v>9.6022006851372577E-2</v>
      </c>
      <c r="AD55" s="69">
        <f t="shared" si="29"/>
        <v>54.463565083913707</v>
      </c>
      <c r="AE55" s="63">
        <f>INDEX('Junctions — junctions'!$F$2:$F$197,MATCH(V55,'Junctions — junctions'!$B$2:$B$197,0))</f>
        <v>9</v>
      </c>
      <c r="AF55" s="69">
        <v>10</v>
      </c>
      <c r="AG55" s="63">
        <f t="shared" si="6"/>
        <v>73.463565083913707</v>
      </c>
      <c r="AH55" s="63">
        <f t="shared" si="7"/>
        <v>21.409067123795737</v>
      </c>
      <c r="BG55" s="63" t="s">
        <v>277</v>
      </c>
      <c r="BH55" s="63" t="s">
        <v>773</v>
      </c>
      <c r="BI55" s="63" t="s">
        <v>772</v>
      </c>
      <c r="BJ55" s="63">
        <v>250</v>
      </c>
      <c r="BK55" s="63">
        <f>VLOOKUP(BJ55,REF_TABLE!$G$7:$H$32,2)</f>
        <v>250</v>
      </c>
      <c r="BL55" s="63">
        <v>351</v>
      </c>
      <c r="BM55" s="63">
        <f>ABS(RESULT_ITTE!CH225)</f>
        <v>8.9717460407450298E-3</v>
      </c>
      <c r="BN55" s="63">
        <f t="shared" si="12"/>
        <v>0.25</v>
      </c>
      <c r="BO55" s="63">
        <f t="shared" si="13"/>
        <v>1.14231818443977E-2</v>
      </c>
      <c r="BP55" s="63">
        <f>ABS(RESULT_ITTE!CD225)</f>
        <v>0.8821338523934692</v>
      </c>
      <c r="BQ55" s="63">
        <f t="shared" si="31"/>
        <v>10.237987746615619</v>
      </c>
      <c r="BR55" s="63">
        <f>INDEX('Junctions — junctions'!$F$2:$F$197,MATCH(BI55,'Junctions — junctions'!$B$2:$B$197,0))</f>
        <v>10</v>
      </c>
      <c r="BS55" s="63">
        <v>10</v>
      </c>
      <c r="BT55" s="63">
        <f t="shared" si="14"/>
        <v>30.237987746615619</v>
      </c>
      <c r="BU55" s="63">
        <f t="shared" si="15"/>
        <v>13.504314936287908</v>
      </c>
      <c r="EH55" s="63" t="s">
        <v>243</v>
      </c>
      <c r="EI55" s="63" t="s">
        <v>755</v>
      </c>
      <c r="EJ55" s="63" t="s">
        <v>756</v>
      </c>
      <c r="EK55" s="63">
        <v>200</v>
      </c>
      <c r="EL55" s="63">
        <v>200</v>
      </c>
      <c r="EM55" s="63">
        <v>66</v>
      </c>
      <c r="EN55" s="63">
        <v>4.1520211677015337E-3</v>
      </c>
      <c r="EO55" s="63">
        <v>0.2</v>
      </c>
      <c r="EP55" s="63">
        <v>8.2601836582735302E-3</v>
      </c>
      <c r="EQ55" s="63">
        <v>0.23757536491018991</v>
      </c>
      <c r="ER55" s="63">
        <v>9.1727069035936335</v>
      </c>
      <c r="ES55" s="63">
        <v>10</v>
      </c>
      <c r="ET55" s="63">
        <v>10</v>
      </c>
      <c r="EU55" s="63">
        <v>29.172706903593635</v>
      </c>
      <c r="EV55" s="63">
        <v>21.033789108700866</v>
      </c>
    </row>
    <row r="56" spans="2:152" x14ac:dyDescent="0.25">
      <c r="B56" s="63" t="s">
        <v>243</v>
      </c>
      <c r="C56" s="63" t="s">
        <v>755</v>
      </c>
      <c r="D56" s="63" t="s">
        <v>756</v>
      </c>
      <c r="E56" s="63">
        <v>200</v>
      </c>
      <c r="F56" s="63">
        <f>VLOOKUP(E56,REF_TABLE!$G$7:$H$32,2)</f>
        <v>200</v>
      </c>
      <c r="G56" s="63">
        <v>66</v>
      </c>
      <c r="H56" s="63">
        <f>ABS(RESULT_ITTE!Q226)</f>
        <v>4.1520211677015337E-3</v>
      </c>
      <c r="I56" s="63">
        <f t="shared" si="0"/>
        <v>0.2</v>
      </c>
      <c r="J56" s="63">
        <f t="shared" si="1"/>
        <v>8.2601836582735302E-3</v>
      </c>
      <c r="K56" s="66">
        <f>ABS(RESULT_ITTE!M226)</f>
        <v>0.23757536491018991</v>
      </c>
      <c r="L56" s="66">
        <f t="shared" si="28"/>
        <v>9.1727069035936335</v>
      </c>
      <c r="M56" s="63">
        <f>INDEX('Junctions — junctions'!$F$2:$F$197,MATCH(D56,'Junctions — junctions'!$B$2:$B$197,0))</f>
        <v>10</v>
      </c>
      <c r="N56" s="63">
        <v>10</v>
      </c>
      <c r="O56" s="63">
        <f t="shared" si="2"/>
        <v>29.172706903593635</v>
      </c>
      <c r="P56" s="63">
        <f t="shared" si="3"/>
        <v>21.033789108700866</v>
      </c>
      <c r="T56" s="63" t="s">
        <v>243</v>
      </c>
      <c r="U56" s="63" t="s">
        <v>755</v>
      </c>
      <c r="V56" s="63" t="s">
        <v>756</v>
      </c>
      <c r="W56" s="63">
        <v>200</v>
      </c>
      <c r="X56" s="63">
        <f>VLOOKUP(W56,REF_TABLE!$G$7:$H$32,2)</f>
        <v>200</v>
      </c>
      <c r="Y56" s="63">
        <v>66</v>
      </c>
      <c r="Z56" s="63">
        <f>ABS(RESULT_ITTE!AO226)</f>
        <v>1.4127237990254182E-3</v>
      </c>
      <c r="AA56" s="63">
        <f t="shared" si="4"/>
        <v>0.2</v>
      </c>
      <c r="AB56" s="63">
        <f t="shared" si="5"/>
        <v>2.8105246979807075E-3</v>
      </c>
      <c r="AC56" s="69">
        <f>ABS(RESULT_ITTE!AK226)</f>
        <v>0.14738261516722301</v>
      </c>
      <c r="AD56" s="69">
        <f t="shared" si="29"/>
        <v>54.610947699080931</v>
      </c>
      <c r="AE56" s="63">
        <f>INDEX('Junctions — junctions'!$F$2:$F$197,MATCH(V56,'Junctions — junctions'!$B$2:$B$197,0))</f>
        <v>10</v>
      </c>
      <c r="AF56" s="69">
        <v>10</v>
      </c>
      <c r="AG56" s="63">
        <f t="shared" si="6"/>
        <v>74.610947699080924</v>
      </c>
      <c r="AH56" s="63">
        <f t="shared" si="7"/>
        <v>20.261684508628512</v>
      </c>
      <c r="BG56" s="63" t="s">
        <v>427</v>
      </c>
      <c r="BH56" s="63" t="s">
        <v>774</v>
      </c>
      <c r="BI56" s="63" t="s">
        <v>773</v>
      </c>
      <c r="BJ56" s="63">
        <v>300</v>
      </c>
      <c r="BK56" s="63">
        <f>VLOOKUP(BJ56,REF_TABLE!$G$7:$H$32,2)</f>
        <v>300</v>
      </c>
      <c r="BL56" s="63">
        <v>169</v>
      </c>
      <c r="BM56" s="63">
        <f>ABS(RESULT_ITTE!CH226)</f>
        <v>5.5868056531075501E-3</v>
      </c>
      <c r="BN56" s="63">
        <f t="shared" si="12"/>
        <v>0.3</v>
      </c>
      <c r="BO56" s="63">
        <f t="shared" si="13"/>
        <v>4.9398207543656179E-3</v>
      </c>
      <c r="BP56" s="63">
        <f>ABS(RESULT_ITTE!CD226)</f>
        <v>0.38639724054184493</v>
      </c>
      <c r="BQ56" s="63">
        <f t="shared" si="31"/>
        <v>10.624384987157464</v>
      </c>
      <c r="BR56" s="63">
        <f>INDEX('Junctions — junctions'!$F$2:$F$197,MATCH(BI56,'Junctions — junctions'!$B$2:$B$197,0))</f>
        <v>10</v>
      </c>
      <c r="BS56" s="63">
        <v>10</v>
      </c>
      <c r="BT56" s="63">
        <f t="shared" si="14"/>
        <v>30.624384987157462</v>
      </c>
      <c r="BU56" s="63">
        <f t="shared" si="15"/>
        <v>13.117917695746064</v>
      </c>
      <c r="EH56" s="63" t="s">
        <v>242</v>
      </c>
      <c r="EI56" s="63" t="s">
        <v>756</v>
      </c>
      <c r="EJ56" s="63" t="s">
        <v>757</v>
      </c>
      <c r="EK56" s="63">
        <v>200</v>
      </c>
      <c r="EL56" s="63">
        <v>200</v>
      </c>
      <c r="EM56" s="63">
        <v>48</v>
      </c>
      <c r="EN56" s="63">
        <v>4.6472620234922542E-3</v>
      </c>
      <c r="EO56" s="63">
        <v>0.2</v>
      </c>
      <c r="EP56" s="63">
        <v>9.2454340360254503E-3</v>
      </c>
      <c r="EQ56" s="63">
        <v>0.17278208357104724</v>
      </c>
      <c r="ER56" s="63">
        <v>9.3454889871646802</v>
      </c>
      <c r="ES56" s="63">
        <v>14</v>
      </c>
      <c r="ET56" s="63">
        <v>10</v>
      </c>
      <c r="EU56" s="63">
        <v>33.345488987164678</v>
      </c>
      <c r="EV56" s="63">
        <v>16.861007025129823</v>
      </c>
    </row>
    <row r="57" spans="2:152" x14ac:dyDescent="0.25">
      <c r="B57" s="63" t="s">
        <v>242</v>
      </c>
      <c r="C57" s="63" t="s">
        <v>756</v>
      </c>
      <c r="D57" s="63" t="s">
        <v>757</v>
      </c>
      <c r="E57" s="63">
        <v>200</v>
      </c>
      <c r="F57" s="63">
        <f>VLOOKUP(E57,REF_TABLE!$G$7:$H$32,2)</f>
        <v>200</v>
      </c>
      <c r="G57" s="63">
        <v>48</v>
      </c>
      <c r="H57" s="63">
        <f>ABS(RESULT_ITTE!Q227)</f>
        <v>4.6472620234922542E-3</v>
      </c>
      <c r="I57" s="63">
        <f t="shared" si="0"/>
        <v>0.2</v>
      </c>
      <c r="J57" s="63">
        <f t="shared" si="1"/>
        <v>9.2454340360254503E-3</v>
      </c>
      <c r="K57" s="66">
        <f>ABS(RESULT_ITTE!M227)</f>
        <v>0.17278208357104724</v>
      </c>
      <c r="L57" s="66">
        <f t="shared" si="28"/>
        <v>9.3454889871646802</v>
      </c>
      <c r="M57" s="63">
        <f>INDEX('Junctions — junctions'!$F$2:$F$197,MATCH(D57,'Junctions — junctions'!$B$2:$B$197,0))</f>
        <v>14</v>
      </c>
      <c r="N57" s="63">
        <v>10</v>
      </c>
      <c r="O57" s="63">
        <f t="shared" si="2"/>
        <v>33.345488987164678</v>
      </c>
      <c r="P57" s="63">
        <f t="shared" si="3"/>
        <v>16.861007025129823</v>
      </c>
      <c r="T57" s="63" t="s">
        <v>242</v>
      </c>
      <c r="U57" s="63" t="s">
        <v>756</v>
      </c>
      <c r="V57" s="63" t="s">
        <v>757</v>
      </c>
      <c r="W57" s="63">
        <v>200</v>
      </c>
      <c r="X57" s="63">
        <f>VLOOKUP(W57,REF_TABLE!$G$7:$H$32,2)</f>
        <v>200</v>
      </c>
      <c r="Y57" s="63">
        <v>48</v>
      </c>
      <c r="Z57" s="63">
        <f>ABS(RESULT_ITTE!AO227)</f>
        <v>1.1848186181109639E-3</v>
      </c>
      <c r="AA57" s="63">
        <f t="shared" si="4"/>
        <v>0.2</v>
      </c>
      <c r="AB57" s="63">
        <f t="shared" si="5"/>
        <v>2.3571217467458568E-3</v>
      </c>
      <c r="AC57" s="69">
        <f>ABS(RESULT_ITTE!AK227)</f>
        <v>0.10718735648525311</v>
      </c>
      <c r="AD57" s="69">
        <f t="shared" si="29"/>
        <v>54.718135055566187</v>
      </c>
      <c r="AE57" s="63">
        <f>INDEX('Junctions — junctions'!$F$2:$F$197,MATCH(V57,'Junctions — junctions'!$B$2:$B$197,0))</f>
        <v>14</v>
      </c>
      <c r="AF57" s="69">
        <v>10</v>
      </c>
      <c r="AG57" s="63">
        <f t="shared" si="6"/>
        <v>78.718135055566194</v>
      </c>
      <c r="AH57" s="63">
        <f t="shared" si="7"/>
        <v>16.154497152143257</v>
      </c>
      <c r="BG57" s="63"/>
      <c r="BH57" s="63"/>
      <c r="BI57" s="63"/>
      <c r="BJ57" s="63"/>
      <c r="BK57" s="63">
        <f>MIN(BK5:BK56)</f>
        <v>250</v>
      </c>
      <c r="BL57" s="63"/>
      <c r="BM57" s="63"/>
      <c r="BN57" s="63"/>
      <c r="BO57" s="63"/>
      <c r="BP57" s="63"/>
      <c r="BQ57" s="63"/>
      <c r="BR57" s="63"/>
      <c r="BS57" s="63"/>
      <c r="BT57" s="63">
        <f>MAX(BT5:BT56)</f>
        <v>33.742302682903528</v>
      </c>
      <c r="BU57" s="63"/>
      <c r="EH57" s="63" t="s">
        <v>244</v>
      </c>
      <c r="EI57" s="63" t="s">
        <v>757</v>
      </c>
      <c r="EJ57" s="63" t="s">
        <v>758</v>
      </c>
      <c r="EK57" s="63">
        <v>200</v>
      </c>
      <c r="EL57" s="63">
        <v>200</v>
      </c>
      <c r="EM57" s="63">
        <v>19</v>
      </c>
      <c r="EN57" s="63">
        <v>5.5280134627942725E-3</v>
      </c>
      <c r="EO57" s="63">
        <v>0.2</v>
      </c>
      <c r="EP57" s="63">
        <v>1.0997633351028172E-2</v>
      </c>
      <c r="EQ57" s="63">
        <v>6.8392908080206191E-2</v>
      </c>
      <c r="ER57" s="63">
        <v>9.4138818952448862</v>
      </c>
      <c r="ES57" s="63">
        <v>12</v>
      </c>
      <c r="ET57" s="63">
        <v>10</v>
      </c>
      <c r="EU57" s="63">
        <v>31.413881895244884</v>
      </c>
      <c r="EV57" s="63">
        <v>18.792614117049617</v>
      </c>
    </row>
    <row r="58" spans="2:152" x14ac:dyDescent="0.25">
      <c r="B58" s="63" t="s">
        <v>244</v>
      </c>
      <c r="C58" s="63" t="s">
        <v>757</v>
      </c>
      <c r="D58" s="63" t="s">
        <v>758</v>
      </c>
      <c r="E58" s="63">
        <v>200</v>
      </c>
      <c r="F58" s="63">
        <f>VLOOKUP(E58,REF_TABLE!$G$7:$H$32,2)</f>
        <v>200</v>
      </c>
      <c r="G58" s="63">
        <v>19</v>
      </c>
      <c r="H58" s="63">
        <f>ABS(RESULT_ITTE!Q228)</f>
        <v>5.5280134627942725E-3</v>
      </c>
      <c r="I58" s="63">
        <f t="shared" si="0"/>
        <v>0.2</v>
      </c>
      <c r="J58" s="63">
        <f t="shared" si="1"/>
        <v>1.0997633351028172E-2</v>
      </c>
      <c r="K58" s="66">
        <f>ABS(RESULT_ITTE!M228)</f>
        <v>6.8392908080206191E-2</v>
      </c>
      <c r="L58" s="66">
        <f t="shared" si="28"/>
        <v>9.4138818952448862</v>
      </c>
      <c r="M58" s="63">
        <f>INDEX('Junctions — junctions'!$F$2:$F$197,MATCH(D58,'Junctions — junctions'!$B$2:$B$197,0))</f>
        <v>12</v>
      </c>
      <c r="N58" s="63">
        <v>10</v>
      </c>
      <c r="O58" s="63">
        <f t="shared" si="2"/>
        <v>31.413881895244884</v>
      </c>
      <c r="P58" s="63">
        <f t="shared" si="3"/>
        <v>18.792614117049617</v>
      </c>
      <c r="T58" s="63" t="s">
        <v>244</v>
      </c>
      <c r="U58" s="63" t="s">
        <v>757</v>
      </c>
      <c r="V58" s="63" t="s">
        <v>758</v>
      </c>
      <c r="W58" s="63">
        <v>200</v>
      </c>
      <c r="X58" s="63">
        <f>VLOOKUP(W58,REF_TABLE!$G$7:$H$32,2)</f>
        <v>200</v>
      </c>
      <c r="Y58" s="63">
        <v>19</v>
      </c>
      <c r="Z58" s="63">
        <f>ABS(RESULT_ITTE!AO228)</f>
        <v>2.6710731842888259E-5</v>
      </c>
      <c r="AA58" s="63">
        <f t="shared" si="4"/>
        <v>0.2</v>
      </c>
      <c r="AB58" s="63">
        <f t="shared" si="5"/>
        <v>5.3139312579971964E-5</v>
      </c>
      <c r="AC58" s="69">
        <f>ABS(RESULT_ITTE!AK228)</f>
        <v>4.2428328608746027E-2</v>
      </c>
      <c r="AD58" s="69">
        <f t="shared" si="29"/>
        <v>54.76056338417493</v>
      </c>
      <c r="AE58" s="63">
        <f>INDEX('Junctions — junctions'!$F$2:$F$197,MATCH(V58,'Junctions — junctions'!$B$2:$B$197,0))</f>
        <v>12</v>
      </c>
      <c r="AF58" s="69">
        <v>10</v>
      </c>
      <c r="AG58" s="63">
        <f t="shared" si="6"/>
        <v>76.76056338417493</v>
      </c>
      <c r="AH58" s="63">
        <f t="shared" si="7"/>
        <v>18.112068823534514</v>
      </c>
      <c r="BK58">
        <f>MAX(BK5:BK56)</f>
        <v>600</v>
      </c>
      <c r="EH58" s="63" t="s">
        <v>245</v>
      </c>
      <c r="EI58" s="63" t="s">
        <v>758</v>
      </c>
      <c r="EJ58" s="63" t="s">
        <v>759</v>
      </c>
      <c r="EK58" s="63">
        <v>200</v>
      </c>
      <c r="EL58" s="63">
        <v>200</v>
      </c>
      <c r="EM58" s="63">
        <v>58</v>
      </c>
      <c r="EN58" s="63">
        <v>5.5123198527817444E-3</v>
      </c>
      <c r="EO58" s="63">
        <v>0.2</v>
      </c>
      <c r="EP58" s="63">
        <v>1.0966411905922542E-2</v>
      </c>
      <c r="EQ58" s="63">
        <v>0.20877835098168207</v>
      </c>
      <c r="ER58" s="63">
        <v>9.6226602462265678</v>
      </c>
      <c r="ES58" s="63">
        <v>13</v>
      </c>
      <c r="ET58" s="63">
        <v>10</v>
      </c>
      <c r="EU58" s="63">
        <v>32.622660246226566</v>
      </c>
      <c r="EV58" s="63">
        <v>17.583835766067935</v>
      </c>
    </row>
    <row r="59" spans="2:152" x14ac:dyDescent="0.25">
      <c r="B59" s="63" t="s">
        <v>245</v>
      </c>
      <c r="C59" s="63" t="s">
        <v>758</v>
      </c>
      <c r="D59" s="63" t="s">
        <v>759</v>
      </c>
      <c r="E59" s="63">
        <v>200</v>
      </c>
      <c r="F59" s="63">
        <f>VLOOKUP(E59,REF_TABLE!$G$7:$H$32,2)</f>
        <v>200</v>
      </c>
      <c r="G59" s="63">
        <v>58</v>
      </c>
      <c r="H59" s="63">
        <f>ABS(RESULT_ITTE!Q229)</f>
        <v>5.5123198527817444E-3</v>
      </c>
      <c r="I59" s="63">
        <f t="shared" si="0"/>
        <v>0.2</v>
      </c>
      <c r="J59" s="63">
        <f t="shared" si="1"/>
        <v>1.0966411905922542E-2</v>
      </c>
      <c r="K59" s="66">
        <f>ABS(RESULT_ITTE!M229)</f>
        <v>0.20877835098168207</v>
      </c>
      <c r="L59" s="66">
        <f t="shared" si="28"/>
        <v>9.6226602462265678</v>
      </c>
      <c r="M59" s="63">
        <f>INDEX('Junctions — junctions'!$F$2:$F$197,MATCH(D59,'Junctions — junctions'!$B$2:$B$197,0))</f>
        <v>13</v>
      </c>
      <c r="N59" s="63">
        <v>10</v>
      </c>
      <c r="O59" s="63">
        <f t="shared" si="2"/>
        <v>32.622660246226566</v>
      </c>
      <c r="P59" s="63">
        <f t="shared" si="3"/>
        <v>17.583835766067935</v>
      </c>
      <c r="T59" s="63" t="s">
        <v>245</v>
      </c>
      <c r="U59" s="63" t="s">
        <v>758</v>
      </c>
      <c r="V59" s="63" t="s">
        <v>759</v>
      </c>
      <c r="W59" s="63">
        <v>200</v>
      </c>
      <c r="X59" s="63">
        <f>VLOOKUP(W59,REF_TABLE!$G$7:$H$32,2)</f>
        <v>200</v>
      </c>
      <c r="Y59" s="63">
        <v>58</v>
      </c>
      <c r="Z59" s="63">
        <f>ABS(RESULT_ITTE!AO229)</f>
        <v>3.2236682525302956E-3</v>
      </c>
      <c r="AA59" s="63">
        <f t="shared" si="4"/>
        <v>0.2</v>
      </c>
      <c r="AB59" s="63">
        <f t="shared" si="5"/>
        <v>6.4132842159826103E-3</v>
      </c>
      <c r="AC59" s="69">
        <f>ABS(RESULT_ITTE!AK229)</f>
        <v>0.12951805575301417</v>
      </c>
      <c r="AD59" s="69">
        <f t="shared" si="29"/>
        <v>54.890081439927947</v>
      </c>
      <c r="AE59" s="63">
        <f>INDEX('Junctions — junctions'!$F$2:$F$197,MATCH(V59,'Junctions — junctions'!$B$2:$B$197,0))</f>
        <v>13</v>
      </c>
      <c r="AF59" s="69">
        <v>10</v>
      </c>
      <c r="AG59" s="63">
        <f t="shared" si="6"/>
        <v>77.89008143992794</v>
      </c>
      <c r="AH59" s="63">
        <f t="shared" si="7"/>
        <v>16.982550767781497</v>
      </c>
      <c r="EH59" s="63" t="s">
        <v>246</v>
      </c>
      <c r="EI59" s="63" t="s">
        <v>759</v>
      </c>
      <c r="EJ59" s="63" t="s">
        <v>760</v>
      </c>
      <c r="EK59" s="63">
        <v>200</v>
      </c>
      <c r="EL59" s="63">
        <v>200</v>
      </c>
      <c r="EM59" s="63">
        <v>84</v>
      </c>
      <c r="EN59" s="63">
        <v>4.8093251469635348E-3</v>
      </c>
      <c r="EO59" s="63">
        <v>0.2</v>
      </c>
      <c r="EP59" s="63">
        <v>9.5678483759425309E-3</v>
      </c>
      <c r="EQ59" s="63">
        <v>0.30236864624933263</v>
      </c>
      <c r="ER59" s="63">
        <v>9.9250288924759005</v>
      </c>
      <c r="ES59" s="63">
        <v>11</v>
      </c>
      <c r="ET59" s="63">
        <v>10</v>
      </c>
      <c r="EU59" s="63">
        <v>30.9250288924759</v>
      </c>
      <c r="EV59" s="63">
        <v>19.281467119818601</v>
      </c>
    </row>
    <row r="60" spans="2:152" x14ac:dyDescent="0.25">
      <c r="B60" s="63" t="s">
        <v>246</v>
      </c>
      <c r="C60" s="63" t="s">
        <v>759</v>
      </c>
      <c r="D60" s="63" t="s">
        <v>760</v>
      </c>
      <c r="E60" s="63">
        <v>200</v>
      </c>
      <c r="F60" s="63">
        <f>VLOOKUP(E60,REF_TABLE!$G$7:$H$32,2)</f>
        <v>200</v>
      </c>
      <c r="G60" s="63">
        <v>84</v>
      </c>
      <c r="H60" s="63">
        <f>ABS(RESULT_ITTE!Q230)</f>
        <v>4.8093251469635348E-3</v>
      </c>
      <c r="I60" s="63">
        <f t="shared" si="0"/>
        <v>0.2</v>
      </c>
      <c r="J60" s="63">
        <f t="shared" si="1"/>
        <v>9.5678483759425309E-3</v>
      </c>
      <c r="K60" s="66">
        <f>ABS(RESULT_ITTE!M230)</f>
        <v>0.30236864624933263</v>
      </c>
      <c r="L60" s="66">
        <f t="shared" si="28"/>
        <v>9.9250288924759005</v>
      </c>
      <c r="M60" s="63">
        <f>INDEX('Junctions — junctions'!$F$2:$F$197,MATCH(D60,'Junctions — junctions'!$B$2:$B$197,0))</f>
        <v>11</v>
      </c>
      <c r="N60" s="63">
        <v>10</v>
      </c>
      <c r="O60" s="63">
        <f t="shared" si="2"/>
        <v>30.9250288924759</v>
      </c>
      <c r="P60" s="63">
        <f t="shared" si="3"/>
        <v>19.281467119818601</v>
      </c>
      <c r="T60" s="63" t="s">
        <v>246</v>
      </c>
      <c r="U60" s="63" t="s">
        <v>759</v>
      </c>
      <c r="V60" s="63" t="s">
        <v>760</v>
      </c>
      <c r="W60" s="63">
        <v>200</v>
      </c>
      <c r="X60" s="63">
        <f>VLOOKUP(W60,REF_TABLE!$G$7:$H$32,2)</f>
        <v>200</v>
      </c>
      <c r="Y60" s="63">
        <v>84</v>
      </c>
      <c r="Z60" s="63">
        <f>ABS(RESULT_ITTE!AO230)</f>
        <v>3.0381313582258647E-3</v>
      </c>
      <c r="AA60" s="63">
        <f t="shared" si="4"/>
        <v>0.2</v>
      </c>
      <c r="AB60" s="63">
        <f t="shared" si="5"/>
        <v>6.0441702928017522E-3</v>
      </c>
      <c r="AC60" s="69">
        <f>ABS(RESULT_ITTE!AK230)</f>
        <v>0.18757787384919294</v>
      </c>
      <c r="AD60" s="69">
        <f t="shared" si="29"/>
        <v>55.07765931377714</v>
      </c>
      <c r="AE60" s="63">
        <f>INDEX('Junctions — junctions'!$F$2:$F$197,MATCH(V60,'Junctions — junctions'!$B$2:$B$197,0))</f>
        <v>11</v>
      </c>
      <c r="AF60" s="69">
        <v>10</v>
      </c>
      <c r="AG60" s="63">
        <f t="shared" si="6"/>
        <v>76.077659313777133</v>
      </c>
      <c r="AH60" s="63">
        <f t="shared" si="7"/>
        <v>18.794972893932304</v>
      </c>
      <c r="EH60" s="63" t="s">
        <v>247</v>
      </c>
      <c r="EI60" s="63" t="s">
        <v>760</v>
      </c>
      <c r="EJ60" s="63" t="s">
        <v>761</v>
      </c>
      <c r="EK60" s="63">
        <v>200</v>
      </c>
      <c r="EL60" s="63">
        <v>200</v>
      </c>
      <c r="EM60" s="63">
        <v>105</v>
      </c>
      <c r="EN60" s="63">
        <v>4.7892963499085606E-3</v>
      </c>
      <c r="EO60" s="63">
        <v>0.2</v>
      </c>
      <c r="EP60" s="63">
        <v>9.5280023502489868E-3</v>
      </c>
      <c r="EQ60" s="63">
        <v>0.37796080781166586</v>
      </c>
      <c r="ER60" s="63">
        <v>10.302989700287567</v>
      </c>
      <c r="ES60" s="63">
        <v>8</v>
      </c>
      <c r="ET60" s="63">
        <v>10</v>
      </c>
      <c r="EU60" s="63">
        <v>28.302989700287569</v>
      </c>
      <c r="EV60" s="63">
        <v>21.903506312006932</v>
      </c>
    </row>
    <row r="61" spans="2:152" x14ac:dyDescent="0.25">
      <c r="B61" s="63" t="s">
        <v>247</v>
      </c>
      <c r="C61" s="63" t="s">
        <v>760</v>
      </c>
      <c r="D61" s="63" t="s">
        <v>761</v>
      </c>
      <c r="E61" s="63">
        <v>200</v>
      </c>
      <c r="F61" s="63">
        <f>VLOOKUP(E61,REF_TABLE!$G$7:$H$32,2)</f>
        <v>200</v>
      </c>
      <c r="G61" s="63">
        <v>105</v>
      </c>
      <c r="H61" s="63">
        <f>ABS(RESULT_ITTE!Q231)</f>
        <v>4.7892963499085606E-3</v>
      </c>
      <c r="I61" s="63">
        <f t="shared" si="0"/>
        <v>0.2</v>
      </c>
      <c r="J61" s="63">
        <f t="shared" si="1"/>
        <v>9.5280023502489868E-3</v>
      </c>
      <c r="K61" s="66">
        <f>ABS(RESULT_ITTE!M231)</f>
        <v>0.37796080781166586</v>
      </c>
      <c r="L61" s="66">
        <f t="shared" si="28"/>
        <v>10.302989700287567</v>
      </c>
      <c r="M61" s="63">
        <f>INDEX('Junctions — junctions'!$F$2:$F$197,MATCH(D61,'Junctions — junctions'!$B$2:$B$197,0))</f>
        <v>8</v>
      </c>
      <c r="N61" s="63">
        <v>10</v>
      </c>
      <c r="O61" s="63">
        <f t="shared" si="2"/>
        <v>28.302989700287569</v>
      </c>
      <c r="P61" s="63">
        <f t="shared" si="3"/>
        <v>21.903506312006932</v>
      </c>
      <c r="T61" s="63" t="s">
        <v>247</v>
      </c>
      <c r="U61" s="63" t="s">
        <v>760</v>
      </c>
      <c r="V61" s="63" t="s">
        <v>761</v>
      </c>
      <c r="W61" s="63">
        <v>200</v>
      </c>
      <c r="X61" s="63">
        <f>VLOOKUP(W61,REF_TABLE!$G$7:$H$32,2)</f>
        <v>200</v>
      </c>
      <c r="Y61" s="63">
        <v>105</v>
      </c>
      <c r="Z61" s="63">
        <f>ABS(RESULT_ITTE!AO231)</f>
        <v>7.4587637964537126E-4</v>
      </c>
      <c r="AA61" s="63">
        <f t="shared" si="4"/>
        <v>0.2</v>
      </c>
      <c r="AB61" s="63">
        <f t="shared" si="5"/>
        <v>1.4838739094505998E-3</v>
      </c>
      <c r="AC61" s="69">
        <f>ABS(RESULT_ITTE!AK231)</f>
        <v>0.23447234231149122</v>
      </c>
      <c r="AD61" s="69">
        <f t="shared" si="29"/>
        <v>55.312131656088631</v>
      </c>
      <c r="AE61" s="63">
        <f>INDEX('Junctions — junctions'!$F$2:$F$197,MATCH(V61,'Junctions — junctions'!$B$2:$B$197,0))</f>
        <v>8</v>
      </c>
      <c r="AF61" s="69">
        <v>10</v>
      </c>
      <c r="AG61" s="63">
        <f t="shared" si="6"/>
        <v>73.312131656088638</v>
      </c>
      <c r="AH61" s="63">
        <f t="shared" si="7"/>
        <v>21.560500551620812</v>
      </c>
      <c r="EH61" s="63" t="s">
        <v>248</v>
      </c>
      <c r="EI61" s="63" t="s">
        <v>761</v>
      </c>
      <c r="EJ61" s="63" t="s">
        <v>762</v>
      </c>
      <c r="EK61" s="63">
        <v>200</v>
      </c>
      <c r="EL61" s="63">
        <v>200</v>
      </c>
      <c r="EM61" s="63">
        <v>90</v>
      </c>
      <c r="EN61" s="63">
        <v>2.5181153393386497E-3</v>
      </c>
      <c r="EO61" s="63">
        <v>0.2</v>
      </c>
      <c r="EP61" s="63">
        <v>5.0096312941408936E-3</v>
      </c>
      <c r="EQ61" s="63">
        <v>0.32396640669571353</v>
      </c>
      <c r="ER61" s="63">
        <v>10.626956106983281</v>
      </c>
      <c r="ES61" s="63">
        <v>9</v>
      </c>
      <c r="ET61" s="63">
        <v>10</v>
      </c>
      <c r="EU61" s="63">
        <v>29.626956106983279</v>
      </c>
      <c r="EV61" s="63">
        <v>20.579539905311222</v>
      </c>
    </row>
    <row r="62" spans="2:152" x14ac:dyDescent="0.25">
      <c r="B62" s="63" t="s">
        <v>248</v>
      </c>
      <c r="C62" s="63" t="s">
        <v>761</v>
      </c>
      <c r="D62" s="63" t="s">
        <v>762</v>
      </c>
      <c r="E62" s="63">
        <v>200</v>
      </c>
      <c r="F62" s="63">
        <f>VLOOKUP(E62,REF_TABLE!$G$7:$H$32,2)</f>
        <v>200</v>
      </c>
      <c r="G62" s="63">
        <v>90</v>
      </c>
      <c r="H62" s="63">
        <f>ABS(RESULT_ITTE!Q232)</f>
        <v>2.5181153393386497E-3</v>
      </c>
      <c r="I62" s="63">
        <f t="shared" si="0"/>
        <v>0.2</v>
      </c>
      <c r="J62" s="63">
        <f t="shared" si="1"/>
        <v>5.0096312941408936E-3</v>
      </c>
      <c r="K62" s="66">
        <f>ABS(RESULT_ITTE!M232)</f>
        <v>0.32396640669571353</v>
      </c>
      <c r="L62" s="66">
        <f t="shared" si="28"/>
        <v>10.626956106983281</v>
      </c>
      <c r="M62" s="63">
        <f>INDEX('Junctions — junctions'!$F$2:$F$197,MATCH(D62,'Junctions — junctions'!$B$2:$B$197,0))</f>
        <v>9</v>
      </c>
      <c r="N62" s="63">
        <v>10</v>
      </c>
      <c r="O62" s="63">
        <f t="shared" si="2"/>
        <v>29.626956106983279</v>
      </c>
      <c r="P62" s="63">
        <f t="shared" si="3"/>
        <v>20.579539905311222</v>
      </c>
      <c r="T62" s="63" t="s">
        <v>248</v>
      </c>
      <c r="U62" s="63" t="s">
        <v>761</v>
      </c>
      <c r="V62" s="63" t="s">
        <v>762</v>
      </c>
      <c r="W62" s="63">
        <v>200</v>
      </c>
      <c r="X62" s="63">
        <f>VLOOKUP(W62,REF_TABLE!$G$7:$H$32,2)</f>
        <v>200</v>
      </c>
      <c r="Y62" s="63">
        <v>90</v>
      </c>
      <c r="Z62" s="63">
        <f>ABS(RESULT_ITTE!AO232)</f>
        <v>2.957262738368556E-4</v>
      </c>
      <c r="AA62" s="63">
        <f t="shared" si="4"/>
        <v>0.2</v>
      </c>
      <c r="AB62" s="63">
        <f t="shared" si="5"/>
        <v>5.8832872854103755E-4</v>
      </c>
      <c r="AC62" s="69">
        <f>ABS(RESULT_ITTE!AK232)</f>
        <v>0.20097629340984957</v>
      </c>
      <c r="AD62" s="69">
        <f t="shared" si="29"/>
        <v>55.513107949498483</v>
      </c>
      <c r="AE62" s="63">
        <f>INDEX('Junctions — junctions'!$F$2:$F$197,MATCH(V62,'Junctions — junctions'!$B$2:$B$197,0))</f>
        <v>9</v>
      </c>
      <c r="AF62" s="69">
        <v>10</v>
      </c>
      <c r="AG62" s="63">
        <f t="shared" si="6"/>
        <v>74.513107949498476</v>
      </c>
      <c r="AH62" s="63">
        <f t="shared" si="7"/>
        <v>20.359524258210961</v>
      </c>
      <c r="EH62" s="63" t="s">
        <v>249</v>
      </c>
      <c r="EI62" s="63" t="s">
        <v>762</v>
      </c>
      <c r="EJ62" s="63" t="s">
        <v>763</v>
      </c>
      <c r="EK62" s="63">
        <v>200</v>
      </c>
      <c r="EL62" s="63">
        <v>200</v>
      </c>
      <c r="EM62" s="63">
        <v>78</v>
      </c>
      <c r="EN62" s="63">
        <v>2.715960240648236E-3</v>
      </c>
      <c r="EO62" s="63">
        <v>0.2</v>
      </c>
      <c r="EP62" s="63">
        <v>5.4032312192527545E-3</v>
      </c>
      <c r="EQ62" s="63">
        <v>0.28077088580295173</v>
      </c>
      <c r="ER62" s="63">
        <v>10.907726992786232</v>
      </c>
      <c r="ES62" s="63">
        <v>14</v>
      </c>
      <c r="ET62" s="63">
        <v>10</v>
      </c>
      <c r="EU62" s="63">
        <v>34.90772699278623</v>
      </c>
      <c r="EV62" s="63">
        <v>15.298769019508269</v>
      </c>
    </row>
    <row r="63" spans="2:152" x14ac:dyDescent="0.25">
      <c r="B63" s="63" t="s">
        <v>249</v>
      </c>
      <c r="C63" s="63" t="s">
        <v>762</v>
      </c>
      <c r="D63" s="63" t="s">
        <v>763</v>
      </c>
      <c r="E63" s="63">
        <v>200</v>
      </c>
      <c r="F63" s="63">
        <f>VLOOKUP(E63,REF_TABLE!$G$7:$H$32,2)</f>
        <v>200</v>
      </c>
      <c r="G63" s="63">
        <v>78</v>
      </c>
      <c r="H63" s="63">
        <f>ABS(RESULT_ITTE!Q233)</f>
        <v>2.715960240648236E-3</v>
      </c>
      <c r="I63" s="63">
        <f t="shared" si="0"/>
        <v>0.2</v>
      </c>
      <c r="J63" s="63">
        <f t="shared" si="1"/>
        <v>5.4032312192527545E-3</v>
      </c>
      <c r="K63" s="66">
        <f>ABS(RESULT_ITTE!M233)</f>
        <v>0.28077088580295173</v>
      </c>
      <c r="L63" s="66">
        <f t="shared" si="28"/>
        <v>10.907726992786232</v>
      </c>
      <c r="M63" s="63">
        <f>INDEX('Junctions — junctions'!$F$2:$F$197,MATCH(D63,'Junctions — junctions'!$B$2:$B$197,0))</f>
        <v>14</v>
      </c>
      <c r="N63" s="63">
        <v>10</v>
      </c>
      <c r="O63" s="63">
        <f t="shared" si="2"/>
        <v>34.90772699278623</v>
      </c>
      <c r="P63" s="63">
        <f t="shared" si="3"/>
        <v>15.298769019508269</v>
      </c>
      <c r="T63" s="63" t="s">
        <v>249</v>
      </c>
      <c r="U63" s="63" t="s">
        <v>762</v>
      </c>
      <c r="V63" s="63" t="s">
        <v>763</v>
      </c>
      <c r="W63" s="63">
        <v>200</v>
      </c>
      <c r="X63" s="63">
        <f>VLOOKUP(W63,REF_TABLE!$G$7:$H$32,2)</f>
        <v>200</v>
      </c>
      <c r="Y63" s="63">
        <v>78</v>
      </c>
      <c r="Z63" s="63">
        <f>ABS(RESULT_ITTE!AO233)</f>
        <v>3.5155096728153672E-3</v>
      </c>
      <c r="AA63" s="63">
        <f t="shared" si="4"/>
        <v>0.2</v>
      </c>
      <c r="AB63" s="63">
        <f t="shared" si="5"/>
        <v>6.9938842739492163E-3</v>
      </c>
      <c r="AC63" s="69">
        <f>ABS(RESULT_ITTE!AK233)</f>
        <v>0.17417945428853632</v>
      </c>
      <c r="AD63" s="69">
        <f t="shared" si="29"/>
        <v>55.687287403787018</v>
      </c>
      <c r="AE63" s="63">
        <f>INDEX('Junctions — junctions'!$F$2:$F$197,MATCH(V63,'Junctions — junctions'!$B$2:$B$197,0))</f>
        <v>14</v>
      </c>
      <c r="AF63" s="69">
        <v>10</v>
      </c>
      <c r="AG63" s="63">
        <f t="shared" si="6"/>
        <v>79.687287403787025</v>
      </c>
      <c r="AH63" s="63">
        <f t="shared" si="7"/>
        <v>15.185344803922426</v>
      </c>
      <c r="EH63" s="63" t="s">
        <v>250</v>
      </c>
      <c r="EI63" s="63" t="s">
        <v>763</v>
      </c>
      <c r="EJ63" s="63" t="s">
        <v>764</v>
      </c>
      <c r="EK63" s="63">
        <v>200</v>
      </c>
      <c r="EL63" s="63">
        <v>200</v>
      </c>
      <c r="EM63" s="63">
        <v>83</v>
      </c>
      <c r="EN63" s="63">
        <v>9.5932252197964644E-4</v>
      </c>
      <c r="EO63" s="63">
        <v>0.2</v>
      </c>
      <c r="EP63" s="63">
        <v>1.9085115174055517E-3</v>
      </c>
      <c r="EQ63" s="63">
        <v>0.29876901950826917</v>
      </c>
      <c r="ER63" s="63">
        <v>11.206496012294501</v>
      </c>
      <c r="ES63" s="63">
        <v>19</v>
      </c>
      <c r="ET63" s="63">
        <v>10</v>
      </c>
      <c r="EU63" s="63">
        <v>40.206496012294501</v>
      </c>
      <c r="EV63" s="63">
        <v>10</v>
      </c>
    </row>
    <row r="64" spans="2:152" x14ac:dyDescent="0.25">
      <c r="B64" s="63" t="s">
        <v>250</v>
      </c>
      <c r="C64" s="63" t="s">
        <v>763</v>
      </c>
      <c r="D64" s="63" t="s">
        <v>764</v>
      </c>
      <c r="E64" s="63">
        <v>200</v>
      </c>
      <c r="F64" s="63">
        <f>VLOOKUP(E64,REF_TABLE!$G$7:$H$32,2)</f>
        <v>200</v>
      </c>
      <c r="G64" s="63">
        <v>83</v>
      </c>
      <c r="H64" s="63">
        <f>ABS(RESULT_ITTE!Q234)</f>
        <v>9.5932252197964644E-4</v>
      </c>
      <c r="I64" s="63">
        <f t="shared" si="0"/>
        <v>0.2</v>
      </c>
      <c r="J64" s="63">
        <f t="shared" si="1"/>
        <v>1.9085115174055517E-3</v>
      </c>
      <c r="K64" s="66">
        <f>ABS(RESULT_ITTE!M234)</f>
        <v>0.29876901950826917</v>
      </c>
      <c r="L64" s="66">
        <f t="shared" si="28"/>
        <v>11.206496012294501</v>
      </c>
      <c r="M64" s="63">
        <f>INDEX('Junctions — junctions'!$F$2:$F$197,MATCH(D64,'Junctions — junctions'!$B$2:$B$197,0))</f>
        <v>19</v>
      </c>
      <c r="N64" s="63">
        <v>10</v>
      </c>
      <c r="O64" s="63">
        <f t="shared" si="2"/>
        <v>40.206496012294501</v>
      </c>
      <c r="P64" s="63">
        <f t="shared" si="3"/>
        <v>10</v>
      </c>
      <c r="T64" s="63" t="s">
        <v>250</v>
      </c>
      <c r="U64" s="63" t="s">
        <v>763</v>
      </c>
      <c r="V64" s="63" t="s">
        <v>764</v>
      </c>
      <c r="W64" s="63">
        <v>200</v>
      </c>
      <c r="X64" s="63">
        <f>VLOOKUP(W64,REF_TABLE!$G$7:$H$32,2)</f>
        <v>200</v>
      </c>
      <c r="Y64" s="63">
        <v>83</v>
      </c>
      <c r="Z64" s="63">
        <f>ABS(RESULT_ITTE!AO234)</f>
        <v>1.8616910468267048E-3</v>
      </c>
      <c r="AA64" s="63">
        <f t="shared" si="4"/>
        <v>0.2</v>
      </c>
      <c r="AB64" s="63">
        <f t="shared" si="5"/>
        <v>3.7037166576549406E-3</v>
      </c>
      <c r="AC64" s="69">
        <f>ABS(RESULT_ITTE!AK234)</f>
        <v>0.18534480392241684</v>
      </c>
      <c r="AD64" s="69">
        <f t="shared" si="29"/>
        <v>55.872632207709437</v>
      </c>
      <c r="AE64" s="63">
        <f>INDEX('Junctions — junctions'!$F$2:$F$197,MATCH(V64,'Junctions — junctions'!$B$2:$B$197,0))</f>
        <v>19</v>
      </c>
      <c r="AF64" s="69">
        <v>10</v>
      </c>
      <c r="AG64" s="63">
        <f t="shared" si="6"/>
        <v>84.872632207709444</v>
      </c>
      <c r="AH64" s="63">
        <f t="shared" si="7"/>
        <v>10.000000000000007</v>
      </c>
      <c r="EH64" s="63" t="s">
        <v>432</v>
      </c>
      <c r="EI64" s="63" t="s">
        <v>764</v>
      </c>
      <c r="EJ64" s="63" t="s">
        <v>765</v>
      </c>
      <c r="EK64" s="63">
        <v>200</v>
      </c>
      <c r="EL64" s="63">
        <v>200</v>
      </c>
      <c r="EM64" s="63">
        <v>175</v>
      </c>
      <c r="EN64" s="63">
        <v>4.5938434527676136E-4</v>
      </c>
      <c r="EO64" s="63">
        <v>0.2</v>
      </c>
      <c r="EP64" s="63">
        <v>9.1391611662288189E-4</v>
      </c>
      <c r="EQ64" s="63">
        <v>0.62993467968610972</v>
      </c>
      <c r="ER64" s="63">
        <v>11.836430691980611</v>
      </c>
      <c r="ES64" s="63">
        <v>11</v>
      </c>
      <c r="ET64" s="63">
        <v>10</v>
      </c>
      <c r="EU64" s="63">
        <v>32.83643069198061</v>
      </c>
      <c r="EV64" s="63">
        <v>17.370065320313891</v>
      </c>
    </row>
    <row r="65" spans="2:152" x14ac:dyDescent="0.25">
      <c r="B65" s="63" t="s">
        <v>432</v>
      </c>
      <c r="C65" s="63" t="s">
        <v>764</v>
      </c>
      <c r="D65" s="63" t="s">
        <v>765</v>
      </c>
      <c r="E65" s="63">
        <v>200</v>
      </c>
      <c r="F65" s="63">
        <f>VLOOKUP(E65,REF_TABLE!$G$7:$H$32,2)</f>
        <v>200</v>
      </c>
      <c r="G65" s="63">
        <v>175</v>
      </c>
      <c r="H65" s="63">
        <f>ABS(RESULT_ITTE!Q235)</f>
        <v>4.5938434527676136E-4</v>
      </c>
      <c r="I65" s="63">
        <f t="shared" si="0"/>
        <v>0.2</v>
      </c>
      <c r="J65" s="63">
        <f t="shared" si="1"/>
        <v>9.1391611662288189E-4</v>
      </c>
      <c r="K65" s="66">
        <f>ABS(RESULT_ITTE!M235)</f>
        <v>0.62993467968610972</v>
      </c>
      <c r="L65" s="66">
        <f t="shared" si="28"/>
        <v>11.836430691980611</v>
      </c>
      <c r="M65" s="63">
        <f>INDEX('Junctions — junctions'!$F$2:$F$197,MATCH(D65,'Junctions — junctions'!$B$2:$B$197,0))</f>
        <v>11</v>
      </c>
      <c r="N65" s="63">
        <v>10</v>
      </c>
      <c r="O65" s="63">
        <f t="shared" si="2"/>
        <v>32.83643069198061</v>
      </c>
      <c r="P65" s="63">
        <f t="shared" si="3"/>
        <v>17.370065320313891</v>
      </c>
      <c r="T65" s="63" t="s">
        <v>432</v>
      </c>
      <c r="U65" s="63" t="s">
        <v>764</v>
      </c>
      <c r="V65" s="63" t="s">
        <v>765</v>
      </c>
      <c r="W65" s="63">
        <v>200</v>
      </c>
      <c r="X65" s="63">
        <f>VLOOKUP(W65,REF_TABLE!$G$7:$H$32,2)</f>
        <v>200</v>
      </c>
      <c r="Y65" s="63">
        <v>175</v>
      </c>
      <c r="Z65" s="63">
        <f>ABS(RESULT_ITTE!AO235)</f>
        <v>4.8548107601697425E-3</v>
      </c>
      <c r="AA65" s="63">
        <f t="shared" si="4"/>
        <v>0.2</v>
      </c>
      <c r="AB65" s="63">
        <f t="shared" si="5"/>
        <v>9.6583391282092056E-3</v>
      </c>
      <c r="AC65" s="69">
        <f>ABS(RESULT_ITTE!AK235)</f>
        <v>0.39078723718581865</v>
      </c>
      <c r="AD65" s="69">
        <f t="shared" si="29"/>
        <v>56.263419444895256</v>
      </c>
      <c r="AE65" s="63">
        <f>INDEX('Junctions — junctions'!$F$2:$F$197,MATCH(V65,'Junctions — junctions'!$B$2:$B$197,0))</f>
        <v>11</v>
      </c>
      <c r="AF65" s="69">
        <v>10</v>
      </c>
      <c r="AG65" s="63">
        <f t="shared" si="6"/>
        <v>77.263419444895248</v>
      </c>
      <c r="AH65" s="63">
        <f t="shared" si="7"/>
        <v>17.609212762814188</v>
      </c>
      <c r="EH65" s="63" t="s">
        <v>269</v>
      </c>
      <c r="EI65" s="63" t="s">
        <v>765</v>
      </c>
      <c r="EJ65" s="63" t="s">
        <v>766</v>
      </c>
      <c r="EK65" s="63">
        <v>200</v>
      </c>
      <c r="EL65" s="63">
        <v>200</v>
      </c>
      <c r="EM65" s="63">
        <v>169</v>
      </c>
      <c r="EN65" s="63">
        <v>2.2238442319289578E-3</v>
      </c>
      <c r="EO65" s="63">
        <v>0.2</v>
      </c>
      <c r="EP65" s="63">
        <v>4.4241975272236618E-3</v>
      </c>
      <c r="EQ65" s="63">
        <v>0.60833691923972877</v>
      </c>
      <c r="ER65" s="63">
        <v>12.444767611220341</v>
      </c>
      <c r="ES65" s="63">
        <v>9</v>
      </c>
      <c r="ET65" s="63">
        <v>10</v>
      </c>
      <c r="EU65" s="63">
        <v>31.444767611220342</v>
      </c>
      <c r="EV65" s="63">
        <v>18.761728401074159</v>
      </c>
    </row>
    <row r="66" spans="2:152" x14ac:dyDescent="0.25">
      <c r="B66" s="63" t="s">
        <v>269</v>
      </c>
      <c r="C66" s="63" t="s">
        <v>765</v>
      </c>
      <c r="D66" s="63" t="s">
        <v>766</v>
      </c>
      <c r="E66" s="63">
        <v>200</v>
      </c>
      <c r="F66" s="63">
        <f>VLOOKUP(E66,REF_TABLE!$G$7:$H$32,2)</f>
        <v>200</v>
      </c>
      <c r="G66" s="63">
        <v>169</v>
      </c>
      <c r="H66" s="63">
        <f>ABS(RESULT_ITTE!Q236)</f>
        <v>2.2238442319289578E-3</v>
      </c>
      <c r="I66" s="63">
        <f t="shared" si="0"/>
        <v>0.2</v>
      </c>
      <c r="J66" s="63">
        <f t="shared" si="1"/>
        <v>4.4241975272236618E-3</v>
      </c>
      <c r="K66" s="66">
        <f>ABS(RESULT_ITTE!M236)</f>
        <v>0.60833691923972877</v>
      </c>
      <c r="L66" s="66">
        <f t="shared" si="28"/>
        <v>12.444767611220341</v>
      </c>
      <c r="M66" s="63">
        <f>INDEX('Junctions — junctions'!$F$2:$F$197,MATCH(D66,'Junctions — junctions'!$B$2:$B$197,0))</f>
        <v>9</v>
      </c>
      <c r="N66" s="63">
        <v>10</v>
      </c>
      <c r="O66" s="63">
        <f t="shared" si="2"/>
        <v>31.444767611220342</v>
      </c>
      <c r="P66" s="63">
        <f t="shared" si="3"/>
        <v>18.761728401074159</v>
      </c>
      <c r="T66" s="63" t="s">
        <v>269</v>
      </c>
      <c r="U66" s="63" t="s">
        <v>765</v>
      </c>
      <c r="V66" s="63" t="s">
        <v>766</v>
      </c>
      <c r="W66" s="63">
        <v>200</v>
      </c>
      <c r="X66" s="63">
        <f>VLOOKUP(W66,REF_TABLE!$G$7:$H$32,2)</f>
        <v>200</v>
      </c>
      <c r="Y66" s="63">
        <v>169</v>
      </c>
      <c r="Z66" s="63">
        <f>ABS(RESULT_ITTE!AO236)</f>
        <v>5.3979373016433685E-3</v>
      </c>
      <c r="AA66" s="63">
        <f t="shared" si="4"/>
        <v>0.2</v>
      </c>
      <c r="AB66" s="63">
        <f t="shared" si="5"/>
        <v>1.0738855050708367E-2</v>
      </c>
      <c r="AC66" s="69">
        <f>ABS(RESULT_ITTE!AK236)</f>
        <v>0.37738881762516202</v>
      </c>
      <c r="AD66" s="69">
        <f t="shared" si="29"/>
        <v>56.640808262520416</v>
      </c>
      <c r="AE66" s="63">
        <f>INDEX('Junctions — junctions'!$F$2:$F$197,MATCH(V66,'Junctions — junctions'!$B$2:$B$197,0))</f>
        <v>9</v>
      </c>
      <c r="AF66" s="69">
        <v>10</v>
      </c>
      <c r="AG66" s="63">
        <f t="shared" si="6"/>
        <v>75.640808262520409</v>
      </c>
      <c r="AH66" s="63">
        <f t="shared" si="7"/>
        <v>19.231823945189028</v>
      </c>
      <c r="EH66" s="63" t="s">
        <v>270</v>
      </c>
      <c r="EI66" s="63" t="s">
        <v>766</v>
      </c>
      <c r="EJ66" s="63" t="s">
        <v>767</v>
      </c>
      <c r="EK66" s="63">
        <v>200</v>
      </c>
      <c r="EL66" s="63">
        <v>200</v>
      </c>
      <c r="EM66" s="63">
        <v>169</v>
      </c>
      <c r="EN66" s="63">
        <v>3.8880935052790343E-3</v>
      </c>
      <c r="EO66" s="63">
        <v>0.2</v>
      </c>
      <c r="EP66" s="63">
        <v>7.735116257108157E-3</v>
      </c>
      <c r="EQ66" s="63">
        <v>0.60833691923972877</v>
      </c>
      <c r="ER66" s="63">
        <v>13.05310453046007</v>
      </c>
      <c r="ES66" s="63">
        <v>11</v>
      </c>
      <c r="ET66" s="63">
        <v>10</v>
      </c>
      <c r="EU66" s="63">
        <v>34.053104530460068</v>
      </c>
      <c r="EV66" s="63">
        <v>16.153391481834433</v>
      </c>
    </row>
    <row r="67" spans="2:152" x14ac:dyDescent="0.25">
      <c r="B67" s="63" t="s">
        <v>270</v>
      </c>
      <c r="C67" s="63" t="s">
        <v>766</v>
      </c>
      <c r="D67" s="63" t="s">
        <v>767</v>
      </c>
      <c r="E67" s="63">
        <v>200</v>
      </c>
      <c r="F67" s="63">
        <f>VLOOKUP(E67,REF_TABLE!$G$7:$H$32,2)</f>
        <v>200</v>
      </c>
      <c r="G67" s="63">
        <v>169</v>
      </c>
      <c r="H67" s="63">
        <f>ABS(RESULT_ITTE!Q237)</f>
        <v>3.8880935052790343E-3</v>
      </c>
      <c r="I67" s="63">
        <f t="shared" si="0"/>
        <v>0.2</v>
      </c>
      <c r="J67" s="63">
        <f t="shared" si="1"/>
        <v>7.735116257108157E-3</v>
      </c>
      <c r="K67" s="66">
        <f>ABS(RESULT_ITTE!M237)</f>
        <v>0.60833691923972877</v>
      </c>
      <c r="L67" s="66">
        <f t="shared" si="28"/>
        <v>13.05310453046007</v>
      </c>
      <c r="M67" s="63">
        <f>INDEX('Junctions — junctions'!$F$2:$F$197,MATCH(D67,'Junctions — junctions'!$B$2:$B$197,0))</f>
        <v>11</v>
      </c>
      <c r="N67" s="63">
        <v>10</v>
      </c>
      <c r="O67" s="63">
        <f t="shared" si="2"/>
        <v>34.053104530460068</v>
      </c>
      <c r="P67" s="63">
        <f t="shared" si="3"/>
        <v>16.153391481834433</v>
      </c>
      <c r="T67" s="63" t="s">
        <v>270</v>
      </c>
      <c r="U67" s="63" t="s">
        <v>766</v>
      </c>
      <c r="V67" s="63" t="s">
        <v>767</v>
      </c>
      <c r="W67" s="63">
        <v>200</v>
      </c>
      <c r="X67" s="63">
        <f>VLOOKUP(W67,REF_TABLE!$G$7:$H$32,2)</f>
        <v>200</v>
      </c>
      <c r="Y67" s="63">
        <v>169</v>
      </c>
      <c r="Z67" s="63">
        <f>ABS(RESULT_ITTE!AO237)</f>
        <v>5.2083728670454053E-3</v>
      </c>
      <c r="AA67" s="63">
        <f t="shared" si="4"/>
        <v>0.2</v>
      </c>
      <c r="AB67" s="63">
        <f t="shared" si="5"/>
        <v>1.036172859069979E-2</v>
      </c>
      <c r="AC67" s="69">
        <f>ABS(RESULT_ITTE!AK237)</f>
        <v>0.37738881762516202</v>
      </c>
      <c r="AD67" s="69">
        <f t="shared" si="29"/>
        <v>57.018197080145576</v>
      </c>
      <c r="AE67" s="63">
        <f>INDEX('Junctions — junctions'!$F$2:$F$197,MATCH(V67,'Junctions — junctions'!$B$2:$B$197,0))</f>
        <v>11</v>
      </c>
      <c r="AF67" s="69">
        <v>10</v>
      </c>
      <c r="AG67" s="63">
        <f t="shared" si="6"/>
        <v>78.018197080145569</v>
      </c>
      <c r="AH67" s="63">
        <f t="shared" si="7"/>
        <v>16.854435127563868</v>
      </c>
      <c r="EH67" s="63" t="s">
        <v>272</v>
      </c>
      <c r="EI67" s="63" t="s">
        <v>767</v>
      </c>
      <c r="EJ67" s="63" t="s">
        <v>768</v>
      </c>
      <c r="EK67" s="63">
        <v>200</v>
      </c>
      <c r="EL67" s="63">
        <v>200</v>
      </c>
      <c r="EM67" s="63">
        <v>134</v>
      </c>
      <c r="EN67" s="63">
        <v>6.175869455249651E-3</v>
      </c>
      <c r="EO67" s="63">
        <v>0.2</v>
      </c>
      <c r="EP67" s="63">
        <v>1.2286501896165409E-2</v>
      </c>
      <c r="EQ67" s="63">
        <v>0.48234998330250689</v>
      </c>
      <c r="ER67" s="63">
        <v>13.535454513762577</v>
      </c>
      <c r="ES67" s="63">
        <v>6</v>
      </c>
      <c r="ET67" s="63">
        <v>10</v>
      </c>
      <c r="EU67" s="63">
        <v>29.535454513762577</v>
      </c>
      <c r="EV67" s="63">
        <v>20.671041498531924</v>
      </c>
    </row>
    <row r="68" spans="2:152" x14ac:dyDescent="0.25">
      <c r="B68" s="63" t="s">
        <v>272</v>
      </c>
      <c r="C68" s="63" t="s">
        <v>767</v>
      </c>
      <c r="D68" s="63" t="s">
        <v>768</v>
      </c>
      <c r="E68" s="63">
        <v>200</v>
      </c>
      <c r="F68" s="63">
        <f>VLOOKUP(E68,REF_TABLE!$G$7:$H$32,2)</f>
        <v>200</v>
      </c>
      <c r="G68" s="63">
        <v>134</v>
      </c>
      <c r="H68" s="63">
        <f>ABS(RESULT_ITTE!Q238)</f>
        <v>6.175869455249651E-3</v>
      </c>
      <c r="I68" s="63">
        <f t="shared" si="0"/>
        <v>0.2</v>
      </c>
      <c r="J68" s="63">
        <f t="shared" si="1"/>
        <v>1.2286501896165409E-2</v>
      </c>
      <c r="K68" s="66">
        <f>ABS(RESULT_ITTE!M238)</f>
        <v>0.48234998330250689</v>
      </c>
      <c r="L68" s="66">
        <f t="shared" si="28"/>
        <v>13.535454513762577</v>
      </c>
      <c r="M68" s="63">
        <f>INDEX('Junctions — junctions'!$F$2:$F$197,MATCH(D68,'Junctions — junctions'!$B$2:$B$197,0))</f>
        <v>6</v>
      </c>
      <c r="N68" s="63">
        <v>10</v>
      </c>
      <c r="O68" s="63">
        <f t="shared" si="2"/>
        <v>29.535454513762577</v>
      </c>
      <c r="P68" s="63">
        <f t="shared" si="3"/>
        <v>20.671041498531924</v>
      </c>
      <c r="T68" s="63" t="s">
        <v>272</v>
      </c>
      <c r="U68" s="63" t="s">
        <v>767</v>
      </c>
      <c r="V68" s="63" t="s">
        <v>768</v>
      </c>
      <c r="W68" s="63">
        <v>200</v>
      </c>
      <c r="X68" s="63">
        <f>VLOOKUP(W68,REF_TABLE!$G$7:$H$32,2)</f>
        <v>200</v>
      </c>
      <c r="Y68" s="63">
        <v>134</v>
      </c>
      <c r="Z68" s="63">
        <f>ABS(RESULT_ITTE!AO238)</f>
        <v>1.0509470737790256E-2</v>
      </c>
      <c r="AA68" s="63">
        <f t="shared" si="4"/>
        <v>0.2</v>
      </c>
      <c r="AB68" s="63">
        <f t="shared" si="5"/>
        <v>2.0907927714986844E-2</v>
      </c>
      <c r="AC68" s="69">
        <f>ABS(RESULT_ITTE!AK238)</f>
        <v>0.29923137018799828</v>
      </c>
      <c r="AD68" s="69">
        <f t="shared" si="29"/>
        <v>57.317428450333573</v>
      </c>
      <c r="AE68" s="63">
        <f>INDEX('Junctions — junctions'!$F$2:$F$197,MATCH(V68,'Junctions — junctions'!$B$2:$B$197,0))</f>
        <v>6</v>
      </c>
      <c r="AF68" s="69">
        <v>10</v>
      </c>
      <c r="AG68" s="63">
        <f t="shared" si="6"/>
        <v>73.31742845033358</v>
      </c>
      <c r="AH68" s="63">
        <f t="shared" si="7"/>
        <v>21.555203757375871</v>
      </c>
      <c r="EH68" s="63" t="s">
        <v>271</v>
      </c>
      <c r="EI68" s="63" t="s">
        <v>768</v>
      </c>
      <c r="EJ68" s="63" t="s">
        <v>769</v>
      </c>
      <c r="EK68" s="63">
        <v>200</v>
      </c>
      <c r="EL68" s="63">
        <v>200</v>
      </c>
      <c r="EM68" s="63">
        <v>263</v>
      </c>
      <c r="EN68" s="63">
        <v>8.5702441369695393E-3</v>
      </c>
      <c r="EO68" s="63">
        <v>0.2</v>
      </c>
      <c r="EP68" s="63">
        <v>1.7049958973787957E-2</v>
      </c>
      <c r="EQ68" s="63">
        <v>0.94670183289969634</v>
      </c>
      <c r="ER68" s="63">
        <v>14.482156346662274</v>
      </c>
      <c r="ES68" s="63">
        <v>12</v>
      </c>
      <c r="ET68" s="63">
        <v>10</v>
      </c>
      <c r="EU68" s="63">
        <v>36.482156346662272</v>
      </c>
      <c r="EV68" s="63">
        <v>13.724339665632227</v>
      </c>
    </row>
    <row r="69" spans="2:152" x14ac:dyDescent="0.25">
      <c r="B69" s="63" t="s">
        <v>271</v>
      </c>
      <c r="C69" s="63" t="s">
        <v>768</v>
      </c>
      <c r="D69" s="63" t="s">
        <v>769</v>
      </c>
      <c r="E69" s="63">
        <v>200</v>
      </c>
      <c r="F69" s="63">
        <f>VLOOKUP(E69,REF_TABLE!$G$7:$H$32,2)</f>
        <v>200</v>
      </c>
      <c r="G69" s="63">
        <v>263</v>
      </c>
      <c r="H69" s="63">
        <f>ABS(RESULT_ITTE!Q239)</f>
        <v>8.5702441369695393E-3</v>
      </c>
      <c r="I69" s="63">
        <f t="shared" si="0"/>
        <v>0.2</v>
      </c>
      <c r="J69" s="63">
        <f t="shared" si="1"/>
        <v>1.7049958973787957E-2</v>
      </c>
      <c r="K69" s="66">
        <f>ABS(RESULT_ITTE!M239)</f>
        <v>0.94670183289969634</v>
      </c>
      <c r="L69" s="66">
        <f t="shared" si="28"/>
        <v>14.482156346662274</v>
      </c>
      <c r="M69" s="63">
        <f>INDEX('Junctions — junctions'!$F$2:$F$197,MATCH(D69,'Junctions — junctions'!$B$2:$B$197,0))</f>
        <v>12</v>
      </c>
      <c r="N69" s="63">
        <v>10</v>
      </c>
      <c r="O69" s="63">
        <f t="shared" si="2"/>
        <v>36.482156346662272</v>
      </c>
      <c r="P69" s="63">
        <f t="shared" si="3"/>
        <v>13.724339665632227</v>
      </c>
      <c r="T69" s="63" t="s">
        <v>271</v>
      </c>
      <c r="U69" s="63" t="s">
        <v>768</v>
      </c>
      <c r="V69" s="63" t="s">
        <v>769</v>
      </c>
      <c r="W69" s="63">
        <v>200</v>
      </c>
      <c r="X69" s="63">
        <f>VLOOKUP(W69,REF_TABLE!$G$7:$H$32,2)</f>
        <v>200</v>
      </c>
      <c r="Y69" s="63">
        <v>263</v>
      </c>
      <c r="Z69" s="63">
        <f>ABS(RESULT_ITTE!AO239)</f>
        <v>1.0149517383691499E-2</v>
      </c>
      <c r="AA69" s="63">
        <f t="shared" si="4"/>
        <v>0.2</v>
      </c>
      <c r="AB69" s="63">
        <f t="shared" si="5"/>
        <v>2.0191823270145286E-2</v>
      </c>
      <c r="AC69" s="69">
        <f>ABS(RESULT_ITTE!AK239)</f>
        <v>0.58729739074211607</v>
      </c>
      <c r="AD69" s="69">
        <f t="shared" si="29"/>
        <v>57.904725841075688</v>
      </c>
      <c r="AE69" s="63">
        <f>INDEX('Junctions — junctions'!$F$2:$F$197,MATCH(V69,'Junctions — junctions'!$B$2:$B$197,0))</f>
        <v>12</v>
      </c>
      <c r="AF69" s="69">
        <v>10</v>
      </c>
      <c r="AG69" s="63">
        <f t="shared" si="6"/>
        <v>79.904725841075688</v>
      </c>
      <c r="AH69" s="63">
        <f t="shared" si="7"/>
        <v>14.967906366633756</v>
      </c>
      <c r="EH69" s="63" t="s">
        <v>273</v>
      </c>
      <c r="EI69" s="63" t="s">
        <v>769</v>
      </c>
      <c r="EJ69" s="63" t="s">
        <v>770</v>
      </c>
      <c r="EK69" s="63">
        <v>200</v>
      </c>
      <c r="EL69" s="63">
        <v>200</v>
      </c>
      <c r="EM69" s="63">
        <v>257</v>
      </c>
      <c r="EN69" s="63">
        <v>1.0650585959359166E-2</v>
      </c>
      <c r="EO69" s="63">
        <v>0.2</v>
      </c>
      <c r="EP69" s="63">
        <v>2.1188667528214342E-2</v>
      </c>
      <c r="EQ69" s="63">
        <v>0.92510407245331538</v>
      </c>
      <c r="ER69" s="63">
        <v>15.407260419115589</v>
      </c>
      <c r="ES69" s="63">
        <v>4</v>
      </c>
      <c r="ET69" s="63">
        <v>10</v>
      </c>
      <c r="EU69" s="63">
        <v>29.407260419115588</v>
      </c>
      <c r="EV69" s="63">
        <v>20.799235593178913</v>
      </c>
    </row>
    <row r="70" spans="2:152" x14ac:dyDescent="0.25">
      <c r="B70" s="63" t="s">
        <v>273</v>
      </c>
      <c r="C70" s="63" t="s">
        <v>769</v>
      </c>
      <c r="D70" s="63" t="s">
        <v>770</v>
      </c>
      <c r="E70" s="63">
        <v>200</v>
      </c>
      <c r="F70" s="63">
        <f>VLOOKUP(E70,REF_TABLE!$G$7:$H$32,2)</f>
        <v>200</v>
      </c>
      <c r="G70" s="63">
        <v>257</v>
      </c>
      <c r="H70" s="63">
        <f>ABS(RESULT_ITTE!Q240)</f>
        <v>1.0650585959359166E-2</v>
      </c>
      <c r="I70" s="63">
        <f t="shared" ref="I70:I74" si="35">E70/1000</f>
        <v>0.2</v>
      </c>
      <c r="J70" s="63">
        <f t="shared" ref="J70:J74" si="36">H70/(PI()*I70^2)/4</f>
        <v>2.1188667528214342E-2</v>
      </c>
      <c r="K70" s="66">
        <f>ABS(RESULT_ITTE!M240)</f>
        <v>0.92510407245331538</v>
      </c>
      <c r="L70" s="66">
        <f t="shared" si="28"/>
        <v>15.407260419115589</v>
      </c>
      <c r="M70" s="63">
        <f>INDEX('Junctions — junctions'!$F$2:$F$197,MATCH(D70,'Junctions — junctions'!$B$2:$B$197,0))</f>
        <v>4</v>
      </c>
      <c r="N70" s="63">
        <v>10</v>
      </c>
      <c r="O70" s="63">
        <f t="shared" ref="O70:O74" si="37">N70+M70+L70</f>
        <v>29.407260419115588</v>
      </c>
      <c r="P70" s="63">
        <f t="shared" ref="P70:P74" si="38">$O$75-M70-L70</f>
        <v>20.799235593178913</v>
      </c>
      <c r="T70" s="63" t="s">
        <v>273</v>
      </c>
      <c r="U70" s="63" t="s">
        <v>769</v>
      </c>
      <c r="V70" s="63" t="s">
        <v>770</v>
      </c>
      <c r="W70" s="63">
        <v>200</v>
      </c>
      <c r="X70" s="63">
        <f>VLOOKUP(W70,REF_TABLE!$G$7:$H$32,2)</f>
        <v>200</v>
      </c>
      <c r="Y70" s="63">
        <v>257</v>
      </c>
      <c r="Z70" s="63">
        <f>ABS(RESULT_ITTE!AO240)</f>
        <v>1.6801488560265924E-2</v>
      </c>
      <c r="AA70" s="63">
        <f t="shared" ref="AA70:AA74" si="39">W70/1000</f>
        <v>0.2</v>
      </c>
      <c r="AB70" s="63">
        <f t="shared" ref="AB70:AB74" si="40">Z70/(PI()*AA70^2)/4</f>
        <v>3.3425499445853171E-2</v>
      </c>
      <c r="AC70" s="69">
        <f>ABS(RESULT_ITTE!AK240)</f>
        <v>0.57389897118145938</v>
      </c>
      <c r="AD70" s="69">
        <f t="shared" si="29"/>
        <v>58.478624812257145</v>
      </c>
      <c r="AE70" s="63">
        <f>INDEX('Junctions — junctions'!$F$2:$F$197,MATCH(V70,'Junctions — junctions'!$B$2:$B$197,0))</f>
        <v>4</v>
      </c>
      <c r="AF70" s="69">
        <v>10</v>
      </c>
      <c r="AG70" s="63">
        <f t="shared" ref="AG70:AG74" si="41">AF70+AE70+AD70</f>
        <v>72.478624812257152</v>
      </c>
      <c r="AH70" s="63">
        <f t="shared" ref="AH70:AH74" si="42">$AG$75-AE70-AD70</f>
        <v>22.394007395452299</v>
      </c>
      <c r="EH70" s="63" t="s">
        <v>274</v>
      </c>
      <c r="EI70" s="63" t="s">
        <v>770</v>
      </c>
      <c r="EJ70" s="63" t="s">
        <v>771</v>
      </c>
      <c r="EK70" s="63">
        <v>200</v>
      </c>
      <c r="EL70" s="63">
        <v>200</v>
      </c>
      <c r="EM70" s="63">
        <v>173</v>
      </c>
      <c r="EN70" s="63">
        <v>1.4191223912138524E-2</v>
      </c>
      <c r="EO70" s="63">
        <v>0.2</v>
      </c>
      <c r="EP70" s="63">
        <v>2.8232542926759387E-2</v>
      </c>
      <c r="EQ70" s="63">
        <v>0.6227354262039827</v>
      </c>
      <c r="ER70" s="63">
        <v>16.029995845319572</v>
      </c>
      <c r="ES70" s="63">
        <v>8</v>
      </c>
      <c r="ET70" s="63">
        <v>10</v>
      </c>
      <c r="EU70" s="63">
        <v>34.029995845319576</v>
      </c>
      <c r="EV70" s="63">
        <v>16.176500166974929</v>
      </c>
    </row>
    <row r="71" spans="2:152" x14ac:dyDescent="0.25">
      <c r="B71" s="63" t="s">
        <v>274</v>
      </c>
      <c r="C71" s="63" t="s">
        <v>770</v>
      </c>
      <c r="D71" s="63" t="s">
        <v>771</v>
      </c>
      <c r="E71" s="63">
        <v>200</v>
      </c>
      <c r="F71" s="63">
        <f>VLOOKUP(E71,REF_TABLE!$G$7:$H$32,2)</f>
        <v>200</v>
      </c>
      <c r="G71" s="63">
        <v>173</v>
      </c>
      <c r="H71" s="63">
        <f>ABS(RESULT_ITTE!Q241)</f>
        <v>1.4191223912138524E-2</v>
      </c>
      <c r="I71" s="63">
        <f t="shared" si="35"/>
        <v>0.2</v>
      </c>
      <c r="J71" s="63">
        <f t="shared" si="36"/>
        <v>2.8232542926759387E-2</v>
      </c>
      <c r="K71" s="66">
        <f>ABS(RESULT_ITTE!M241)</f>
        <v>0.6227354262039827</v>
      </c>
      <c r="L71" s="66">
        <f t="shared" ref="L71:L74" si="43">L70+K71</f>
        <v>16.029995845319572</v>
      </c>
      <c r="M71" s="63">
        <f>INDEX('Junctions — junctions'!$F$2:$F$197,MATCH(D71,'Junctions — junctions'!$B$2:$B$197,0))</f>
        <v>8</v>
      </c>
      <c r="N71" s="63">
        <v>10</v>
      </c>
      <c r="O71" s="63">
        <f t="shared" si="37"/>
        <v>34.029995845319576</v>
      </c>
      <c r="P71" s="63">
        <f t="shared" si="38"/>
        <v>16.176500166974929</v>
      </c>
      <c r="T71" s="63" t="s">
        <v>274</v>
      </c>
      <c r="U71" s="63" t="s">
        <v>770</v>
      </c>
      <c r="V71" s="63" t="s">
        <v>771</v>
      </c>
      <c r="W71" s="63">
        <v>200</v>
      </c>
      <c r="X71" s="63">
        <f>VLOOKUP(W71,REF_TABLE!$G$7:$H$32,2)</f>
        <v>200</v>
      </c>
      <c r="Y71" s="63">
        <v>173</v>
      </c>
      <c r="Z71" s="63">
        <f>ABS(RESULT_ITTE!AO241)</f>
        <v>1.6890519998458413E-2</v>
      </c>
      <c r="AA71" s="63">
        <f t="shared" si="39"/>
        <v>0.2</v>
      </c>
      <c r="AB71" s="63">
        <f t="shared" si="40"/>
        <v>3.3602621864339606E-2</v>
      </c>
      <c r="AC71" s="69">
        <f>ABS(RESULT_ITTE!AK241)</f>
        <v>0.38632109733226644</v>
      </c>
      <c r="AD71" s="69">
        <f t="shared" ref="AD71:AD74" si="44">AD70+AC71</f>
        <v>58.864945909589409</v>
      </c>
      <c r="AE71" s="63">
        <f>INDEX('Junctions — junctions'!$F$2:$F$197,MATCH(V71,'Junctions — junctions'!$B$2:$B$197,0))</f>
        <v>8</v>
      </c>
      <c r="AF71" s="69">
        <v>10</v>
      </c>
      <c r="AG71" s="63">
        <f t="shared" si="41"/>
        <v>76.864945909589409</v>
      </c>
      <c r="AH71" s="63">
        <f t="shared" si="42"/>
        <v>18.007686298120035</v>
      </c>
      <c r="EH71" s="63" t="s">
        <v>275</v>
      </c>
      <c r="EI71" s="63" t="s">
        <v>771</v>
      </c>
      <c r="EJ71" s="63" t="s">
        <v>772</v>
      </c>
      <c r="EK71" s="63">
        <v>200</v>
      </c>
      <c r="EL71" s="63">
        <v>200</v>
      </c>
      <c r="EM71" s="63">
        <v>47</v>
      </c>
      <c r="EN71" s="63">
        <v>1.5034547802609786E-2</v>
      </c>
      <c r="EO71" s="63">
        <v>0.2</v>
      </c>
      <c r="EP71" s="63">
        <v>2.9910282499209257E-2</v>
      </c>
      <c r="EQ71" s="63">
        <v>0.16918245682998373</v>
      </c>
      <c r="ER71" s="63">
        <v>16.199178302149555</v>
      </c>
      <c r="ES71" s="63">
        <v>10</v>
      </c>
      <c r="ET71" s="63">
        <v>10</v>
      </c>
      <c r="EU71" s="63">
        <v>36.199178302149555</v>
      </c>
      <c r="EV71" s="63">
        <v>14.007317710144946</v>
      </c>
    </row>
    <row r="72" spans="2:152" x14ac:dyDescent="0.25">
      <c r="B72" s="63" t="s">
        <v>275</v>
      </c>
      <c r="C72" s="63" t="s">
        <v>771</v>
      </c>
      <c r="D72" s="63" t="s">
        <v>772</v>
      </c>
      <c r="E72" s="63">
        <v>200</v>
      </c>
      <c r="F72" s="63">
        <f>VLOOKUP(E72,REF_TABLE!$G$7:$H$32,2)</f>
        <v>200</v>
      </c>
      <c r="G72" s="63">
        <v>47</v>
      </c>
      <c r="H72" s="63">
        <f>ABS(RESULT_ITTE!Q242)</f>
        <v>1.5034547802609786E-2</v>
      </c>
      <c r="I72" s="63">
        <f t="shared" si="35"/>
        <v>0.2</v>
      </c>
      <c r="J72" s="63">
        <f t="shared" si="36"/>
        <v>2.9910282499209257E-2</v>
      </c>
      <c r="K72" s="66">
        <f>ABS(RESULT_ITTE!M242)</f>
        <v>0.16918245682998373</v>
      </c>
      <c r="L72" s="66">
        <f t="shared" si="43"/>
        <v>16.199178302149555</v>
      </c>
      <c r="M72" s="63">
        <f>INDEX('Junctions — junctions'!$F$2:$F$197,MATCH(D72,'Junctions — junctions'!$B$2:$B$197,0))</f>
        <v>10</v>
      </c>
      <c r="N72" s="63">
        <v>10</v>
      </c>
      <c r="O72" s="63">
        <f t="shared" si="37"/>
        <v>36.199178302149555</v>
      </c>
      <c r="P72" s="63">
        <f t="shared" si="38"/>
        <v>14.007317710144946</v>
      </c>
      <c r="T72" s="63" t="s">
        <v>275</v>
      </c>
      <c r="U72" s="63" t="s">
        <v>771</v>
      </c>
      <c r="V72" s="63" t="s">
        <v>772</v>
      </c>
      <c r="W72" s="63">
        <v>200</v>
      </c>
      <c r="X72" s="63">
        <f>VLOOKUP(W72,REF_TABLE!$G$7:$H$32,2)</f>
        <v>200</v>
      </c>
      <c r="Y72" s="63">
        <v>47</v>
      </c>
      <c r="Z72" s="63">
        <f>ABS(RESULT_ITTE!AO242)</f>
        <v>1.7622536230404908E-2</v>
      </c>
      <c r="AA72" s="63">
        <f t="shared" si="39"/>
        <v>0.2</v>
      </c>
      <c r="AB72" s="63">
        <f t="shared" si="40"/>
        <v>3.505892188606196E-2</v>
      </c>
      <c r="AC72" s="69">
        <f>ABS(RESULT_ITTE!AK242)</f>
        <v>0.10495428655847701</v>
      </c>
      <c r="AD72" s="69">
        <f t="shared" si="44"/>
        <v>58.969900196147883</v>
      </c>
      <c r="AE72" s="63">
        <f>INDEX('Junctions — junctions'!$F$2:$F$197,MATCH(V72,'Junctions — junctions'!$B$2:$B$197,0))</f>
        <v>10</v>
      </c>
      <c r="AF72" s="69">
        <v>10</v>
      </c>
      <c r="AG72" s="63">
        <f t="shared" si="41"/>
        <v>78.969900196147876</v>
      </c>
      <c r="AH72" s="63">
        <f t="shared" si="42"/>
        <v>15.902732011561561</v>
      </c>
      <c r="EH72" s="63" t="s">
        <v>277</v>
      </c>
      <c r="EI72" s="63" t="s">
        <v>773</v>
      </c>
      <c r="EJ72" s="63" t="s">
        <v>772</v>
      </c>
      <c r="EK72" s="63">
        <v>565</v>
      </c>
      <c r="EL72" s="63">
        <v>600</v>
      </c>
      <c r="EM72" s="63">
        <v>351</v>
      </c>
      <c r="EN72" s="63">
        <v>8.5786050978224893E-3</v>
      </c>
      <c r="EO72" s="63">
        <v>0.56499999999999995</v>
      </c>
      <c r="EP72" s="63">
        <v>2.1385032596942313E-3</v>
      </c>
      <c r="EQ72" s="63">
        <v>0.36633795039434436</v>
      </c>
      <c r="ER72" s="63">
        <v>16.565516252543901</v>
      </c>
      <c r="ES72" s="63">
        <v>10</v>
      </c>
      <c r="ET72" s="63">
        <v>10</v>
      </c>
      <c r="EU72" s="63">
        <v>36.565516252543901</v>
      </c>
      <c r="EV72" s="63">
        <v>13.6409797597506</v>
      </c>
    </row>
    <row r="73" spans="2:152" x14ac:dyDescent="0.25">
      <c r="B73" s="63" t="s">
        <v>277</v>
      </c>
      <c r="C73" s="63" t="s">
        <v>773</v>
      </c>
      <c r="D73" s="63" t="s">
        <v>772</v>
      </c>
      <c r="E73" s="63">
        <v>565</v>
      </c>
      <c r="F73" s="63">
        <f>VLOOKUP(E73,REF_TABLE!$G$7:$H$32,2)</f>
        <v>600</v>
      </c>
      <c r="G73" s="63">
        <v>351</v>
      </c>
      <c r="H73" s="63">
        <f>ABS(RESULT_ITTE!Q243)</f>
        <v>8.5786050978224893E-3</v>
      </c>
      <c r="I73" s="63">
        <f t="shared" si="35"/>
        <v>0.56499999999999995</v>
      </c>
      <c r="J73" s="63">
        <f t="shared" si="36"/>
        <v>2.1385032596942313E-3</v>
      </c>
      <c r="K73" s="66">
        <f>ABS(RESULT_ITTE!M243)</f>
        <v>0.36633795039434436</v>
      </c>
      <c r="L73" s="66">
        <f t="shared" si="43"/>
        <v>16.565516252543901</v>
      </c>
      <c r="M73" s="63">
        <f>INDEX('Junctions — junctions'!$F$2:$F$197,MATCH(D73,'Junctions — junctions'!$B$2:$B$197,0))</f>
        <v>10</v>
      </c>
      <c r="N73" s="63">
        <v>10</v>
      </c>
      <c r="O73" s="63">
        <f t="shared" si="37"/>
        <v>36.565516252543901</v>
      </c>
      <c r="P73" s="63">
        <f t="shared" si="38"/>
        <v>13.6409797597506</v>
      </c>
      <c r="T73" s="63" t="s">
        <v>277</v>
      </c>
      <c r="U73" s="63" t="s">
        <v>773</v>
      </c>
      <c r="V73" s="63" t="s">
        <v>772</v>
      </c>
      <c r="W73" s="63">
        <v>565</v>
      </c>
      <c r="X73" s="63">
        <f>VLOOKUP(W73,REF_TABLE!$G$7:$H$32,2)</f>
        <v>600</v>
      </c>
      <c r="Y73" s="63">
        <v>351</v>
      </c>
      <c r="Z73" s="63">
        <f>ABS(RESULT_ITTE!AO243)</f>
        <v>9.5365150519625026E-3</v>
      </c>
      <c r="AA73" s="63">
        <f t="shared" si="39"/>
        <v>0.56499999999999995</v>
      </c>
      <c r="AB73" s="63">
        <f t="shared" si="40"/>
        <v>2.3772942444828821E-3</v>
      </c>
      <c r="AC73" s="69">
        <f>ABS(RESULT_ITTE!AK243)</f>
        <v>0.34698543293187428</v>
      </c>
      <c r="AD73" s="69">
        <f t="shared" si="44"/>
        <v>59.316885629079756</v>
      </c>
      <c r="AE73" s="63">
        <f>INDEX('Junctions — junctions'!$F$2:$F$197,MATCH(V73,'Junctions — junctions'!$B$2:$B$197,0))</f>
        <v>10</v>
      </c>
      <c r="AF73" s="69">
        <v>10</v>
      </c>
      <c r="AG73" s="63">
        <f t="shared" si="41"/>
        <v>79.316885629079763</v>
      </c>
      <c r="AH73" s="63">
        <f t="shared" si="42"/>
        <v>15.555746578629687</v>
      </c>
      <c r="EH73" s="63" t="s">
        <v>427</v>
      </c>
      <c r="EI73" s="63" t="s">
        <v>774</v>
      </c>
      <c r="EJ73" s="63" t="s">
        <v>773</v>
      </c>
      <c r="EK73" s="63">
        <v>565</v>
      </c>
      <c r="EL73" s="63">
        <v>600</v>
      </c>
      <c r="EM73" s="63">
        <v>169</v>
      </c>
      <c r="EN73" s="63">
        <v>4.5141885895355009E-3</v>
      </c>
      <c r="EO73" s="63">
        <v>0.56499999999999995</v>
      </c>
      <c r="EP73" s="63">
        <v>1.125311971295491E-3</v>
      </c>
      <c r="EQ73" s="63">
        <v>0.17638493907875838</v>
      </c>
      <c r="ER73" s="63">
        <v>16.741901191622659</v>
      </c>
      <c r="ES73" s="63">
        <v>10</v>
      </c>
      <c r="ET73" s="63">
        <v>10</v>
      </c>
      <c r="EU73" s="63">
        <v>36.741901191622659</v>
      </c>
      <c r="EV73" s="63">
        <v>13.464594820671842</v>
      </c>
    </row>
    <row r="74" spans="2:152" x14ac:dyDescent="0.25">
      <c r="B74" s="63" t="s">
        <v>427</v>
      </c>
      <c r="C74" s="63" t="s">
        <v>774</v>
      </c>
      <c r="D74" s="63" t="s">
        <v>773</v>
      </c>
      <c r="E74" s="63">
        <v>565</v>
      </c>
      <c r="F74" s="63">
        <f>VLOOKUP(E74,REF_TABLE!$G$7:$H$32,2)</f>
        <v>600</v>
      </c>
      <c r="G74" s="63">
        <v>169</v>
      </c>
      <c r="H74" s="63">
        <f>ABS(RESULT_ITTE!Q244)</f>
        <v>4.5141885895355009E-3</v>
      </c>
      <c r="I74" s="63">
        <f t="shared" si="35"/>
        <v>0.56499999999999995</v>
      </c>
      <c r="J74" s="63">
        <f t="shared" si="36"/>
        <v>1.125311971295491E-3</v>
      </c>
      <c r="K74" s="66">
        <f>ABS(RESULT_ITTE!M244)</f>
        <v>0.17638493907875838</v>
      </c>
      <c r="L74" s="66">
        <f t="shared" si="43"/>
        <v>16.741901191622659</v>
      </c>
      <c r="M74" s="63">
        <f>INDEX('Junctions — junctions'!$F$2:$F$197,MATCH(D74,'Junctions — junctions'!$B$2:$B$197,0))</f>
        <v>10</v>
      </c>
      <c r="N74" s="63">
        <v>10</v>
      </c>
      <c r="O74" s="63">
        <f t="shared" si="37"/>
        <v>36.741901191622659</v>
      </c>
      <c r="P74" s="63">
        <f t="shared" si="38"/>
        <v>13.464594820671842</v>
      </c>
      <c r="T74" s="63" t="s">
        <v>427</v>
      </c>
      <c r="U74" s="63" t="s">
        <v>774</v>
      </c>
      <c r="V74" s="63" t="s">
        <v>773</v>
      </c>
      <c r="W74" s="63">
        <v>565</v>
      </c>
      <c r="X74" s="63">
        <f>VLOOKUP(W74,REF_TABLE!$G$7:$H$32,2)</f>
        <v>600</v>
      </c>
      <c r="Y74" s="63">
        <v>169</v>
      </c>
      <c r="Z74" s="63">
        <f>ABS(RESULT_ITTE!AO244)</f>
        <v>9.7256388023146748E-3</v>
      </c>
      <c r="AA74" s="63">
        <f t="shared" si="39"/>
        <v>0.56499999999999995</v>
      </c>
      <c r="AB74" s="63">
        <f t="shared" si="40"/>
        <v>2.4244396430648002E-3</v>
      </c>
      <c r="AC74" s="69">
        <f>ABS(RESULT_ITTE!AK244)</f>
        <v>0.16706706030053203</v>
      </c>
      <c r="AD74" s="69">
        <f t="shared" si="44"/>
        <v>59.483952689380288</v>
      </c>
      <c r="AE74" s="63">
        <f>INDEX('Junctions — junctions'!$F$2:$F$197,MATCH(V74,'Junctions — junctions'!$B$2:$B$197,0))</f>
        <v>10</v>
      </c>
      <c r="AF74" s="69">
        <v>10</v>
      </c>
      <c r="AG74" s="63">
        <f t="shared" si="41"/>
        <v>79.483952689380288</v>
      </c>
      <c r="AH74" s="63">
        <f t="shared" si="42"/>
        <v>15.388679518329155</v>
      </c>
      <c r="EH74" s="63" t="s">
        <v>184</v>
      </c>
      <c r="EI74" s="63" t="s">
        <v>662</v>
      </c>
      <c r="EJ74" s="63" t="s">
        <v>661</v>
      </c>
      <c r="EK74" s="63">
        <v>350</v>
      </c>
      <c r="EL74" s="63">
        <v>350</v>
      </c>
      <c r="EM74" s="63">
        <v>68</v>
      </c>
      <c r="EN74" s="63">
        <v>5.3203589470187704E-2</v>
      </c>
      <c r="EO74" s="63">
        <v>0.35</v>
      </c>
      <c r="EP74" s="63">
        <v>3.456169083433587E-2</v>
      </c>
      <c r="EQ74" s="63">
        <v>0.13273035727434446</v>
      </c>
      <c r="ER74" s="63">
        <v>0.13273035727434446</v>
      </c>
      <c r="ES74" s="63">
        <v>16</v>
      </c>
      <c r="ET74" s="63">
        <v>10</v>
      </c>
      <c r="EU74" s="63">
        <v>26.132730357274344</v>
      </c>
      <c r="EV74" s="63">
        <v>68.739901850435103</v>
      </c>
    </row>
    <row r="75" spans="2:152" x14ac:dyDescent="0.25">
      <c r="B75" s="63"/>
      <c r="C75" s="63"/>
      <c r="D75" s="63"/>
      <c r="E75" s="63"/>
      <c r="F75" s="63">
        <f>MIN(F5:F74)</f>
        <v>200</v>
      </c>
      <c r="G75" s="63">
        <f>SUBTOTAL(9,G5:G74)</f>
        <v>7651</v>
      </c>
      <c r="H75" s="63"/>
      <c r="I75" s="63"/>
      <c r="J75" s="63"/>
      <c r="K75" s="63"/>
      <c r="L75" s="63"/>
      <c r="M75" s="63"/>
      <c r="N75" s="63"/>
      <c r="O75" s="63">
        <f>MAX(O5:O74)</f>
        <v>40.206496012294501</v>
      </c>
      <c r="P75" s="63"/>
      <c r="T75" s="63"/>
      <c r="U75" s="63"/>
      <c r="V75" s="63"/>
      <c r="W75" s="63"/>
      <c r="X75" s="63">
        <f>MIN(X5:X74)</f>
        <v>200</v>
      </c>
      <c r="Y75" s="63">
        <f>SUBTOTAL(9,Y5:Y74)</f>
        <v>8790</v>
      </c>
      <c r="Z75" s="63"/>
      <c r="AA75" s="63"/>
      <c r="AB75" s="63"/>
      <c r="AC75" s="63"/>
      <c r="AD75" s="63"/>
      <c r="AE75" s="63"/>
      <c r="AF75" s="63"/>
      <c r="AG75" s="63">
        <f>MAX(AG5:AG74)</f>
        <v>84.872632207709444</v>
      </c>
      <c r="AH75" s="63"/>
      <c r="EH75" s="63" t="s">
        <v>422</v>
      </c>
      <c r="EI75" s="63" t="s">
        <v>661</v>
      </c>
      <c r="EJ75" s="63" t="s">
        <v>715</v>
      </c>
      <c r="EK75" s="63">
        <v>300</v>
      </c>
      <c r="EL75" s="63">
        <v>300</v>
      </c>
      <c r="EM75" s="63">
        <v>88</v>
      </c>
      <c r="EN75" s="63">
        <v>1.7481161244201236E-3</v>
      </c>
      <c r="EO75" s="63">
        <v>0.3</v>
      </c>
      <c r="EP75" s="63">
        <v>1.5456740127783855E-3</v>
      </c>
      <c r="EQ75" s="63">
        <v>0.15867451177943664</v>
      </c>
      <c r="ER75" s="63">
        <v>0.2914048690537811</v>
      </c>
      <c r="ES75" s="63">
        <v>12</v>
      </c>
      <c r="ET75" s="63">
        <v>10</v>
      </c>
      <c r="EU75" s="63">
        <v>22.291404869053782</v>
      </c>
      <c r="EV75" s="63">
        <v>72.581227338655665</v>
      </c>
    </row>
    <row r="76" spans="2:152" x14ac:dyDescent="0.25">
      <c r="F76">
        <f>MAX(F5:F74)</f>
        <v>800</v>
      </c>
      <c r="X76">
        <f>MAX(X5:X74)</f>
        <v>600</v>
      </c>
      <c r="EH76" s="63" t="s">
        <v>200</v>
      </c>
      <c r="EI76" s="63" t="s">
        <v>663</v>
      </c>
      <c r="EJ76" s="63" t="s">
        <v>662</v>
      </c>
      <c r="EK76" s="63">
        <v>350</v>
      </c>
      <c r="EL76" s="63">
        <v>350</v>
      </c>
      <c r="EM76" s="63">
        <v>152</v>
      </c>
      <c r="EN76" s="63">
        <v>4.865934652743583E-2</v>
      </c>
      <c r="EO76" s="63">
        <v>0.35</v>
      </c>
      <c r="EP76" s="63">
        <v>3.1609696030460675E-2</v>
      </c>
      <c r="EQ76" s="63">
        <v>0.29669138684853463</v>
      </c>
      <c r="ER76" s="63">
        <v>0.58809625590231573</v>
      </c>
      <c r="ES76" s="63">
        <v>13</v>
      </c>
      <c r="ET76" s="63">
        <v>10</v>
      </c>
      <c r="EU76" s="63">
        <v>23.588096255902315</v>
      </c>
      <c r="EV76" s="63">
        <v>71.284535951807129</v>
      </c>
    </row>
    <row r="77" spans="2:152" x14ac:dyDescent="0.25">
      <c r="EH77" s="63" t="s">
        <v>202</v>
      </c>
      <c r="EI77" s="63" t="s">
        <v>664</v>
      </c>
      <c r="EJ77" s="63" t="s">
        <v>663</v>
      </c>
      <c r="EK77" s="63">
        <v>350</v>
      </c>
      <c r="EL77" s="63">
        <v>350</v>
      </c>
      <c r="EM77" s="63">
        <v>75</v>
      </c>
      <c r="EN77" s="63">
        <v>4.5250482127863388E-2</v>
      </c>
      <c r="EO77" s="63">
        <v>0.35</v>
      </c>
      <c r="EP77" s="63">
        <v>2.9395256767105821E-2</v>
      </c>
      <c r="EQ77" s="63">
        <v>0.14639377640552698</v>
      </c>
      <c r="ER77" s="63">
        <v>0.73449003230784271</v>
      </c>
      <c r="ES77" s="63">
        <v>13</v>
      </c>
      <c r="ET77" s="63">
        <v>10</v>
      </c>
      <c r="EU77" s="63">
        <v>23.734490032307843</v>
      </c>
      <c r="EV77" s="63">
        <v>71.138142175401597</v>
      </c>
    </row>
    <row r="78" spans="2:152" x14ac:dyDescent="0.25">
      <c r="EH78" s="63" t="s">
        <v>884</v>
      </c>
      <c r="EI78" s="63" t="s">
        <v>745</v>
      </c>
      <c r="EJ78" s="63" t="s">
        <v>664</v>
      </c>
      <c r="EK78" s="63">
        <v>200</v>
      </c>
      <c r="EL78" s="63">
        <v>200</v>
      </c>
      <c r="EM78" s="63">
        <v>96</v>
      </c>
      <c r="EN78" s="63">
        <v>2.6121357490103962E-2</v>
      </c>
      <c r="EO78" s="63">
        <v>0.2</v>
      </c>
      <c r="EP78" s="63">
        <v>5.1966789560256875E-2</v>
      </c>
      <c r="EQ78" s="63">
        <v>0.34556416714209448</v>
      </c>
      <c r="ER78" s="63">
        <v>1.0800541994499371</v>
      </c>
      <c r="ES78" s="63">
        <v>14</v>
      </c>
      <c r="ET78" s="63">
        <v>10</v>
      </c>
      <c r="EU78" s="63">
        <v>25.080054199449936</v>
      </c>
      <c r="EV78" s="63">
        <v>69.792578008259511</v>
      </c>
    </row>
    <row r="79" spans="2:152" x14ac:dyDescent="0.25">
      <c r="EH79" s="63" t="s">
        <v>436</v>
      </c>
      <c r="EI79" s="63" t="s">
        <v>707</v>
      </c>
      <c r="EJ79" s="63" t="s">
        <v>716</v>
      </c>
      <c r="EK79" s="63">
        <v>300</v>
      </c>
      <c r="EL79" s="63">
        <v>300</v>
      </c>
      <c r="EM79" s="63">
        <v>222</v>
      </c>
      <c r="EN79" s="63">
        <v>2.8766998571680552E-2</v>
      </c>
      <c r="EO79" s="63">
        <v>0.3</v>
      </c>
      <c r="EP79" s="63">
        <v>2.5435611225558069E-2</v>
      </c>
      <c r="EQ79" s="63">
        <v>0.40029251835266977</v>
      </c>
      <c r="ER79" s="63">
        <v>1.4803467178026068</v>
      </c>
      <c r="ES79" s="63">
        <v>5</v>
      </c>
      <c r="ET79" s="63">
        <v>10</v>
      </c>
      <c r="EU79" s="63">
        <v>16.480346717802608</v>
      </c>
      <c r="EV79" s="63">
        <v>78.39228548990684</v>
      </c>
    </row>
    <row r="80" spans="2:152" x14ac:dyDescent="0.25">
      <c r="EH80" s="63" t="s">
        <v>292</v>
      </c>
      <c r="EI80" s="63" t="s">
        <v>708</v>
      </c>
      <c r="EJ80" s="63" t="s">
        <v>707</v>
      </c>
      <c r="EK80" s="63">
        <v>300</v>
      </c>
      <c r="EL80" s="63">
        <v>300</v>
      </c>
      <c r="EM80" s="63">
        <v>190</v>
      </c>
      <c r="EN80" s="63">
        <v>7.3290945253670714E-3</v>
      </c>
      <c r="EO80" s="63">
        <v>0.3</v>
      </c>
      <c r="EP80" s="63">
        <v>6.4803423449995437E-3</v>
      </c>
      <c r="EQ80" s="63">
        <v>0.34259269588741997</v>
      </c>
      <c r="ER80" s="63">
        <v>1.8229394136900268</v>
      </c>
      <c r="ES80" s="63">
        <v>13</v>
      </c>
      <c r="ET80" s="63">
        <v>10</v>
      </c>
      <c r="EU80" s="63">
        <v>24.822939413690026</v>
      </c>
      <c r="EV80" s="63">
        <v>70.049692794019421</v>
      </c>
    </row>
    <row r="81" spans="138:152" x14ac:dyDescent="0.25">
      <c r="EH81" s="63" t="s">
        <v>291</v>
      </c>
      <c r="EI81" s="63" t="s">
        <v>709</v>
      </c>
      <c r="EJ81" s="63" t="s">
        <v>708</v>
      </c>
      <c r="EK81" s="63">
        <v>300</v>
      </c>
      <c r="EL81" s="63">
        <v>300</v>
      </c>
      <c r="EM81" s="63">
        <v>290</v>
      </c>
      <c r="EN81" s="63">
        <v>2.0410303096012553E-3</v>
      </c>
      <c r="EO81" s="63">
        <v>0.3</v>
      </c>
      <c r="EP81" s="63">
        <v>1.8046670154078961E-3</v>
      </c>
      <c r="EQ81" s="63">
        <v>0.52290464109132528</v>
      </c>
      <c r="ER81" s="63">
        <v>2.3458440547813519</v>
      </c>
      <c r="ES81" s="63">
        <v>11</v>
      </c>
      <c r="ET81" s="63">
        <v>10</v>
      </c>
      <c r="EU81" s="63">
        <v>23.345844054781352</v>
      </c>
      <c r="EV81" s="63">
        <v>71.526788152928091</v>
      </c>
    </row>
    <row r="82" spans="138:152" x14ac:dyDescent="0.25">
      <c r="EH82" s="63" t="s">
        <v>293</v>
      </c>
      <c r="EI82" s="63" t="s">
        <v>710</v>
      </c>
      <c r="EJ82" s="63" t="s">
        <v>709</v>
      </c>
      <c r="EK82" s="63">
        <v>300</v>
      </c>
      <c r="EL82" s="63">
        <v>300</v>
      </c>
      <c r="EM82" s="63">
        <v>82</v>
      </c>
      <c r="EN82" s="63">
        <v>2.1749295901185885E-3</v>
      </c>
      <c r="EO82" s="63">
        <v>0.3</v>
      </c>
      <c r="EP82" s="63">
        <v>1.9230599730233511E-3</v>
      </c>
      <c r="EQ82" s="63">
        <v>0.14785579506720234</v>
      </c>
      <c r="ER82" s="63">
        <v>2.4936998498485541</v>
      </c>
      <c r="ES82" s="63">
        <v>15</v>
      </c>
      <c r="ET82" s="63">
        <v>10</v>
      </c>
      <c r="EU82" s="63">
        <v>27.493699849848554</v>
      </c>
      <c r="EV82" s="63">
        <v>67.37893235786089</v>
      </c>
    </row>
    <row r="83" spans="138:152" x14ac:dyDescent="0.25">
      <c r="EH83" s="63" t="s">
        <v>294</v>
      </c>
      <c r="EI83" s="63" t="s">
        <v>711</v>
      </c>
      <c r="EJ83" s="63" t="s">
        <v>710</v>
      </c>
      <c r="EK83" s="63">
        <v>300</v>
      </c>
      <c r="EL83" s="63">
        <v>300</v>
      </c>
      <c r="EM83" s="63">
        <v>75</v>
      </c>
      <c r="EN83" s="63">
        <v>3.4771855721336953E-4</v>
      </c>
      <c r="EO83" s="63">
        <v>0.3</v>
      </c>
      <c r="EP83" s="63">
        <v>3.0745070658494324E-4</v>
      </c>
      <c r="EQ83" s="63">
        <v>0.13523395890292897</v>
      </c>
      <c r="ER83" s="63">
        <v>2.6289338087514831</v>
      </c>
      <c r="ES83" s="63">
        <v>10</v>
      </c>
      <c r="ET83" s="63">
        <v>10</v>
      </c>
      <c r="EU83" s="63">
        <v>22.628933808751484</v>
      </c>
      <c r="EV83" s="63">
        <v>72.24369839895796</v>
      </c>
    </row>
    <row r="84" spans="138:152" x14ac:dyDescent="0.25">
      <c r="EH84" s="63" t="s">
        <v>295</v>
      </c>
      <c r="EI84" s="63" t="s">
        <v>712</v>
      </c>
      <c r="EJ84" s="63" t="s">
        <v>711</v>
      </c>
      <c r="EK84" s="63">
        <v>300</v>
      </c>
      <c r="EL84" s="63">
        <v>300</v>
      </c>
      <c r="EM84" s="63">
        <v>108</v>
      </c>
      <c r="EN84" s="63">
        <v>2.68063579649003E-3</v>
      </c>
      <c r="EO84" s="63">
        <v>0.3</v>
      </c>
      <c r="EP84" s="63">
        <v>2.3702024313359345E-3</v>
      </c>
      <c r="EQ84" s="63">
        <v>0.19473690082021772</v>
      </c>
      <c r="ER84" s="63">
        <v>2.8236707095717009</v>
      </c>
      <c r="ES84" s="63">
        <v>10</v>
      </c>
      <c r="ET84" s="63">
        <v>10</v>
      </c>
      <c r="EU84" s="63">
        <v>22.823670709571701</v>
      </c>
      <c r="EV84" s="63">
        <v>72.048961498137743</v>
      </c>
    </row>
    <row r="85" spans="138:152" x14ac:dyDescent="0.25">
      <c r="EH85" s="63" t="s">
        <v>296</v>
      </c>
      <c r="EI85" s="63" t="s">
        <v>713</v>
      </c>
      <c r="EJ85" s="63" t="s">
        <v>712</v>
      </c>
      <c r="EK85" s="63">
        <v>300</v>
      </c>
      <c r="EL85" s="63">
        <v>300</v>
      </c>
      <c r="EM85" s="63">
        <v>150</v>
      </c>
      <c r="EN85" s="63">
        <v>4.0433589408214949E-3</v>
      </c>
      <c r="EO85" s="63">
        <v>0.3</v>
      </c>
      <c r="EP85" s="63">
        <v>3.5751142340363956E-3</v>
      </c>
      <c r="EQ85" s="63">
        <v>0.27046791780585794</v>
      </c>
      <c r="ER85" s="63">
        <v>3.0941386273775588</v>
      </c>
      <c r="ES85" s="63">
        <v>4</v>
      </c>
      <c r="ET85" s="63">
        <v>10</v>
      </c>
      <c r="EU85" s="63">
        <v>17.094138627377561</v>
      </c>
      <c r="EV85" s="63">
        <v>77.778493580331883</v>
      </c>
    </row>
    <row r="86" spans="138:152" x14ac:dyDescent="0.25">
      <c r="EH86" s="63" t="s">
        <v>297</v>
      </c>
      <c r="EI86" s="63" t="s">
        <v>714</v>
      </c>
      <c r="EJ86" s="63" t="s">
        <v>713</v>
      </c>
      <c r="EK86" s="63">
        <v>300</v>
      </c>
      <c r="EL86" s="63">
        <v>300</v>
      </c>
      <c r="EM86" s="63">
        <v>54</v>
      </c>
      <c r="EN86" s="63">
        <v>4.0353064464146281E-3</v>
      </c>
      <c r="EO86" s="63">
        <v>0.3</v>
      </c>
      <c r="EP86" s="63">
        <v>3.5679942657637696E-3</v>
      </c>
      <c r="EQ86" s="63">
        <v>9.7368450410108859E-2</v>
      </c>
      <c r="ER86" s="63">
        <v>3.1915070777876675</v>
      </c>
      <c r="ES86" s="63">
        <v>13</v>
      </c>
      <c r="ET86" s="63">
        <v>10</v>
      </c>
      <c r="EU86" s="63">
        <v>26.191507077787669</v>
      </c>
      <c r="EV86" s="63">
        <v>68.681125129921782</v>
      </c>
    </row>
    <row r="87" spans="138:152" x14ac:dyDescent="0.25">
      <c r="EH87" s="63" t="s">
        <v>298</v>
      </c>
      <c r="EI87" s="63" t="s">
        <v>715</v>
      </c>
      <c r="EJ87" s="63" t="s">
        <v>714</v>
      </c>
      <c r="EK87" s="63">
        <v>300</v>
      </c>
      <c r="EL87" s="63">
        <v>300</v>
      </c>
      <c r="EM87" s="63">
        <v>93</v>
      </c>
      <c r="EN87" s="63">
        <v>2.4593294434197303E-3</v>
      </c>
      <c r="EO87" s="63">
        <v>0.3</v>
      </c>
      <c r="EP87" s="63">
        <v>2.1745246533982766E-3</v>
      </c>
      <c r="EQ87" s="63">
        <v>0.16769010903963191</v>
      </c>
      <c r="ER87" s="63">
        <v>3.3591971868272994</v>
      </c>
      <c r="ES87" s="63">
        <v>11</v>
      </c>
      <c r="ET87" s="63">
        <v>10</v>
      </c>
      <c r="EU87" s="63">
        <v>24.359197186827299</v>
      </c>
      <c r="EV87" s="63">
        <v>70.513435020882142</v>
      </c>
    </row>
    <row r="88" spans="138:152" x14ac:dyDescent="0.25">
      <c r="EH88" s="63" t="s">
        <v>300</v>
      </c>
      <c r="EI88" s="63" t="s">
        <v>716</v>
      </c>
      <c r="EJ88" s="63" t="s">
        <v>717</v>
      </c>
      <c r="EK88" s="63">
        <v>300</v>
      </c>
      <c r="EL88" s="63">
        <v>300</v>
      </c>
      <c r="EM88" s="63">
        <v>360</v>
      </c>
      <c r="EN88" s="63">
        <v>2.4137502949274317E-2</v>
      </c>
      <c r="EO88" s="63">
        <v>0.3</v>
      </c>
      <c r="EP88" s="63">
        <v>2.1342238379290054E-2</v>
      </c>
      <c r="EQ88" s="63">
        <v>0.64912300273405898</v>
      </c>
      <c r="ER88" s="63">
        <v>4.008320189561358</v>
      </c>
      <c r="ES88" s="63">
        <v>15</v>
      </c>
      <c r="ET88" s="63">
        <v>10</v>
      </c>
      <c r="EU88" s="63">
        <v>29.00832018956136</v>
      </c>
      <c r="EV88" s="63">
        <v>65.864312018148084</v>
      </c>
    </row>
    <row r="89" spans="138:152" x14ac:dyDescent="0.25">
      <c r="EH89" s="63" t="s">
        <v>301</v>
      </c>
      <c r="EI89" s="63" t="s">
        <v>717</v>
      </c>
      <c r="EJ89" s="63" t="s">
        <v>718</v>
      </c>
      <c r="EK89" s="63">
        <v>300</v>
      </c>
      <c r="EL89" s="63">
        <v>300</v>
      </c>
      <c r="EM89" s="63">
        <v>315</v>
      </c>
      <c r="EN89" s="63">
        <v>2.0589390249357888E-2</v>
      </c>
      <c r="EO89" s="63">
        <v>0.3</v>
      </c>
      <c r="EP89" s="63">
        <v>1.8205017963518776E-2</v>
      </c>
      <c r="EQ89" s="63">
        <v>0.56798262739230165</v>
      </c>
      <c r="ER89" s="63">
        <v>4.5763028169536595</v>
      </c>
      <c r="ES89" s="63">
        <v>15</v>
      </c>
      <c r="ET89" s="63">
        <v>10</v>
      </c>
      <c r="EU89" s="63">
        <v>29.57630281695366</v>
      </c>
      <c r="EV89" s="63">
        <v>65.296329390755787</v>
      </c>
    </row>
    <row r="90" spans="138:152" x14ac:dyDescent="0.25">
      <c r="EH90" s="63" t="s">
        <v>302</v>
      </c>
      <c r="EI90" s="63" t="s">
        <v>718</v>
      </c>
      <c r="EJ90" s="63" t="s">
        <v>719</v>
      </c>
      <c r="EK90" s="63">
        <v>300</v>
      </c>
      <c r="EL90" s="63">
        <v>300</v>
      </c>
      <c r="EM90" s="63">
        <v>270</v>
      </c>
      <c r="EN90" s="63">
        <v>2.1210473254807391E-2</v>
      </c>
      <c r="EO90" s="63">
        <v>0.3</v>
      </c>
      <c r="EP90" s="63">
        <v>1.8754175910116879E-2</v>
      </c>
      <c r="EQ90" s="63">
        <v>0.48684225205054421</v>
      </c>
      <c r="ER90" s="63">
        <v>5.0631450690042037</v>
      </c>
      <c r="ES90" s="63">
        <v>18</v>
      </c>
      <c r="ET90" s="63">
        <v>10</v>
      </c>
      <c r="EU90" s="63">
        <v>33.063145069004207</v>
      </c>
      <c r="EV90" s="63">
        <v>61.809487138705236</v>
      </c>
    </row>
    <row r="91" spans="138:152" x14ac:dyDescent="0.25">
      <c r="EH91" s="63" t="s">
        <v>303</v>
      </c>
      <c r="EI91" s="63" t="s">
        <v>719</v>
      </c>
      <c r="EJ91" s="63" t="s">
        <v>720</v>
      </c>
      <c r="EK91" s="63">
        <v>300</v>
      </c>
      <c r="EL91" s="63">
        <v>300</v>
      </c>
      <c r="EM91" s="63">
        <v>180</v>
      </c>
      <c r="EN91" s="63">
        <v>1.5589817932820625E-2</v>
      </c>
      <c r="EO91" s="63">
        <v>0.3</v>
      </c>
      <c r="EP91" s="63">
        <v>1.3784425477283755E-2</v>
      </c>
      <c r="EQ91" s="63">
        <v>0.32456150136702949</v>
      </c>
      <c r="ER91" s="63">
        <v>5.3877065703712335</v>
      </c>
      <c r="ES91" s="63">
        <v>19</v>
      </c>
      <c r="ET91" s="63">
        <v>10</v>
      </c>
      <c r="EU91" s="63">
        <v>34.387706570371236</v>
      </c>
      <c r="EV91" s="63">
        <v>60.484925637338208</v>
      </c>
    </row>
    <row r="92" spans="138:152" x14ac:dyDescent="0.25">
      <c r="EH92" s="63" t="s">
        <v>304</v>
      </c>
      <c r="EI92" s="63" t="s">
        <v>720</v>
      </c>
      <c r="EJ92" s="63" t="s">
        <v>721</v>
      </c>
      <c r="EK92" s="63">
        <v>300</v>
      </c>
      <c r="EL92" s="63">
        <v>300</v>
      </c>
      <c r="EM92" s="63">
        <v>210</v>
      </c>
      <c r="EN92" s="63">
        <v>1.2149759936825977E-2</v>
      </c>
      <c r="EO92" s="63">
        <v>0.3</v>
      </c>
      <c r="EP92" s="63">
        <v>1.0742746396254046E-2</v>
      </c>
      <c r="EQ92" s="63">
        <v>0.37865508492820105</v>
      </c>
      <c r="ER92" s="63">
        <v>5.7663616552994341</v>
      </c>
      <c r="ES92" s="63">
        <v>17</v>
      </c>
      <c r="ET92" s="63">
        <v>10</v>
      </c>
      <c r="EU92" s="63">
        <v>32.766361655299434</v>
      </c>
      <c r="EV92" s="63">
        <v>62.10627055241001</v>
      </c>
    </row>
    <row r="93" spans="138:152" x14ac:dyDescent="0.25">
      <c r="EH93" s="63" t="s">
        <v>435</v>
      </c>
      <c r="EI93" s="63" t="s">
        <v>721</v>
      </c>
      <c r="EJ93" s="63" t="s">
        <v>722</v>
      </c>
      <c r="EK93" s="63">
        <v>300</v>
      </c>
      <c r="EL93" s="63">
        <v>300</v>
      </c>
      <c r="EM93" s="63">
        <v>100</v>
      </c>
      <c r="EN93" s="63">
        <v>1.1738371043320029E-2</v>
      </c>
      <c r="EO93" s="63">
        <v>0.3</v>
      </c>
      <c r="EP93" s="63">
        <v>1.0378998752173062E-2</v>
      </c>
      <c r="EQ93" s="63">
        <v>0.18031194520390531</v>
      </c>
      <c r="ER93" s="63">
        <v>5.9466736005033392</v>
      </c>
      <c r="ES93" s="63">
        <v>15</v>
      </c>
      <c r="ET93" s="63">
        <v>10</v>
      </c>
      <c r="EU93" s="63">
        <v>30.946673600503338</v>
      </c>
      <c r="EV93" s="63">
        <v>63.925958607206105</v>
      </c>
    </row>
    <row r="94" spans="138:152" x14ac:dyDescent="0.25">
      <c r="EH94" s="63" t="s">
        <v>207</v>
      </c>
      <c r="EI94" s="63" t="s">
        <v>722</v>
      </c>
      <c r="EJ94" s="63" t="s">
        <v>723</v>
      </c>
      <c r="EK94" s="63">
        <v>300</v>
      </c>
      <c r="EL94" s="63">
        <v>300</v>
      </c>
      <c r="EM94" s="63">
        <v>427</v>
      </c>
      <c r="EN94" s="63">
        <v>9.6271247287682774E-3</v>
      </c>
      <c r="EO94" s="63">
        <v>0.3</v>
      </c>
      <c r="EP94" s="63">
        <v>8.5122471574760744E-3</v>
      </c>
      <c r="EQ94" s="63">
        <v>0.76993200602067557</v>
      </c>
      <c r="ER94" s="63">
        <v>6.7166056065240145</v>
      </c>
      <c r="ES94" s="63">
        <v>15</v>
      </c>
      <c r="ET94" s="63">
        <v>10</v>
      </c>
      <c r="EU94" s="63">
        <v>31.716605606524013</v>
      </c>
      <c r="EV94" s="63">
        <v>63.156026601185431</v>
      </c>
    </row>
    <row r="95" spans="138:152" x14ac:dyDescent="0.25">
      <c r="EH95" s="63" t="s">
        <v>206</v>
      </c>
      <c r="EI95" s="63" t="s">
        <v>723</v>
      </c>
      <c r="EJ95" s="63" t="s">
        <v>724</v>
      </c>
      <c r="EK95" s="63">
        <v>300</v>
      </c>
      <c r="EL95" s="63">
        <v>300</v>
      </c>
      <c r="EM95" s="63">
        <v>87</v>
      </c>
      <c r="EN95" s="63">
        <v>8.4606213740655439E-3</v>
      </c>
      <c r="EO95" s="63">
        <v>0.3</v>
      </c>
      <c r="EP95" s="63">
        <v>7.4808317406193058E-3</v>
      </c>
      <c r="EQ95" s="63">
        <v>0.15687139232739758</v>
      </c>
      <c r="ER95" s="63">
        <v>6.8734769988514124</v>
      </c>
      <c r="ES95" s="63">
        <v>15</v>
      </c>
      <c r="ET95" s="63">
        <v>10</v>
      </c>
      <c r="EU95" s="63">
        <v>31.873476998851412</v>
      </c>
      <c r="EV95" s="63">
        <v>62.999155208858028</v>
      </c>
    </row>
    <row r="96" spans="138:152" x14ac:dyDescent="0.25">
      <c r="EH96" s="63" t="s">
        <v>205</v>
      </c>
      <c r="EI96" s="63" t="s">
        <v>724</v>
      </c>
      <c r="EJ96" s="63" t="s">
        <v>725</v>
      </c>
      <c r="EK96" s="63">
        <v>300</v>
      </c>
      <c r="EL96" s="63">
        <v>300</v>
      </c>
      <c r="EM96" s="63">
        <v>115</v>
      </c>
      <c r="EN96" s="63">
        <v>7.7033973419067111E-3</v>
      </c>
      <c r="EO96" s="63">
        <v>0.3</v>
      </c>
      <c r="EP96" s="63">
        <v>6.8112986975856693E-3</v>
      </c>
      <c r="EQ96" s="63">
        <v>0.20735873698449106</v>
      </c>
      <c r="ER96" s="63">
        <v>7.0808357358359038</v>
      </c>
      <c r="ES96" s="63">
        <v>13</v>
      </c>
      <c r="ET96" s="63">
        <v>10</v>
      </c>
      <c r="EU96" s="63">
        <v>30.080835735835905</v>
      </c>
      <c r="EV96" s="63">
        <v>64.791796471873539</v>
      </c>
    </row>
    <row r="97" spans="138:152" x14ac:dyDescent="0.25">
      <c r="EH97" s="63" t="s">
        <v>204</v>
      </c>
      <c r="EI97" s="63" t="s">
        <v>725</v>
      </c>
      <c r="EJ97" s="63" t="s">
        <v>726</v>
      </c>
      <c r="EK97" s="63">
        <v>300</v>
      </c>
      <c r="EL97" s="63">
        <v>300</v>
      </c>
      <c r="EM97" s="63">
        <v>168</v>
      </c>
      <c r="EN97" s="63">
        <v>2.4601289774330839E-3</v>
      </c>
      <c r="EO97" s="63">
        <v>0.3</v>
      </c>
      <c r="EP97" s="63">
        <v>2.1752315966782508E-3</v>
      </c>
      <c r="EQ97" s="63">
        <v>0.30292406794256088</v>
      </c>
      <c r="ER97" s="63">
        <v>7.3837598037784646</v>
      </c>
      <c r="ES97" s="63">
        <v>11</v>
      </c>
      <c r="ET97" s="63">
        <v>10</v>
      </c>
      <c r="EU97" s="63">
        <v>28.383759803778464</v>
      </c>
      <c r="EV97" s="63">
        <v>66.488872403930984</v>
      </c>
    </row>
    <row r="98" spans="138:152" x14ac:dyDescent="0.25">
      <c r="EH98" s="63" t="s">
        <v>218</v>
      </c>
      <c r="EI98" s="63" t="s">
        <v>726</v>
      </c>
      <c r="EJ98" s="63" t="s">
        <v>727</v>
      </c>
      <c r="EK98" s="63">
        <v>300</v>
      </c>
      <c r="EL98" s="63">
        <v>300</v>
      </c>
      <c r="EM98" s="63">
        <v>214</v>
      </c>
      <c r="EN98" s="63">
        <v>1.9297096944473368E-3</v>
      </c>
      <c r="EO98" s="63">
        <v>0.3</v>
      </c>
      <c r="EP98" s="63">
        <v>1.7062379811313591E-3</v>
      </c>
      <c r="EQ98" s="63">
        <v>0.38586756273635725</v>
      </c>
      <c r="ER98" s="63">
        <v>7.7696273665148219</v>
      </c>
      <c r="ES98" s="63">
        <v>15</v>
      </c>
      <c r="ET98" s="63">
        <v>10</v>
      </c>
      <c r="EU98" s="63">
        <v>32.769627366514825</v>
      </c>
      <c r="EV98" s="63">
        <v>62.103004841194618</v>
      </c>
    </row>
    <row r="99" spans="138:152" x14ac:dyDescent="0.25">
      <c r="EH99" s="63" t="s">
        <v>216</v>
      </c>
      <c r="EI99" s="63" t="s">
        <v>727</v>
      </c>
      <c r="EJ99" s="63" t="s">
        <v>728</v>
      </c>
      <c r="EK99" s="63">
        <v>300</v>
      </c>
      <c r="EL99" s="63">
        <v>300</v>
      </c>
      <c r="EM99" s="63">
        <v>70</v>
      </c>
      <c r="EN99" s="63">
        <v>1.1233622356655423E-3</v>
      </c>
      <c r="EO99" s="63">
        <v>0.3</v>
      </c>
      <c r="EP99" s="63">
        <v>9.9327029271629834E-4</v>
      </c>
      <c r="EQ99" s="63">
        <v>0.12621836164273367</v>
      </c>
      <c r="ER99" s="63">
        <v>7.8958457281575551</v>
      </c>
      <c r="ES99" s="63">
        <v>10</v>
      </c>
      <c r="ET99" s="63">
        <v>10</v>
      </c>
      <c r="EU99" s="63">
        <v>27.895845728157553</v>
      </c>
      <c r="EV99" s="63">
        <v>66.97678647955189</v>
      </c>
    </row>
    <row r="100" spans="138:152" x14ac:dyDescent="0.25">
      <c r="EH100" s="63" t="s">
        <v>220</v>
      </c>
      <c r="EI100" s="63" t="s">
        <v>728</v>
      </c>
      <c r="EJ100" s="63" t="s">
        <v>729</v>
      </c>
      <c r="EK100" s="63">
        <v>200</v>
      </c>
      <c r="EL100" s="63">
        <v>200</v>
      </c>
      <c r="EM100" s="63">
        <v>91</v>
      </c>
      <c r="EN100" s="63">
        <v>8.134972383825434E-3</v>
      </c>
      <c r="EO100" s="63">
        <v>0.2</v>
      </c>
      <c r="EP100" s="63">
        <v>1.6184013335023464E-2</v>
      </c>
      <c r="EQ100" s="63">
        <v>3.0943516202637942</v>
      </c>
      <c r="ER100" s="63">
        <v>10.990197348421349</v>
      </c>
      <c r="ES100" s="63">
        <v>6</v>
      </c>
      <c r="ET100" s="63">
        <v>10</v>
      </c>
      <c r="EU100" s="63">
        <v>26.990197348421347</v>
      </c>
      <c r="EV100" s="63">
        <v>67.882434859288097</v>
      </c>
    </row>
    <row r="101" spans="138:152" x14ac:dyDescent="0.25">
      <c r="EH101" s="63" t="s">
        <v>219</v>
      </c>
      <c r="EI101" s="63" t="s">
        <v>729</v>
      </c>
      <c r="EJ101" s="63" t="s">
        <v>730</v>
      </c>
      <c r="EK101" s="63">
        <v>200</v>
      </c>
      <c r="EL101" s="63">
        <v>200</v>
      </c>
      <c r="EM101" s="63">
        <v>30</v>
      </c>
      <c r="EN101" s="63">
        <v>1.1639572052696461E-2</v>
      </c>
      <c r="EO101" s="63">
        <v>0.2</v>
      </c>
      <c r="EP101" s="63">
        <v>2.3156192845761505E-2</v>
      </c>
      <c r="EQ101" s="63">
        <v>0.16584918199856438</v>
      </c>
      <c r="ER101" s="63">
        <v>11.156046530419914</v>
      </c>
      <c r="ES101" s="63">
        <v>9</v>
      </c>
      <c r="ET101" s="63">
        <v>10</v>
      </c>
      <c r="EU101" s="63">
        <v>30.156046530419914</v>
      </c>
      <c r="EV101" s="63">
        <v>64.71658567728953</v>
      </c>
    </row>
    <row r="102" spans="138:152" x14ac:dyDescent="0.25">
      <c r="EH102" s="63" t="s">
        <v>221</v>
      </c>
      <c r="EI102" s="63" t="s">
        <v>730</v>
      </c>
      <c r="EJ102" s="63" t="s">
        <v>731</v>
      </c>
      <c r="EK102" s="63">
        <v>200</v>
      </c>
      <c r="EL102" s="63">
        <v>200</v>
      </c>
      <c r="EM102" s="63">
        <v>35</v>
      </c>
      <c r="EN102" s="63">
        <v>1.145345918657068E-2</v>
      </c>
      <c r="EO102" s="63">
        <v>0.2</v>
      </c>
      <c r="EP102" s="63">
        <v>2.2785933063050028E-2</v>
      </c>
      <c r="EQ102" s="63">
        <v>0.24527997752358771</v>
      </c>
      <c r="ER102" s="63">
        <v>11.401326507943502</v>
      </c>
      <c r="ES102" s="63">
        <v>11</v>
      </c>
      <c r="ET102" s="63">
        <v>10</v>
      </c>
      <c r="EU102" s="63">
        <v>32.401326507943502</v>
      </c>
      <c r="EV102" s="63">
        <v>62.471305699765942</v>
      </c>
    </row>
    <row r="103" spans="138:152" x14ac:dyDescent="0.25">
      <c r="EH103" s="63" t="s">
        <v>222</v>
      </c>
      <c r="EI103" s="63" t="s">
        <v>731</v>
      </c>
      <c r="EJ103" s="63" t="s">
        <v>732</v>
      </c>
      <c r="EK103" s="63">
        <v>200</v>
      </c>
      <c r="EL103" s="63">
        <v>200</v>
      </c>
      <c r="EM103" s="63">
        <v>49</v>
      </c>
      <c r="EN103" s="63">
        <v>1.1065039289850538E-2</v>
      </c>
      <c r="EO103" s="63">
        <v>0.2</v>
      </c>
      <c r="EP103" s="63">
        <v>2.2013196231071855E-2</v>
      </c>
      <c r="EQ103" s="63">
        <v>0.5876553864915437</v>
      </c>
      <c r="ER103" s="63">
        <v>11.988981894435046</v>
      </c>
      <c r="ES103" s="63">
        <v>10</v>
      </c>
      <c r="ET103" s="63">
        <v>10</v>
      </c>
      <c r="EU103" s="63">
        <v>31.988981894435046</v>
      </c>
      <c r="EV103" s="63">
        <v>62.883650313274401</v>
      </c>
    </row>
    <row r="104" spans="138:152" x14ac:dyDescent="0.25">
      <c r="EH104" s="63" t="s">
        <v>223</v>
      </c>
      <c r="EI104" s="63" t="s">
        <v>732</v>
      </c>
      <c r="EJ104" s="63" t="s">
        <v>733</v>
      </c>
      <c r="EK104" s="63">
        <v>200</v>
      </c>
      <c r="EL104" s="63">
        <v>200</v>
      </c>
      <c r="EM104" s="63">
        <v>89</v>
      </c>
      <c r="EN104" s="63">
        <v>1.3669986404243713E-2</v>
      </c>
      <c r="EO104" s="63">
        <v>0.2</v>
      </c>
      <c r="EP104" s="63">
        <v>2.7195573852929887E-2</v>
      </c>
      <c r="EQ104" s="63">
        <v>2.912491740352483</v>
      </c>
      <c r="ER104" s="63">
        <v>14.901473634787529</v>
      </c>
      <c r="ES104" s="63">
        <v>7</v>
      </c>
      <c r="ET104" s="63">
        <v>10</v>
      </c>
      <c r="EU104" s="63">
        <v>31.901473634787529</v>
      </c>
      <c r="EV104" s="63">
        <v>62.971158572921915</v>
      </c>
    </row>
    <row r="105" spans="138:152" x14ac:dyDescent="0.25">
      <c r="EH105" s="63" t="s">
        <v>224</v>
      </c>
      <c r="EI105" s="63" t="s">
        <v>733</v>
      </c>
      <c r="EJ105" s="63" t="s">
        <v>734</v>
      </c>
      <c r="EK105" s="63">
        <v>200</v>
      </c>
      <c r="EL105" s="63">
        <v>200</v>
      </c>
      <c r="EM105" s="63">
        <v>77</v>
      </c>
      <c r="EN105" s="63">
        <v>1.5988191704550677E-2</v>
      </c>
      <c r="EO105" s="63">
        <v>0.2</v>
      </c>
      <c r="EP105" s="63">
        <v>3.1807496761000947E-2</v>
      </c>
      <c r="EQ105" s="63">
        <v>1.9655302348454322</v>
      </c>
      <c r="ER105" s="63">
        <v>16.86700386963296</v>
      </c>
      <c r="ES105" s="63">
        <v>4</v>
      </c>
      <c r="ET105" s="63">
        <v>10</v>
      </c>
      <c r="EU105" s="63">
        <v>30.86700386963296</v>
      </c>
      <c r="EV105" s="63">
        <v>64.005628338076491</v>
      </c>
    </row>
    <row r="106" spans="138:152" x14ac:dyDescent="0.25">
      <c r="EH106" s="63" t="s">
        <v>225</v>
      </c>
      <c r="EI106" s="63" t="s">
        <v>734</v>
      </c>
      <c r="EJ106" s="63" t="s">
        <v>735</v>
      </c>
      <c r="EK106" s="63">
        <v>200</v>
      </c>
      <c r="EL106" s="63">
        <v>200</v>
      </c>
      <c r="EM106" s="63">
        <v>37</v>
      </c>
      <c r="EN106" s="63">
        <v>1.3580285307680264E-2</v>
      </c>
      <c r="EO106" s="63">
        <v>0.2</v>
      </c>
      <c r="EP106" s="63">
        <v>2.7017119191444432E-2</v>
      </c>
      <c r="EQ106" s="63">
        <v>0.28285680122909845</v>
      </c>
      <c r="ER106" s="63">
        <v>17.149860670862058</v>
      </c>
      <c r="ES106" s="63">
        <v>11</v>
      </c>
      <c r="ET106" s="63">
        <v>10</v>
      </c>
      <c r="EU106" s="63">
        <v>38.149860670862054</v>
      </c>
      <c r="EV106" s="63">
        <v>56.722771536847389</v>
      </c>
    </row>
    <row r="107" spans="138:152" x14ac:dyDescent="0.25">
      <c r="EH107" s="63" t="s">
        <v>226</v>
      </c>
      <c r="EI107" s="63" t="s">
        <v>735</v>
      </c>
      <c r="EJ107" s="63" t="s">
        <v>736</v>
      </c>
      <c r="EK107" s="63">
        <v>200</v>
      </c>
      <c r="EL107" s="63">
        <v>200</v>
      </c>
      <c r="EM107" s="63">
        <v>129</v>
      </c>
      <c r="EN107" s="63">
        <v>1.4611096030467624E-2</v>
      </c>
      <c r="EO107" s="63">
        <v>0.2</v>
      </c>
      <c r="EP107" s="63">
        <v>2.9067851965491154E-2</v>
      </c>
      <c r="EQ107" s="63">
        <v>8.0650848595285289</v>
      </c>
      <c r="ER107" s="63">
        <v>25.214945530390587</v>
      </c>
      <c r="ES107" s="63">
        <v>9</v>
      </c>
      <c r="ET107" s="63">
        <v>10</v>
      </c>
      <c r="EU107" s="63">
        <v>44.214945530390587</v>
      </c>
      <c r="EV107" s="63">
        <v>50.657686677318857</v>
      </c>
    </row>
    <row r="108" spans="138:152" x14ac:dyDescent="0.25">
      <c r="EH108" s="63" t="s">
        <v>228</v>
      </c>
      <c r="EI108" s="63" t="s">
        <v>736</v>
      </c>
      <c r="EJ108" s="63" t="s">
        <v>737</v>
      </c>
      <c r="EK108" s="63">
        <v>200</v>
      </c>
      <c r="EL108" s="63">
        <v>200</v>
      </c>
      <c r="EM108" s="63">
        <v>85</v>
      </c>
      <c r="EN108" s="63">
        <v>1.7163472536927748E-2</v>
      </c>
      <c r="EO108" s="63">
        <v>0.2</v>
      </c>
      <c r="EP108" s="63">
        <v>3.4145643685925549E-2</v>
      </c>
      <c r="EQ108" s="63">
        <v>2.5698921402347308</v>
      </c>
      <c r="ER108" s="63">
        <v>27.784837670625318</v>
      </c>
      <c r="ES108" s="63">
        <v>10</v>
      </c>
      <c r="ET108" s="63">
        <v>10</v>
      </c>
      <c r="EU108" s="63">
        <v>47.784837670625322</v>
      </c>
      <c r="EV108" s="63">
        <v>47.087794537084122</v>
      </c>
    </row>
    <row r="109" spans="138:152" x14ac:dyDescent="0.25">
      <c r="EH109" s="63" t="s">
        <v>227</v>
      </c>
      <c r="EI109" s="63" t="s">
        <v>737</v>
      </c>
      <c r="EJ109" s="63" t="s">
        <v>738</v>
      </c>
      <c r="EK109" s="63">
        <v>200</v>
      </c>
      <c r="EL109" s="63">
        <v>200</v>
      </c>
      <c r="EM109" s="63">
        <v>75</v>
      </c>
      <c r="EN109" s="63">
        <v>1.575112677736926E-2</v>
      </c>
      <c r="EO109" s="63">
        <v>0.2</v>
      </c>
      <c r="EP109" s="63">
        <v>3.1335871073567917E-2</v>
      </c>
      <c r="EQ109" s="63">
        <v>1.8305166876164278</v>
      </c>
      <c r="ER109" s="63">
        <v>29.615354358241746</v>
      </c>
      <c r="ES109" s="63">
        <v>11</v>
      </c>
      <c r="ET109" s="63">
        <v>10</v>
      </c>
      <c r="EU109" s="63">
        <v>50.615354358241746</v>
      </c>
      <c r="EV109" s="63">
        <v>44.257277849467698</v>
      </c>
    </row>
    <row r="110" spans="138:152" x14ac:dyDescent="0.25">
      <c r="EH110" s="63" t="s">
        <v>429</v>
      </c>
      <c r="EI110" s="63" t="s">
        <v>738</v>
      </c>
      <c r="EJ110" s="63" t="s">
        <v>739</v>
      </c>
      <c r="EK110" s="63">
        <v>200</v>
      </c>
      <c r="EL110" s="63">
        <v>200</v>
      </c>
      <c r="EM110" s="63">
        <v>83</v>
      </c>
      <c r="EN110" s="63">
        <v>1.7869263081348691E-2</v>
      </c>
      <c r="EO110" s="63">
        <v>0.2</v>
      </c>
      <c r="EP110" s="63">
        <v>3.5549769360076963E-2</v>
      </c>
      <c r="EQ110" s="63">
        <v>2.4088928286696114</v>
      </c>
      <c r="ER110" s="63">
        <v>32.02424718691136</v>
      </c>
      <c r="ES110" s="63">
        <v>8</v>
      </c>
      <c r="ET110" s="63">
        <v>10</v>
      </c>
      <c r="EU110" s="63">
        <v>50.02424718691136</v>
      </c>
      <c r="EV110" s="63">
        <v>44.848385020798084</v>
      </c>
    </row>
    <row r="111" spans="138:152" x14ac:dyDescent="0.25">
      <c r="EH111" s="63" t="s">
        <v>285</v>
      </c>
      <c r="EI111" s="63" t="s">
        <v>739</v>
      </c>
      <c r="EJ111" s="63" t="s">
        <v>740</v>
      </c>
      <c r="EK111" s="63">
        <v>200</v>
      </c>
      <c r="EL111" s="63">
        <v>200</v>
      </c>
      <c r="EM111" s="63">
        <v>84</v>
      </c>
      <c r="EN111" s="63">
        <v>1.7443268151482401E-2</v>
      </c>
      <c r="EO111" s="63">
        <v>0.2</v>
      </c>
      <c r="EP111" s="63">
        <v>3.4702279374823147E-2</v>
      </c>
      <c r="EQ111" s="63">
        <v>2.4885476694281339</v>
      </c>
      <c r="ER111" s="63">
        <v>34.512794856339497</v>
      </c>
      <c r="ES111" s="63">
        <v>12</v>
      </c>
      <c r="ET111" s="63">
        <v>10</v>
      </c>
      <c r="EU111" s="63">
        <v>56.512794856339497</v>
      </c>
      <c r="EV111" s="63">
        <v>38.359837351369947</v>
      </c>
    </row>
    <row r="112" spans="138:152" x14ac:dyDescent="0.25">
      <c r="EH112" s="63" t="s">
        <v>284</v>
      </c>
      <c r="EI112" s="63" t="s">
        <v>740</v>
      </c>
      <c r="EJ112" s="63" t="s">
        <v>741</v>
      </c>
      <c r="EK112" s="63">
        <v>200</v>
      </c>
      <c r="EL112" s="63">
        <v>200</v>
      </c>
      <c r="EM112" s="63">
        <v>78</v>
      </c>
      <c r="EN112" s="63">
        <v>2.2002156226095377E-2</v>
      </c>
      <c r="EO112" s="63">
        <v>0.2</v>
      </c>
      <c r="EP112" s="63">
        <v>4.3771899025790005E-2</v>
      </c>
      <c r="EQ112" s="63">
        <v>2.0353909603128959</v>
      </c>
      <c r="ER112" s="63">
        <v>36.548185816652392</v>
      </c>
      <c r="ES112" s="63">
        <v>10</v>
      </c>
      <c r="ET112" s="63">
        <v>10</v>
      </c>
      <c r="EU112" s="63">
        <v>56.548185816652392</v>
      </c>
      <c r="EV112" s="63">
        <v>38.324446391057052</v>
      </c>
    </row>
    <row r="113" spans="138:152" x14ac:dyDescent="0.25">
      <c r="EH113" s="63" t="s">
        <v>283</v>
      </c>
      <c r="EI113" s="63" t="s">
        <v>741</v>
      </c>
      <c r="EJ113" s="63" t="s">
        <v>742</v>
      </c>
      <c r="EK113" s="63">
        <v>200</v>
      </c>
      <c r="EL113" s="63">
        <v>200</v>
      </c>
      <c r="EM113" s="63">
        <v>151</v>
      </c>
      <c r="EN113" s="63">
        <v>2.1427920330376111E-2</v>
      </c>
      <c r="EO113" s="63">
        <v>0.2</v>
      </c>
      <c r="EP113" s="63">
        <v>4.262949300948346E-2</v>
      </c>
      <c r="EQ113" s="63">
        <v>12.471763818331654</v>
      </c>
      <c r="ER113" s="63">
        <v>49.019949634984044</v>
      </c>
      <c r="ES113" s="63">
        <v>6</v>
      </c>
      <c r="ET113" s="63">
        <v>10</v>
      </c>
      <c r="EU113" s="63">
        <v>65.019949634984044</v>
      </c>
      <c r="EV113" s="63">
        <v>29.852682572725399</v>
      </c>
    </row>
    <row r="114" spans="138:152" x14ac:dyDescent="0.25">
      <c r="EH114" s="63" t="s">
        <v>280</v>
      </c>
      <c r="EI114" s="63" t="s">
        <v>742</v>
      </c>
      <c r="EJ114" s="63" t="s">
        <v>743</v>
      </c>
      <c r="EK114" s="63">
        <v>200</v>
      </c>
      <c r="EL114" s="63">
        <v>200</v>
      </c>
      <c r="EM114" s="63">
        <v>54</v>
      </c>
      <c r="EN114" s="63">
        <v>2.2880308540549472E-2</v>
      </c>
      <c r="EO114" s="63">
        <v>0.2</v>
      </c>
      <c r="EP114" s="63">
        <v>4.5518927546201973E-2</v>
      </c>
      <c r="EQ114" s="63">
        <v>0.75959980646985081</v>
      </c>
      <c r="ER114" s="63">
        <v>49.779549441453895</v>
      </c>
      <c r="ES114" s="63">
        <v>7</v>
      </c>
      <c r="ET114" s="63">
        <v>10</v>
      </c>
      <c r="EU114" s="63">
        <v>66.779549441453895</v>
      </c>
      <c r="EV114" s="63">
        <v>28.093082766255549</v>
      </c>
    </row>
    <row r="115" spans="138:152" x14ac:dyDescent="0.25">
      <c r="EH115" s="63" t="s">
        <v>282</v>
      </c>
      <c r="EI115" s="63" t="s">
        <v>743</v>
      </c>
      <c r="EJ115" s="63" t="s">
        <v>744</v>
      </c>
      <c r="EK115" s="63">
        <v>200</v>
      </c>
      <c r="EL115" s="63">
        <v>200</v>
      </c>
      <c r="EM115" s="63">
        <v>35</v>
      </c>
      <c r="EN115" s="63">
        <v>2.1097988070816663E-2</v>
      </c>
      <c r="EO115" s="63">
        <v>0.2</v>
      </c>
      <c r="EP115" s="63">
        <v>4.1973113634553909E-2</v>
      </c>
      <c r="EQ115" s="63">
        <v>0.24527997752358771</v>
      </c>
      <c r="ER115" s="63">
        <v>50.024829418977482</v>
      </c>
      <c r="ES115" s="63">
        <v>6</v>
      </c>
      <c r="ET115" s="63">
        <v>10</v>
      </c>
      <c r="EU115" s="63">
        <v>66.024829418977475</v>
      </c>
      <c r="EV115" s="63">
        <v>28.847802788731961</v>
      </c>
    </row>
    <row r="116" spans="138:152" x14ac:dyDescent="0.25">
      <c r="EH116" s="63" t="s">
        <v>430</v>
      </c>
      <c r="EI116" s="63" t="s">
        <v>744</v>
      </c>
      <c r="EJ116" s="63" t="s">
        <v>745</v>
      </c>
      <c r="EK116" s="63">
        <v>200</v>
      </c>
      <c r="EL116" s="63">
        <v>200</v>
      </c>
      <c r="EM116" s="63">
        <v>88</v>
      </c>
      <c r="EN116" s="63">
        <v>2.3312312747534994E-2</v>
      </c>
      <c r="EO116" s="63">
        <v>0.2</v>
      </c>
      <c r="EP116" s="63">
        <v>4.6378372608429974E-2</v>
      </c>
      <c r="EQ116" s="63">
        <v>2.8242261078771005</v>
      </c>
      <c r="ER116" s="63">
        <v>52.849055526854585</v>
      </c>
      <c r="ES116" s="63">
        <v>13</v>
      </c>
      <c r="ET116" s="63">
        <v>10</v>
      </c>
      <c r="EU116" s="63">
        <v>75.849055526854585</v>
      </c>
      <c r="EV116" s="63">
        <v>19.023576680854859</v>
      </c>
    </row>
    <row r="117" spans="138:152" x14ac:dyDescent="0.25">
      <c r="EH117" s="63" t="s">
        <v>253</v>
      </c>
      <c r="EI117" s="63" t="s">
        <v>747</v>
      </c>
      <c r="EJ117" s="63" t="s">
        <v>748</v>
      </c>
      <c r="EK117" s="63">
        <v>200</v>
      </c>
      <c r="EL117" s="63">
        <v>200</v>
      </c>
      <c r="EM117" s="63">
        <v>145</v>
      </c>
      <c r="EN117" s="63">
        <v>5.7178107520392636E-3</v>
      </c>
      <c r="EO117" s="63">
        <v>0.2</v>
      </c>
      <c r="EP117" s="63">
        <v>1.1375223060637953E-2</v>
      </c>
      <c r="EQ117" s="63">
        <v>0.3237951393825354</v>
      </c>
      <c r="ER117" s="63">
        <v>53.172850666237117</v>
      </c>
      <c r="ES117" s="63">
        <v>10</v>
      </c>
      <c r="ET117" s="63">
        <v>10</v>
      </c>
      <c r="EU117" s="63">
        <v>73.17285066623711</v>
      </c>
      <c r="EV117" s="63">
        <v>21.699781541472326</v>
      </c>
    </row>
    <row r="118" spans="138:152" x14ac:dyDescent="0.25">
      <c r="EH118" s="63" t="s">
        <v>235</v>
      </c>
      <c r="EI118" s="63" t="s">
        <v>748</v>
      </c>
      <c r="EJ118" s="63" t="s">
        <v>749</v>
      </c>
      <c r="EK118" s="63">
        <v>200</v>
      </c>
      <c r="EL118" s="63">
        <v>200</v>
      </c>
      <c r="EM118" s="63">
        <v>129</v>
      </c>
      <c r="EN118" s="63">
        <v>7.4004426018153989E-3</v>
      </c>
      <c r="EO118" s="63">
        <v>0.2</v>
      </c>
      <c r="EP118" s="63">
        <v>1.4722712764334595E-2</v>
      </c>
      <c r="EQ118" s="63">
        <v>0.28806602055411779</v>
      </c>
      <c r="ER118" s="63">
        <v>53.460916686791236</v>
      </c>
      <c r="ES118" s="63">
        <v>11</v>
      </c>
      <c r="ET118" s="63">
        <v>10</v>
      </c>
      <c r="EU118" s="63">
        <v>74.460916686791236</v>
      </c>
      <c r="EV118" s="63">
        <v>20.411715520918207</v>
      </c>
    </row>
    <row r="119" spans="138:152" x14ac:dyDescent="0.25">
      <c r="EH119" s="63" t="s">
        <v>236</v>
      </c>
      <c r="EI119" s="63" t="s">
        <v>749</v>
      </c>
      <c r="EJ119" s="63" t="s">
        <v>750</v>
      </c>
      <c r="EK119" s="63">
        <v>200</v>
      </c>
      <c r="EL119" s="63">
        <v>200</v>
      </c>
      <c r="EM119" s="63">
        <v>104</v>
      </c>
      <c r="EN119" s="63">
        <v>2.7450861712727077E-3</v>
      </c>
      <c r="EO119" s="63">
        <v>0.2</v>
      </c>
      <c r="EP119" s="63">
        <v>5.4611754171407078E-3</v>
      </c>
      <c r="EQ119" s="63">
        <v>0.23223927238471509</v>
      </c>
      <c r="ER119" s="63">
        <v>53.693155959175954</v>
      </c>
      <c r="ES119" s="63">
        <v>9</v>
      </c>
      <c r="ET119" s="63">
        <v>10</v>
      </c>
      <c r="EU119" s="63">
        <v>72.693155959175954</v>
      </c>
      <c r="EV119" s="63">
        <v>22.17947624853349</v>
      </c>
    </row>
    <row r="120" spans="138:152" x14ac:dyDescent="0.25">
      <c r="EH120" s="63" t="s">
        <v>237</v>
      </c>
      <c r="EI120" s="63" t="s">
        <v>750</v>
      </c>
      <c r="EJ120" s="63" t="s">
        <v>751</v>
      </c>
      <c r="EK120" s="63">
        <v>200</v>
      </c>
      <c r="EL120" s="63">
        <v>200</v>
      </c>
      <c r="EM120" s="63">
        <v>79</v>
      </c>
      <c r="EN120" s="63">
        <v>4.4884453938549137E-3</v>
      </c>
      <c r="EO120" s="63">
        <v>0.2</v>
      </c>
      <c r="EP120" s="63">
        <v>8.9294783903757311E-3</v>
      </c>
      <c r="EQ120" s="63">
        <v>0.17641252421531242</v>
      </c>
      <c r="ER120" s="63">
        <v>53.869568483391269</v>
      </c>
      <c r="ES120" s="63">
        <v>13</v>
      </c>
      <c r="ET120" s="63">
        <v>10</v>
      </c>
      <c r="EU120" s="63">
        <v>76.869568483391276</v>
      </c>
      <c r="EV120" s="63">
        <v>18.003063724318174</v>
      </c>
    </row>
    <row r="121" spans="138:152" x14ac:dyDescent="0.25">
      <c r="EH121" s="63" t="s">
        <v>238</v>
      </c>
      <c r="EI121" s="63" t="s">
        <v>751</v>
      </c>
      <c r="EJ121" s="63" t="s">
        <v>752</v>
      </c>
      <c r="EK121" s="63">
        <v>200</v>
      </c>
      <c r="EL121" s="63">
        <v>200</v>
      </c>
      <c r="EM121" s="63">
        <v>89</v>
      </c>
      <c r="EN121" s="63">
        <v>2.378096114085002E-3</v>
      </c>
      <c r="EO121" s="63">
        <v>0.2</v>
      </c>
      <c r="EP121" s="63">
        <v>4.7310718963031991E-3</v>
      </c>
      <c r="EQ121" s="63">
        <v>0.19874322348307349</v>
      </c>
      <c r="ER121" s="63">
        <v>54.06831170687434</v>
      </c>
      <c r="ES121" s="63">
        <v>13</v>
      </c>
      <c r="ET121" s="63">
        <v>10</v>
      </c>
      <c r="EU121" s="63">
        <v>77.06831170687434</v>
      </c>
      <c r="EV121" s="63">
        <v>17.804320500835104</v>
      </c>
    </row>
    <row r="122" spans="138:152" x14ac:dyDescent="0.25">
      <c r="EH122" s="63" t="s">
        <v>239</v>
      </c>
      <c r="EI122" s="63" t="s">
        <v>752</v>
      </c>
      <c r="EJ122" s="63" t="s">
        <v>753</v>
      </c>
      <c r="EK122" s="63">
        <v>200</v>
      </c>
      <c r="EL122" s="63">
        <v>200</v>
      </c>
      <c r="EM122" s="63">
        <v>89</v>
      </c>
      <c r="EN122" s="63">
        <v>5.1559089004894016E-4</v>
      </c>
      <c r="EO122" s="63">
        <v>0.2</v>
      </c>
      <c r="EP122" s="63">
        <v>1.0257354845554841E-3</v>
      </c>
      <c r="EQ122" s="63">
        <v>0.19874322348307349</v>
      </c>
      <c r="ER122" s="63">
        <v>54.267054930357411</v>
      </c>
      <c r="ES122" s="63">
        <v>11</v>
      </c>
      <c r="ET122" s="63">
        <v>10</v>
      </c>
      <c r="EU122" s="63">
        <v>75.267054930357403</v>
      </c>
      <c r="EV122" s="63">
        <v>19.605577277352033</v>
      </c>
    </row>
    <row r="123" spans="138:152" x14ac:dyDescent="0.25">
      <c r="EH123" s="63" t="s">
        <v>240</v>
      </c>
      <c r="EI123" s="63" t="s">
        <v>753</v>
      </c>
      <c r="EJ123" s="63" t="s">
        <v>754</v>
      </c>
      <c r="EK123" s="63">
        <v>200</v>
      </c>
      <c r="EL123" s="63">
        <v>200</v>
      </c>
      <c r="EM123" s="63">
        <v>45</v>
      </c>
      <c r="EN123" s="63">
        <v>1.8946841983272754E-3</v>
      </c>
      <c r="EO123" s="63">
        <v>0.2</v>
      </c>
      <c r="EP123" s="63">
        <v>3.7693544470236355E-3</v>
      </c>
      <c r="EQ123" s="63">
        <v>0.10048814670492479</v>
      </c>
      <c r="ER123" s="63">
        <v>54.367543077062336</v>
      </c>
      <c r="ES123" s="63">
        <v>8</v>
      </c>
      <c r="ET123" s="63">
        <v>10</v>
      </c>
      <c r="EU123" s="63">
        <v>72.367543077062336</v>
      </c>
      <c r="EV123" s="63">
        <v>22.505089130647107</v>
      </c>
    </row>
    <row r="124" spans="138:152" x14ac:dyDescent="0.25">
      <c r="EH124" s="63" t="s">
        <v>241</v>
      </c>
      <c r="EI124" s="63" t="s">
        <v>754</v>
      </c>
      <c r="EJ124" s="63" t="s">
        <v>755</v>
      </c>
      <c r="EK124" s="63">
        <v>200</v>
      </c>
      <c r="EL124" s="63">
        <v>200</v>
      </c>
      <c r="EM124" s="63">
        <v>43</v>
      </c>
      <c r="EN124" s="63">
        <v>1.6010217641143263E-3</v>
      </c>
      <c r="EO124" s="63">
        <v>0.2</v>
      </c>
      <c r="EP124" s="63">
        <v>3.1851315969562682E-3</v>
      </c>
      <c r="EQ124" s="63">
        <v>9.6022006851372577E-2</v>
      </c>
      <c r="ER124" s="63">
        <v>54.463565083913707</v>
      </c>
      <c r="ES124" s="63">
        <v>9</v>
      </c>
      <c r="ET124" s="63">
        <v>10</v>
      </c>
      <c r="EU124" s="63">
        <v>73.463565083913707</v>
      </c>
      <c r="EV124" s="63">
        <v>21.409067123795737</v>
      </c>
    </row>
    <row r="125" spans="138:152" x14ac:dyDescent="0.25">
      <c r="EH125" s="63" t="s">
        <v>243</v>
      </c>
      <c r="EI125" s="63" t="s">
        <v>755</v>
      </c>
      <c r="EJ125" s="63" t="s">
        <v>756</v>
      </c>
      <c r="EK125" s="63">
        <v>200</v>
      </c>
      <c r="EL125" s="63">
        <v>200</v>
      </c>
      <c r="EM125" s="63">
        <v>66</v>
      </c>
      <c r="EN125" s="63">
        <v>1.4127237990254182E-3</v>
      </c>
      <c r="EO125" s="63">
        <v>0.2</v>
      </c>
      <c r="EP125" s="63">
        <v>2.8105246979807075E-3</v>
      </c>
      <c r="EQ125" s="63">
        <v>0.14738261516722301</v>
      </c>
      <c r="ER125" s="63">
        <v>54.610947699080931</v>
      </c>
      <c r="ES125" s="63">
        <v>10</v>
      </c>
      <c r="ET125" s="63">
        <v>10</v>
      </c>
      <c r="EU125" s="63">
        <v>74.610947699080924</v>
      </c>
      <c r="EV125" s="63">
        <v>20.261684508628512</v>
      </c>
    </row>
    <row r="126" spans="138:152" x14ac:dyDescent="0.25">
      <c r="EH126" s="63" t="s">
        <v>242</v>
      </c>
      <c r="EI126" s="63" t="s">
        <v>756</v>
      </c>
      <c r="EJ126" s="63" t="s">
        <v>757</v>
      </c>
      <c r="EK126" s="63">
        <v>200</v>
      </c>
      <c r="EL126" s="63">
        <v>200</v>
      </c>
      <c r="EM126" s="63">
        <v>48</v>
      </c>
      <c r="EN126" s="63">
        <v>1.1848186181109639E-3</v>
      </c>
      <c r="EO126" s="63">
        <v>0.2</v>
      </c>
      <c r="EP126" s="63">
        <v>2.3571217467458568E-3</v>
      </c>
      <c r="EQ126" s="63">
        <v>0.10718735648525311</v>
      </c>
      <c r="ER126" s="63">
        <v>54.718135055566187</v>
      </c>
      <c r="ES126" s="63">
        <v>14</v>
      </c>
      <c r="ET126" s="63">
        <v>10</v>
      </c>
      <c r="EU126" s="63">
        <v>78.718135055566194</v>
      </c>
      <c r="EV126" s="63">
        <v>16.154497152143257</v>
      </c>
    </row>
    <row r="127" spans="138:152" x14ac:dyDescent="0.25">
      <c r="EH127" s="63" t="s">
        <v>244</v>
      </c>
      <c r="EI127" s="63" t="s">
        <v>757</v>
      </c>
      <c r="EJ127" s="63" t="s">
        <v>758</v>
      </c>
      <c r="EK127" s="63">
        <v>200</v>
      </c>
      <c r="EL127" s="63">
        <v>200</v>
      </c>
      <c r="EM127" s="63">
        <v>19</v>
      </c>
      <c r="EN127" s="63">
        <v>2.6710731842888259E-5</v>
      </c>
      <c r="EO127" s="63">
        <v>0.2</v>
      </c>
      <c r="EP127" s="63">
        <v>5.3139312579971964E-5</v>
      </c>
      <c r="EQ127" s="63">
        <v>4.2428328608746027E-2</v>
      </c>
      <c r="ER127" s="63">
        <v>54.76056338417493</v>
      </c>
      <c r="ES127" s="63">
        <v>12</v>
      </c>
      <c r="ET127" s="63">
        <v>10</v>
      </c>
      <c r="EU127" s="63">
        <v>76.76056338417493</v>
      </c>
      <c r="EV127" s="63">
        <v>18.112068823534514</v>
      </c>
    </row>
    <row r="128" spans="138:152" x14ac:dyDescent="0.25">
      <c r="EH128" s="63" t="s">
        <v>245</v>
      </c>
      <c r="EI128" s="63" t="s">
        <v>758</v>
      </c>
      <c r="EJ128" s="63" t="s">
        <v>759</v>
      </c>
      <c r="EK128" s="63">
        <v>200</v>
      </c>
      <c r="EL128" s="63">
        <v>200</v>
      </c>
      <c r="EM128" s="63">
        <v>58</v>
      </c>
      <c r="EN128" s="63">
        <v>3.2236682525302956E-3</v>
      </c>
      <c r="EO128" s="63">
        <v>0.2</v>
      </c>
      <c r="EP128" s="63">
        <v>6.4132842159826103E-3</v>
      </c>
      <c r="EQ128" s="63">
        <v>0.12951805575301417</v>
      </c>
      <c r="ER128" s="63">
        <v>54.890081439927947</v>
      </c>
      <c r="ES128" s="63">
        <v>13</v>
      </c>
      <c r="ET128" s="63">
        <v>10</v>
      </c>
      <c r="EU128" s="63">
        <v>77.89008143992794</v>
      </c>
      <c r="EV128" s="63">
        <v>16.982550767781497</v>
      </c>
    </row>
    <row r="129" spans="138:152" x14ac:dyDescent="0.25">
      <c r="EH129" s="63" t="s">
        <v>246</v>
      </c>
      <c r="EI129" s="63" t="s">
        <v>759</v>
      </c>
      <c r="EJ129" s="63" t="s">
        <v>760</v>
      </c>
      <c r="EK129" s="63">
        <v>200</v>
      </c>
      <c r="EL129" s="63">
        <v>200</v>
      </c>
      <c r="EM129" s="63">
        <v>84</v>
      </c>
      <c r="EN129" s="63">
        <v>3.0381313582258647E-3</v>
      </c>
      <c r="EO129" s="63">
        <v>0.2</v>
      </c>
      <c r="EP129" s="63">
        <v>6.0441702928017522E-3</v>
      </c>
      <c r="EQ129" s="63">
        <v>0.18757787384919294</v>
      </c>
      <c r="ER129" s="63">
        <v>55.07765931377714</v>
      </c>
      <c r="ES129" s="63">
        <v>11</v>
      </c>
      <c r="ET129" s="63">
        <v>10</v>
      </c>
      <c r="EU129" s="63">
        <v>76.077659313777133</v>
      </c>
      <c r="EV129" s="63">
        <v>18.794972893932304</v>
      </c>
    </row>
    <row r="130" spans="138:152" x14ac:dyDescent="0.25">
      <c r="EH130" s="63" t="s">
        <v>247</v>
      </c>
      <c r="EI130" s="63" t="s">
        <v>760</v>
      </c>
      <c r="EJ130" s="63" t="s">
        <v>761</v>
      </c>
      <c r="EK130" s="63">
        <v>200</v>
      </c>
      <c r="EL130" s="63">
        <v>200</v>
      </c>
      <c r="EM130" s="63">
        <v>105</v>
      </c>
      <c r="EN130" s="63">
        <v>7.4587637964537126E-4</v>
      </c>
      <c r="EO130" s="63">
        <v>0.2</v>
      </c>
      <c r="EP130" s="63">
        <v>1.4838739094505998E-3</v>
      </c>
      <c r="EQ130" s="63">
        <v>0.23447234231149122</v>
      </c>
      <c r="ER130" s="63">
        <v>55.312131656088631</v>
      </c>
      <c r="ES130" s="63">
        <v>8</v>
      </c>
      <c r="ET130" s="63">
        <v>10</v>
      </c>
      <c r="EU130" s="63">
        <v>73.312131656088638</v>
      </c>
      <c r="EV130" s="63">
        <v>21.560500551620812</v>
      </c>
    </row>
    <row r="131" spans="138:152" x14ac:dyDescent="0.25">
      <c r="EH131" s="63" t="s">
        <v>248</v>
      </c>
      <c r="EI131" s="63" t="s">
        <v>761</v>
      </c>
      <c r="EJ131" s="63" t="s">
        <v>762</v>
      </c>
      <c r="EK131" s="63">
        <v>200</v>
      </c>
      <c r="EL131" s="63">
        <v>200</v>
      </c>
      <c r="EM131" s="63">
        <v>90</v>
      </c>
      <c r="EN131" s="63">
        <v>2.957262738368556E-4</v>
      </c>
      <c r="EO131" s="63">
        <v>0.2</v>
      </c>
      <c r="EP131" s="63">
        <v>5.8832872854103755E-4</v>
      </c>
      <c r="EQ131" s="63">
        <v>0.20097629340984957</v>
      </c>
      <c r="ER131" s="63">
        <v>55.513107949498483</v>
      </c>
      <c r="ES131" s="63">
        <v>9</v>
      </c>
      <c r="ET131" s="63">
        <v>10</v>
      </c>
      <c r="EU131" s="63">
        <v>74.513107949498476</v>
      </c>
      <c r="EV131" s="63">
        <v>20.359524258210961</v>
      </c>
    </row>
    <row r="132" spans="138:152" x14ac:dyDescent="0.25">
      <c r="EH132" s="63" t="s">
        <v>249</v>
      </c>
      <c r="EI132" s="63" t="s">
        <v>762</v>
      </c>
      <c r="EJ132" s="63" t="s">
        <v>763</v>
      </c>
      <c r="EK132" s="63">
        <v>200</v>
      </c>
      <c r="EL132" s="63">
        <v>200</v>
      </c>
      <c r="EM132" s="63">
        <v>78</v>
      </c>
      <c r="EN132" s="63">
        <v>3.5155096728153672E-3</v>
      </c>
      <c r="EO132" s="63">
        <v>0.2</v>
      </c>
      <c r="EP132" s="63">
        <v>6.9938842739492163E-3</v>
      </c>
      <c r="EQ132" s="63">
        <v>0.17417945428853632</v>
      </c>
      <c r="ER132" s="63">
        <v>55.687287403787018</v>
      </c>
      <c r="ES132" s="63">
        <v>14</v>
      </c>
      <c r="ET132" s="63">
        <v>10</v>
      </c>
      <c r="EU132" s="63">
        <v>79.687287403787025</v>
      </c>
      <c r="EV132" s="63">
        <v>15.185344803922426</v>
      </c>
    </row>
    <row r="133" spans="138:152" x14ac:dyDescent="0.25">
      <c r="EH133" s="63" t="s">
        <v>250</v>
      </c>
      <c r="EI133" s="63" t="s">
        <v>763</v>
      </c>
      <c r="EJ133" s="63" t="s">
        <v>764</v>
      </c>
      <c r="EK133" s="63">
        <v>200</v>
      </c>
      <c r="EL133" s="63">
        <v>200</v>
      </c>
      <c r="EM133" s="63">
        <v>83</v>
      </c>
      <c r="EN133" s="63">
        <v>1.8616910468267048E-3</v>
      </c>
      <c r="EO133" s="63">
        <v>0.2</v>
      </c>
      <c r="EP133" s="63">
        <v>3.7037166576549406E-3</v>
      </c>
      <c r="EQ133" s="63">
        <v>0.18534480392241684</v>
      </c>
      <c r="ER133" s="63">
        <v>55.872632207709437</v>
      </c>
      <c r="ES133" s="63">
        <v>19</v>
      </c>
      <c r="ET133" s="63">
        <v>10</v>
      </c>
      <c r="EU133" s="63">
        <v>84.872632207709444</v>
      </c>
      <c r="EV133" s="63">
        <v>10.000000000000007</v>
      </c>
    </row>
    <row r="134" spans="138:152" x14ac:dyDescent="0.25">
      <c r="EH134" s="63" t="s">
        <v>432</v>
      </c>
      <c r="EI134" s="63" t="s">
        <v>764</v>
      </c>
      <c r="EJ134" s="63" t="s">
        <v>765</v>
      </c>
      <c r="EK134" s="63">
        <v>200</v>
      </c>
      <c r="EL134" s="63">
        <v>200</v>
      </c>
      <c r="EM134" s="63">
        <v>175</v>
      </c>
      <c r="EN134" s="63">
        <v>4.8548107601697425E-3</v>
      </c>
      <c r="EO134" s="63">
        <v>0.2</v>
      </c>
      <c r="EP134" s="63">
        <v>9.6583391282092056E-3</v>
      </c>
      <c r="EQ134" s="63">
        <v>0.39078723718581865</v>
      </c>
      <c r="ER134" s="63">
        <v>56.263419444895256</v>
      </c>
      <c r="ES134" s="63">
        <v>11</v>
      </c>
      <c r="ET134" s="63">
        <v>10</v>
      </c>
      <c r="EU134" s="63">
        <v>77.263419444895248</v>
      </c>
      <c r="EV134" s="63">
        <v>17.609212762814188</v>
      </c>
    </row>
    <row r="135" spans="138:152" x14ac:dyDescent="0.25">
      <c r="EH135" s="63" t="s">
        <v>269</v>
      </c>
      <c r="EI135" s="63" t="s">
        <v>765</v>
      </c>
      <c r="EJ135" s="63" t="s">
        <v>766</v>
      </c>
      <c r="EK135" s="63">
        <v>200</v>
      </c>
      <c r="EL135" s="63">
        <v>200</v>
      </c>
      <c r="EM135" s="63">
        <v>169</v>
      </c>
      <c r="EN135" s="63">
        <v>5.3979373016433685E-3</v>
      </c>
      <c r="EO135" s="63">
        <v>0.2</v>
      </c>
      <c r="EP135" s="63">
        <v>1.0738855050708367E-2</v>
      </c>
      <c r="EQ135" s="63">
        <v>0.37738881762516202</v>
      </c>
      <c r="ER135" s="63">
        <v>56.640808262520416</v>
      </c>
      <c r="ES135" s="63">
        <v>9</v>
      </c>
      <c r="ET135" s="63">
        <v>10</v>
      </c>
      <c r="EU135" s="63">
        <v>75.640808262520409</v>
      </c>
      <c r="EV135" s="63">
        <v>19.231823945189028</v>
      </c>
    </row>
    <row r="136" spans="138:152" x14ac:dyDescent="0.25">
      <c r="EH136" s="63" t="s">
        <v>270</v>
      </c>
      <c r="EI136" s="63" t="s">
        <v>766</v>
      </c>
      <c r="EJ136" s="63" t="s">
        <v>767</v>
      </c>
      <c r="EK136" s="63">
        <v>200</v>
      </c>
      <c r="EL136" s="63">
        <v>200</v>
      </c>
      <c r="EM136" s="63">
        <v>169</v>
      </c>
      <c r="EN136" s="63">
        <v>5.2083728670454053E-3</v>
      </c>
      <c r="EO136" s="63">
        <v>0.2</v>
      </c>
      <c r="EP136" s="63">
        <v>1.036172859069979E-2</v>
      </c>
      <c r="EQ136" s="63">
        <v>0.37738881762516202</v>
      </c>
      <c r="ER136" s="63">
        <v>57.018197080145576</v>
      </c>
      <c r="ES136" s="63">
        <v>11</v>
      </c>
      <c r="ET136" s="63">
        <v>10</v>
      </c>
      <c r="EU136" s="63">
        <v>78.018197080145569</v>
      </c>
      <c r="EV136" s="63">
        <v>16.854435127563868</v>
      </c>
    </row>
    <row r="137" spans="138:152" x14ac:dyDescent="0.25">
      <c r="EH137" s="63" t="s">
        <v>272</v>
      </c>
      <c r="EI137" s="63" t="s">
        <v>767</v>
      </c>
      <c r="EJ137" s="63" t="s">
        <v>768</v>
      </c>
      <c r="EK137" s="63">
        <v>200</v>
      </c>
      <c r="EL137" s="63">
        <v>200</v>
      </c>
      <c r="EM137" s="63">
        <v>134</v>
      </c>
      <c r="EN137" s="63">
        <v>1.0509470737790256E-2</v>
      </c>
      <c r="EO137" s="63">
        <v>0.2</v>
      </c>
      <c r="EP137" s="63">
        <v>2.0907927714986844E-2</v>
      </c>
      <c r="EQ137" s="63">
        <v>0.29923137018799828</v>
      </c>
      <c r="ER137" s="63">
        <v>57.317428450333573</v>
      </c>
      <c r="ES137" s="63">
        <v>6</v>
      </c>
      <c r="ET137" s="63">
        <v>10</v>
      </c>
      <c r="EU137" s="63">
        <v>73.31742845033358</v>
      </c>
      <c r="EV137" s="63">
        <v>21.555203757375871</v>
      </c>
    </row>
    <row r="138" spans="138:152" x14ac:dyDescent="0.25">
      <c r="EH138" s="63" t="s">
        <v>271</v>
      </c>
      <c r="EI138" s="63" t="s">
        <v>768</v>
      </c>
      <c r="EJ138" s="63" t="s">
        <v>769</v>
      </c>
      <c r="EK138" s="63">
        <v>200</v>
      </c>
      <c r="EL138" s="63">
        <v>200</v>
      </c>
      <c r="EM138" s="63">
        <v>263</v>
      </c>
      <c r="EN138" s="63">
        <v>1.0149517383691499E-2</v>
      </c>
      <c r="EO138" s="63">
        <v>0.2</v>
      </c>
      <c r="EP138" s="63">
        <v>2.0191823270145286E-2</v>
      </c>
      <c r="EQ138" s="63">
        <v>0.58729739074211607</v>
      </c>
      <c r="ER138" s="63">
        <v>57.904725841075688</v>
      </c>
      <c r="ES138" s="63">
        <v>12</v>
      </c>
      <c r="ET138" s="63">
        <v>10</v>
      </c>
      <c r="EU138" s="63">
        <v>79.904725841075688</v>
      </c>
      <c r="EV138" s="63">
        <v>14.967906366633756</v>
      </c>
    </row>
    <row r="139" spans="138:152" x14ac:dyDescent="0.25">
      <c r="EH139" s="63" t="s">
        <v>273</v>
      </c>
      <c r="EI139" s="63" t="s">
        <v>769</v>
      </c>
      <c r="EJ139" s="63" t="s">
        <v>770</v>
      </c>
      <c r="EK139" s="63">
        <v>200</v>
      </c>
      <c r="EL139" s="63">
        <v>200</v>
      </c>
      <c r="EM139" s="63">
        <v>257</v>
      </c>
      <c r="EN139" s="63">
        <v>1.6801488560265924E-2</v>
      </c>
      <c r="EO139" s="63">
        <v>0.2</v>
      </c>
      <c r="EP139" s="63">
        <v>3.3425499445853171E-2</v>
      </c>
      <c r="EQ139" s="63">
        <v>0.57389897118145938</v>
      </c>
      <c r="ER139" s="63">
        <v>58.478624812257145</v>
      </c>
      <c r="ES139" s="63">
        <v>4</v>
      </c>
      <c r="ET139" s="63">
        <v>10</v>
      </c>
      <c r="EU139" s="63">
        <v>72.478624812257152</v>
      </c>
      <c r="EV139" s="63">
        <v>22.394007395452299</v>
      </c>
    </row>
    <row r="140" spans="138:152" x14ac:dyDescent="0.25">
      <c r="EH140" s="63" t="s">
        <v>274</v>
      </c>
      <c r="EI140" s="63" t="s">
        <v>770</v>
      </c>
      <c r="EJ140" s="63" t="s">
        <v>771</v>
      </c>
      <c r="EK140" s="63">
        <v>200</v>
      </c>
      <c r="EL140" s="63">
        <v>200</v>
      </c>
      <c r="EM140" s="63">
        <v>173</v>
      </c>
      <c r="EN140" s="63">
        <v>1.6890519998458413E-2</v>
      </c>
      <c r="EO140" s="63">
        <v>0.2</v>
      </c>
      <c r="EP140" s="63">
        <v>3.3602621864339606E-2</v>
      </c>
      <c r="EQ140" s="63">
        <v>0.38632109733226644</v>
      </c>
      <c r="ER140" s="63">
        <v>58.864945909589409</v>
      </c>
      <c r="ES140" s="63">
        <v>8</v>
      </c>
      <c r="ET140" s="63">
        <v>10</v>
      </c>
      <c r="EU140" s="63">
        <v>76.864945909589409</v>
      </c>
      <c r="EV140" s="63">
        <v>18.007686298120035</v>
      </c>
    </row>
    <row r="141" spans="138:152" x14ac:dyDescent="0.25">
      <c r="EH141" s="63" t="s">
        <v>275</v>
      </c>
      <c r="EI141" s="63" t="s">
        <v>771</v>
      </c>
      <c r="EJ141" s="63" t="s">
        <v>772</v>
      </c>
      <c r="EK141" s="63">
        <v>200</v>
      </c>
      <c r="EL141" s="63">
        <v>200</v>
      </c>
      <c r="EM141" s="63">
        <v>47</v>
      </c>
      <c r="EN141" s="63">
        <v>1.7622536230404908E-2</v>
      </c>
      <c r="EO141" s="63">
        <v>0.2</v>
      </c>
      <c r="EP141" s="63">
        <v>3.505892188606196E-2</v>
      </c>
      <c r="EQ141" s="63">
        <v>0.10495428655847701</v>
      </c>
      <c r="ER141" s="63">
        <v>58.969900196147883</v>
      </c>
      <c r="ES141" s="63">
        <v>10</v>
      </c>
      <c r="ET141" s="63">
        <v>10</v>
      </c>
      <c r="EU141" s="63">
        <v>78.969900196147876</v>
      </c>
      <c r="EV141" s="63">
        <v>15.902732011561561</v>
      </c>
    </row>
    <row r="142" spans="138:152" x14ac:dyDescent="0.25">
      <c r="EH142" s="63" t="s">
        <v>277</v>
      </c>
      <c r="EI142" s="63" t="s">
        <v>773</v>
      </c>
      <c r="EJ142" s="63" t="s">
        <v>772</v>
      </c>
      <c r="EK142" s="63">
        <v>565</v>
      </c>
      <c r="EL142" s="63">
        <v>600</v>
      </c>
      <c r="EM142" s="63">
        <v>351</v>
      </c>
      <c r="EN142" s="63">
        <v>9.5365150519625026E-3</v>
      </c>
      <c r="EO142" s="63">
        <v>0.56499999999999995</v>
      </c>
      <c r="EP142" s="63">
        <v>2.3772942444828821E-3</v>
      </c>
      <c r="EQ142" s="63">
        <v>0.34698543293187428</v>
      </c>
      <c r="ER142" s="63">
        <v>59.316885629079756</v>
      </c>
      <c r="ES142" s="63">
        <v>10</v>
      </c>
      <c r="ET142" s="63">
        <v>10</v>
      </c>
      <c r="EU142" s="63">
        <v>79.316885629079763</v>
      </c>
      <c r="EV142" s="63">
        <v>15.555746578629687</v>
      </c>
    </row>
    <row r="143" spans="138:152" x14ac:dyDescent="0.25">
      <c r="EH143" s="63" t="s">
        <v>427</v>
      </c>
      <c r="EI143" s="63" t="s">
        <v>774</v>
      </c>
      <c r="EJ143" s="63" t="s">
        <v>773</v>
      </c>
      <c r="EK143" s="63">
        <v>565</v>
      </c>
      <c r="EL143" s="63">
        <v>600</v>
      </c>
      <c r="EM143" s="63">
        <v>169</v>
      </c>
      <c r="EN143" s="63">
        <v>9.7256388023146748E-3</v>
      </c>
      <c r="EO143" s="63">
        <v>0.56499999999999995</v>
      </c>
      <c r="EP143" s="63">
        <v>2.4244396430648002E-3</v>
      </c>
      <c r="EQ143" s="63">
        <v>0.16706706030053203</v>
      </c>
      <c r="ER143" s="63">
        <v>59.483952689380288</v>
      </c>
      <c r="ES143" s="63">
        <v>10</v>
      </c>
      <c r="ET143" s="63">
        <v>10</v>
      </c>
      <c r="EU143" s="63">
        <v>79.483952689380288</v>
      </c>
      <c r="EV143" s="63">
        <v>15.388679518329155</v>
      </c>
    </row>
    <row r="144" spans="138:152" x14ac:dyDescent="0.25">
      <c r="EH144" s="63" t="s">
        <v>421</v>
      </c>
      <c r="EI144" s="63" t="s">
        <v>622</v>
      </c>
      <c r="EJ144" s="63" t="s">
        <v>652</v>
      </c>
      <c r="EK144" s="63">
        <v>250</v>
      </c>
      <c r="EL144" s="63">
        <v>250</v>
      </c>
      <c r="EM144" s="63">
        <v>42</v>
      </c>
      <c r="EN144" s="63">
        <v>5.8552051240535904E-2</v>
      </c>
      <c r="EO144" s="63">
        <v>0.25</v>
      </c>
      <c r="EP144" s="63">
        <v>7.4550787064809859E-2</v>
      </c>
      <c r="EQ144" s="63">
        <v>6.405805386727606E-2</v>
      </c>
      <c r="ER144" s="63">
        <v>6.405805386727606E-2</v>
      </c>
      <c r="ES144" s="63">
        <v>5</v>
      </c>
      <c r="ET144" s="63">
        <v>10</v>
      </c>
      <c r="EU144" s="63">
        <v>15.064058053867276</v>
      </c>
      <c r="EV144" s="63">
        <v>24.692059970204831</v>
      </c>
    </row>
    <row r="145" spans="138:152" x14ac:dyDescent="0.25">
      <c r="EH145" s="63" t="s">
        <v>413</v>
      </c>
      <c r="EI145" s="63" t="s">
        <v>691</v>
      </c>
      <c r="EJ145" s="63" t="s">
        <v>622</v>
      </c>
      <c r="EK145" s="63">
        <v>250</v>
      </c>
      <c r="EL145" s="63">
        <v>250</v>
      </c>
      <c r="EM145" s="63">
        <v>42</v>
      </c>
      <c r="EN145" s="63">
        <v>2.2231279922193658E-3</v>
      </c>
      <c r="EO145" s="63">
        <v>0.25</v>
      </c>
      <c r="EP145" s="63">
        <v>2.8305744727013817E-3</v>
      </c>
      <c r="EQ145" s="63">
        <v>6.405805386727606E-2</v>
      </c>
      <c r="ER145" s="63">
        <v>0.12811610773455212</v>
      </c>
      <c r="ES145" s="63">
        <v>11</v>
      </c>
      <c r="ET145" s="63">
        <v>10</v>
      </c>
      <c r="EU145" s="63">
        <v>21.128116107734552</v>
      </c>
      <c r="EV145" s="63">
        <v>18.628001916337553</v>
      </c>
    </row>
    <row r="146" spans="138:152" x14ac:dyDescent="0.25">
      <c r="EH146" s="63" t="s">
        <v>181</v>
      </c>
      <c r="EI146" s="63" t="s">
        <v>652</v>
      </c>
      <c r="EJ146" s="63" t="s">
        <v>653</v>
      </c>
      <c r="EK146" s="63">
        <v>250</v>
      </c>
      <c r="EL146" s="63">
        <v>250</v>
      </c>
      <c r="EM146" s="63">
        <v>72</v>
      </c>
      <c r="EN146" s="63">
        <v>5.8128399703610577E-2</v>
      </c>
      <c r="EO146" s="63">
        <v>0.25</v>
      </c>
      <c r="EP146" s="63">
        <v>7.4011377174808698E-2</v>
      </c>
      <c r="EQ146" s="63">
        <v>0.10982000037454172</v>
      </c>
      <c r="ER146" s="63">
        <v>0.23793610810909382</v>
      </c>
      <c r="ES146" s="63">
        <v>11</v>
      </c>
      <c r="ET146" s="63">
        <v>10</v>
      </c>
      <c r="EU146" s="63">
        <v>21.237936108109093</v>
      </c>
      <c r="EV146" s="63">
        <v>18.518181915963012</v>
      </c>
    </row>
    <row r="147" spans="138:152" x14ac:dyDescent="0.25">
      <c r="EH147" s="63" t="s">
        <v>179</v>
      </c>
      <c r="EI147" s="63" t="s">
        <v>653</v>
      </c>
      <c r="EJ147" s="63" t="s">
        <v>654</v>
      </c>
      <c r="EK147" s="63">
        <v>250</v>
      </c>
      <c r="EL147" s="63">
        <v>250</v>
      </c>
      <c r="EM147" s="63">
        <v>73</v>
      </c>
      <c r="EN147" s="63">
        <v>5.6346826009918811E-2</v>
      </c>
      <c r="EO147" s="63">
        <v>0.25</v>
      </c>
      <c r="EP147" s="63">
        <v>7.1743007096140454E-2</v>
      </c>
      <c r="EQ147" s="63">
        <v>0.11134527815752146</v>
      </c>
      <c r="ER147" s="63">
        <v>0.34928138626661531</v>
      </c>
      <c r="ES147" s="63">
        <v>8</v>
      </c>
      <c r="ET147" s="63">
        <v>10</v>
      </c>
      <c r="EU147" s="63">
        <v>18.349281386266615</v>
      </c>
      <c r="EV147" s="63">
        <v>21.40683663780549</v>
      </c>
    </row>
    <row r="148" spans="138:152" x14ac:dyDescent="0.25">
      <c r="EH148" s="63" t="s">
        <v>180</v>
      </c>
      <c r="EI148" s="63" t="s">
        <v>654</v>
      </c>
      <c r="EJ148" s="63" t="s">
        <v>655</v>
      </c>
      <c r="EK148" s="63">
        <v>250</v>
      </c>
      <c r="EL148" s="63">
        <v>250</v>
      </c>
      <c r="EM148" s="63">
        <v>74</v>
      </c>
      <c r="EN148" s="63">
        <v>5.5297319636705394E-2</v>
      </c>
      <c r="EO148" s="63">
        <v>0.25</v>
      </c>
      <c r="EP148" s="63">
        <v>7.0406734079313554E-2</v>
      </c>
      <c r="EQ148" s="63">
        <v>0.1128705559405012</v>
      </c>
      <c r="ER148" s="63">
        <v>0.46215194220711653</v>
      </c>
      <c r="ES148" s="63">
        <v>13</v>
      </c>
      <c r="ET148" s="63">
        <v>10</v>
      </c>
      <c r="EU148" s="63">
        <v>23.462151942207118</v>
      </c>
      <c r="EV148" s="63">
        <v>16.293966081864987</v>
      </c>
    </row>
    <row r="149" spans="138:152" x14ac:dyDescent="0.25">
      <c r="EH149" s="63" t="s">
        <v>178</v>
      </c>
      <c r="EI149" s="63" t="s">
        <v>655</v>
      </c>
      <c r="EJ149" s="63" t="s">
        <v>656</v>
      </c>
      <c r="EK149" s="63">
        <v>250</v>
      </c>
      <c r="EL149" s="63">
        <v>250</v>
      </c>
      <c r="EM149" s="63">
        <v>75</v>
      </c>
      <c r="EN149" s="63">
        <v>5.4715161251236662E-2</v>
      </c>
      <c r="EO149" s="63">
        <v>0.25</v>
      </c>
      <c r="EP149" s="63">
        <v>6.9665507001635582E-2</v>
      </c>
      <c r="EQ149" s="63">
        <v>0.11439583372348096</v>
      </c>
      <c r="ER149" s="63">
        <v>0.57654777593059747</v>
      </c>
      <c r="ES149" s="63">
        <v>10</v>
      </c>
      <c r="ET149" s="63">
        <v>10</v>
      </c>
      <c r="EU149" s="63">
        <v>20.576547775930596</v>
      </c>
      <c r="EV149" s="63">
        <v>19.179570248141509</v>
      </c>
    </row>
    <row r="150" spans="138:152" x14ac:dyDescent="0.25">
      <c r="EH150" s="63" t="s">
        <v>189</v>
      </c>
      <c r="EI150" s="63" t="s">
        <v>656</v>
      </c>
      <c r="EJ150" s="63" t="s">
        <v>657</v>
      </c>
      <c r="EK150" s="63">
        <v>250</v>
      </c>
      <c r="EL150" s="63">
        <v>250</v>
      </c>
      <c r="EM150" s="63">
        <v>76</v>
      </c>
      <c r="EN150" s="63">
        <v>5.4259359077368403E-2</v>
      </c>
      <c r="EO150" s="63">
        <v>0.25</v>
      </c>
      <c r="EP150" s="63">
        <v>6.9085161649290266E-2</v>
      </c>
      <c r="EQ150" s="63">
        <v>0.1159211115064607</v>
      </c>
      <c r="ER150" s="63">
        <v>0.69246888743705814</v>
      </c>
      <c r="ES150" s="63">
        <v>13</v>
      </c>
      <c r="ET150" s="63">
        <v>10</v>
      </c>
      <c r="EU150" s="63">
        <v>23.692468887437059</v>
      </c>
      <c r="EV150" s="63">
        <v>16.063649136635046</v>
      </c>
    </row>
    <row r="151" spans="138:152" x14ac:dyDescent="0.25">
      <c r="EH151" s="63" t="s">
        <v>188</v>
      </c>
      <c r="EI151" s="63" t="s">
        <v>657</v>
      </c>
      <c r="EJ151" s="63" t="s">
        <v>658</v>
      </c>
      <c r="EK151" s="63">
        <v>250</v>
      </c>
      <c r="EL151" s="63">
        <v>250</v>
      </c>
      <c r="EM151" s="63">
        <v>77</v>
      </c>
      <c r="EN151" s="63">
        <v>5.3323934948818229E-2</v>
      </c>
      <c r="EO151" s="63">
        <v>0.25</v>
      </c>
      <c r="EP151" s="63">
        <v>6.7894142657720757E-2</v>
      </c>
      <c r="EQ151" s="63">
        <v>0.11744638928944044</v>
      </c>
      <c r="ER151" s="63">
        <v>0.80991527672649855</v>
      </c>
      <c r="ES151" s="63">
        <v>11</v>
      </c>
      <c r="ET151" s="63">
        <v>10</v>
      </c>
      <c r="EU151" s="63">
        <v>21.8099152767265</v>
      </c>
      <c r="EV151" s="63">
        <v>17.946202747345605</v>
      </c>
    </row>
    <row r="152" spans="138:152" x14ac:dyDescent="0.25">
      <c r="EH152" s="63" t="s">
        <v>186</v>
      </c>
      <c r="EI152" s="63" t="s">
        <v>658</v>
      </c>
      <c r="EJ152" s="63" t="s">
        <v>659</v>
      </c>
      <c r="EK152" s="63">
        <v>250</v>
      </c>
      <c r="EL152" s="63">
        <v>250</v>
      </c>
      <c r="EM152" s="63">
        <v>78</v>
      </c>
      <c r="EN152" s="63">
        <v>5.1706751255680909E-2</v>
      </c>
      <c r="EO152" s="63">
        <v>0.25</v>
      </c>
      <c r="EP152" s="63">
        <v>6.5835080428517462E-2</v>
      </c>
      <c r="EQ152" s="63">
        <v>0.11897166707242018</v>
      </c>
      <c r="ER152" s="63">
        <v>0.92888694379891867</v>
      </c>
      <c r="ES152" s="63">
        <v>15</v>
      </c>
      <c r="ET152" s="63">
        <v>10</v>
      </c>
      <c r="EU152" s="63">
        <v>25.928886943798918</v>
      </c>
      <c r="EV152" s="63">
        <v>13.827231080273187</v>
      </c>
    </row>
    <row r="153" spans="138:152" x14ac:dyDescent="0.25">
      <c r="EH153" s="63" t="s">
        <v>187</v>
      </c>
      <c r="EI153" s="63" t="s">
        <v>660</v>
      </c>
      <c r="EJ153" s="63" t="s">
        <v>659</v>
      </c>
      <c r="EK153" s="63">
        <v>250</v>
      </c>
      <c r="EL153" s="63">
        <v>250</v>
      </c>
      <c r="EM153" s="63">
        <v>79</v>
      </c>
      <c r="EN153" s="63">
        <v>5.0426735940151755E-2</v>
      </c>
      <c r="EO153" s="63">
        <v>0.25</v>
      </c>
      <c r="EP153" s="63">
        <v>6.4205314310919095E-2</v>
      </c>
      <c r="EQ153" s="63">
        <v>0.12049694485539995</v>
      </c>
      <c r="ER153" s="63">
        <v>1.0493838886543185</v>
      </c>
      <c r="ES153" s="63">
        <v>15</v>
      </c>
      <c r="ET153" s="63">
        <v>10</v>
      </c>
      <c r="EU153" s="63">
        <v>26.049383888654319</v>
      </c>
      <c r="EV153" s="63">
        <v>13.706734135417786</v>
      </c>
    </row>
    <row r="154" spans="138:152" x14ac:dyDescent="0.25">
      <c r="EH154" s="63" t="s">
        <v>185</v>
      </c>
      <c r="EI154" s="63" t="s">
        <v>661</v>
      </c>
      <c r="EJ154" s="63" t="s">
        <v>660</v>
      </c>
      <c r="EK154" s="63">
        <v>250</v>
      </c>
      <c r="EL154" s="63">
        <v>250</v>
      </c>
      <c r="EM154" s="63">
        <v>80</v>
      </c>
      <c r="EN154" s="63">
        <v>4.8561821891167263E-2</v>
      </c>
      <c r="EO154" s="63">
        <v>0.25</v>
      </c>
      <c r="EP154" s="63">
        <v>6.1830831996219866E-2</v>
      </c>
      <c r="EQ154" s="63">
        <v>0.12201534069957347</v>
      </c>
      <c r="ER154" s="63">
        <v>1.171399229353892</v>
      </c>
      <c r="ES154" s="63">
        <v>18</v>
      </c>
      <c r="ET154" s="63">
        <v>10</v>
      </c>
      <c r="EU154" s="63">
        <v>29.171399229353892</v>
      </c>
      <c r="EV154" s="63">
        <v>10.584718794718214</v>
      </c>
    </row>
    <row r="155" spans="138:152" x14ac:dyDescent="0.25">
      <c r="EH155" s="63" t="s">
        <v>422</v>
      </c>
      <c r="EI155" s="63" t="s">
        <v>661</v>
      </c>
      <c r="EJ155" s="63" t="s">
        <v>715</v>
      </c>
      <c r="EK155" s="63">
        <v>300</v>
      </c>
      <c r="EL155" s="63">
        <v>300</v>
      </c>
      <c r="EM155" s="63">
        <v>81</v>
      </c>
      <c r="EN155" s="63">
        <v>3.3581315338946554E-3</v>
      </c>
      <c r="EO155" s="63">
        <v>0.3</v>
      </c>
      <c r="EP155" s="63">
        <v>2.9692401842894615E-3</v>
      </c>
      <c r="EQ155" s="63">
        <v>5.7848134769030488E-2</v>
      </c>
      <c r="ER155" s="63">
        <v>1.2292473641229225</v>
      </c>
      <c r="ES155" s="63">
        <v>12</v>
      </c>
      <c r="ET155" s="63">
        <v>10</v>
      </c>
      <c r="EU155" s="63">
        <v>23.229247364122923</v>
      </c>
      <c r="EV155" s="63">
        <v>16.526870659949182</v>
      </c>
    </row>
    <row r="156" spans="138:152" x14ac:dyDescent="0.25">
      <c r="EH156" s="63" t="s">
        <v>263</v>
      </c>
      <c r="EI156" s="63" t="s">
        <v>692</v>
      </c>
      <c r="EJ156" s="63" t="s">
        <v>691</v>
      </c>
      <c r="EK156" s="63">
        <v>250</v>
      </c>
      <c r="EL156" s="63">
        <v>250</v>
      </c>
      <c r="EM156" s="63">
        <v>111</v>
      </c>
      <c r="EN156" s="63">
        <v>3.9904805134089415E-4</v>
      </c>
      <c r="EO156" s="63">
        <v>0.25</v>
      </c>
      <c r="EP156" s="63">
        <v>5.0808375921673396E-4</v>
      </c>
      <c r="EQ156" s="63">
        <v>0.16930583391075182</v>
      </c>
      <c r="ER156" s="63">
        <v>1.3985531980336743</v>
      </c>
      <c r="ES156" s="63">
        <v>16</v>
      </c>
      <c r="ET156" s="63">
        <v>10</v>
      </c>
      <c r="EU156" s="63">
        <v>27.398553198033675</v>
      </c>
      <c r="EV156" s="63">
        <v>12.357564826038431</v>
      </c>
    </row>
    <row r="157" spans="138:152" x14ac:dyDescent="0.25">
      <c r="EH157" s="63" t="s">
        <v>264</v>
      </c>
      <c r="EI157" s="63" t="s">
        <v>693</v>
      </c>
      <c r="EJ157" s="63" t="s">
        <v>692</v>
      </c>
      <c r="EK157" s="63">
        <v>250</v>
      </c>
      <c r="EL157" s="63">
        <v>250</v>
      </c>
      <c r="EM157" s="63">
        <v>112</v>
      </c>
      <c r="EN157" s="63">
        <v>6.1974756305388599E-4</v>
      </c>
      <c r="EO157" s="63">
        <v>0.25</v>
      </c>
      <c r="EP157" s="63">
        <v>7.8908710503345638E-4</v>
      </c>
      <c r="EQ157" s="63">
        <v>0.17083111169373155</v>
      </c>
      <c r="ER157" s="63">
        <v>1.5693843097274058</v>
      </c>
      <c r="ES157" s="63">
        <v>9</v>
      </c>
      <c r="ET157" s="63">
        <v>10</v>
      </c>
      <c r="EU157" s="63">
        <v>20.569384309727404</v>
      </c>
      <c r="EV157" s="63">
        <v>19.186733714344697</v>
      </c>
    </row>
    <row r="158" spans="138:152" x14ac:dyDescent="0.25">
      <c r="EH158" s="63" t="s">
        <v>266</v>
      </c>
      <c r="EI158" s="63" t="s">
        <v>694</v>
      </c>
      <c r="EJ158" s="63" t="s">
        <v>693</v>
      </c>
      <c r="EK158" s="63">
        <v>250</v>
      </c>
      <c r="EL158" s="63">
        <v>250</v>
      </c>
      <c r="EM158" s="63">
        <v>113</v>
      </c>
      <c r="EN158" s="63">
        <v>1.8996396427817621E-3</v>
      </c>
      <c r="EO158" s="63">
        <v>0.25</v>
      </c>
      <c r="EP158" s="63">
        <v>2.418696313936318E-3</v>
      </c>
      <c r="EQ158" s="63">
        <v>0.17235638947671134</v>
      </c>
      <c r="ER158" s="63">
        <v>1.7417406992041171</v>
      </c>
      <c r="ES158" s="63">
        <v>13</v>
      </c>
      <c r="ET158" s="63">
        <v>10</v>
      </c>
      <c r="EU158" s="63">
        <v>24.741740699204119</v>
      </c>
      <c r="EV158" s="63">
        <v>15.014377324867988</v>
      </c>
    </row>
    <row r="159" spans="138:152" x14ac:dyDescent="0.25">
      <c r="EH159" s="63" t="s">
        <v>276</v>
      </c>
      <c r="EI159" s="63" t="s">
        <v>695</v>
      </c>
      <c r="EJ159" s="63" t="s">
        <v>694</v>
      </c>
      <c r="EK159" s="63">
        <v>250</v>
      </c>
      <c r="EL159" s="63">
        <v>250</v>
      </c>
      <c r="EM159" s="63">
        <v>114</v>
      </c>
      <c r="EN159" s="63">
        <v>4.2567128495737874E-3</v>
      </c>
      <c r="EO159" s="63">
        <v>0.25</v>
      </c>
      <c r="EP159" s="63">
        <v>5.419815130659646E-3</v>
      </c>
      <c r="EQ159" s="63">
        <v>0.17388166725969104</v>
      </c>
      <c r="ER159" s="63">
        <v>1.9156223664638081</v>
      </c>
      <c r="ES159" s="63">
        <v>9</v>
      </c>
      <c r="ET159" s="63">
        <v>10</v>
      </c>
      <c r="EU159" s="63">
        <v>20.915622366463808</v>
      </c>
      <c r="EV159" s="63">
        <v>18.840495657608297</v>
      </c>
    </row>
    <row r="160" spans="138:152" x14ac:dyDescent="0.25">
      <c r="EH160" s="63" t="s">
        <v>316</v>
      </c>
      <c r="EI160" s="63" t="s">
        <v>696</v>
      </c>
      <c r="EJ160" s="63" t="s">
        <v>695</v>
      </c>
      <c r="EK160" s="63">
        <v>250</v>
      </c>
      <c r="EL160" s="63">
        <v>250</v>
      </c>
      <c r="EM160" s="63">
        <v>115</v>
      </c>
      <c r="EN160" s="63">
        <v>4.9122492283646723E-3</v>
      </c>
      <c r="EO160" s="63">
        <v>0.25</v>
      </c>
      <c r="EP160" s="63">
        <v>6.2544699711486896E-3</v>
      </c>
      <c r="EQ160" s="63">
        <v>0.17540694504267082</v>
      </c>
      <c r="ER160" s="63">
        <v>2.0910293115064791</v>
      </c>
      <c r="ES160" s="63">
        <v>13</v>
      </c>
      <c r="ET160" s="63">
        <v>10</v>
      </c>
      <c r="EU160" s="63">
        <v>25.091029311506478</v>
      </c>
      <c r="EV160" s="63">
        <v>14.665088712565627</v>
      </c>
    </row>
    <row r="161" spans="138:152" x14ac:dyDescent="0.25">
      <c r="EH161" s="63" t="s">
        <v>412</v>
      </c>
      <c r="EI161" s="63" t="s">
        <v>775</v>
      </c>
      <c r="EJ161" s="63" t="s">
        <v>696</v>
      </c>
      <c r="EK161" s="63">
        <v>250</v>
      </c>
      <c r="EL161" s="63">
        <v>250</v>
      </c>
      <c r="EM161" s="63">
        <v>116</v>
      </c>
      <c r="EN161" s="63">
        <v>4.9864621659175563E-3</v>
      </c>
      <c r="EO161" s="63">
        <v>0.25</v>
      </c>
      <c r="EP161" s="63">
        <v>6.3489608179719825E-3</v>
      </c>
      <c r="EQ161" s="63">
        <v>0.17693222282565055</v>
      </c>
      <c r="ER161" s="63">
        <v>2.2679615343321298</v>
      </c>
      <c r="ES161" s="63">
        <v>15</v>
      </c>
      <c r="ET161" s="63">
        <v>10</v>
      </c>
      <c r="EU161" s="63">
        <v>27.26796153433213</v>
      </c>
      <c r="EV161" s="63">
        <v>12.488156489739975</v>
      </c>
    </row>
    <row r="162" spans="138:152" x14ac:dyDescent="0.25">
      <c r="EH162" s="63" t="s">
        <v>308</v>
      </c>
      <c r="EI162" s="63" t="s">
        <v>698</v>
      </c>
      <c r="EJ162" s="63" t="s">
        <v>697</v>
      </c>
      <c r="EK162" s="63">
        <v>250</v>
      </c>
      <c r="EL162" s="63">
        <v>250</v>
      </c>
      <c r="EM162" s="63">
        <v>117</v>
      </c>
      <c r="EN162" s="63">
        <v>2.8436119017927852E-3</v>
      </c>
      <c r="EO162" s="63">
        <v>0.25</v>
      </c>
      <c r="EP162" s="63">
        <v>3.6205991232421361E-3</v>
      </c>
      <c r="EQ162" s="63">
        <v>0.1784575006086303</v>
      </c>
      <c r="ER162" s="63">
        <v>2.4464190349407602</v>
      </c>
      <c r="ES162" s="63">
        <v>8</v>
      </c>
      <c r="ET162" s="63">
        <v>10</v>
      </c>
      <c r="EU162" s="63">
        <v>20.44641903494076</v>
      </c>
      <c r="EV162" s="63">
        <v>19.309698989131345</v>
      </c>
    </row>
    <row r="163" spans="138:152" x14ac:dyDescent="0.25">
      <c r="EH163" s="63" t="s">
        <v>411</v>
      </c>
      <c r="EI163" s="63" t="s">
        <v>697</v>
      </c>
      <c r="EJ163" s="63" t="s">
        <v>775</v>
      </c>
      <c r="EK163" s="63">
        <v>250</v>
      </c>
      <c r="EL163" s="63">
        <v>250</v>
      </c>
      <c r="EM163" s="63">
        <v>117</v>
      </c>
      <c r="EN163" s="63">
        <v>4.571385252712128E-3</v>
      </c>
      <c r="EO163" s="63">
        <v>0.25</v>
      </c>
      <c r="EP163" s="63">
        <v>5.8204684779722266E-3</v>
      </c>
      <c r="EQ163" s="63">
        <v>0.1784575006086303</v>
      </c>
      <c r="ER163" s="63">
        <v>2.6248765355493906</v>
      </c>
      <c r="ES163" s="63">
        <v>10</v>
      </c>
      <c r="ET163" s="63">
        <v>10</v>
      </c>
      <c r="EU163" s="63">
        <v>22.62487653554939</v>
      </c>
      <c r="EV163" s="63">
        <v>17.131241488522715</v>
      </c>
    </row>
    <row r="164" spans="138:152" x14ac:dyDescent="0.25">
      <c r="EH164" s="63" t="s">
        <v>309</v>
      </c>
      <c r="EI164" s="63" t="s">
        <v>699</v>
      </c>
      <c r="EJ164" s="63" t="s">
        <v>698</v>
      </c>
      <c r="EK164" s="63">
        <v>250</v>
      </c>
      <c r="EL164" s="63">
        <v>250</v>
      </c>
      <c r="EM164" s="63">
        <v>118</v>
      </c>
      <c r="EN164" s="63">
        <v>6.9483369066257114E-5</v>
      </c>
      <c r="EO164" s="63">
        <v>0.25</v>
      </c>
      <c r="EP164" s="63">
        <v>8.8468973196586503E-5</v>
      </c>
      <c r="EQ164" s="63">
        <v>0.17998277839161003</v>
      </c>
      <c r="ER164" s="63">
        <v>2.8048593139410007</v>
      </c>
      <c r="ES164" s="63">
        <v>16</v>
      </c>
      <c r="ET164" s="63">
        <v>10</v>
      </c>
      <c r="EU164" s="63">
        <v>28.804859313941002</v>
      </c>
      <c r="EV164" s="63">
        <v>10.951258710131103</v>
      </c>
    </row>
    <row r="165" spans="138:152" x14ac:dyDescent="0.25">
      <c r="EH165" s="63" t="s">
        <v>310</v>
      </c>
      <c r="EI165" s="63" t="s">
        <v>700</v>
      </c>
      <c r="EJ165" s="63" t="s">
        <v>699</v>
      </c>
      <c r="EK165" s="63">
        <v>250</v>
      </c>
      <c r="EL165" s="63">
        <v>250</v>
      </c>
      <c r="EM165" s="63">
        <v>119</v>
      </c>
      <c r="EN165" s="63">
        <v>1.4383996248023296E-3</v>
      </c>
      <c r="EO165" s="63">
        <v>0.25</v>
      </c>
      <c r="EP165" s="63">
        <v>1.8314272834305471E-3</v>
      </c>
      <c r="EQ165" s="63">
        <v>0.18150805617458979</v>
      </c>
      <c r="ER165" s="63">
        <v>2.9863673701155906</v>
      </c>
      <c r="ES165" s="63">
        <v>8</v>
      </c>
      <c r="ET165" s="63">
        <v>10</v>
      </c>
      <c r="EU165" s="63">
        <v>20.986367370115591</v>
      </c>
      <c r="EV165" s="63">
        <v>18.769750653956514</v>
      </c>
    </row>
    <row r="166" spans="138:152" x14ac:dyDescent="0.25">
      <c r="EH166" s="63" t="s">
        <v>312</v>
      </c>
      <c r="EI166" s="63" t="s">
        <v>701</v>
      </c>
      <c r="EJ166" s="63" t="s">
        <v>700</v>
      </c>
      <c r="EK166" s="63">
        <v>250</v>
      </c>
      <c r="EL166" s="63">
        <v>250</v>
      </c>
      <c r="EM166" s="63">
        <v>120</v>
      </c>
      <c r="EN166" s="63">
        <v>3.387243992339333E-3</v>
      </c>
      <c r="EO166" s="63">
        <v>0.25</v>
      </c>
      <c r="EP166" s="63">
        <v>4.3127729987130475E-3</v>
      </c>
      <c r="EQ166" s="63">
        <v>0.1830230110493602</v>
      </c>
      <c r="ER166" s="63">
        <v>3.1693903811649506</v>
      </c>
      <c r="ES166" s="63">
        <v>13</v>
      </c>
      <c r="ET166" s="63">
        <v>10</v>
      </c>
      <c r="EU166" s="63">
        <v>26.169390381164952</v>
      </c>
      <c r="EV166" s="63">
        <v>13.586727642907155</v>
      </c>
    </row>
    <row r="167" spans="138:152" x14ac:dyDescent="0.25">
      <c r="EH167" s="63" t="s">
        <v>311</v>
      </c>
      <c r="EI167" s="63" t="s">
        <v>701</v>
      </c>
      <c r="EJ167" s="63" t="s">
        <v>702</v>
      </c>
      <c r="EK167" s="63">
        <v>400</v>
      </c>
      <c r="EL167" s="63">
        <v>400</v>
      </c>
      <c r="EM167" s="63">
        <v>121</v>
      </c>
      <c r="EN167" s="63">
        <v>5.2203869364785827E-2</v>
      </c>
      <c r="EO167" s="63">
        <v>0.4</v>
      </c>
      <c r="EP167" s="63">
        <v>2.5964074556028831E-2</v>
      </c>
      <c r="EQ167" s="63">
        <v>0.19397279997750211</v>
      </c>
      <c r="ER167" s="63">
        <v>3.3633631811424527</v>
      </c>
      <c r="ES167" s="63">
        <v>8</v>
      </c>
      <c r="ET167" s="63">
        <v>10</v>
      </c>
      <c r="EU167" s="63">
        <v>21.363363181142454</v>
      </c>
      <c r="EV167" s="63">
        <v>18.392754842929651</v>
      </c>
    </row>
    <row r="168" spans="138:152" x14ac:dyDescent="0.25">
      <c r="EH168" s="63" t="s">
        <v>313</v>
      </c>
      <c r="EI168" s="63" t="s">
        <v>702</v>
      </c>
      <c r="EJ168" s="63" t="s">
        <v>703</v>
      </c>
      <c r="EK168" s="63">
        <v>400</v>
      </c>
      <c r="EL168" s="63">
        <v>400</v>
      </c>
      <c r="EM168" s="63">
        <v>122</v>
      </c>
      <c r="EN168" s="63">
        <v>5.028201965257538E-2</v>
      </c>
      <c r="EO168" s="63">
        <v>0.4</v>
      </c>
      <c r="EP168" s="63">
        <v>2.5008224926097489E-2</v>
      </c>
      <c r="EQ168" s="63">
        <v>0.19557588096905171</v>
      </c>
      <c r="ER168" s="63">
        <v>3.5589390621115045</v>
      </c>
      <c r="ES168" s="63">
        <v>15</v>
      </c>
      <c r="ET168" s="63">
        <v>10</v>
      </c>
      <c r="EU168" s="63">
        <v>28.558939062111506</v>
      </c>
      <c r="EV168" s="63">
        <v>11.197178961960601</v>
      </c>
    </row>
    <row r="169" spans="138:152" x14ac:dyDescent="0.25">
      <c r="EH169" s="63" t="s">
        <v>314</v>
      </c>
      <c r="EI169" s="63" t="s">
        <v>703</v>
      </c>
      <c r="EJ169" s="63" t="s">
        <v>704</v>
      </c>
      <c r="EK169" s="63">
        <v>400</v>
      </c>
      <c r="EL169" s="63">
        <v>400</v>
      </c>
      <c r="EM169" s="63">
        <v>123</v>
      </c>
      <c r="EN169" s="63">
        <v>4.7687501843167619E-2</v>
      </c>
      <c r="EO169" s="63">
        <v>0.4</v>
      </c>
      <c r="EP169" s="63">
        <v>2.3717817631387486E-2</v>
      </c>
      <c r="EQ169" s="63">
        <v>0.19717896196060131</v>
      </c>
      <c r="ER169" s="63">
        <v>3.7561180240721059</v>
      </c>
      <c r="ES169" s="63">
        <v>16</v>
      </c>
      <c r="ET169" s="63">
        <v>10</v>
      </c>
      <c r="EU169" s="63">
        <v>29.756118024072105</v>
      </c>
      <c r="EV169" s="63">
        <v>10</v>
      </c>
    </row>
    <row r="170" spans="138:152" x14ac:dyDescent="0.25">
      <c r="EH170" s="63" t="s">
        <v>420</v>
      </c>
      <c r="EI170" s="63" t="s">
        <v>704</v>
      </c>
      <c r="EJ170" s="63" t="s">
        <v>705</v>
      </c>
      <c r="EK170" s="63">
        <v>400</v>
      </c>
      <c r="EL170" s="63">
        <v>400</v>
      </c>
      <c r="EM170" s="63">
        <v>124</v>
      </c>
      <c r="EN170" s="63">
        <v>4.5326157749270214E-2</v>
      </c>
      <c r="EO170" s="63">
        <v>0.4</v>
      </c>
      <c r="EP170" s="63">
        <v>2.2543381428623034E-2</v>
      </c>
      <c r="EQ170" s="63">
        <v>0.19878204295215093</v>
      </c>
      <c r="ER170" s="63">
        <v>3.9549000670242567</v>
      </c>
      <c r="ES170" s="63">
        <v>14</v>
      </c>
      <c r="ET170" s="63">
        <v>10</v>
      </c>
      <c r="EU170" s="63">
        <v>27.954900067024255</v>
      </c>
      <c r="EV170" s="63">
        <v>11.801217957047848</v>
      </c>
    </row>
    <row r="171" spans="138:152" x14ac:dyDescent="0.25">
      <c r="EH171" s="63" t="s">
        <v>288</v>
      </c>
      <c r="EI171" s="63" t="s">
        <v>705</v>
      </c>
      <c r="EJ171" s="63" t="s">
        <v>706</v>
      </c>
      <c r="EK171" s="63">
        <v>400</v>
      </c>
      <c r="EL171" s="63">
        <v>400</v>
      </c>
      <c r="EM171" s="63">
        <v>125</v>
      </c>
      <c r="EN171" s="63">
        <v>4.2018307472397938E-2</v>
      </c>
      <c r="EO171" s="63">
        <v>0.4</v>
      </c>
      <c r="EP171" s="63">
        <v>2.0898191670585167E-2</v>
      </c>
      <c r="EQ171" s="63">
        <v>0.2003851239437005</v>
      </c>
      <c r="ER171" s="63">
        <v>4.1552851909679571</v>
      </c>
      <c r="ES171" s="63">
        <v>13</v>
      </c>
      <c r="ET171" s="63">
        <v>10</v>
      </c>
      <c r="EU171" s="63">
        <v>27.155285190967959</v>
      </c>
      <c r="EV171" s="63">
        <v>12.600832833104148</v>
      </c>
    </row>
    <row r="172" spans="138:152" x14ac:dyDescent="0.25">
      <c r="EH172" s="63" t="s">
        <v>423</v>
      </c>
      <c r="EI172" s="63" t="s">
        <v>706</v>
      </c>
      <c r="EJ172" s="63" t="s">
        <v>707</v>
      </c>
      <c r="EK172" s="63">
        <v>400</v>
      </c>
      <c r="EL172" s="63">
        <v>400</v>
      </c>
      <c r="EM172" s="63">
        <v>126</v>
      </c>
      <c r="EN172" s="63">
        <v>3.8754659570581509E-2</v>
      </c>
      <c r="EO172" s="63">
        <v>0.4</v>
      </c>
      <c r="EP172" s="63">
        <v>1.9274986370317739E-2</v>
      </c>
      <c r="EQ172" s="63">
        <v>0.20198820493525013</v>
      </c>
      <c r="ER172" s="63">
        <v>4.3572733959032073</v>
      </c>
      <c r="ES172" s="63">
        <v>13</v>
      </c>
      <c r="ET172" s="63">
        <v>10</v>
      </c>
      <c r="EU172" s="63">
        <v>27.357273395903206</v>
      </c>
      <c r="EV172" s="63">
        <v>12.398844628168899</v>
      </c>
    </row>
    <row r="173" spans="138:152" x14ac:dyDescent="0.25">
      <c r="EH173" s="63" t="s">
        <v>292</v>
      </c>
      <c r="EI173" s="63" t="s">
        <v>708</v>
      </c>
      <c r="EJ173" s="63" t="s">
        <v>707</v>
      </c>
      <c r="EK173" s="63">
        <v>300</v>
      </c>
      <c r="EL173" s="63">
        <v>300</v>
      </c>
      <c r="EM173" s="63">
        <v>127</v>
      </c>
      <c r="EN173" s="63">
        <v>3.103235923977132E-3</v>
      </c>
      <c r="EO173" s="63">
        <v>0.3</v>
      </c>
      <c r="EP173" s="63">
        <v>2.7438629826739207E-3</v>
      </c>
      <c r="EQ173" s="63">
        <v>9.0700161921813224E-2</v>
      </c>
      <c r="ER173" s="63">
        <v>4.4479735578250201</v>
      </c>
      <c r="ES173" s="63">
        <v>13</v>
      </c>
      <c r="ET173" s="63">
        <v>10</v>
      </c>
      <c r="EU173" s="63">
        <v>27.447973557825019</v>
      </c>
      <c r="EV173" s="63">
        <v>12.308144466247086</v>
      </c>
    </row>
    <row r="174" spans="138:152" x14ac:dyDescent="0.25">
      <c r="EH174" s="63" t="s">
        <v>291</v>
      </c>
      <c r="EI174" s="63" t="s">
        <v>709</v>
      </c>
      <c r="EJ174" s="63" t="s">
        <v>708</v>
      </c>
      <c r="EK174" s="63">
        <v>300</v>
      </c>
      <c r="EL174" s="63">
        <v>300</v>
      </c>
      <c r="EM174" s="63">
        <v>128</v>
      </c>
      <c r="EN174" s="63">
        <v>5.7979133559458908E-4</v>
      </c>
      <c r="EO174" s="63">
        <v>0.3</v>
      </c>
      <c r="EP174" s="63">
        <v>5.1264809456517122E-4</v>
      </c>
      <c r="EQ174" s="63">
        <v>9.1414336425134607E-2</v>
      </c>
      <c r="ER174" s="63">
        <v>4.5393878942501544</v>
      </c>
      <c r="ES174" s="63">
        <v>11</v>
      </c>
      <c r="ET174" s="63">
        <v>10</v>
      </c>
      <c r="EU174" s="63">
        <v>25.539387894250154</v>
      </c>
      <c r="EV174" s="63">
        <v>14.216730129821951</v>
      </c>
    </row>
    <row r="175" spans="138:152" x14ac:dyDescent="0.25">
      <c r="EH175" s="63" t="s">
        <v>293</v>
      </c>
      <c r="EI175" s="63" t="s">
        <v>710</v>
      </c>
      <c r="EJ175" s="63" t="s">
        <v>709</v>
      </c>
      <c r="EK175" s="63">
        <v>300</v>
      </c>
      <c r="EL175" s="63">
        <v>300</v>
      </c>
      <c r="EM175" s="63">
        <v>129</v>
      </c>
      <c r="EN175" s="63">
        <v>1.0173735665667304E-3</v>
      </c>
      <c r="EO175" s="63">
        <v>0.3</v>
      </c>
      <c r="EP175" s="63">
        <v>8.9955573383403652E-4</v>
      </c>
      <c r="EQ175" s="63">
        <v>9.2128510928455962E-2</v>
      </c>
      <c r="ER175" s="63">
        <v>4.6315164051786102</v>
      </c>
      <c r="ES175" s="63">
        <v>15</v>
      </c>
      <c r="ET175" s="63">
        <v>10</v>
      </c>
      <c r="EU175" s="63">
        <v>29.631516405178608</v>
      </c>
      <c r="EV175" s="63">
        <v>10.124601618893495</v>
      </c>
    </row>
    <row r="176" spans="138:152" x14ac:dyDescent="0.25">
      <c r="EH176" s="63" t="s">
        <v>294</v>
      </c>
      <c r="EI176" s="63" t="s">
        <v>711</v>
      </c>
      <c r="EJ176" s="63" t="s">
        <v>710</v>
      </c>
      <c r="EK176" s="63">
        <v>300</v>
      </c>
      <c r="EL176" s="63">
        <v>300</v>
      </c>
      <c r="EM176" s="63">
        <v>130</v>
      </c>
      <c r="EN176" s="63">
        <v>1.7731734437795156E-3</v>
      </c>
      <c r="EO176" s="63">
        <v>0.3</v>
      </c>
      <c r="EP176" s="63">
        <v>1.5678295474266049E-3</v>
      </c>
      <c r="EQ176" s="63">
        <v>9.2842685431777316E-2</v>
      </c>
      <c r="ER176" s="63">
        <v>4.7243590906103874</v>
      </c>
      <c r="ES176" s="63">
        <v>10</v>
      </c>
      <c r="ET176" s="63">
        <v>10</v>
      </c>
      <c r="EU176" s="63">
        <v>24.724359090610388</v>
      </c>
      <c r="EV176" s="63">
        <v>15.031758933461717</v>
      </c>
    </row>
    <row r="177" spans="138:152" x14ac:dyDescent="0.25">
      <c r="EH177" s="63" t="s">
        <v>295</v>
      </c>
      <c r="EI177" s="63" t="s">
        <v>712</v>
      </c>
      <c r="EJ177" s="63" t="s">
        <v>711</v>
      </c>
      <c r="EK177" s="63">
        <v>300</v>
      </c>
      <c r="EL177" s="63">
        <v>300</v>
      </c>
      <c r="EM177" s="63">
        <v>131</v>
      </c>
      <c r="EN177" s="63">
        <v>4.1864077444097583E-3</v>
      </c>
      <c r="EO177" s="63">
        <v>0.3</v>
      </c>
      <c r="EP177" s="63">
        <v>3.7015971462278055E-3</v>
      </c>
      <c r="EQ177" s="63">
        <v>9.3556859935098699E-2</v>
      </c>
      <c r="ER177" s="63">
        <v>4.817915950545486</v>
      </c>
      <c r="ES177" s="63">
        <v>10</v>
      </c>
      <c r="ET177" s="63">
        <v>10</v>
      </c>
      <c r="EU177" s="63">
        <v>24.817915950545487</v>
      </c>
      <c r="EV177" s="63">
        <v>14.938202073526618</v>
      </c>
    </row>
    <row r="178" spans="138:152" x14ac:dyDescent="0.25">
      <c r="EH178" s="63" t="s">
        <v>296</v>
      </c>
      <c r="EI178" s="63" t="s">
        <v>713</v>
      </c>
      <c r="EJ178" s="63" t="s">
        <v>712</v>
      </c>
      <c r="EK178" s="63">
        <v>300</v>
      </c>
      <c r="EL178" s="63">
        <v>300</v>
      </c>
      <c r="EM178" s="63">
        <v>132</v>
      </c>
      <c r="EN178" s="63">
        <v>4.9287703268229722E-3</v>
      </c>
      <c r="EO178" s="63">
        <v>0.3</v>
      </c>
      <c r="EP178" s="63">
        <v>4.357989782658514E-3</v>
      </c>
      <c r="EQ178" s="63">
        <v>9.4271034438420054E-2</v>
      </c>
      <c r="ER178" s="63">
        <v>4.9121869849839062</v>
      </c>
      <c r="ES178" s="63">
        <v>4</v>
      </c>
      <c r="ET178" s="63">
        <v>10</v>
      </c>
      <c r="EU178" s="63">
        <v>18.912186984983904</v>
      </c>
      <c r="EV178" s="63">
        <v>20.843931039088197</v>
      </c>
    </row>
    <row r="179" spans="138:152" x14ac:dyDescent="0.25">
      <c r="EH179" s="63" t="s">
        <v>297</v>
      </c>
      <c r="EI179" s="63" t="s">
        <v>714</v>
      </c>
      <c r="EJ179" s="63" t="s">
        <v>713</v>
      </c>
      <c r="EK179" s="63">
        <v>300</v>
      </c>
      <c r="EL179" s="63">
        <v>300</v>
      </c>
      <c r="EM179" s="63">
        <v>133</v>
      </c>
      <c r="EN179" s="63">
        <v>5.5204835379649656E-3</v>
      </c>
      <c r="EO179" s="63">
        <v>0.3</v>
      </c>
      <c r="EP179" s="63">
        <v>4.8811791295808845E-3</v>
      </c>
      <c r="EQ179" s="63">
        <v>9.4985208941741409E-2</v>
      </c>
      <c r="ER179" s="63">
        <v>5.0071721939256477</v>
      </c>
      <c r="ES179" s="63">
        <v>13</v>
      </c>
      <c r="ET179" s="63">
        <v>10</v>
      </c>
      <c r="EU179" s="63">
        <v>28.007172193925648</v>
      </c>
      <c r="EV179" s="63">
        <v>11.748945830146457</v>
      </c>
    </row>
    <row r="180" spans="138:152" x14ac:dyDescent="0.25">
      <c r="EH180" s="63" t="s">
        <v>298</v>
      </c>
      <c r="EI180" s="63" t="s">
        <v>715</v>
      </c>
      <c r="EJ180" s="63" t="s">
        <v>714</v>
      </c>
      <c r="EK180" s="63">
        <v>300</v>
      </c>
      <c r="EL180" s="63">
        <v>300</v>
      </c>
      <c r="EM180" s="63">
        <v>134</v>
      </c>
      <c r="EN180" s="63">
        <v>4.6445384196223353E-3</v>
      </c>
      <c r="EO180" s="63">
        <v>0.3</v>
      </c>
      <c r="EP180" s="63">
        <v>4.1066735992395234E-3</v>
      </c>
      <c r="EQ180" s="63">
        <v>9.5699383445062791E-2</v>
      </c>
      <c r="ER180" s="63">
        <v>5.1028715773707107</v>
      </c>
      <c r="ES180" s="63">
        <v>11</v>
      </c>
      <c r="ET180" s="63">
        <v>10</v>
      </c>
      <c r="EU180" s="63">
        <v>26.10287157737071</v>
      </c>
      <c r="EV180" s="63">
        <v>13.653246446701395</v>
      </c>
    </row>
    <row r="181" spans="138:152" x14ac:dyDescent="0.25">
      <c r="EH181" s="63" t="s">
        <v>414</v>
      </c>
      <c r="EI181" s="63" t="s">
        <v>632</v>
      </c>
      <c r="EJ181" s="63" t="s">
        <v>622</v>
      </c>
      <c r="EK181" s="63">
        <v>250</v>
      </c>
      <c r="EL181" s="63">
        <v>250</v>
      </c>
      <c r="EM181" s="63">
        <v>223</v>
      </c>
      <c r="EN181" s="63">
        <v>2.7423581976117752E-2</v>
      </c>
      <c r="EO181" s="63">
        <v>0.25</v>
      </c>
      <c r="EP181" s="63">
        <v>3.4916789030279581E-2</v>
      </c>
      <c r="EQ181" s="63">
        <v>0.34011776220006096</v>
      </c>
      <c r="ER181" s="63">
        <v>0.34011776220006096</v>
      </c>
      <c r="ES181" s="63">
        <v>11</v>
      </c>
      <c r="ET181" s="63">
        <v>10</v>
      </c>
      <c r="EU181" s="63">
        <v>21.340117762200062</v>
      </c>
      <c r="EV181" s="63">
        <v>22.402184920703466</v>
      </c>
    </row>
    <row r="182" spans="138:152" x14ac:dyDescent="0.25">
      <c r="EH182" s="63" t="s">
        <v>421</v>
      </c>
      <c r="EI182" s="63" t="s">
        <v>622</v>
      </c>
      <c r="EJ182" s="63" t="s">
        <v>652</v>
      </c>
      <c r="EK182" s="63">
        <v>250</v>
      </c>
      <c r="EL182" s="63">
        <v>250</v>
      </c>
      <c r="EM182" s="63">
        <v>91</v>
      </c>
      <c r="EN182" s="63">
        <v>5.9282533295733179E-2</v>
      </c>
      <c r="EO182" s="63">
        <v>0.25</v>
      </c>
      <c r="EP182" s="63">
        <v>7.5480865704206437E-2</v>
      </c>
      <c r="EQ182" s="63">
        <v>0.18412084510295368</v>
      </c>
      <c r="ER182" s="63">
        <v>0.52423860730301464</v>
      </c>
      <c r="ES182" s="63">
        <v>5</v>
      </c>
      <c r="ET182" s="63">
        <v>10</v>
      </c>
      <c r="EU182" s="63">
        <v>15.524238607303015</v>
      </c>
      <c r="EV182" s="63">
        <v>28.218064075600513</v>
      </c>
    </row>
    <row r="183" spans="138:152" x14ac:dyDescent="0.25">
      <c r="EH183" s="63" t="s">
        <v>159</v>
      </c>
      <c r="EI183" s="63" t="s">
        <v>633</v>
      </c>
      <c r="EJ183" s="63" t="s">
        <v>632</v>
      </c>
      <c r="EK183" s="63">
        <v>250</v>
      </c>
      <c r="EL183" s="63">
        <v>250</v>
      </c>
      <c r="EM183" s="63">
        <v>94</v>
      </c>
      <c r="EN183" s="63">
        <v>2.5814466937594732E-2</v>
      </c>
      <c r="EO183" s="63">
        <v>0.25</v>
      </c>
      <c r="EP183" s="63">
        <v>3.2868000131204028E-2</v>
      </c>
      <c r="EQ183" s="63">
        <v>0.14337611160009611</v>
      </c>
      <c r="ER183" s="63">
        <v>0.66761471890311075</v>
      </c>
      <c r="ES183" s="63">
        <v>10</v>
      </c>
      <c r="ET183" s="63">
        <v>10</v>
      </c>
      <c r="EU183" s="63">
        <v>20.66761471890311</v>
      </c>
      <c r="EV183" s="63">
        <v>23.074687964000418</v>
      </c>
    </row>
    <row r="184" spans="138:152" x14ac:dyDescent="0.25">
      <c r="EH184" s="63" t="s">
        <v>158</v>
      </c>
      <c r="EI184" s="63" t="s">
        <v>634</v>
      </c>
      <c r="EJ184" s="63" t="s">
        <v>633</v>
      </c>
      <c r="EK184" s="63">
        <v>250</v>
      </c>
      <c r="EL184" s="63">
        <v>250</v>
      </c>
      <c r="EM184" s="63">
        <v>191</v>
      </c>
      <c r="EN184" s="63">
        <v>2.3921677366659139E-2</v>
      </c>
      <c r="EO184" s="63">
        <v>0.25</v>
      </c>
      <c r="EP184" s="63">
        <v>3.0458025599626529E-2</v>
      </c>
      <c r="EQ184" s="63">
        <v>0.29132805654913152</v>
      </c>
      <c r="ER184" s="63">
        <v>0.95894277545224227</v>
      </c>
      <c r="ES184" s="63">
        <v>15</v>
      </c>
      <c r="ET184" s="63">
        <v>10</v>
      </c>
      <c r="EU184" s="63">
        <v>25.958942775452243</v>
      </c>
      <c r="EV184" s="63">
        <v>17.783359907451285</v>
      </c>
    </row>
    <row r="185" spans="138:152" x14ac:dyDescent="0.25">
      <c r="EH185" s="63" t="s">
        <v>130</v>
      </c>
      <c r="EI185" s="63" t="s">
        <v>635</v>
      </c>
      <c r="EJ185" s="63" t="s">
        <v>634</v>
      </c>
      <c r="EK185" s="63">
        <v>250</v>
      </c>
      <c r="EL185" s="63">
        <v>250</v>
      </c>
      <c r="EM185" s="63">
        <v>77</v>
      </c>
      <c r="EN185" s="63">
        <v>2.3091157934404437E-2</v>
      </c>
      <c r="EO185" s="63">
        <v>0.25</v>
      </c>
      <c r="EP185" s="63">
        <v>2.9400575415808847E-2</v>
      </c>
      <c r="EQ185" s="63">
        <v>0.11744638928944044</v>
      </c>
      <c r="ER185" s="63">
        <v>1.0763891647416828</v>
      </c>
      <c r="ES185" s="63">
        <v>15</v>
      </c>
      <c r="ET185" s="63">
        <v>10</v>
      </c>
      <c r="EU185" s="63">
        <v>26.076389164741684</v>
      </c>
      <c r="EV185" s="63">
        <v>17.665913518161844</v>
      </c>
    </row>
    <row r="186" spans="138:152" x14ac:dyDescent="0.25">
      <c r="EH186" s="63" t="s">
        <v>129</v>
      </c>
      <c r="EI186" s="63" t="s">
        <v>636</v>
      </c>
      <c r="EJ186" s="63" t="s">
        <v>635</v>
      </c>
      <c r="EK186" s="63">
        <v>250</v>
      </c>
      <c r="EL186" s="63">
        <v>250</v>
      </c>
      <c r="EM186" s="63">
        <v>77</v>
      </c>
      <c r="EN186" s="63">
        <v>2.2554360061775646E-2</v>
      </c>
      <c r="EO186" s="63">
        <v>0.25</v>
      </c>
      <c r="EP186" s="63">
        <v>2.8717103136848162E-2</v>
      </c>
      <c r="EQ186" s="63">
        <v>0.11744638928944044</v>
      </c>
      <c r="ER186" s="63">
        <v>1.1938355540311232</v>
      </c>
      <c r="ES186" s="63">
        <v>12</v>
      </c>
      <c r="ET186" s="63">
        <v>10</v>
      </c>
      <c r="EU186" s="63">
        <v>23.193835554031125</v>
      </c>
      <c r="EV186" s="63">
        <v>20.548467128872403</v>
      </c>
    </row>
    <row r="187" spans="138:152" x14ac:dyDescent="0.25">
      <c r="EH187" s="63" t="s">
        <v>128</v>
      </c>
      <c r="EI187" s="63" t="s">
        <v>637</v>
      </c>
      <c r="EJ187" s="63" t="s">
        <v>636</v>
      </c>
      <c r="EK187" s="63">
        <v>250</v>
      </c>
      <c r="EL187" s="63">
        <v>250</v>
      </c>
      <c r="EM187" s="63">
        <v>76</v>
      </c>
      <c r="EN187" s="63">
        <v>2.0992442178138816E-2</v>
      </c>
      <c r="EO187" s="63">
        <v>0.25</v>
      </c>
      <c r="EP187" s="63">
        <v>2.6728407521772694E-2</v>
      </c>
      <c r="EQ187" s="63">
        <v>0.1159211115064607</v>
      </c>
      <c r="ER187" s="63">
        <v>1.3097566655375839</v>
      </c>
      <c r="ES187" s="63">
        <v>13</v>
      </c>
      <c r="ET187" s="63">
        <v>10</v>
      </c>
      <c r="EU187" s="63">
        <v>24.309756665537584</v>
      </c>
      <c r="EV187" s="63">
        <v>19.432546017365944</v>
      </c>
    </row>
    <row r="188" spans="138:152" x14ac:dyDescent="0.25">
      <c r="EH188" s="63" t="s">
        <v>127</v>
      </c>
      <c r="EI188" s="63" t="s">
        <v>638</v>
      </c>
      <c r="EJ188" s="63" t="s">
        <v>637</v>
      </c>
      <c r="EK188" s="63">
        <v>250</v>
      </c>
      <c r="EL188" s="63">
        <v>250</v>
      </c>
      <c r="EM188" s="63">
        <v>36</v>
      </c>
      <c r="EN188" s="63">
        <v>2.0961914069395998E-2</v>
      </c>
      <c r="EO188" s="63">
        <v>0.25</v>
      </c>
      <c r="EP188" s="63">
        <v>2.6689537926495362E-2</v>
      </c>
      <c r="EQ188" s="63">
        <v>5.4910000187270859E-2</v>
      </c>
      <c r="ER188" s="63">
        <v>1.3646666657248547</v>
      </c>
      <c r="ES188" s="63">
        <v>20</v>
      </c>
      <c r="ET188" s="63">
        <v>10</v>
      </c>
      <c r="EU188" s="63">
        <v>31.364666665724855</v>
      </c>
      <c r="EV188" s="63">
        <v>12.377636017178673</v>
      </c>
    </row>
    <row r="189" spans="138:152" x14ac:dyDescent="0.25">
      <c r="EH189" s="63" t="s">
        <v>126</v>
      </c>
      <c r="EI189" s="63" t="s">
        <v>639</v>
      </c>
      <c r="EJ189" s="63" t="s">
        <v>638</v>
      </c>
      <c r="EK189" s="63">
        <v>250</v>
      </c>
      <c r="EL189" s="63">
        <v>250</v>
      </c>
      <c r="EM189" s="63">
        <v>32</v>
      </c>
      <c r="EN189" s="63">
        <v>2.0193344907406416E-2</v>
      </c>
      <c r="EO189" s="63">
        <v>0.25</v>
      </c>
      <c r="EP189" s="63">
        <v>2.5710965276586263E-2</v>
      </c>
      <c r="EQ189" s="63">
        <v>4.8808889055351877E-2</v>
      </c>
      <c r="ER189" s="63">
        <v>1.4134755547802067</v>
      </c>
      <c r="ES189" s="63">
        <v>17</v>
      </c>
      <c r="ET189" s="63">
        <v>10</v>
      </c>
      <c r="EU189" s="63">
        <v>28.413475554780206</v>
      </c>
      <c r="EV189" s="63">
        <v>15.328827128123322</v>
      </c>
    </row>
    <row r="190" spans="138:152" x14ac:dyDescent="0.25">
      <c r="EH190" s="63" t="s">
        <v>125</v>
      </c>
      <c r="EI190" s="63" t="s">
        <v>640</v>
      </c>
      <c r="EJ190" s="63" t="s">
        <v>639</v>
      </c>
      <c r="EK190" s="63">
        <v>250</v>
      </c>
      <c r="EL190" s="63">
        <v>250</v>
      </c>
      <c r="EM190" s="63">
        <v>79</v>
      </c>
      <c r="EN190" s="63">
        <v>1.8933798305166713E-2</v>
      </c>
      <c r="EO190" s="63">
        <v>0.25</v>
      </c>
      <c r="EP190" s="63">
        <v>2.4107260734177863E-2</v>
      </c>
      <c r="EQ190" s="63">
        <v>0.12049694485539995</v>
      </c>
      <c r="ER190" s="63">
        <v>1.5339724996356066</v>
      </c>
      <c r="ES190" s="63">
        <v>16</v>
      </c>
      <c r="ET190" s="63">
        <v>10</v>
      </c>
      <c r="EU190" s="63">
        <v>27.533972499635606</v>
      </c>
      <c r="EV190" s="63">
        <v>16.208330183267922</v>
      </c>
    </row>
    <row r="191" spans="138:152" x14ac:dyDescent="0.25">
      <c r="EH191" s="63" t="s">
        <v>124</v>
      </c>
      <c r="EI191" s="63" t="s">
        <v>641</v>
      </c>
      <c r="EJ191" s="63" t="s">
        <v>640</v>
      </c>
      <c r="EK191" s="63">
        <v>250</v>
      </c>
      <c r="EL191" s="63">
        <v>250</v>
      </c>
      <c r="EM191" s="63">
        <v>51</v>
      </c>
      <c r="EN191" s="63">
        <v>1.871300829602764E-2</v>
      </c>
      <c r="EO191" s="63">
        <v>0.25</v>
      </c>
      <c r="EP191" s="63">
        <v>2.3826142163459556E-2</v>
      </c>
      <c r="EQ191" s="63">
        <v>7.7789166931967052E-2</v>
      </c>
      <c r="ER191" s="63">
        <v>1.6117616665675736</v>
      </c>
      <c r="ES191" s="63">
        <v>15</v>
      </c>
      <c r="ET191" s="63">
        <v>10</v>
      </c>
      <c r="EU191" s="63">
        <v>26.611761666567574</v>
      </c>
      <c r="EV191" s="63">
        <v>17.130541016335954</v>
      </c>
    </row>
    <row r="192" spans="138:152" x14ac:dyDescent="0.25">
      <c r="EH192" s="63" t="s">
        <v>123</v>
      </c>
      <c r="EI192" s="63" t="s">
        <v>642</v>
      </c>
      <c r="EJ192" s="63" t="s">
        <v>641</v>
      </c>
      <c r="EK192" s="63">
        <v>250</v>
      </c>
      <c r="EL192" s="63">
        <v>250</v>
      </c>
      <c r="EM192" s="63">
        <v>73</v>
      </c>
      <c r="EN192" s="63">
        <v>1.7647608869310459E-2</v>
      </c>
      <c r="EO192" s="63">
        <v>0.25</v>
      </c>
      <c r="EP192" s="63">
        <v>2.2469633482425068E-2</v>
      </c>
      <c r="EQ192" s="63">
        <v>0.11134527815752146</v>
      </c>
      <c r="ER192" s="63">
        <v>1.7231069447250951</v>
      </c>
      <c r="ES192" s="63">
        <v>8</v>
      </c>
      <c r="ET192" s="63">
        <v>10</v>
      </c>
      <c r="EU192" s="63">
        <v>19.723106944725096</v>
      </c>
      <c r="EV192" s="63">
        <v>24.019195738178432</v>
      </c>
    </row>
    <row r="193" spans="138:152" x14ac:dyDescent="0.25">
      <c r="EH193" s="63" t="s">
        <v>122</v>
      </c>
      <c r="EI193" s="63" t="s">
        <v>643</v>
      </c>
      <c r="EJ193" s="63" t="s">
        <v>642</v>
      </c>
      <c r="EK193" s="63">
        <v>250</v>
      </c>
      <c r="EL193" s="63">
        <v>250</v>
      </c>
      <c r="EM193" s="63">
        <v>58</v>
      </c>
      <c r="EN193" s="63">
        <v>1.7379937385977932E-2</v>
      </c>
      <c r="EO193" s="63">
        <v>0.25</v>
      </c>
      <c r="EP193" s="63">
        <v>2.2128823564848178E-2</v>
      </c>
      <c r="EQ193" s="63">
        <v>8.8466111412825274E-2</v>
      </c>
      <c r="ER193" s="63">
        <v>1.8115730561379204</v>
      </c>
      <c r="ES193" s="63">
        <v>8</v>
      </c>
      <c r="ET193" s="63">
        <v>10</v>
      </c>
      <c r="EU193" s="63">
        <v>19.81157305613792</v>
      </c>
      <c r="EV193" s="63">
        <v>23.930729626765608</v>
      </c>
    </row>
    <row r="194" spans="138:152" x14ac:dyDescent="0.25">
      <c r="EH194" s="63" t="s">
        <v>121</v>
      </c>
      <c r="EI194" s="63" t="s">
        <v>644</v>
      </c>
      <c r="EJ194" s="63" t="s">
        <v>643</v>
      </c>
      <c r="EK194" s="63">
        <v>250</v>
      </c>
      <c r="EL194" s="63">
        <v>250</v>
      </c>
      <c r="EM194" s="63">
        <v>216</v>
      </c>
      <c r="EN194" s="63">
        <v>1.4993311282905675E-2</v>
      </c>
      <c r="EO194" s="63">
        <v>0.25</v>
      </c>
      <c r="EP194" s="63">
        <v>1.9090076831919399E-2</v>
      </c>
      <c r="EQ194" s="63">
        <v>0.32946000112362517</v>
      </c>
      <c r="ER194" s="63">
        <v>2.1410330572615455</v>
      </c>
      <c r="ES194" s="63">
        <v>14</v>
      </c>
      <c r="ET194" s="63">
        <v>10</v>
      </c>
      <c r="EU194" s="63">
        <v>26.141033057261545</v>
      </c>
      <c r="EV194" s="63">
        <v>17.601269625641983</v>
      </c>
    </row>
    <row r="195" spans="138:152" x14ac:dyDescent="0.25">
      <c r="EH195" s="63" t="s">
        <v>119</v>
      </c>
      <c r="EI195" s="63" t="s">
        <v>645</v>
      </c>
      <c r="EJ195" s="63" t="s">
        <v>644</v>
      </c>
      <c r="EK195" s="63">
        <v>250</v>
      </c>
      <c r="EL195" s="63">
        <v>250</v>
      </c>
      <c r="EM195" s="63">
        <v>73</v>
      </c>
      <c r="EN195" s="63">
        <v>1.4260196894772731E-2</v>
      </c>
      <c r="EO195" s="63">
        <v>0.25</v>
      </c>
      <c r="EP195" s="63">
        <v>1.8156646602134213E-2</v>
      </c>
      <c r="EQ195" s="63">
        <v>0.11134527815752146</v>
      </c>
      <c r="ER195" s="63">
        <v>2.252378335419067</v>
      </c>
      <c r="ES195" s="63">
        <v>10</v>
      </c>
      <c r="ET195" s="63">
        <v>10</v>
      </c>
      <c r="EU195" s="63">
        <v>22.252378335419067</v>
      </c>
      <c r="EV195" s="63">
        <v>21.489924347484461</v>
      </c>
    </row>
    <row r="196" spans="138:152" x14ac:dyDescent="0.25">
      <c r="EH196" s="63" t="s">
        <v>120</v>
      </c>
      <c r="EI196" s="63" t="s">
        <v>646</v>
      </c>
      <c r="EJ196" s="63" t="s">
        <v>645</v>
      </c>
      <c r="EK196" s="63">
        <v>250</v>
      </c>
      <c r="EL196" s="63">
        <v>250</v>
      </c>
      <c r="EM196" s="63">
        <v>65</v>
      </c>
      <c r="EN196" s="63">
        <v>1.3488586483084906E-2</v>
      </c>
      <c r="EO196" s="63">
        <v>0.25</v>
      </c>
      <c r="EP196" s="63">
        <v>1.7174201712843895E-2</v>
      </c>
      <c r="EQ196" s="63">
        <v>9.9143055893683496E-2</v>
      </c>
      <c r="ER196" s="63">
        <v>2.3515213913127506</v>
      </c>
      <c r="ES196" s="63">
        <v>10</v>
      </c>
      <c r="ET196" s="63">
        <v>10</v>
      </c>
      <c r="EU196" s="63">
        <v>22.351521391312751</v>
      </c>
      <c r="EV196" s="63">
        <v>21.390781291590777</v>
      </c>
    </row>
    <row r="197" spans="138:152" x14ac:dyDescent="0.25">
      <c r="EH197" s="63" t="s">
        <v>118</v>
      </c>
      <c r="EI197" s="63" t="s">
        <v>647</v>
      </c>
      <c r="EJ197" s="63" t="s">
        <v>646</v>
      </c>
      <c r="EK197" s="63">
        <v>250</v>
      </c>
      <c r="EL197" s="63">
        <v>250</v>
      </c>
      <c r="EM197" s="63">
        <v>45</v>
      </c>
      <c r="EN197" s="63">
        <v>1.3194835985450761E-2</v>
      </c>
      <c r="EO197" s="63">
        <v>0.25</v>
      </c>
      <c r="EP197" s="63">
        <v>1.6800186962970469E-2</v>
      </c>
      <c r="EQ197" s="63">
        <v>6.8637500234088572E-2</v>
      </c>
      <c r="ER197" s="63">
        <v>2.4201588915468393</v>
      </c>
      <c r="ES197" s="63">
        <v>12</v>
      </c>
      <c r="ET197" s="63">
        <v>10</v>
      </c>
      <c r="EU197" s="63">
        <v>24.420158891546841</v>
      </c>
      <c r="EV197" s="63">
        <v>19.322143791356687</v>
      </c>
    </row>
    <row r="198" spans="138:152" x14ac:dyDescent="0.25">
      <c r="EH198" s="63" t="s">
        <v>117</v>
      </c>
      <c r="EI198" s="63" t="s">
        <v>648</v>
      </c>
      <c r="EJ198" s="63" t="s">
        <v>647</v>
      </c>
      <c r="EK198" s="63">
        <v>250</v>
      </c>
      <c r="EL198" s="63">
        <v>250</v>
      </c>
      <c r="EM198" s="63">
        <v>100</v>
      </c>
      <c r="EN198" s="63">
        <v>1.163967905548354E-2</v>
      </c>
      <c r="EO198" s="63">
        <v>0.25</v>
      </c>
      <c r="EP198" s="63">
        <v>1.4820099661467271E-2</v>
      </c>
      <c r="EQ198" s="63">
        <v>0.15252777829797462</v>
      </c>
      <c r="ER198" s="63">
        <v>2.5726866698448139</v>
      </c>
      <c r="ES198" s="63">
        <v>9</v>
      </c>
      <c r="ET198" s="63">
        <v>10</v>
      </c>
      <c r="EU198" s="63">
        <v>21.572686669844813</v>
      </c>
      <c r="EV198" s="63">
        <v>22.169616013058715</v>
      </c>
    </row>
    <row r="199" spans="138:152" x14ac:dyDescent="0.25">
      <c r="EH199" s="63" t="s">
        <v>116</v>
      </c>
      <c r="EI199" s="63" t="s">
        <v>649</v>
      </c>
      <c r="EJ199" s="63" t="s">
        <v>648</v>
      </c>
      <c r="EK199" s="63">
        <v>250</v>
      </c>
      <c r="EL199" s="63">
        <v>250</v>
      </c>
      <c r="EM199" s="63">
        <v>202</v>
      </c>
      <c r="EN199" s="63">
        <v>9.2653627026286108E-3</v>
      </c>
      <c r="EO199" s="63">
        <v>0.25</v>
      </c>
      <c r="EP199" s="63">
        <v>1.1797026189301009E-2</v>
      </c>
      <c r="EQ199" s="63">
        <v>0.308088735266423</v>
      </c>
      <c r="ER199" s="63">
        <v>2.8807754051112369</v>
      </c>
      <c r="ES199" s="63">
        <v>11</v>
      </c>
      <c r="ET199" s="63">
        <v>10</v>
      </c>
      <c r="EU199" s="63">
        <v>23.880775405111237</v>
      </c>
      <c r="EV199" s="63">
        <v>19.861527277792291</v>
      </c>
    </row>
    <row r="200" spans="138:152" x14ac:dyDescent="0.25">
      <c r="EH200" s="63" t="s">
        <v>115</v>
      </c>
      <c r="EI200" s="63" t="s">
        <v>650</v>
      </c>
      <c r="EJ200" s="63" t="s">
        <v>649</v>
      </c>
      <c r="EK200" s="63">
        <v>565</v>
      </c>
      <c r="EL200" s="63">
        <v>600</v>
      </c>
      <c r="EM200" s="63">
        <v>166</v>
      </c>
      <c r="EN200" s="63">
        <v>4.0278430277578207E-2</v>
      </c>
      <c r="EO200" s="63">
        <v>0.56499999999999995</v>
      </c>
      <c r="EP200" s="63">
        <v>1.0040741293223958E-2</v>
      </c>
      <c r="EQ200" s="63">
        <v>0.13469904721539741</v>
      </c>
      <c r="ER200" s="63">
        <v>3.0154744523266341</v>
      </c>
      <c r="ES200" s="63">
        <v>9</v>
      </c>
      <c r="ET200" s="63">
        <v>10</v>
      </c>
      <c r="EU200" s="63">
        <v>22.015474452326636</v>
      </c>
      <c r="EV200" s="63">
        <v>21.726828230576892</v>
      </c>
    </row>
    <row r="201" spans="138:152" x14ac:dyDescent="0.25">
      <c r="EH201" s="63" t="s">
        <v>424</v>
      </c>
      <c r="EI201" s="63" t="s">
        <v>651</v>
      </c>
      <c r="EJ201" s="63" t="s">
        <v>650</v>
      </c>
      <c r="EK201" s="63">
        <v>565</v>
      </c>
      <c r="EL201" s="63">
        <v>600</v>
      </c>
      <c r="EM201" s="63">
        <v>584</v>
      </c>
      <c r="EN201" s="63">
        <v>3.6347581583337049E-2</v>
      </c>
      <c r="EO201" s="63">
        <v>0.56499999999999995</v>
      </c>
      <c r="EP201" s="63">
        <v>9.0608462345117598E-3</v>
      </c>
      <c r="EQ201" s="63">
        <v>0.4738809853842898</v>
      </c>
      <c r="ER201" s="63">
        <v>3.4893554377109242</v>
      </c>
      <c r="ES201" s="63">
        <v>12</v>
      </c>
      <c r="ET201" s="63">
        <v>10</v>
      </c>
      <c r="EU201" s="63">
        <v>25.489355437710923</v>
      </c>
      <c r="EV201" s="63">
        <v>18.252947245192605</v>
      </c>
    </row>
    <row r="202" spans="138:152" x14ac:dyDescent="0.25">
      <c r="EH202" s="63" t="s">
        <v>428</v>
      </c>
      <c r="EI202" s="63" t="s">
        <v>772</v>
      </c>
      <c r="EJ202" s="63" t="s">
        <v>651</v>
      </c>
      <c r="EK202" s="63">
        <v>565</v>
      </c>
      <c r="EL202" s="63">
        <v>600</v>
      </c>
      <c r="EM202" s="63">
        <v>211</v>
      </c>
      <c r="EN202" s="63">
        <v>3.1526179338179819E-2</v>
      </c>
      <c r="EO202" s="63">
        <v>0.56499999999999995</v>
      </c>
      <c r="EP202" s="63">
        <v>7.8589510196145317E-3</v>
      </c>
      <c r="EQ202" s="63">
        <v>0.17121384917137866</v>
      </c>
      <c r="ER202" s="63">
        <v>3.660569286882303</v>
      </c>
      <c r="ES202" s="63">
        <v>8</v>
      </c>
      <c r="ET202" s="63">
        <v>10</v>
      </c>
      <c r="EU202" s="63">
        <v>21.660569286882303</v>
      </c>
      <c r="EV202" s="63">
        <v>22.081733396021225</v>
      </c>
    </row>
    <row r="203" spans="138:152" x14ac:dyDescent="0.25">
      <c r="EH203" s="63" t="s">
        <v>181</v>
      </c>
      <c r="EI203" s="63" t="s">
        <v>652</v>
      </c>
      <c r="EJ203" s="63" t="s">
        <v>653</v>
      </c>
      <c r="EK203" s="63">
        <v>250</v>
      </c>
      <c r="EL203" s="63">
        <v>250</v>
      </c>
      <c r="EM203" s="63">
        <v>80</v>
      </c>
      <c r="EN203" s="63">
        <v>5.6926136485617146E-2</v>
      </c>
      <c r="EO203" s="63">
        <v>0.25</v>
      </c>
      <c r="EP203" s="63">
        <v>7.2480608102478916E-2</v>
      </c>
      <c r="EQ203" s="63">
        <v>0.16187231665420129</v>
      </c>
      <c r="ER203" s="63">
        <v>3.8224416035365043</v>
      </c>
      <c r="ES203" s="63">
        <v>11</v>
      </c>
      <c r="ET203" s="63">
        <v>10</v>
      </c>
      <c r="EU203" s="63">
        <v>24.822441603536504</v>
      </c>
      <c r="EV203" s="63">
        <v>18.919861079367024</v>
      </c>
    </row>
    <row r="204" spans="138:152" x14ac:dyDescent="0.25">
      <c r="EH204" s="63" t="s">
        <v>179</v>
      </c>
      <c r="EI204" s="63" t="s">
        <v>653</v>
      </c>
      <c r="EJ204" s="63" t="s">
        <v>654</v>
      </c>
      <c r="EK204" s="63">
        <v>250</v>
      </c>
      <c r="EL204" s="63">
        <v>250</v>
      </c>
      <c r="EM204" s="63">
        <v>87</v>
      </c>
      <c r="EN204" s="63">
        <v>5.7076732049721926E-2</v>
      </c>
      <c r="EO204" s="63">
        <v>0.25</v>
      </c>
      <c r="EP204" s="63">
        <v>7.267235232995882E-2</v>
      </c>
      <c r="EQ204" s="63">
        <v>0.17603614436144388</v>
      </c>
      <c r="ER204" s="63">
        <v>3.9984777478979483</v>
      </c>
      <c r="ES204" s="63">
        <v>8</v>
      </c>
      <c r="ET204" s="63">
        <v>10</v>
      </c>
      <c r="EU204" s="63">
        <v>21.998477747897947</v>
      </c>
      <c r="EV204" s="63">
        <v>21.743824935005581</v>
      </c>
    </row>
    <row r="205" spans="138:152" x14ac:dyDescent="0.25">
      <c r="EH205" s="63" t="s">
        <v>180</v>
      </c>
      <c r="EI205" s="63" t="s">
        <v>654</v>
      </c>
      <c r="EJ205" s="63" t="s">
        <v>655</v>
      </c>
      <c r="EK205" s="63">
        <v>250</v>
      </c>
      <c r="EL205" s="63">
        <v>250</v>
      </c>
      <c r="EM205" s="63">
        <v>89</v>
      </c>
      <c r="EN205" s="63">
        <v>5.5989810279985203E-2</v>
      </c>
      <c r="EO205" s="63">
        <v>0.25</v>
      </c>
      <c r="EP205" s="63">
        <v>7.1288440550696497E-2</v>
      </c>
      <c r="EQ205" s="63">
        <v>0.18008295227779894</v>
      </c>
      <c r="ER205" s="63">
        <v>4.1785607001757477</v>
      </c>
      <c r="ES205" s="63">
        <v>13</v>
      </c>
      <c r="ET205" s="63">
        <v>10</v>
      </c>
      <c r="EU205" s="63">
        <v>27.178560700175748</v>
      </c>
      <c r="EV205" s="63">
        <v>16.56374198272778</v>
      </c>
    </row>
    <row r="206" spans="138:152" x14ac:dyDescent="0.25">
      <c r="EH206" s="63" t="s">
        <v>178</v>
      </c>
      <c r="EI206" s="63" t="s">
        <v>655</v>
      </c>
      <c r="EJ206" s="63" t="s">
        <v>656</v>
      </c>
      <c r="EK206" s="63">
        <v>250</v>
      </c>
      <c r="EL206" s="63">
        <v>250</v>
      </c>
      <c r="EM206" s="63">
        <v>88</v>
      </c>
      <c r="EN206" s="63">
        <v>5.5325845180068216E-2</v>
      </c>
      <c r="EO206" s="63">
        <v>0.25</v>
      </c>
      <c r="EP206" s="63">
        <v>7.0443053929158159E-2</v>
      </c>
      <c r="EQ206" s="63">
        <v>0.17805954831962142</v>
      </c>
      <c r="ER206" s="63">
        <v>4.3566202484953687</v>
      </c>
      <c r="ES206" s="63">
        <v>10</v>
      </c>
      <c r="ET206" s="63">
        <v>10</v>
      </c>
      <c r="EU206" s="63">
        <v>24.356620248495368</v>
      </c>
      <c r="EV206" s="63">
        <v>19.38568243440816</v>
      </c>
    </row>
    <row r="207" spans="138:152" x14ac:dyDescent="0.25">
      <c r="EH207" s="63" t="s">
        <v>189</v>
      </c>
      <c r="EI207" s="63" t="s">
        <v>656</v>
      </c>
      <c r="EJ207" s="63" t="s">
        <v>657</v>
      </c>
      <c r="EK207" s="63">
        <v>250</v>
      </c>
      <c r="EL207" s="63">
        <v>250</v>
      </c>
      <c r="EM207" s="63">
        <v>76</v>
      </c>
      <c r="EN207" s="63">
        <v>5.414352531667465E-2</v>
      </c>
      <c r="EO207" s="63">
        <v>0.25</v>
      </c>
      <c r="EP207" s="63">
        <v>6.8937677524559593E-2</v>
      </c>
      <c r="EQ207" s="63">
        <v>0.1537787008214912</v>
      </c>
      <c r="ER207" s="63">
        <v>4.5103989493168601</v>
      </c>
      <c r="ES207" s="63">
        <v>13</v>
      </c>
      <c r="ET207" s="63">
        <v>10</v>
      </c>
      <c r="EU207" s="63">
        <v>27.510398949316858</v>
      </c>
      <c r="EV207" s="63">
        <v>16.23190373358667</v>
      </c>
    </row>
    <row r="208" spans="138:152" x14ac:dyDescent="0.25">
      <c r="EH208" s="63" t="s">
        <v>188</v>
      </c>
      <c r="EI208" s="63" t="s">
        <v>657</v>
      </c>
      <c r="EJ208" s="63" t="s">
        <v>658</v>
      </c>
      <c r="EK208" s="63">
        <v>250</v>
      </c>
      <c r="EL208" s="63">
        <v>250</v>
      </c>
      <c r="EM208" s="63">
        <v>80</v>
      </c>
      <c r="EN208" s="63">
        <v>5.3288224365538421E-2</v>
      </c>
      <c r="EO208" s="63">
        <v>0.25</v>
      </c>
      <c r="EP208" s="63">
        <v>6.7848674530923345E-2</v>
      </c>
      <c r="EQ208" s="63">
        <v>0.16187231665420129</v>
      </c>
      <c r="ER208" s="63">
        <v>4.6722712659710615</v>
      </c>
      <c r="ES208" s="63">
        <v>11</v>
      </c>
      <c r="ET208" s="63">
        <v>10</v>
      </c>
      <c r="EU208" s="63">
        <v>25.672271265971062</v>
      </c>
      <c r="EV208" s="63">
        <v>18.070031416932466</v>
      </c>
    </row>
    <row r="209" spans="138:152" x14ac:dyDescent="0.25">
      <c r="EH209" s="63" t="s">
        <v>186</v>
      </c>
      <c r="EI209" s="63" t="s">
        <v>658</v>
      </c>
      <c r="EJ209" s="63" t="s">
        <v>659</v>
      </c>
      <c r="EK209" s="63">
        <v>250</v>
      </c>
      <c r="EL209" s="63">
        <v>250</v>
      </c>
      <c r="EM209" s="63">
        <v>158</v>
      </c>
      <c r="EN209" s="63">
        <v>5.1566686166368718E-2</v>
      </c>
      <c r="EO209" s="63">
        <v>0.25</v>
      </c>
      <c r="EP209" s="63">
        <v>6.5656744017968324E-2</v>
      </c>
      <c r="EQ209" s="63">
        <v>0.31969782539204755</v>
      </c>
      <c r="ER209" s="63">
        <v>4.9919690913631092</v>
      </c>
      <c r="ES209" s="63">
        <v>15</v>
      </c>
      <c r="ET209" s="63">
        <v>10</v>
      </c>
      <c r="EU209" s="63">
        <v>29.99196909136311</v>
      </c>
      <c r="EV209" s="63">
        <v>13.750333591540418</v>
      </c>
    </row>
    <row r="210" spans="138:152" x14ac:dyDescent="0.25">
      <c r="EH210" s="63" t="s">
        <v>187</v>
      </c>
      <c r="EI210" s="63" t="s">
        <v>660</v>
      </c>
      <c r="EJ210" s="63" t="s">
        <v>659</v>
      </c>
      <c r="EK210" s="63">
        <v>250</v>
      </c>
      <c r="EL210" s="63">
        <v>250</v>
      </c>
      <c r="EM210" s="63">
        <v>70</v>
      </c>
      <c r="EN210" s="63">
        <v>5.0764470058797077E-2</v>
      </c>
      <c r="EO210" s="63">
        <v>0.25</v>
      </c>
      <c r="EP210" s="63">
        <v>6.4635330746384584E-2</v>
      </c>
      <c r="EQ210" s="63">
        <v>0.1416382770724261</v>
      </c>
      <c r="ER210" s="63">
        <v>5.133607368435535</v>
      </c>
      <c r="ES210" s="63">
        <v>15</v>
      </c>
      <c r="ET210" s="63">
        <v>10</v>
      </c>
      <c r="EU210" s="63">
        <v>30.133607368435534</v>
      </c>
      <c r="EV210" s="63">
        <v>13.608695314467994</v>
      </c>
    </row>
    <row r="211" spans="138:152" x14ac:dyDescent="0.25">
      <c r="EH211" s="63" t="s">
        <v>185</v>
      </c>
      <c r="EI211" s="63" t="s">
        <v>661</v>
      </c>
      <c r="EJ211" s="63" t="s">
        <v>660</v>
      </c>
      <c r="EK211" s="63">
        <v>250</v>
      </c>
      <c r="EL211" s="63">
        <v>250</v>
      </c>
      <c r="EM211" s="63">
        <v>80</v>
      </c>
      <c r="EN211" s="63">
        <v>4.8576797853272291E-2</v>
      </c>
      <c r="EO211" s="63">
        <v>0.25</v>
      </c>
      <c r="EP211" s="63">
        <v>6.1849899983392444E-2</v>
      </c>
      <c r="EQ211" s="63">
        <v>0.16186447921138786</v>
      </c>
      <c r="ER211" s="63">
        <v>5.2954718476469225</v>
      </c>
      <c r="ES211" s="63">
        <v>18</v>
      </c>
      <c r="ET211" s="63">
        <v>10</v>
      </c>
      <c r="EU211" s="63">
        <v>33.295471847646922</v>
      </c>
      <c r="EV211" s="63">
        <v>10.446830835256605</v>
      </c>
    </row>
    <row r="212" spans="138:152" x14ac:dyDescent="0.25">
      <c r="EH212" s="63" t="s">
        <v>184</v>
      </c>
      <c r="EI212" s="63" t="s">
        <v>662</v>
      </c>
      <c r="EJ212" s="63" t="s">
        <v>661</v>
      </c>
      <c r="EK212" s="63">
        <v>350</v>
      </c>
      <c r="EL212" s="63">
        <v>350</v>
      </c>
      <c r="EM212" s="63">
        <v>68</v>
      </c>
      <c r="EN212" s="63">
        <v>4.5224191290407702E-2</v>
      </c>
      <c r="EO212" s="63">
        <v>0.35</v>
      </c>
      <c r="EP212" s="63">
        <v>2.9378177923272766E-2</v>
      </c>
      <c r="EQ212" s="63">
        <v>0.13273035727434446</v>
      </c>
      <c r="ER212" s="63">
        <v>5.4282022049212673</v>
      </c>
      <c r="ES212" s="63">
        <v>16</v>
      </c>
      <c r="ET212" s="63">
        <v>10</v>
      </c>
      <c r="EU212" s="63">
        <v>31.428202204921266</v>
      </c>
      <c r="EV212" s="63">
        <v>12.314100477982262</v>
      </c>
    </row>
    <row r="213" spans="138:152" x14ac:dyDescent="0.25">
      <c r="EH213" s="63" t="s">
        <v>200</v>
      </c>
      <c r="EI213" s="63" t="s">
        <v>663</v>
      </c>
      <c r="EJ213" s="63" t="s">
        <v>662</v>
      </c>
      <c r="EK213" s="63">
        <v>350</v>
      </c>
      <c r="EL213" s="63">
        <v>350</v>
      </c>
      <c r="EM213" s="63">
        <v>152</v>
      </c>
      <c r="EN213" s="63">
        <v>4.4475582353763941E-2</v>
      </c>
      <c r="EO213" s="63">
        <v>0.35</v>
      </c>
      <c r="EP213" s="63">
        <v>2.8891872565274309E-2</v>
      </c>
      <c r="EQ213" s="63">
        <v>0.29669138684853463</v>
      </c>
      <c r="ER213" s="63">
        <v>5.7248935917698018</v>
      </c>
      <c r="ES213" s="63">
        <v>13</v>
      </c>
      <c r="ET213" s="63">
        <v>10</v>
      </c>
      <c r="EU213" s="63">
        <v>28.724893591769803</v>
      </c>
      <c r="EV213" s="63">
        <v>15.017409091133725</v>
      </c>
    </row>
    <row r="214" spans="138:152" x14ac:dyDescent="0.25">
      <c r="EH214" s="63" t="s">
        <v>202</v>
      </c>
      <c r="EI214" s="63" t="s">
        <v>664</v>
      </c>
      <c r="EJ214" s="63" t="s">
        <v>663</v>
      </c>
      <c r="EK214" s="63">
        <v>350</v>
      </c>
      <c r="EL214" s="63">
        <v>350</v>
      </c>
      <c r="EM214" s="63">
        <v>75</v>
      </c>
      <c r="EN214" s="63">
        <v>4.3797946856807699E-2</v>
      </c>
      <c r="EO214" s="63">
        <v>0.35</v>
      </c>
      <c r="EP214" s="63">
        <v>2.8451672406273824E-2</v>
      </c>
      <c r="EQ214" s="63">
        <v>0.14639377640552698</v>
      </c>
      <c r="ER214" s="63">
        <v>5.871287368175329</v>
      </c>
      <c r="ES214" s="63">
        <v>13</v>
      </c>
      <c r="ET214" s="63">
        <v>10</v>
      </c>
      <c r="EU214" s="63">
        <v>28.871287368175331</v>
      </c>
      <c r="EV214" s="63">
        <v>14.871015314728199</v>
      </c>
    </row>
    <row r="215" spans="138:152" x14ac:dyDescent="0.25">
      <c r="EH215" s="63" t="s">
        <v>201</v>
      </c>
      <c r="EI215" s="63" t="s">
        <v>664</v>
      </c>
      <c r="EJ215" s="63" t="s">
        <v>665</v>
      </c>
      <c r="EK215" s="63">
        <v>400</v>
      </c>
      <c r="EL215" s="63">
        <v>400</v>
      </c>
      <c r="EM215" s="63">
        <v>95</v>
      </c>
      <c r="EN215" s="63">
        <v>1.5000265543708355E-2</v>
      </c>
      <c r="EO215" s="63">
        <v>0.4</v>
      </c>
      <c r="EP215" s="63">
        <v>7.4605200280381924E-3</v>
      </c>
      <c r="EQ215" s="63">
        <v>0.16166885526910485</v>
      </c>
      <c r="ER215" s="63">
        <v>6.0329562234444341</v>
      </c>
      <c r="ES215" s="63">
        <v>12</v>
      </c>
      <c r="ET215" s="63">
        <v>10</v>
      </c>
      <c r="EU215" s="63">
        <v>28.032956223444433</v>
      </c>
      <c r="EV215" s="63">
        <v>15.709346459459095</v>
      </c>
    </row>
    <row r="216" spans="138:152" x14ac:dyDescent="0.25">
      <c r="EH216" s="63" t="s">
        <v>199</v>
      </c>
      <c r="EI216" s="63" t="s">
        <v>665</v>
      </c>
      <c r="EJ216" s="63" t="s">
        <v>666</v>
      </c>
      <c r="EK216" s="63">
        <v>400</v>
      </c>
      <c r="EL216" s="63">
        <v>400</v>
      </c>
      <c r="EM216" s="63">
        <v>73</v>
      </c>
      <c r="EN216" s="63">
        <v>1.2998590957586381E-2</v>
      </c>
      <c r="EO216" s="63">
        <v>0.4</v>
      </c>
      <c r="EP216" s="63">
        <v>6.4649687629046429E-3</v>
      </c>
      <c r="EQ216" s="63">
        <v>0.12422975194362795</v>
      </c>
      <c r="ER216" s="63">
        <v>6.157185975388062</v>
      </c>
      <c r="ES216" s="63">
        <v>8</v>
      </c>
      <c r="ET216" s="63">
        <v>10</v>
      </c>
      <c r="EU216" s="63">
        <v>24.15718597538806</v>
      </c>
      <c r="EV216" s="63">
        <v>19.585116707515468</v>
      </c>
    </row>
    <row r="217" spans="138:152" x14ac:dyDescent="0.25">
      <c r="EH217" s="63" t="s">
        <v>198</v>
      </c>
      <c r="EI217" s="63" t="s">
        <v>666</v>
      </c>
      <c r="EJ217" s="63" t="s">
        <v>667</v>
      </c>
      <c r="EK217" s="63">
        <v>400</v>
      </c>
      <c r="EL217" s="63">
        <v>400</v>
      </c>
      <c r="EM217" s="63">
        <v>77</v>
      </c>
      <c r="EN217" s="63">
        <v>1.2791367711759967E-2</v>
      </c>
      <c r="EO217" s="63">
        <v>0.4</v>
      </c>
      <c r="EP217" s="63">
        <v>6.3619043757270777E-3</v>
      </c>
      <c r="EQ217" s="63">
        <v>0.13103686163916922</v>
      </c>
      <c r="ER217" s="63">
        <v>6.2882228370272308</v>
      </c>
      <c r="ES217" s="63">
        <v>14</v>
      </c>
      <c r="ET217" s="63">
        <v>10</v>
      </c>
      <c r="EU217" s="63">
        <v>30.288222837027231</v>
      </c>
      <c r="EV217" s="63">
        <v>13.454079845876297</v>
      </c>
    </row>
    <row r="218" spans="138:152" x14ac:dyDescent="0.25">
      <c r="EH218" s="63" t="s">
        <v>197</v>
      </c>
      <c r="EI218" s="63" t="s">
        <v>667</v>
      </c>
      <c r="EJ218" s="63" t="s">
        <v>668</v>
      </c>
      <c r="EK218" s="63">
        <v>400</v>
      </c>
      <c r="EL218" s="63">
        <v>400</v>
      </c>
      <c r="EM218" s="63">
        <v>250</v>
      </c>
      <c r="EN218" s="63">
        <v>1.031482399744893E-2</v>
      </c>
      <c r="EO218" s="63">
        <v>0.4</v>
      </c>
      <c r="EP218" s="63">
        <v>5.1301725822403147E-3</v>
      </c>
      <c r="EQ218" s="63">
        <v>0.42544435597132857</v>
      </c>
      <c r="ER218" s="63">
        <v>6.7136671929985594</v>
      </c>
      <c r="ES218" s="63">
        <v>13</v>
      </c>
      <c r="ET218" s="63">
        <v>10</v>
      </c>
      <c r="EU218" s="63">
        <v>29.71366719299856</v>
      </c>
      <c r="EV218" s="63">
        <v>14.028635489904968</v>
      </c>
    </row>
    <row r="219" spans="138:152" x14ac:dyDescent="0.25">
      <c r="EH219" s="63" t="s">
        <v>196</v>
      </c>
      <c r="EI219" s="63" t="s">
        <v>668</v>
      </c>
      <c r="EJ219" s="63" t="s">
        <v>669</v>
      </c>
      <c r="EK219" s="63">
        <v>400</v>
      </c>
      <c r="EL219" s="63">
        <v>400</v>
      </c>
      <c r="EM219" s="63">
        <v>63</v>
      </c>
      <c r="EN219" s="63">
        <v>8.9903760997850114E-3</v>
      </c>
      <c r="EO219" s="63">
        <v>0.4</v>
      </c>
      <c r="EP219" s="63">
        <v>4.4714462391750604E-3</v>
      </c>
      <c r="EQ219" s="63">
        <v>0.10721197770477481</v>
      </c>
      <c r="ER219" s="63">
        <v>6.8208791707033338</v>
      </c>
      <c r="ES219" s="63">
        <v>16</v>
      </c>
      <c r="ET219" s="63">
        <v>10</v>
      </c>
      <c r="EU219" s="63">
        <v>32.820879170703336</v>
      </c>
      <c r="EV219" s="63">
        <v>10.921423512200194</v>
      </c>
    </row>
    <row r="220" spans="138:152" x14ac:dyDescent="0.25">
      <c r="EH220" s="63" t="s">
        <v>195</v>
      </c>
      <c r="EI220" s="63" t="s">
        <v>669</v>
      </c>
      <c r="EJ220" s="63" t="s">
        <v>670</v>
      </c>
      <c r="EK220" s="63">
        <v>400</v>
      </c>
      <c r="EL220" s="63">
        <v>400</v>
      </c>
      <c r="EM220" s="63">
        <v>41</v>
      </c>
      <c r="EN220" s="63">
        <v>8.2089583080714908E-3</v>
      </c>
      <c r="EO220" s="63">
        <v>0.4</v>
      </c>
      <c r="EP220" s="63">
        <v>4.0828009136401862E-3</v>
      </c>
      <c r="EQ220" s="63">
        <v>6.9772874379297897E-2</v>
      </c>
      <c r="ER220" s="63">
        <v>6.8906520450826321</v>
      </c>
      <c r="ES220" s="63">
        <v>16</v>
      </c>
      <c r="ET220" s="63">
        <v>10</v>
      </c>
      <c r="EU220" s="63">
        <v>32.890652045082632</v>
      </c>
      <c r="EV220" s="63">
        <v>10.851650637820896</v>
      </c>
    </row>
    <row r="221" spans="138:152" x14ac:dyDescent="0.25">
      <c r="EH221" s="63" t="s">
        <v>194</v>
      </c>
      <c r="EI221" s="63" t="s">
        <v>670</v>
      </c>
      <c r="EJ221" s="63" t="s">
        <v>671</v>
      </c>
      <c r="EK221" s="63">
        <v>400</v>
      </c>
      <c r="EL221" s="63">
        <v>400</v>
      </c>
      <c r="EM221" s="63">
        <v>201</v>
      </c>
      <c r="EN221" s="63">
        <v>7.1716527560649855E-3</v>
      </c>
      <c r="EO221" s="63">
        <v>0.4</v>
      </c>
      <c r="EP221" s="63">
        <v>3.5668874570823658E-3</v>
      </c>
      <c r="EQ221" s="63">
        <v>0.34205726220094823</v>
      </c>
      <c r="ER221" s="63">
        <v>7.2327093072835806</v>
      </c>
      <c r="ES221" s="63">
        <v>11</v>
      </c>
      <c r="ET221" s="63">
        <v>10</v>
      </c>
      <c r="EU221" s="63">
        <v>28.232709307283582</v>
      </c>
      <c r="EV221" s="63">
        <v>15.509593375619946</v>
      </c>
    </row>
    <row r="222" spans="138:152" x14ac:dyDescent="0.25">
      <c r="EH222" s="63" t="s">
        <v>425</v>
      </c>
      <c r="EI222" s="63" t="s">
        <v>671</v>
      </c>
      <c r="EJ222" s="63" t="s">
        <v>672</v>
      </c>
      <c r="EK222" s="63">
        <v>400</v>
      </c>
      <c r="EL222" s="63">
        <v>400</v>
      </c>
      <c r="EM222" s="63">
        <v>129</v>
      </c>
      <c r="EN222" s="63">
        <v>4.447456650375315E-3</v>
      </c>
      <c r="EO222" s="63">
        <v>0.4</v>
      </c>
      <c r="EP222" s="63">
        <v>2.2119834690442334E-3</v>
      </c>
      <c r="EQ222" s="63">
        <v>0.21952928768120558</v>
      </c>
      <c r="ER222" s="63">
        <v>7.4522385949647862</v>
      </c>
      <c r="ES222" s="63">
        <v>9</v>
      </c>
      <c r="ET222" s="63">
        <v>10</v>
      </c>
      <c r="EU222" s="63">
        <v>26.452238594964786</v>
      </c>
      <c r="EV222" s="63">
        <v>17.290064087938742</v>
      </c>
    </row>
    <row r="223" spans="138:152" x14ac:dyDescent="0.25">
      <c r="EH223" s="63" t="s">
        <v>183</v>
      </c>
      <c r="EI223" s="63" t="s">
        <v>672</v>
      </c>
      <c r="EJ223" s="63" t="s">
        <v>673</v>
      </c>
      <c r="EK223" s="63">
        <v>400</v>
      </c>
      <c r="EL223" s="63">
        <v>400</v>
      </c>
      <c r="EM223" s="63">
        <v>111</v>
      </c>
      <c r="EN223" s="63">
        <v>4.1994560157712427E-3</v>
      </c>
      <c r="EO223" s="63">
        <v>0.4</v>
      </c>
      <c r="EP223" s="63">
        <v>2.0886380725218426E-3</v>
      </c>
      <c r="EQ223" s="63">
        <v>0.18889729405126993</v>
      </c>
      <c r="ER223" s="63">
        <v>7.6411358890160566</v>
      </c>
      <c r="ES223" s="63">
        <v>15</v>
      </c>
      <c r="ET223" s="63">
        <v>10</v>
      </c>
      <c r="EU223" s="63">
        <v>32.641135889016056</v>
      </c>
      <c r="EV223" s="63">
        <v>11.101166793887472</v>
      </c>
    </row>
    <row r="224" spans="138:152" x14ac:dyDescent="0.25">
      <c r="EH224" s="63" t="s">
        <v>192</v>
      </c>
      <c r="EI224" s="63" t="s">
        <v>673</v>
      </c>
      <c r="EJ224" s="63" t="s">
        <v>674</v>
      </c>
      <c r="EK224" s="63">
        <v>466</v>
      </c>
      <c r="EL224" s="63">
        <v>500</v>
      </c>
      <c r="EM224" s="63">
        <v>88</v>
      </c>
      <c r="EN224" s="63">
        <v>2.3955468716315258E-3</v>
      </c>
      <c r="EO224" s="63">
        <v>0.46600000000000003</v>
      </c>
      <c r="EP224" s="63">
        <v>8.7785538052939681E-4</v>
      </c>
      <c r="EQ224" s="63">
        <v>0.10116679388747182</v>
      </c>
      <c r="ER224" s="63">
        <v>7.742302682903528</v>
      </c>
      <c r="ES224" s="63">
        <v>16</v>
      </c>
      <c r="ET224" s="63">
        <v>10</v>
      </c>
      <c r="EU224" s="63">
        <v>33.742302682903528</v>
      </c>
      <c r="EV224" s="63">
        <v>10</v>
      </c>
    </row>
    <row r="225" spans="138:152" x14ac:dyDescent="0.25">
      <c r="EH225" s="63" t="s">
        <v>230</v>
      </c>
      <c r="EI225" s="63" t="s">
        <v>674</v>
      </c>
      <c r="EJ225" s="63" t="s">
        <v>675</v>
      </c>
      <c r="EK225" s="63">
        <v>421</v>
      </c>
      <c r="EL225" s="63">
        <v>450</v>
      </c>
      <c r="EM225" s="63">
        <v>74</v>
      </c>
      <c r="EN225" s="63">
        <v>1.5235698901016606E-3</v>
      </c>
      <c r="EO225" s="63">
        <v>0.42099999999999999</v>
      </c>
      <c r="EP225" s="63">
        <v>6.8405075336873259E-4</v>
      </c>
      <c r="EQ225" s="63">
        <v>0.11235058785450108</v>
      </c>
      <c r="ER225" s="63">
        <v>7.8546532707580292</v>
      </c>
      <c r="ES225" s="63">
        <v>13</v>
      </c>
      <c r="ET225" s="63">
        <v>10</v>
      </c>
      <c r="EU225" s="63">
        <v>30.854653270758028</v>
      </c>
      <c r="EV225" s="63">
        <v>12.8876494121455</v>
      </c>
    </row>
    <row r="226" spans="138:152" x14ac:dyDescent="0.25">
      <c r="EH226" s="63" t="s">
        <v>215</v>
      </c>
      <c r="EI226" s="63" t="s">
        <v>675</v>
      </c>
      <c r="EJ226" s="63" t="s">
        <v>676</v>
      </c>
      <c r="EK226" s="63">
        <v>400</v>
      </c>
      <c r="EL226" s="63">
        <v>400</v>
      </c>
      <c r="EM226" s="63">
        <v>248</v>
      </c>
      <c r="EN226" s="63">
        <v>5.1529138225554685E-4</v>
      </c>
      <c r="EO226" s="63">
        <v>0.4</v>
      </c>
      <c r="EP226" s="63">
        <v>2.5628490818320514E-4</v>
      </c>
      <c r="EQ226" s="63">
        <v>0.32416997102445538</v>
      </c>
      <c r="ER226" s="63">
        <v>8.1788232417824851</v>
      </c>
      <c r="ES226" s="63">
        <v>14</v>
      </c>
      <c r="ET226" s="63">
        <v>10</v>
      </c>
      <c r="EU226" s="63">
        <v>32.178823241782482</v>
      </c>
      <c r="EV226" s="63">
        <v>11.563479441121043</v>
      </c>
    </row>
    <row r="227" spans="138:152" x14ac:dyDescent="0.25">
      <c r="EH227" s="63" t="s">
        <v>214</v>
      </c>
      <c r="EI227" s="63" t="s">
        <v>676</v>
      </c>
      <c r="EJ227" s="63" t="s">
        <v>677</v>
      </c>
      <c r="EK227" s="63">
        <v>350</v>
      </c>
      <c r="EL227" s="63">
        <v>350</v>
      </c>
      <c r="EM227" s="63">
        <v>116</v>
      </c>
      <c r="EN227" s="63">
        <v>2.7954308054694227E-3</v>
      </c>
      <c r="EO227" s="63">
        <v>0.35</v>
      </c>
      <c r="EP227" s="63">
        <v>1.8159454316808866E-3</v>
      </c>
      <c r="EQ227" s="63">
        <v>0.17462945274308583</v>
      </c>
      <c r="ER227" s="63">
        <v>8.3534526945255703</v>
      </c>
      <c r="ES227" s="63">
        <v>10</v>
      </c>
      <c r="ET227" s="63">
        <v>10</v>
      </c>
      <c r="EU227" s="63">
        <v>28.353452694525572</v>
      </c>
      <c r="EV227" s="63">
        <v>15.388849988377958</v>
      </c>
    </row>
    <row r="228" spans="138:152" x14ac:dyDescent="0.25">
      <c r="EH228" s="63" t="s">
        <v>213</v>
      </c>
      <c r="EI228" s="63" t="s">
        <v>677</v>
      </c>
      <c r="EJ228" s="63" t="s">
        <v>678</v>
      </c>
      <c r="EK228" s="63">
        <v>350</v>
      </c>
      <c r="EL228" s="63">
        <v>350</v>
      </c>
      <c r="EM228" s="63">
        <v>128</v>
      </c>
      <c r="EN228" s="63">
        <v>4.271707055219111E-3</v>
      </c>
      <c r="EO228" s="63">
        <v>0.35</v>
      </c>
      <c r="EP228" s="63">
        <v>2.7749522174638592E-3</v>
      </c>
      <c r="EQ228" s="63">
        <v>0.24028927809755118</v>
      </c>
      <c r="ER228" s="63">
        <v>8.5937419726231212</v>
      </c>
      <c r="ES228" s="63">
        <v>12</v>
      </c>
      <c r="ET228" s="63">
        <v>10</v>
      </c>
      <c r="EU228" s="63">
        <v>30.593741972623121</v>
      </c>
      <c r="EV228" s="63">
        <v>13.148560710280407</v>
      </c>
    </row>
    <row r="229" spans="138:152" x14ac:dyDescent="0.25">
      <c r="EH229" s="63" t="s">
        <v>212</v>
      </c>
      <c r="EI229" s="63" t="s">
        <v>678</v>
      </c>
      <c r="EJ229" s="63" t="s">
        <v>679</v>
      </c>
      <c r="EK229" s="63">
        <v>350</v>
      </c>
      <c r="EL229" s="63">
        <v>350</v>
      </c>
      <c r="EM229" s="63">
        <v>138</v>
      </c>
      <c r="EN229" s="63">
        <v>4.8575364315767448E-3</v>
      </c>
      <c r="EO229" s="63">
        <v>0.35</v>
      </c>
      <c r="EP229" s="63">
        <v>3.1555140176914502E-3</v>
      </c>
      <c r="EQ229" s="63">
        <v>0.25906187794892238</v>
      </c>
      <c r="ER229" s="63">
        <v>8.8528038505720428</v>
      </c>
      <c r="ES229" s="63">
        <v>13</v>
      </c>
      <c r="ET229" s="63">
        <v>10</v>
      </c>
      <c r="EU229" s="63">
        <v>31.852803850572045</v>
      </c>
      <c r="EV229" s="63">
        <v>11.889498832331485</v>
      </c>
    </row>
    <row r="230" spans="138:152" x14ac:dyDescent="0.25">
      <c r="EH230" s="63" t="s">
        <v>426</v>
      </c>
      <c r="EI230" s="63" t="s">
        <v>679</v>
      </c>
      <c r="EJ230" s="63" t="s">
        <v>774</v>
      </c>
      <c r="EK230" s="63">
        <v>250</v>
      </c>
      <c r="EL230" s="63">
        <v>250</v>
      </c>
      <c r="EM230" s="63">
        <v>184</v>
      </c>
      <c r="EN230" s="63">
        <v>3.9728490816759296E-3</v>
      </c>
      <c r="EO230" s="63">
        <v>0.25</v>
      </c>
      <c r="EP230" s="63">
        <v>5.05838855605457E-3</v>
      </c>
      <c r="EQ230" s="63">
        <v>0.50305004365010741</v>
      </c>
      <c r="ER230" s="63">
        <v>9.3558538942221503</v>
      </c>
      <c r="ES230" s="63">
        <v>8</v>
      </c>
      <c r="ET230" s="63">
        <v>10</v>
      </c>
      <c r="EU230" s="63">
        <v>27.35585389422215</v>
      </c>
      <c r="EV230" s="63">
        <v>16.386448788681378</v>
      </c>
    </row>
    <row r="231" spans="138:152" x14ac:dyDescent="0.25">
      <c r="EH231" s="63" t="s">
        <v>277</v>
      </c>
      <c r="EI231" s="63" t="s">
        <v>773</v>
      </c>
      <c r="EJ231" s="63" t="s">
        <v>772</v>
      </c>
      <c r="EK231" s="63">
        <v>250</v>
      </c>
      <c r="EL231" s="63">
        <v>250</v>
      </c>
      <c r="EM231" s="63">
        <v>351</v>
      </c>
      <c r="EN231" s="63">
        <v>8.9717460407450298E-3</v>
      </c>
      <c r="EO231" s="63">
        <v>0.25</v>
      </c>
      <c r="EP231" s="63">
        <v>1.14231818443977E-2</v>
      </c>
      <c r="EQ231" s="63">
        <v>0.8821338523934692</v>
      </c>
      <c r="ER231" s="63">
        <v>10.237987746615619</v>
      </c>
      <c r="ES231" s="63">
        <v>10</v>
      </c>
      <c r="ET231" s="63">
        <v>10</v>
      </c>
      <c r="EU231" s="63">
        <v>30.237987746615619</v>
      </c>
      <c r="EV231" s="63">
        <v>13.504314936287908</v>
      </c>
    </row>
    <row r="232" spans="138:152" x14ac:dyDescent="0.25">
      <c r="EH232" s="63" t="s">
        <v>427</v>
      </c>
      <c r="EI232" s="63" t="s">
        <v>774</v>
      </c>
      <c r="EJ232" s="63" t="s">
        <v>773</v>
      </c>
      <c r="EK232" s="63">
        <v>300</v>
      </c>
      <c r="EL232" s="63">
        <v>300</v>
      </c>
      <c r="EM232" s="63">
        <v>169</v>
      </c>
      <c r="EN232" s="63">
        <v>5.5868056531075501E-3</v>
      </c>
      <c r="EO232" s="63">
        <v>0.3</v>
      </c>
      <c r="EP232" s="63">
        <v>4.9398207543656179E-3</v>
      </c>
      <c r="EQ232" s="63">
        <v>0.38639724054184493</v>
      </c>
      <c r="ER232" s="63">
        <v>10.624384987157464</v>
      </c>
      <c r="ES232" s="63">
        <v>10</v>
      </c>
      <c r="ET232" s="63">
        <v>10</v>
      </c>
      <c r="EU232" s="63">
        <v>30.624384987157462</v>
      </c>
      <c r="EV232" s="63">
        <v>13.117917695746064</v>
      </c>
    </row>
    <row r="233" spans="138:152" x14ac:dyDescent="0.25">
      <c r="EH233" s="63" t="s">
        <v>404</v>
      </c>
      <c r="EI233" s="63" t="s">
        <v>611</v>
      </c>
      <c r="EJ233" s="63" t="s">
        <v>597</v>
      </c>
      <c r="EK233" s="63">
        <v>466</v>
      </c>
      <c r="EL233" s="63">
        <v>500</v>
      </c>
      <c r="EM233" s="63">
        <v>211</v>
      </c>
      <c r="EN233" s="63">
        <v>6.5377785544237496E-2</v>
      </c>
      <c r="EO233" s="63">
        <v>0.46600000000000003</v>
      </c>
      <c r="EP233" s="63">
        <v>2.3957886813551679E-2</v>
      </c>
      <c r="EQ233" s="63">
        <v>0.31356904893752557</v>
      </c>
      <c r="ER233" s="63">
        <v>0.31356904893752557</v>
      </c>
      <c r="ES233" s="63">
        <v>17</v>
      </c>
      <c r="ET233" s="63">
        <v>10</v>
      </c>
      <c r="EU233" s="63">
        <v>27.313569048937527</v>
      </c>
      <c r="EV233" s="63">
        <v>19.153510656719984</v>
      </c>
    </row>
    <row r="234" spans="138:152" x14ac:dyDescent="0.25">
      <c r="EH234" s="63" t="s">
        <v>416</v>
      </c>
      <c r="EI234" s="63" t="s">
        <v>623</v>
      </c>
      <c r="EJ234" s="63" t="s">
        <v>597</v>
      </c>
      <c r="EK234" s="63">
        <v>466</v>
      </c>
      <c r="EL234" s="63">
        <v>500</v>
      </c>
      <c r="EM234" s="63">
        <v>232</v>
      </c>
      <c r="EN234" s="63">
        <v>5.5659685744731499E-2</v>
      </c>
      <c r="EO234" s="63">
        <v>0.46600000000000003</v>
      </c>
      <c r="EP234" s="63">
        <v>2.0396659814178562E-2</v>
      </c>
      <c r="EQ234" s="63">
        <v>0.34477734290761108</v>
      </c>
      <c r="ER234" s="63">
        <v>0.65834639184513666</v>
      </c>
      <c r="ES234" s="63">
        <v>17</v>
      </c>
      <c r="ET234" s="63">
        <v>10</v>
      </c>
      <c r="EU234" s="63">
        <v>27.658346391845136</v>
      </c>
      <c r="EV234" s="63">
        <v>18.808733313812375</v>
      </c>
    </row>
    <row r="235" spans="138:152" x14ac:dyDescent="0.25">
      <c r="EH235" s="63" t="s">
        <v>138</v>
      </c>
      <c r="EI235" s="63" t="s">
        <v>612</v>
      </c>
      <c r="EJ235" s="63" t="s">
        <v>611</v>
      </c>
      <c r="EK235" s="63">
        <v>350</v>
      </c>
      <c r="EL235" s="63">
        <v>350</v>
      </c>
      <c r="EM235" s="63">
        <v>129</v>
      </c>
      <c r="EN235" s="63">
        <v>0.11428186390622889</v>
      </c>
      <c r="EO235" s="63">
        <v>0.35</v>
      </c>
      <c r="EP235" s="63">
        <v>7.4238871618088134E-2</v>
      </c>
      <c r="EQ235" s="63">
        <v>0.21413381180980889</v>
      </c>
      <c r="ER235" s="63">
        <v>0.8724802036549455</v>
      </c>
      <c r="ES235" s="63">
        <v>15</v>
      </c>
      <c r="ET235" s="63">
        <v>10</v>
      </c>
      <c r="EU235" s="63">
        <v>25.872480203654945</v>
      </c>
      <c r="EV235" s="63">
        <v>20.594599502002566</v>
      </c>
    </row>
    <row r="236" spans="138:152" x14ac:dyDescent="0.25">
      <c r="EH236" s="63" t="s">
        <v>137</v>
      </c>
      <c r="EI236" s="63" t="s">
        <v>613</v>
      </c>
      <c r="EJ236" s="63" t="s">
        <v>612</v>
      </c>
      <c r="EK236" s="63">
        <v>350</v>
      </c>
      <c r="EL236" s="63">
        <v>350</v>
      </c>
      <c r="EM236" s="63">
        <v>157</v>
      </c>
      <c r="EN236" s="63">
        <v>0.11223274732166122</v>
      </c>
      <c r="EO236" s="63">
        <v>0.35</v>
      </c>
      <c r="EP236" s="63">
        <v>7.2907740869494142E-2</v>
      </c>
      <c r="EQ236" s="63">
        <v>0.26061246863674414</v>
      </c>
      <c r="ER236" s="63">
        <v>1.1330926722916896</v>
      </c>
      <c r="ES236" s="63">
        <v>18</v>
      </c>
      <c r="ET236" s="63">
        <v>10</v>
      </c>
      <c r="EU236" s="63">
        <v>29.133092672291689</v>
      </c>
      <c r="EV236" s="63">
        <v>17.333987033365823</v>
      </c>
    </row>
    <row r="237" spans="138:152" x14ac:dyDescent="0.25">
      <c r="EH237" s="63" t="s">
        <v>136</v>
      </c>
      <c r="EI237" s="63" t="s">
        <v>614</v>
      </c>
      <c r="EJ237" s="63" t="s">
        <v>613</v>
      </c>
      <c r="EK237" s="63">
        <v>350</v>
      </c>
      <c r="EL237" s="63">
        <v>350</v>
      </c>
      <c r="EM237" s="63">
        <v>82</v>
      </c>
      <c r="EN237" s="63">
        <v>0.11064153554303832</v>
      </c>
      <c r="EO237" s="63">
        <v>0.35</v>
      </c>
      <c r="EP237" s="63">
        <v>7.1874070583478292E-2</v>
      </c>
      <c r="EQ237" s="63">
        <v>0.13611606642173896</v>
      </c>
      <c r="ER237" s="63">
        <v>1.2692087387134285</v>
      </c>
      <c r="ES237" s="63">
        <v>12</v>
      </c>
      <c r="ET237" s="63">
        <v>10</v>
      </c>
      <c r="EU237" s="63">
        <v>23.269208738713427</v>
      </c>
      <c r="EV237" s="63">
        <v>23.197870966944084</v>
      </c>
    </row>
    <row r="238" spans="138:152" x14ac:dyDescent="0.25">
      <c r="EH238" s="63" t="s">
        <v>134</v>
      </c>
      <c r="EI238" s="63" t="s">
        <v>615</v>
      </c>
      <c r="EJ238" s="63" t="s">
        <v>614</v>
      </c>
      <c r="EK238" s="63">
        <v>350</v>
      </c>
      <c r="EL238" s="63">
        <v>350</v>
      </c>
      <c r="EM238" s="63">
        <v>69</v>
      </c>
      <c r="EN238" s="63">
        <v>0.10955382328317079</v>
      </c>
      <c r="EO238" s="63">
        <v>0.35</v>
      </c>
      <c r="EP238" s="63">
        <v>7.1167479633194322E-2</v>
      </c>
      <c r="EQ238" s="63">
        <v>0.11453669003780474</v>
      </c>
      <c r="ER238" s="63">
        <v>1.3837454287512332</v>
      </c>
      <c r="ES238" s="63">
        <v>8</v>
      </c>
      <c r="ET238" s="63">
        <v>10</v>
      </c>
      <c r="EU238" s="63">
        <v>19.383745428751233</v>
      </c>
      <c r="EV238" s="63">
        <v>27.083334276906278</v>
      </c>
    </row>
    <row r="239" spans="138:152" x14ac:dyDescent="0.25">
      <c r="EH239" s="63" t="s">
        <v>135</v>
      </c>
      <c r="EI239" s="63" t="s">
        <v>616</v>
      </c>
      <c r="EJ239" s="63" t="s">
        <v>615</v>
      </c>
      <c r="EK239" s="63">
        <v>350</v>
      </c>
      <c r="EL239" s="63">
        <v>350</v>
      </c>
      <c r="EM239" s="63">
        <v>73</v>
      </c>
      <c r="EN239" s="63">
        <v>0.10964731281191634</v>
      </c>
      <c r="EO239" s="63">
        <v>0.35</v>
      </c>
      <c r="EP239" s="63">
        <v>7.1228211554121609E-2</v>
      </c>
      <c r="EQ239" s="63">
        <v>0.12117649815593834</v>
      </c>
      <c r="ER239" s="63">
        <v>1.5049219269071714</v>
      </c>
      <c r="ES239" s="63">
        <v>13</v>
      </c>
      <c r="ET239" s="63">
        <v>10</v>
      </c>
      <c r="EU239" s="63">
        <v>24.504921926907173</v>
      </c>
      <c r="EV239" s="63">
        <v>21.962157778750338</v>
      </c>
    </row>
    <row r="240" spans="138:152" x14ac:dyDescent="0.25">
      <c r="EH240" s="63" t="s">
        <v>133</v>
      </c>
      <c r="EI240" s="63" t="s">
        <v>617</v>
      </c>
      <c r="EJ240" s="63" t="s">
        <v>616</v>
      </c>
      <c r="EK240" s="63">
        <v>350</v>
      </c>
      <c r="EL240" s="63">
        <v>350</v>
      </c>
      <c r="EM240" s="63">
        <v>81</v>
      </c>
      <c r="EN240" s="63">
        <v>0.10824872082911595</v>
      </c>
      <c r="EO240" s="63">
        <v>0.35</v>
      </c>
      <c r="EP240" s="63">
        <v>7.0319669401340476E-2</v>
      </c>
      <c r="EQ240" s="63">
        <v>0.13445611439220556</v>
      </c>
      <c r="ER240" s="63">
        <v>1.639378041299377</v>
      </c>
      <c r="ES240" s="63">
        <v>18</v>
      </c>
      <c r="ET240" s="63">
        <v>10</v>
      </c>
      <c r="EU240" s="63">
        <v>29.639378041299377</v>
      </c>
      <c r="EV240" s="63">
        <v>16.827701664358134</v>
      </c>
    </row>
    <row r="241" spans="138:152" x14ac:dyDescent="0.25">
      <c r="EH241" s="63" t="s">
        <v>132</v>
      </c>
      <c r="EI241" s="63" t="s">
        <v>618</v>
      </c>
      <c r="EJ241" s="63" t="s">
        <v>617</v>
      </c>
      <c r="EK241" s="63">
        <v>350</v>
      </c>
      <c r="EL241" s="63">
        <v>350</v>
      </c>
      <c r="EM241" s="63">
        <v>101</v>
      </c>
      <c r="EN241" s="63">
        <v>0.1080760471088543</v>
      </c>
      <c r="EO241" s="63">
        <v>0.35</v>
      </c>
      <c r="EP241" s="63">
        <v>7.0207498478394734E-2</v>
      </c>
      <c r="EQ241" s="63">
        <v>0.16765515498287359</v>
      </c>
      <c r="ER241" s="63">
        <v>1.8070331962822506</v>
      </c>
      <c r="ES241" s="63">
        <v>14</v>
      </c>
      <c r="ET241" s="63">
        <v>10</v>
      </c>
      <c r="EU241" s="63">
        <v>25.807033196282251</v>
      </c>
      <c r="EV241" s="63">
        <v>20.66004650937526</v>
      </c>
    </row>
    <row r="242" spans="138:152" x14ac:dyDescent="0.25">
      <c r="EH242" s="63" t="s">
        <v>408</v>
      </c>
      <c r="EI242" s="63" t="s">
        <v>619</v>
      </c>
      <c r="EJ242" s="63" t="s">
        <v>618</v>
      </c>
      <c r="EK242" s="63">
        <v>350</v>
      </c>
      <c r="EL242" s="63">
        <v>350</v>
      </c>
      <c r="EM242" s="63">
        <v>91</v>
      </c>
      <c r="EN242" s="63">
        <v>0.10608980681212855</v>
      </c>
      <c r="EO242" s="63">
        <v>0.35</v>
      </c>
      <c r="EP242" s="63">
        <v>6.8917212921691812E-2</v>
      </c>
      <c r="EQ242" s="63">
        <v>0.15105563468753958</v>
      </c>
      <c r="ER242" s="63">
        <v>1.9580888309697901</v>
      </c>
      <c r="ES242" s="63">
        <v>15</v>
      </c>
      <c r="ET242" s="63">
        <v>10</v>
      </c>
      <c r="EU242" s="63">
        <v>26.958088830969789</v>
      </c>
      <c r="EV242" s="63">
        <v>19.508990874687722</v>
      </c>
    </row>
    <row r="243" spans="138:152" x14ac:dyDescent="0.25">
      <c r="EH243" s="63" t="s">
        <v>172</v>
      </c>
      <c r="EI243" s="63" t="s">
        <v>620</v>
      </c>
      <c r="EJ243" s="63" t="s">
        <v>619</v>
      </c>
      <c r="EK243" s="63">
        <v>350</v>
      </c>
      <c r="EL243" s="63">
        <v>350</v>
      </c>
      <c r="EM243" s="63">
        <v>87</v>
      </c>
      <c r="EN243" s="63">
        <v>0.10592769963615366</v>
      </c>
      <c r="EO243" s="63">
        <v>0.35</v>
      </c>
      <c r="EP243" s="63">
        <v>6.8811906152846616E-2</v>
      </c>
      <c r="EQ243" s="63">
        <v>0.14441582656940599</v>
      </c>
      <c r="ER243" s="63">
        <v>2.1025046575391961</v>
      </c>
      <c r="ES243" s="63">
        <v>12</v>
      </c>
      <c r="ET243" s="63">
        <v>10</v>
      </c>
      <c r="EU243" s="63">
        <v>24.102504657539196</v>
      </c>
      <c r="EV243" s="63">
        <v>22.364575048118315</v>
      </c>
    </row>
    <row r="244" spans="138:152" x14ac:dyDescent="0.25">
      <c r="EH244" s="63" t="s">
        <v>170</v>
      </c>
      <c r="EI244" s="63" t="s">
        <v>621</v>
      </c>
      <c r="EJ244" s="63" t="s">
        <v>620</v>
      </c>
      <c r="EK244" s="63">
        <v>350</v>
      </c>
      <c r="EL244" s="63">
        <v>350</v>
      </c>
      <c r="EM244" s="63">
        <v>94</v>
      </c>
      <c r="EN244" s="63">
        <v>0.10460403581587409</v>
      </c>
      <c r="EO244" s="63">
        <v>0.35</v>
      </c>
      <c r="EP244" s="63">
        <v>6.7952038234522547E-2</v>
      </c>
      <c r="EQ244" s="63">
        <v>0.15603549077613979</v>
      </c>
      <c r="ER244" s="63">
        <v>2.258540148315336</v>
      </c>
      <c r="ES244" s="63">
        <v>10</v>
      </c>
      <c r="ET244" s="63">
        <v>10</v>
      </c>
      <c r="EU244" s="63">
        <v>22.258540148315337</v>
      </c>
      <c r="EV244" s="63">
        <v>24.208539557342174</v>
      </c>
    </row>
    <row r="245" spans="138:152" x14ac:dyDescent="0.25">
      <c r="EH245" s="63" t="s">
        <v>171</v>
      </c>
      <c r="EI245" s="63" t="s">
        <v>621</v>
      </c>
      <c r="EJ245" s="63" t="s">
        <v>622</v>
      </c>
      <c r="EK245" s="63">
        <v>400</v>
      </c>
      <c r="EL245" s="63">
        <v>400</v>
      </c>
      <c r="EM245" s="63">
        <v>70</v>
      </c>
      <c r="EN245" s="63">
        <v>0.10311425987790261</v>
      </c>
      <c r="EO245" s="63">
        <v>0.4</v>
      </c>
      <c r="EP245" s="63">
        <v>5.1284825508845298E-2</v>
      </c>
      <c r="EQ245" s="63">
        <v>8.2755896525604014E-2</v>
      </c>
      <c r="ER245" s="63">
        <v>2.3412960448409401</v>
      </c>
      <c r="ES245" s="63">
        <v>11</v>
      </c>
      <c r="ET245" s="63">
        <v>10</v>
      </c>
      <c r="EU245" s="63">
        <v>23.341296044840941</v>
      </c>
      <c r="EV245" s="63">
        <v>23.12578366081657</v>
      </c>
    </row>
    <row r="246" spans="138:152" x14ac:dyDescent="0.25">
      <c r="EH246" s="63" t="s">
        <v>414</v>
      </c>
      <c r="EI246" s="63" t="s">
        <v>632</v>
      </c>
      <c r="EJ246" s="63" t="s">
        <v>622</v>
      </c>
      <c r="EK246" s="63">
        <v>250</v>
      </c>
      <c r="EL246" s="63">
        <v>250</v>
      </c>
      <c r="EM246" s="63">
        <v>223</v>
      </c>
      <c r="EN246" s="63">
        <v>2.8096400597175143E-2</v>
      </c>
      <c r="EO246" s="63">
        <v>0.25</v>
      </c>
      <c r="EP246" s="63">
        <v>3.5773448305044031E-2</v>
      </c>
      <c r="EQ246" s="63">
        <v>0.18420135475776558</v>
      </c>
      <c r="ER246" s="63">
        <v>2.5254973995987058</v>
      </c>
      <c r="ES246" s="63">
        <v>11</v>
      </c>
      <c r="ET246" s="63">
        <v>10</v>
      </c>
      <c r="EU246" s="63">
        <v>23.525497399598706</v>
      </c>
      <c r="EV246" s="63">
        <v>22.941582306058805</v>
      </c>
    </row>
    <row r="247" spans="138:152" x14ac:dyDescent="0.25">
      <c r="EH247" s="63" t="s">
        <v>168</v>
      </c>
      <c r="EI247" s="63" t="s">
        <v>624</v>
      </c>
      <c r="EJ247" s="63" t="s">
        <v>623</v>
      </c>
      <c r="EK247" s="63">
        <v>466</v>
      </c>
      <c r="EL247" s="63">
        <v>500</v>
      </c>
      <c r="EM247" s="63">
        <v>340</v>
      </c>
      <c r="EN247" s="63">
        <v>5.1894014387761714E-2</v>
      </c>
      <c r="EO247" s="63">
        <v>0.46600000000000003</v>
      </c>
      <c r="EP247" s="63">
        <v>1.9016718181155974E-2</v>
      </c>
      <c r="EQ247" s="63">
        <v>0.50527714046805072</v>
      </c>
      <c r="ER247" s="63">
        <v>3.0307745400667567</v>
      </c>
      <c r="ES247" s="63">
        <v>11</v>
      </c>
      <c r="ET247" s="63">
        <v>10</v>
      </c>
      <c r="EU247" s="63">
        <v>24.030774540066759</v>
      </c>
      <c r="EV247" s="63">
        <v>22.436305165590753</v>
      </c>
    </row>
    <row r="248" spans="138:152" x14ac:dyDescent="0.25">
      <c r="EH248" s="63" t="s">
        <v>167</v>
      </c>
      <c r="EI248" s="63" t="s">
        <v>625</v>
      </c>
      <c r="EJ248" s="63" t="s">
        <v>624</v>
      </c>
      <c r="EK248" s="63">
        <v>466</v>
      </c>
      <c r="EL248" s="63">
        <v>500</v>
      </c>
      <c r="EM248" s="63">
        <v>205</v>
      </c>
      <c r="EN248" s="63">
        <v>4.9219250936544418E-2</v>
      </c>
      <c r="EO248" s="63">
        <v>0.46600000000000003</v>
      </c>
      <c r="EP248" s="63">
        <v>1.8036543042401414E-2</v>
      </c>
      <c r="EQ248" s="63">
        <v>0.30465239351750117</v>
      </c>
      <c r="ER248" s="63">
        <v>3.3354269335842579</v>
      </c>
      <c r="ES248" s="63">
        <v>16</v>
      </c>
      <c r="ET248" s="63">
        <v>10</v>
      </c>
      <c r="EU248" s="63">
        <v>29.335426933584259</v>
      </c>
      <c r="EV248" s="63">
        <v>17.131652772073252</v>
      </c>
    </row>
    <row r="249" spans="138:152" x14ac:dyDescent="0.25">
      <c r="EH249" s="63" t="s">
        <v>166</v>
      </c>
      <c r="EI249" s="63" t="s">
        <v>626</v>
      </c>
      <c r="EJ249" s="63" t="s">
        <v>625</v>
      </c>
      <c r="EK249" s="63">
        <v>466</v>
      </c>
      <c r="EL249" s="63">
        <v>500</v>
      </c>
      <c r="EM249" s="63">
        <v>196</v>
      </c>
      <c r="EN249" s="63">
        <v>4.6299557545420783E-2</v>
      </c>
      <c r="EO249" s="63">
        <v>0.46600000000000003</v>
      </c>
      <c r="EP249" s="63">
        <v>1.6966612588004425E-2</v>
      </c>
      <c r="EQ249" s="63">
        <v>0.29127741038746446</v>
      </c>
      <c r="ER249" s="63">
        <v>3.6267043439717224</v>
      </c>
      <c r="ES249" s="63">
        <v>12</v>
      </c>
      <c r="ET249" s="63">
        <v>10</v>
      </c>
      <c r="EU249" s="63">
        <v>25.626704343971724</v>
      </c>
      <c r="EV249" s="63">
        <v>20.840375361685787</v>
      </c>
    </row>
    <row r="250" spans="138:152" x14ac:dyDescent="0.25">
      <c r="EH250" s="63" t="s">
        <v>165</v>
      </c>
      <c r="EI250" s="63" t="s">
        <v>627</v>
      </c>
      <c r="EJ250" s="63" t="s">
        <v>626</v>
      </c>
      <c r="EK250" s="63">
        <v>466</v>
      </c>
      <c r="EL250" s="63">
        <v>500</v>
      </c>
      <c r="EM250" s="63">
        <v>275</v>
      </c>
      <c r="EN250" s="63">
        <v>4.4870044007419126E-2</v>
      </c>
      <c r="EO250" s="63">
        <v>0.46600000000000003</v>
      </c>
      <c r="EP250" s="63">
        <v>1.6442763037935012E-2</v>
      </c>
      <c r="EQ250" s="63">
        <v>0.40868004008445274</v>
      </c>
      <c r="ER250" s="63">
        <v>4.0353843840561749</v>
      </c>
      <c r="ES250" s="63">
        <v>11</v>
      </c>
      <c r="ET250" s="63">
        <v>10</v>
      </c>
      <c r="EU250" s="63">
        <v>25.035384384056176</v>
      </c>
      <c r="EV250" s="63">
        <v>21.431695321601335</v>
      </c>
    </row>
    <row r="251" spans="138:152" x14ac:dyDescent="0.25">
      <c r="EH251" s="63" t="s">
        <v>164</v>
      </c>
      <c r="EI251" s="63" t="s">
        <v>628</v>
      </c>
      <c r="EJ251" s="63" t="s">
        <v>627</v>
      </c>
      <c r="EK251" s="63">
        <v>466</v>
      </c>
      <c r="EL251" s="63">
        <v>500</v>
      </c>
      <c r="EM251" s="63">
        <v>407</v>
      </c>
      <c r="EN251" s="63">
        <v>3.9875177688846644E-2</v>
      </c>
      <c r="EO251" s="63">
        <v>0.46600000000000003</v>
      </c>
      <c r="EP251" s="63">
        <v>1.4612379201697402E-2</v>
      </c>
      <c r="EQ251" s="63">
        <v>0.60484645932499004</v>
      </c>
      <c r="ER251" s="63">
        <v>4.6402308433811648</v>
      </c>
      <c r="ES251" s="63">
        <v>13</v>
      </c>
      <c r="ET251" s="63">
        <v>10</v>
      </c>
      <c r="EU251" s="63">
        <v>27.640230843381165</v>
      </c>
      <c r="EV251" s="63">
        <v>18.826848862276346</v>
      </c>
    </row>
    <row r="252" spans="138:152" x14ac:dyDescent="0.25">
      <c r="EH252" s="63" t="s">
        <v>163</v>
      </c>
      <c r="EI252" s="63" t="s">
        <v>629</v>
      </c>
      <c r="EJ252" s="63" t="s">
        <v>628</v>
      </c>
      <c r="EK252" s="63">
        <v>466</v>
      </c>
      <c r="EL252" s="63">
        <v>500</v>
      </c>
      <c r="EM252" s="63">
        <v>395</v>
      </c>
      <c r="EN252" s="63">
        <v>3.5987845481947341E-2</v>
      </c>
      <c r="EO252" s="63">
        <v>0.46600000000000003</v>
      </c>
      <c r="EP252" s="63">
        <v>1.3187854583062986E-2</v>
      </c>
      <c r="EQ252" s="63">
        <v>0.58701314848494113</v>
      </c>
      <c r="ER252" s="63">
        <v>5.2272439918661062</v>
      </c>
      <c r="ES252" s="63">
        <v>9</v>
      </c>
      <c r="ET252" s="63">
        <v>10</v>
      </c>
      <c r="EU252" s="63">
        <v>24.227243991866107</v>
      </c>
      <c r="EV252" s="63">
        <v>22.239835713791404</v>
      </c>
    </row>
    <row r="253" spans="138:152" x14ac:dyDescent="0.25">
      <c r="EH253" s="63" t="s">
        <v>162</v>
      </c>
      <c r="EI253" s="63" t="s">
        <v>630</v>
      </c>
      <c r="EJ253" s="63" t="s">
        <v>629</v>
      </c>
      <c r="EK253" s="63">
        <v>466</v>
      </c>
      <c r="EL253" s="63">
        <v>500</v>
      </c>
      <c r="EM253" s="63">
        <v>151</v>
      </c>
      <c r="EN253" s="63">
        <v>3.2236718686002766E-2</v>
      </c>
      <c r="EO253" s="63">
        <v>0.46600000000000003</v>
      </c>
      <c r="EP253" s="63">
        <v>1.1813242848321505E-2</v>
      </c>
      <c r="EQ253" s="63">
        <v>0.22440249473728133</v>
      </c>
      <c r="ER253" s="63">
        <v>5.4516464866033871</v>
      </c>
      <c r="ES253" s="63">
        <v>10</v>
      </c>
      <c r="ET253" s="63">
        <v>10</v>
      </c>
      <c r="EU253" s="63">
        <v>25.451646486603387</v>
      </c>
      <c r="EV253" s="63">
        <v>21.015433219054124</v>
      </c>
    </row>
    <row r="254" spans="138:152" x14ac:dyDescent="0.25">
      <c r="EH254" s="63" t="s">
        <v>161</v>
      </c>
      <c r="EI254" s="63" t="s">
        <v>631</v>
      </c>
      <c r="EJ254" s="63" t="s">
        <v>630</v>
      </c>
      <c r="EK254" s="63">
        <v>466</v>
      </c>
      <c r="EL254" s="63">
        <v>500</v>
      </c>
      <c r="EM254" s="63">
        <v>186</v>
      </c>
      <c r="EN254" s="63">
        <v>3.0061025927469467E-2</v>
      </c>
      <c r="EO254" s="63">
        <v>0.46600000000000003</v>
      </c>
      <c r="EP254" s="63">
        <v>1.1015953671025423E-2</v>
      </c>
      <c r="EQ254" s="63">
        <v>0.27641631802075711</v>
      </c>
      <c r="ER254" s="63">
        <v>5.7280628046241446</v>
      </c>
      <c r="ES254" s="63">
        <v>14</v>
      </c>
      <c r="ET254" s="63">
        <v>10</v>
      </c>
      <c r="EU254" s="63">
        <v>29.728062804624145</v>
      </c>
      <c r="EV254" s="63">
        <v>16.739016901033366</v>
      </c>
    </row>
    <row r="255" spans="138:152" x14ac:dyDescent="0.25">
      <c r="EH255" s="63" t="s">
        <v>415</v>
      </c>
      <c r="EI255" s="63" t="s">
        <v>649</v>
      </c>
      <c r="EJ255" s="63" t="s">
        <v>631</v>
      </c>
      <c r="EK255" s="63">
        <v>466</v>
      </c>
      <c r="EL255" s="63">
        <v>500</v>
      </c>
      <c r="EM255" s="63">
        <v>191</v>
      </c>
      <c r="EN255" s="63">
        <v>2.8968674602108418E-2</v>
      </c>
      <c r="EO255" s="63">
        <v>0.46600000000000003</v>
      </c>
      <c r="EP255" s="63">
        <v>1.0615658231285801E-2</v>
      </c>
      <c r="EQ255" s="63">
        <v>0.28384686420411082</v>
      </c>
      <c r="ER255" s="63">
        <v>6.0119096688282552</v>
      </c>
      <c r="ES255" s="63">
        <v>9</v>
      </c>
      <c r="ET255" s="63">
        <v>10</v>
      </c>
      <c r="EU255" s="63">
        <v>25.011909668828256</v>
      </c>
      <c r="EV255" s="63">
        <v>21.455170036829255</v>
      </c>
    </row>
    <row r="256" spans="138:152" x14ac:dyDescent="0.25">
      <c r="EH256" s="63" t="s">
        <v>159</v>
      </c>
      <c r="EI256" s="63" t="s">
        <v>633</v>
      </c>
      <c r="EJ256" s="63" t="s">
        <v>632</v>
      </c>
      <c r="EK256" s="63">
        <v>250</v>
      </c>
      <c r="EL256" s="63">
        <v>250</v>
      </c>
      <c r="EM256" s="63">
        <v>94</v>
      </c>
      <c r="EN256" s="63">
        <v>2.567610066461315E-2</v>
      </c>
      <c r="EO256" s="63">
        <v>0.25</v>
      </c>
      <c r="EP256" s="63">
        <v>3.2691826720786257E-2</v>
      </c>
      <c r="EQ256" s="63">
        <v>7.7651512635117478E-2</v>
      </c>
      <c r="ER256" s="63">
        <v>6.089561181463373</v>
      </c>
      <c r="ES256" s="63">
        <v>10</v>
      </c>
      <c r="ET256" s="63">
        <v>10</v>
      </c>
      <c r="EU256" s="63">
        <v>26.089561181463374</v>
      </c>
      <c r="EV256" s="63">
        <v>20.377518524194137</v>
      </c>
    </row>
    <row r="257" spans="138:152" x14ac:dyDescent="0.25">
      <c r="EH257" s="63" t="s">
        <v>158</v>
      </c>
      <c r="EI257" s="63" t="s">
        <v>634</v>
      </c>
      <c r="EJ257" s="63" t="s">
        <v>633</v>
      </c>
      <c r="EK257" s="63">
        <v>250</v>
      </c>
      <c r="EL257" s="63">
        <v>250</v>
      </c>
      <c r="EM257" s="63">
        <v>191</v>
      </c>
      <c r="EN257" s="63">
        <v>2.419857855476026E-2</v>
      </c>
      <c r="EO257" s="63">
        <v>0.25</v>
      </c>
      <c r="EP257" s="63">
        <v>3.0810587142301026E-2</v>
      </c>
      <c r="EQ257" s="63">
        <v>0.15778126503518553</v>
      </c>
      <c r="ER257" s="63">
        <v>6.2473424464985587</v>
      </c>
      <c r="ES257" s="63">
        <v>15</v>
      </c>
      <c r="ET257" s="63">
        <v>10</v>
      </c>
      <c r="EU257" s="63">
        <v>31.247342446498557</v>
      </c>
      <c r="EV257" s="63">
        <v>15.219737259158952</v>
      </c>
    </row>
    <row r="258" spans="138:152" x14ac:dyDescent="0.25">
      <c r="EH258" s="63" t="s">
        <v>130</v>
      </c>
      <c r="EI258" s="63" t="s">
        <v>635</v>
      </c>
      <c r="EJ258" s="63" t="s">
        <v>634</v>
      </c>
      <c r="EK258" s="63">
        <v>250</v>
      </c>
      <c r="EL258" s="63">
        <v>250</v>
      </c>
      <c r="EM258" s="63">
        <v>77</v>
      </c>
      <c r="EN258" s="63">
        <v>2.2618335351518505E-2</v>
      </c>
      <c r="EO258" s="63">
        <v>0.25</v>
      </c>
      <c r="EP258" s="63">
        <v>2.8798559005634657E-2</v>
      </c>
      <c r="EQ258" s="63">
        <v>6.3608153967064318E-2</v>
      </c>
      <c r="ER258" s="63">
        <v>6.3109506004656231</v>
      </c>
      <c r="ES258" s="63">
        <v>15</v>
      </c>
      <c r="ET258" s="63">
        <v>10</v>
      </c>
      <c r="EU258" s="63">
        <v>31.310950600465624</v>
      </c>
      <c r="EV258" s="63">
        <v>15.156129105191887</v>
      </c>
    </row>
    <row r="259" spans="138:152" x14ac:dyDescent="0.25">
      <c r="EH259" s="63" t="s">
        <v>129</v>
      </c>
      <c r="EI259" s="63" t="s">
        <v>636</v>
      </c>
      <c r="EJ259" s="63" t="s">
        <v>635</v>
      </c>
      <c r="EK259" s="63">
        <v>250</v>
      </c>
      <c r="EL259" s="63">
        <v>250</v>
      </c>
      <c r="EM259" s="63">
        <v>77</v>
      </c>
      <c r="EN259" s="63">
        <v>2.2609118131915362E-2</v>
      </c>
      <c r="EO259" s="63">
        <v>0.25</v>
      </c>
      <c r="EP259" s="63">
        <v>2.8786823277143429E-2</v>
      </c>
      <c r="EQ259" s="63">
        <v>6.3608153967064318E-2</v>
      </c>
      <c r="ER259" s="63">
        <v>6.3745587544326874</v>
      </c>
      <c r="ES259" s="63">
        <v>12</v>
      </c>
      <c r="ET259" s="63">
        <v>10</v>
      </c>
      <c r="EU259" s="63">
        <v>28.374558754432687</v>
      </c>
      <c r="EV259" s="63">
        <v>18.092520951224824</v>
      </c>
    </row>
    <row r="260" spans="138:152" x14ac:dyDescent="0.25">
      <c r="EH260" s="63" t="s">
        <v>128</v>
      </c>
      <c r="EI260" s="63" t="s">
        <v>637</v>
      </c>
      <c r="EJ260" s="63" t="s">
        <v>636</v>
      </c>
      <c r="EK260" s="63">
        <v>250</v>
      </c>
      <c r="EL260" s="63">
        <v>250</v>
      </c>
      <c r="EM260" s="63">
        <v>76</v>
      </c>
      <c r="EN260" s="63">
        <v>2.1427061362760701E-2</v>
      </c>
      <c r="EO260" s="63">
        <v>0.25</v>
      </c>
      <c r="EP260" s="63">
        <v>2.7281781854533831E-2</v>
      </c>
      <c r="EQ260" s="63">
        <v>6.2782074045414138E-2</v>
      </c>
      <c r="ER260" s="63">
        <v>6.4373408284781011</v>
      </c>
      <c r="ES260" s="63">
        <v>13</v>
      </c>
      <c r="ET260" s="63">
        <v>10</v>
      </c>
      <c r="EU260" s="63">
        <v>29.437340828478099</v>
      </c>
      <c r="EV260" s="63">
        <v>17.029738877179412</v>
      </c>
    </row>
    <row r="261" spans="138:152" x14ac:dyDescent="0.25">
      <c r="EH261" s="63" t="s">
        <v>127</v>
      </c>
      <c r="EI261" s="63" t="s">
        <v>638</v>
      </c>
      <c r="EJ261" s="63" t="s">
        <v>637</v>
      </c>
      <c r="EK261" s="63">
        <v>250</v>
      </c>
      <c r="EL261" s="63">
        <v>250</v>
      </c>
      <c r="EM261" s="63">
        <v>36</v>
      </c>
      <c r="EN261" s="63">
        <v>2.0388336538195332E-2</v>
      </c>
      <c r="EO261" s="63">
        <v>0.25</v>
      </c>
      <c r="EP261" s="63">
        <v>2.5959236331799109E-2</v>
      </c>
      <c r="EQ261" s="63">
        <v>2.9738877179406698E-2</v>
      </c>
      <c r="ER261" s="63">
        <v>6.4670797056575076</v>
      </c>
      <c r="ES261" s="63">
        <v>20</v>
      </c>
      <c r="ET261" s="63">
        <v>10</v>
      </c>
      <c r="EU261" s="63">
        <v>36.467079705657511</v>
      </c>
      <c r="EV261" s="63">
        <v>10.000000000000004</v>
      </c>
    </row>
    <row r="262" spans="138:152" x14ac:dyDescent="0.25">
      <c r="EH262" s="63" t="s">
        <v>126</v>
      </c>
      <c r="EI262" s="63" t="s">
        <v>639</v>
      </c>
      <c r="EJ262" s="63" t="s">
        <v>638</v>
      </c>
      <c r="EK262" s="63">
        <v>250</v>
      </c>
      <c r="EL262" s="63">
        <v>250</v>
      </c>
      <c r="EM262" s="63">
        <v>32</v>
      </c>
      <c r="EN262" s="63">
        <v>1.9596661628583138E-2</v>
      </c>
      <c r="EO262" s="63">
        <v>0.25</v>
      </c>
      <c r="EP262" s="63">
        <v>2.4951244530306227E-2</v>
      </c>
      <c r="EQ262" s="63">
        <v>2.6434557492805953E-2</v>
      </c>
      <c r="ER262" s="63">
        <v>6.4935142631503133</v>
      </c>
      <c r="ES262" s="63">
        <v>17</v>
      </c>
      <c r="ET262" s="63">
        <v>10</v>
      </c>
      <c r="EU262" s="63">
        <v>33.493514263150317</v>
      </c>
      <c r="EV262" s="63">
        <v>12.973565442507198</v>
      </c>
    </row>
    <row r="263" spans="138:152" x14ac:dyDescent="0.25">
      <c r="EH263" s="63" t="s">
        <v>125</v>
      </c>
      <c r="EI263" s="63" t="s">
        <v>640</v>
      </c>
      <c r="EJ263" s="63" t="s">
        <v>639</v>
      </c>
      <c r="EK263" s="63">
        <v>250</v>
      </c>
      <c r="EL263" s="63">
        <v>250</v>
      </c>
      <c r="EM263" s="63">
        <v>79</v>
      </c>
      <c r="EN263" s="63">
        <v>1.9613566672003892E-2</v>
      </c>
      <c r="EO263" s="63">
        <v>0.25</v>
      </c>
      <c r="EP263" s="63">
        <v>2.4972768700094995E-2</v>
      </c>
      <c r="EQ263" s="63">
        <v>6.5260313810364706E-2</v>
      </c>
      <c r="ER263" s="63">
        <v>6.558774576960678</v>
      </c>
      <c r="ES263" s="63">
        <v>16</v>
      </c>
      <c r="ET263" s="63">
        <v>10</v>
      </c>
      <c r="EU263" s="63">
        <v>32.55877457696068</v>
      </c>
      <c r="EV263" s="63">
        <v>13.908305128696833</v>
      </c>
    </row>
    <row r="264" spans="138:152" x14ac:dyDescent="0.25">
      <c r="EH264" s="63" t="s">
        <v>124</v>
      </c>
      <c r="EI264" s="63" t="s">
        <v>641</v>
      </c>
      <c r="EJ264" s="63" t="s">
        <v>640</v>
      </c>
      <c r="EK264" s="63">
        <v>250</v>
      </c>
      <c r="EL264" s="63">
        <v>250</v>
      </c>
      <c r="EM264" s="63">
        <v>51</v>
      </c>
      <c r="EN264" s="63">
        <v>1.9346842143917888E-2</v>
      </c>
      <c r="EO264" s="63">
        <v>0.25</v>
      </c>
      <c r="EP264" s="63">
        <v>2.4633164483385071E-2</v>
      </c>
      <c r="EQ264" s="63">
        <v>4.2130076004159488E-2</v>
      </c>
      <c r="ER264" s="63">
        <v>6.6009046529648376</v>
      </c>
      <c r="ES264" s="63">
        <v>15</v>
      </c>
      <c r="ET264" s="63">
        <v>10</v>
      </c>
      <c r="EU264" s="63">
        <v>31.600904652964836</v>
      </c>
      <c r="EV264" s="63">
        <v>14.866175052692673</v>
      </c>
    </row>
    <row r="265" spans="138:152" x14ac:dyDescent="0.25">
      <c r="EH265" s="63" t="s">
        <v>123</v>
      </c>
      <c r="EI265" s="63" t="s">
        <v>642</v>
      </c>
      <c r="EJ265" s="63" t="s">
        <v>641</v>
      </c>
      <c r="EK265" s="63">
        <v>250</v>
      </c>
      <c r="EL265" s="63">
        <v>250</v>
      </c>
      <c r="EM265" s="63">
        <v>73</v>
      </c>
      <c r="EN265" s="63">
        <v>1.7954359292195445E-2</v>
      </c>
      <c r="EO265" s="63">
        <v>0.25</v>
      </c>
      <c r="EP265" s="63">
        <v>2.2860200251206466E-2</v>
      </c>
      <c r="EQ265" s="63">
        <v>6.0303834280463577E-2</v>
      </c>
      <c r="ER265" s="63">
        <v>6.6612084872453012</v>
      </c>
      <c r="ES265" s="63">
        <v>8</v>
      </c>
      <c r="ET265" s="63">
        <v>10</v>
      </c>
      <c r="EU265" s="63">
        <v>24.6612084872453</v>
      </c>
      <c r="EV265" s="63">
        <v>21.805871218412211</v>
      </c>
    </row>
    <row r="266" spans="138:152" x14ac:dyDescent="0.25">
      <c r="EH266" s="63" t="s">
        <v>122</v>
      </c>
      <c r="EI266" s="63" t="s">
        <v>643</v>
      </c>
      <c r="EJ266" s="63" t="s">
        <v>642</v>
      </c>
      <c r="EK266" s="63">
        <v>250</v>
      </c>
      <c r="EL266" s="63">
        <v>250</v>
      </c>
      <c r="EM266" s="63">
        <v>58</v>
      </c>
      <c r="EN266" s="63">
        <v>1.7818206246515533E-2</v>
      </c>
      <c r="EO266" s="63">
        <v>0.25</v>
      </c>
      <c r="EP266" s="63">
        <v>2.2686844809310672E-2</v>
      </c>
      <c r="EQ266" s="63">
        <v>4.7912635455710791E-2</v>
      </c>
      <c r="ER266" s="63">
        <v>6.7091211227010117</v>
      </c>
      <c r="ES266" s="63">
        <v>8</v>
      </c>
      <c r="ET266" s="63">
        <v>10</v>
      </c>
      <c r="EU266" s="63">
        <v>24.709121122701013</v>
      </c>
      <c r="EV266" s="63">
        <v>21.757958582956498</v>
      </c>
    </row>
    <row r="267" spans="138:152" x14ac:dyDescent="0.25">
      <c r="EH267" s="63" t="s">
        <v>121</v>
      </c>
      <c r="EI267" s="63" t="s">
        <v>644</v>
      </c>
      <c r="EJ267" s="63" t="s">
        <v>643</v>
      </c>
      <c r="EK267" s="63">
        <v>250</v>
      </c>
      <c r="EL267" s="63">
        <v>250</v>
      </c>
      <c r="EM267" s="63">
        <v>216</v>
      </c>
      <c r="EN267" s="63">
        <v>1.5749708194817382E-2</v>
      </c>
      <c r="EO267" s="63">
        <v>0.25</v>
      </c>
      <c r="EP267" s="63">
        <v>2.0053151291680945E-2</v>
      </c>
      <c r="EQ267" s="63">
        <v>0.1784332630764402</v>
      </c>
      <c r="ER267" s="63">
        <v>6.8875543857774515</v>
      </c>
      <c r="ES267" s="63">
        <v>14</v>
      </c>
      <c r="ET267" s="63">
        <v>10</v>
      </c>
      <c r="EU267" s="63">
        <v>30.887554385777452</v>
      </c>
      <c r="EV267" s="63">
        <v>15.579525319880059</v>
      </c>
    </row>
    <row r="268" spans="138:152" x14ac:dyDescent="0.25">
      <c r="EH268" s="63" t="s">
        <v>119</v>
      </c>
      <c r="EI268" s="63" t="s">
        <v>645</v>
      </c>
      <c r="EJ268" s="63" t="s">
        <v>644</v>
      </c>
      <c r="EK268" s="63">
        <v>250</v>
      </c>
      <c r="EL268" s="63">
        <v>250</v>
      </c>
      <c r="EM268" s="63">
        <v>73</v>
      </c>
      <c r="EN268" s="63">
        <v>1.4314870899545834E-2</v>
      </c>
      <c r="EO268" s="63">
        <v>0.25</v>
      </c>
      <c r="EP268" s="63">
        <v>1.8226259707080368E-2</v>
      </c>
      <c r="EQ268" s="63">
        <v>6.0303834280463577E-2</v>
      </c>
      <c r="ER268" s="63">
        <v>6.9478582200579151</v>
      </c>
      <c r="ES268" s="63">
        <v>10</v>
      </c>
      <c r="ET268" s="63">
        <v>10</v>
      </c>
      <c r="EU268" s="63">
        <v>26.947858220057917</v>
      </c>
      <c r="EV268" s="63">
        <v>19.519221485599594</v>
      </c>
    </row>
    <row r="269" spans="138:152" x14ac:dyDescent="0.25">
      <c r="EH269" s="63" t="s">
        <v>120</v>
      </c>
      <c r="EI269" s="63" t="s">
        <v>646</v>
      </c>
      <c r="EJ269" s="63" t="s">
        <v>645</v>
      </c>
      <c r="EK269" s="63">
        <v>250</v>
      </c>
      <c r="EL269" s="63">
        <v>250</v>
      </c>
      <c r="EM269" s="63">
        <v>65</v>
      </c>
      <c r="EN269" s="63">
        <v>1.3051364156792495E-2</v>
      </c>
      <c r="EO269" s="63">
        <v>0.25</v>
      </c>
      <c r="EP269" s="63">
        <v>1.6617512957167298E-2</v>
      </c>
      <c r="EQ269" s="63">
        <v>5.3695194907262093E-2</v>
      </c>
      <c r="ER269" s="63">
        <v>7.0015534149651772</v>
      </c>
      <c r="ES269" s="63">
        <v>10</v>
      </c>
      <c r="ET269" s="63">
        <v>10</v>
      </c>
      <c r="EU269" s="63">
        <v>27.001553414965176</v>
      </c>
      <c r="EV269" s="63">
        <v>19.465526290692335</v>
      </c>
    </row>
    <row r="270" spans="138:152" x14ac:dyDescent="0.25">
      <c r="EH270" s="63" t="s">
        <v>118</v>
      </c>
      <c r="EI270" s="63" t="s">
        <v>647</v>
      </c>
      <c r="EJ270" s="63" t="s">
        <v>646</v>
      </c>
      <c r="EK270" s="63">
        <v>250</v>
      </c>
      <c r="EL270" s="63">
        <v>250</v>
      </c>
      <c r="EM270" s="63">
        <v>45</v>
      </c>
      <c r="EN270" s="63">
        <v>1.173316550602249E-2</v>
      </c>
      <c r="EO270" s="63">
        <v>0.25</v>
      </c>
      <c r="EP270" s="63">
        <v>1.493913030719039E-2</v>
      </c>
      <c r="EQ270" s="63">
        <v>3.7173596474258372E-2</v>
      </c>
      <c r="ER270" s="63">
        <v>7.0387270114394358</v>
      </c>
      <c r="ES270" s="63">
        <v>12</v>
      </c>
      <c r="ET270" s="63">
        <v>10</v>
      </c>
      <c r="EU270" s="63">
        <v>29.038727011439434</v>
      </c>
      <c r="EV270" s="63">
        <v>17.428352694218077</v>
      </c>
    </row>
    <row r="271" spans="138:152" x14ac:dyDescent="0.25">
      <c r="EH271" s="63" t="s">
        <v>117</v>
      </c>
      <c r="EI271" s="63" t="s">
        <v>648</v>
      </c>
      <c r="EJ271" s="63" t="s">
        <v>647</v>
      </c>
      <c r="EK271" s="63">
        <v>250</v>
      </c>
      <c r="EL271" s="63">
        <v>250</v>
      </c>
      <c r="EM271" s="63">
        <v>100</v>
      </c>
      <c r="EN271" s="63">
        <v>1.1368146115916826E-2</v>
      </c>
      <c r="EO271" s="63">
        <v>0.25</v>
      </c>
      <c r="EP271" s="63">
        <v>1.4474373185112747E-2</v>
      </c>
      <c r="EQ271" s="63">
        <v>8.2607992165018601E-2</v>
      </c>
      <c r="ER271" s="63">
        <v>7.1213350036044547</v>
      </c>
      <c r="ES271" s="63">
        <v>9</v>
      </c>
      <c r="ET271" s="63">
        <v>10</v>
      </c>
      <c r="EU271" s="63">
        <v>26.121335003604454</v>
      </c>
      <c r="EV271" s="63">
        <v>20.345744702053057</v>
      </c>
    </row>
    <row r="272" spans="138:152" x14ac:dyDescent="0.25">
      <c r="EH272" s="63" t="s">
        <v>116</v>
      </c>
      <c r="EI272" s="63" t="s">
        <v>649</v>
      </c>
      <c r="EJ272" s="63" t="s">
        <v>648</v>
      </c>
      <c r="EK272" s="63">
        <v>250</v>
      </c>
      <c r="EL272" s="63">
        <v>250</v>
      </c>
      <c r="EM272" s="63">
        <v>202</v>
      </c>
      <c r="EN272" s="63">
        <v>9.5934509300807762E-3</v>
      </c>
      <c r="EO272" s="63">
        <v>0.25</v>
      </c>
      <c r="EP272" s="63">
        <v>1.221476109465517E-2</v>
      </c>
      <c r="EQ272" s="63">
        <v>0.1668550388388729</v>
      </c>
      <c r="ER272" s="63">
        <v>7.2881900424433272</v>
      </c>
      <c r="ES272" s="63">
        <v>11</v>
      </c>
      <c r="ET272" s="63">
        <v>10</v>
      </c>
      <c r="EU272" s="63">
        <v>28.288190042443325</v>
      </c>
      <c r="EV272" s="63">
        <v>18.178889663214186</v>
      </c>
    </row>
    <row r="273" spans="138:152" x14ac:dyDescent="0.25">
      <c r="EH273" s="63" t="s">
        <v>417</v>
      </c>
      <c r="EI273" s="63" t="s">
        <v>568</v>
      </c>
      <c r="EJ273" s="63" t="s">
        <v>621</v>
      </c>
      <c r="EK273" s="63">
        <v>400</v>
      </c>
      <c r="EL273" s="63">
        <v>400</v>
      </c>
      <c r="EM273" s="63">
        <v>9</v>
      </c>
      <c r="EN273" s="63">
        <v>8.6925643734511754E-2</v>
      </c>
      <c r="EO273" s="63">
        <v>0.4</v>
      </c>
      <c r="EP273" s="63">
        <v>4.3233268380601833E-2</v>
      </c>
      <c r="EQ273" s="63">
        <v>1.0640043839006231E-2</v>
      </c>
      <c r="ER273" s="63">
        <v>7.2988300862823339</v>
      </c>
      <c r="ES273" s="63">
        <v>15</v>
      </c>
      <c r="ET273" s="63">
        <v>10</v>
      </c>
      <c r="EU273" s="63">
        <v>32.298830086282337</v>
      </c>
      <c r="EV273" s="63">
        <v>14.168249619375178</v>
      </c>
    </row>
    <row r="274" spans="138:152" x14ac:dyDescent="0.25">
      <c r="EH274" s="63" t="s">
        <v>399</v>
      </c>
      <c r="EI274" s="63" t="s">
        <v>598</v>
      </c>
      <c r="EJ274" s="63" t="s">
        <v>583</v>
      </c>
      <c r="EK274" s="63">
        <v>466</v>
      </c>
      <c r="EL274" s="63">
        <v>500</v>
      </c>
      <c r="EM274" s="63">
        <v>93</v>
      </c>
      <c r="EN274" s="63">
        <v>0.20358511062185727</v>
      </c>
      <c r="EO274" s="63">
        <v>0.46600000000000003</v>
      </c>
      <c r="EP274" s="63">
        <v>7.4604378178311698E-2</v>
      </c>
      <c r="EQ274" s="63">
        <v>0.13820815901037856</v>
      </c>
      <c r="ER274" s="63">
        <v>0.13820815901037856</v>
      </c>
      <c r="ES274" s="63">
        <v>13</v>
      </c>
      <c r="ET274" s="63">
        <v>10</v>
      </c>
      <c r="EU274" s="63">
        <v>23.138208159010379</v>
      </c>
      <c r="EV274" s="63">
        <v>21.713131055137946</v>
      </c>
    </row>
    <row r="275" spans="138:152" x14ac:dyDescent="0.25">
      <c r="EH275" s="63" t="s">
        <v>400</v>
      </c>
      <c r="EI275" s="63" t="s">
        <v>583</v>
      </c>
      <c r="EJ275" s="63" t="s">
        <v>584</v>
      </c>
      <c r="EK275" s="63">
        <v>466</v>
      </c>
      <c r="EL275" s="63">
        <v>500</v>
      </c>
      <c r="EM275" s="63">
        <v>181</v>
      </c>
      <c r="EN275" s="63">
        <v>0.11250103723254895</v>
      </c>
      <c r="EO275" s="63">
        <v>0.46600000000000003</v>
      </c>
      <c r="EP275" s="63">
        <v>4.1226344606010254E-2</v>
      </c>
      <c r="EQ275" s="63">
        <v>0.26898577183740346</v>
      </c>
      <c r="ER275" s="63">
        <v>0.40719393084778199</v>
      </c>
      <c r="ES275" s="63">
        <v>16</v>
      </c>
      <c r="ET275" s="63">
        <v>10</v>
      </c>
      <c r="EU275" s="63">
        <v>26.407193930847782</v>
      </c>
      <c r="EV275" s="63">
        <v>18.444145283300543</v>
      </c>
    </row>
    <row r="276" spans="138:152" x14ac:dyDescent="0.25">
      <c r="EH276" s="63" t="s">
        <v>401</v>
      </c>
      <c r="EI276" s="63" t="s">
        <v>584</v>
      </c>
      <c r="EJ276" s="63" t="s">
        <v>585</v>
      </c>
      <c r="EK276" s="63">
        <v>466</v>
      </c>
      <c r="EL276" s="63">
        <v>500</v>
      </c>
      <c r="EM276" s="63">
        <v>133</v>
      </c>
      <c r="EN276" s="63">
        <v>0.11074163199615725</v>
      </c>
      <c r="EO276" s="63">
        <v>0.46600000000000003</v>
      </c>
      <c r="EP276" s="63">
        <v>4.0581605247499541E-2</v>
      </c>
      <c r="EQ276" s="63">
        <v>0.19765252847720807</v>
      </c>
      <c r="ER276" s="63">
        <v>0.60484645932499004</v>
      </c>
      <c r="ES276" s="63">
        <v>19</v>
      </c>
      <c r="ET276" s="63">
        <v>10</v>
      </c>
      <c r="EU276" s="63">
        <v>29.604846459324989</v>
      </c>
      <c r="EV276" s="63">
        <v>15.246492754823334</v>
      </c>
    </row>
    <row r="277" spans="138:152" x14ac:dyDescent="0.25">
      <c r="EH277" s="63" t="s">
        <v>403</v>
      </c>
      <c r="EI277" s="63" t="s">
        <v>585</v>
      </c>
      <c r="EJ277" s="63" t="s">
        <v>586</v>
      </c>
      <c r="EK277" s="63">
        <v>466</v>
      </c>
      <c r="EL277" s="63">
        <v>500</v>
      </c>
      <c r="EM277" s="63">
        <v>75</v>
      </c>
      <c r="EN277" s="63">
        <v>0.10929918444651684</v>
      </c>
      <c r="EO277" s="63">
        <v>0.46600000000000003</v>
      </c>
      <c r="EP277" s="63">
        <v>4.0053015989832103E-2</v>
      </c>
      <c r="EQ277" s="63">
        <v>0.11145819275030529</v>
      </c>
      <c r="ER277" s="63">
        <v>0.71630465207529537</v>
      </c>
      <c r="ES277" s="63">
        <v>18</v>
      </c>
      <c r="ET277" s="63">
        <v>10</v>
      </c>
      <c r="EU277" s="63">
        <v>28.716304652075294</v>
      </c>
      <c r="EV277" s="63">
        <v>16.135034562073031</v>
      </c>
    </row>
    <row r="278" spans="138:152" x14ac:dyDescent="0.25">
      <c r="EH278" s="63" t="s">
        <v>396</v>
      </c>
      <c r="EI278" s="63" t="s">
        <v>586</v>
      </c>
      <c r="EJ278" s="63" t="s">
        <v>587</v>
      </c>
      <c r="EK278" s="63">
        <v>466</v>
      </c>
      <c r="EL278" s="63">
        <v>500</v>
      </c>
      <c r="EM278" s="63">
        <v>94</v>
      </c>
      <c r="EN278" s="63">
        <v>0.10808934592303014</v>
      </c>
      <c r="EO278" s="63">
        <v>0.46600000000000003</v>
      </c>
      <c r="EP278" s="63">
        <v>3.9609667011779669E-2</v>
      </c>
      <c r="EQ278" s="63">
        <v>0.13969426824704931</v>
      </c>
      <c r="ER278" s="63">
        <v>0.8559989203223447</v>
      </c>
      <c r="ES278" s="63">
        <v>16</v>
      </c>
      <c r="ET278" s="63">
        <v>10</v>
      </c>
      <c r="EU278" s="63">
        <v>26.855998920322346</v>
      </c>
      <c r="EV278" s="63">
        <v>17.995340293825979</v>
      </c>
    </row>
    <row r="279" spans="138:152" x14ac:dyDescent="0.25">
      <c r="EH279" s="63" t="s">
        <v>409</v>
      </c>
      <c r="EI279" s="63" t="s">
        <v>587</v>
      </c>
      <c r="EJ279" s="63" t="s">
        <v>686</v>
      </c>
      <c r="EK279" s="63">
        <v>350</v>
      </c>
      <c r="EL279" s="63">
        <v>350</v>
      </c>
      <c r="EM279" s="63">
        <v>322</v>
      </c>
      <c r="EN279" s="63">
        <v>7.3346043031527031E-2</v>
      </c>
      <c r="EO279" s="63">
        <v>0.35</v>
      </c>
      <c r="EP279" s="63">
        <v>4.7646470631422015E-2</v>
      </c>
      <c r="EQ279" s="63">
        <v>0.53450455350975545</v>
      </c>
      <c r="ER279" s="63">
        <v>1.3905034738321</v>
      </c>
      <c r="ES279" s="63">
        <v>14</v>
      </c>
      <c r="ET279" s="63">
        <v>10</v>
      </c>
      <c r="EU279" s="63">
        <v>25.390503473832101</v>
      </c>
      <c r="EV279" s="63">
        <v>19.460835740316224</v>
      </c>
    </row>
    <row r="280" spans="138:152" x14ac:dyDescent="0.25">
      <c r="EH280" s="63" t="s">
        <v>151</v>
      </c>
      <c r="EI280" s="63" t="s">
        <v>599</v>
      </c>
      <c r="EJ280" s="63" t="s">
        <v>598</v>
      </c>
      <c r="EK280" s="63">
        <v>466</v>
      </c>
      <c r="EL280" s="63">
        <v>500</v>
      </c>
      <c r="EM280" s="63">
        <v>56</v>
      </c>
      <c r="EN280" s="63">
        <v>0.20191568192836887</v>
      </c>
      <c r="EO280" s="63">
        <v>0.46600000000000003</v>
      </c>
      <c r="EP280" s="63">
        <v>7.399261099548432E-2</v>
      </c>
      <c r="EQ280" s="63">
        <v>8.3222117253561281E-2</v>
      </c>
      <c r="ER280" s="63">
        <v>1.4737255910856613</v>
      </c>
      <c r="ES280" s="63">
        <v>12</v>
      </c>
      <c r="ET280" s="63">
        <v>10</v>
      </c>
      <c r="EU280" s="63">
        <v>23.47372559108566</v>
      </c>
      <c r="EV280" s="63">
        <v>21.377613623062665</v>
      </c>
    </row>
    <row r="281" spans="138:152" x14ac:dyDescent="0.25">
      <c r="EH281" s="63" t="s">
        <v>150</v>
      </c>
      <c r="EI281" s="63" t="s">
        <v>600</v>
      </c>
      <c r="EJ281" s="63" t="s">
        <v>599</v>
      </c>
      <c r="EK281" s="63">
        <v>466</v>
      </c>
      <c r="EL281" s="63">
        <v>500</v>
      </c>
      <c r="EM281" s="63">
        <v>60</v>
      </c>
      <c r="EN281" s="63">
        <v>0.20151170661799933</v>
      </c>
      <c r="EO281" s="63">
        <v>0.46600000000000003</v>
      </c>
      <c r="EP281" s="63">
        <v>7.3844573023859328E-2</v>
      </c>
      <c r="EQ281" s="63">
        <v>8.9166554200244233E-2</v>
      </c>
      <c r="ER281" s="63">
        <v>1.5628921452859055</v>
      </c>
      <c r="ES281" s="63">
        <v>14</v>
      </c>
      <c r="ET281" s="63">
        <v>10</v>
      </c>
      <c r="EU281" s="63">
        <v>25.562892145285904</v>
      </c>
      <c r="EV281" s="63">
        <v>19.288447068862421</v>
      </c>
    </row>
    <row r="282" spans="138:152" x14ac:dyDescent="0.25">
      <c r="EH282" s="63" t="s">
        <v>149</v>
      </c>
      <c r="EI282" s="63" t="s">
        <v>601</v>
      </c>
      <c r="EJ282" s="63" t="s">
        <v>600</v>
      </c>
      <c r="EK282" s="63">
        <v>466</v>
      </c>
      <c r="EL282" s="63">
        <v>500</v>
      </c>
      <c r="EM282" s="63">
        <v>67</v>
      </c>
      <c r="EN282" s="63">
        <v>0.20050068083648492</v>
      </c>
      <c r="EO282" s="63">
        <v>0.46600000000000003</v>
      </c>
      <c r="EP282" s="63">
        <v>7.3474079575091236E-2</v>
      </c>
      <c r="EQ282" s="63">
        <v>9.9569318856939398E-2</v>
      </c>
      <c r="ER282" s="63">
        <v>1.6624614641428448</v>
      </c>
      <c r="ES282" s="63">
        <v>22</v>
      </c>
      <c r="ET282" s="63">
        <v>10</v>
      </c>
      <c r="EU282" s="63">
        <v>33.662461464142844</v>
      </c>
      <c r="EV282" s="63">
        <v>11.18887775000548</v>
      </c>
    </row>
    <row r="283" spans="138:152" x14ac:dyDescent="0.25">
      <c r="EH283" s="63" t="s">
        <v>148</v>
      </c>
      <c r="EI283" s="63" t="s">
        <v>602</v>
      </c>
      <c r="EJ283" s="63" t="s">
        <v>601</v>
      </c>
      <c r="EK283" s="63">
        <v>466</v>
      </c>
      <c r="EL283" s="63">
        <v>500</v>
      </c>
      <c r="EM283" s="63">
        <v>194</v>
      </c>
      <c r="EN283" s="63">
        <v>0.19941061160685536</v>
      </c>
      <c r="EO283" s="63">
        <v>0.46600000000000003</v>
      </c>
      <c r="EP283" s="63">
        <v>7.3074620416219468E-2</v>
      </c>
      <c r="EQ283" s="63">
        <v>0.28830519191412302</v>
      </c>
      <c r="ER283" s="63">
        <v>1.9507666560569679</v>
      </c>
      <c r="ES283" s="63">
        <v>13</v>
      </c>
      <c r="ET283" s="63">
        <v>10</v>
      </c>
      <c r="EU283" s="63">
        <v>24.950766656056967</v>
      </c>
      <c r="EV283" s="63">
        <v>19.900572558091358</v>
      </c>
    </row>
    <row r="284" spans="138:152" x14ac:dyDescent="0.25">
      <c r="EH284" s="63" t="s">
        <v>147</v>
      </c>
      <c r="EI284" s="63" t="s">
        <v>603</v>
      </c>
      <c r="EJ284" s="63" t="s">
        <v>602</v>
      </c>
      <c r="EK284" s="63">
        <v>466</v>
      </c>
      <c r="EL284" s="63">
        <v>500</v>
      </c>
      <c r="EM284" s="63">
        <v>74</v>
      </c>
      <c r="EN284" s="63">
        <v>0.19872187209218772</v>
      </c>
      <c r="EO284" s="63">
        <v>0.46600000000000003</v>
      </c>
      <c r="EP284" s="63">
        <v>7.2822229742551536E-2</v>
      </c>
      <c r="EQ284" s="63">
        <v>0.10997208351363455</v>
      </c>
      <c r="ER284" s="63">
        <v>2.0607387395706023</v>
      </c>
      <c r="ES284" s="63">
        <v>11</v>
      </c>
      <c r="ET284" s="63">
        <v>10</v>
      </c>
      <c r="EU284" s="63">
        <v>23.060738739570603</v>
      </c>
      <c r="EV284" s="63">
        <v>21.790600474577722</v>
      </c>
    </row>
    <row r="285" spans="138:152" x14ac:dyDescent="0.25">
      <c r="EH285" s="63" t="s">
        <v>146</v>
      </c>
      <c r="EI285" s="63" t="s">
        <v>604</v>
      </c>
      <c r="EJ285" s="63" t="s">
        <v>603</v>
      </c>
      <c r="EK285" s="63">
        <v>466</v>
      </c>
      <c r="EL285" s="63">
        <v>500</v>
      </c>
      <c r="EM285" s="63">
        <v>92</v>
      </c>
      <c r="EN285" s="63">
        <v>0.19784057167390237</v>
      </c>
      <c r="EO285" s="63">
        <v>0.46600000000000003</v>
      </c>
      <c r="EP285" s="63">
        <v>7.249927454463144E-2</v>
      </c>
      <c r="EQ285" s="63">
        <v>0.13672204977370783</v>
      </c>
      <c r="ER285" s="63">
        <v>2.1974607893443103</v>
      </c>
      <c r="ES285" s="63">
        <v>12</v>
      </c>
      <c r="ET285" s="63">
        <v>10</v>
      </c>
      <c r="EU285" s="63">
        <v>24.197460789344312</v>
      </c>
      <c r="EV285" s="63">
        <v>20.653878424804013</v>
      </c>
    </row>
    <row r="286" spans="138:152" x14ac:dyDescent="0.25">
      <c r="EH286" s="63" t="s">
        <v>145</v>
      </c>
      <c r="EI286" s="63" t="s">
        <v>605</v>
      </c>
      <c r="EJ286" s="63" t="s">
        <v>604</v>
      </c>
      <c r="EK286" s="63">
        <v>466</v>
      </c>
      <c r="EL286" s="63">
        <v>500</v>
      </c>
      <c r="EM286" s="63">
        <v>75</v>
      </c>
      <c r="EN286" s="63">
        <v>0.19650390566573375</v>
      </c>
      <c r="EO286" s="63">
        <v>0.46600000000000003</v>
      </c>
      <c r="EP286" s="63">
        <v>7.2009449252069993E-2</v>
      </c>
      <c r="EQ286" s="63">
        <v>0.11145819275030529</v>
      </c>
      <c r="ER286" s="63">
        <v>2.3089189820946157</v>
      </c>
      <c r="ES286" s="63">
        <v>18</v>
      </c>
      <c r="ET286" s="63">
        <v>10</v>
      </c>
      <c r="EU286" s="63">
        <v>30.308918982094617</v>
      </c>
      <c r="EV286" s="63">
        <v>14.542420232053709</v>
      </c>
    </row>
    <row r="287" spans="138:152" x14ac:dyDescent="0.25">
      <c r="EH287" s="63" t="s">
        <v>144</v>
      </c>
      <c r="EI287" s="63" t="s">
        <v>606</v>
      </c>
      <c r="EJ287" s="63" t="s">
        <v>605</v>
      </c>
      <c r="EK287" s="63">
        <v>466</v>
      </c>
      <c r="EL287" s="63">
        <v>500</v>
      </c>
      <c r="EM287" s="63">
        <v>76</v>
      </c>
      <c r="EN287" s="63">
        <v>0.19592297460485844</v>
      </c>
      <c r="EO287" s="63">
        <v>0.46600000000000003</v>
      </c>
      <c r="EP287" s="63">
        <v>7.1796565311644855E-2</v>
      </c>
      <c r="EQ287" s="63">
        <v>0.11294430198697604</v>
      </c>
      <c r="ER287" s="63">
        <v>2.4218632840815917</v>
      </c>
      <c r="ES287" s="63">
        <v>9</v>
      </c>
      <c r="ET287" s="63">
        <v>10</v>
      </c>
      <c r="EU287" s="63">
        <v>21.421863284081592</v>
      </c>
      <c r="EV287" s="63">
        <v>23.429475930066733</v>
      </c>
    </row>
    <row r="288" spans="138:152" x14ac:dyDescent="0.25">
      <c r="EH288" s="63" t="s">
        <v>142</v>
      </c>
      <c r="EI288" s="63" t="s">
        <v>607</v>
      </c>
      <c r="EJ288" s="63" t="s">
        <v>606</v>
      </c>
      <c r="EK288" s="63">
        <v>466</v>
      </c>
      <c r="EL288" s="63">
        <v>500</v>
      </c>
      <c r="EM288" s="63">
        <v>76</v>
      </c>
      <c r="EN288" s="63">
        <v>0.1947040460749998</v>
      </c>
      <c r="EO288" s="63">
        <v>0.46600000000000003</v>
      </c>
      <c r="EP288" s="63">
        <v>7.1349885273325073E-2</v>
      </c>
      <c r="EQ288" s="63">
        <v>0.11294430198697604</v>
      </c>
      <c r="ER288" s="63">
        <v>2.5348075860685677</v>
      </c>
      <c r="ES288" s="63">
        <v>13</v>
      </c>
      <c r="ET288" s="63">
        <v>10</v>
      </c>
      <c r="EU288" s="63">
        <v>25.534807586068567</v>
      </c>
      <c r="EV288" s="63">
        <v>19.316531628079758</v>
      </c>
    </row>
    <row r="289" spans="138:152" x14ac:dyDescent="0.25">
      <c r="EH289" s="63" t="s">
        <v>143</v>
      </c>
      <c r="EI289" s="63" t="s">
        <v>608</v>
      </c>
      <c r="EJ289" s="63" t="s">
        <v>607</v>
      </c>
      <c r="EK289" s="63">
        <v>466</v>
      </c>
      <c r="EL289" s="63">
        <v>500</v>
      </c>
      <c r="EM289" s="63">
        <v>80</v>
      </c>
      <c r="EN289" s="63">
        <v>0.19283186988742035</v>
      </c>
      <c r="EO289" s="63">
        <v>0.46600000000000003</v>
      </c>
      <c r="EP289" s="63">
        <v>7.0663820659424906E-2</v>
      </c>
      <c r="EQ289" s="63">
        <v>0.11888873893365898</v>
      </c>
      <c r="ER289" s="63">
        <v>2.6536963250022265</v>
      </c>
      <c r="ES289" s="63">
        <v>20</v>
      </c>
      <c r="ET289" s="63">
        <v>10</v>
      </c>
      <c r="EU289" s="63">
        <v>32.65369632500223</v>
      </c>
      <c r="EV289" s="63">
        <v>12.197642889146099</v>
      </c>
    </row>
    <row r="290" spans="138:152" x14ac:dyDescent="0.25">
      <c r="EH290" s="63" t="s">
        <v>398</v>
      </c>
      <c r="EI290" s="63" t="s">
        <v>776</v>
      </c>
      <c r="EJ290" s="63" t="s">
        <v>608</v>
      </c>
      <c r="EK290" s="63">
        <v>466</v>
      </c>
      <c r="EL290" s="63">
        <v>500</v>
      </c>
      <c r="EM290" s="63">
        <v>75</v>
      </c>
      <c r="EN290" s="63">
        <v>0.19333746688369799</v>
      </c>
      <c r="EO290" s="63">
        <v>0.46600000000000003</v>
      </c>
      <c r="EP290" s="63">
        <v>7.0849098204530739E-2</v>
      </c>
      <c r="EQ290" s="63">
        <v>0.11145819275030529</v>
      </c>
      <c r="ER290" s="63">
        <v>2.7651545177525318</v>
      </c>
      <c r="ES290" s="63">
        <v>12</v>
      </c>
      <c r="ET290" s="63">
        <v>10</v>
      </c>
      <c r="EU290" s="63">
        <v>24.765154517752531</v>
      </c>
      <c r="EV290" s="63">
        <v>20.086184696395794</v>
      </c>
    </row>
    <row r="291" spans="138:152" x14ac:dyDescent="0.25">
      <c r="EH291" s="63" t="s">
        <v>140</v>
      </c>
      <c r="EI291" s="63" t="s">
        <v>610</v>
      </c>
      <c r="EJ291" s="63" t="s">
        <v>609</v>
      </c>
      <c r="EK291" s="63">
        <v>466</v>
      </c>
      <c r="EL291" s="63">
        <v>500</v>
      </c>
      <c r="EM291" s="63">
        <v>76</v>
      </c>
      <c r="EN291" s="63">
        <v>0.19100464460512906</v>
      </c>
      <c r="EO291" s="63">
        <v>0.46600000000000003</v>
      </c>
      <c r="EP291" s="63">
        <v>6.9994228440423037E-2</v>
      </c>
      <c r="EQ291" s="63">
        <v>0.11294430198697604</v>
      </c>
      <c r="ER291" s="63">
        <v>2.8780988197395079</v>
      </c>
      <c r="ES291" s="63">
        <v>16</v>
      </c>
      <c r="ET291" s="63">
        <v>10</v>
      </c>
      <c r="EU291" s="63">
        <v>28.878098819739506</v>
      </c>
      <c r="EV291" s="63">
        <v>15.973240394408817</v>
      </c>
    </row>
    <row r="292" spans="138:152" x14ac:dyDescent="0.25">
      <c r="EH292" s="63" t="s">
        <v>909</v>
      </c>
      <c r="EI292" s="63" t="s">
        <v>609</v>
      </c>
      <c r="EJ292" s="63" t="s">
        <v>776</v>
      </c>
      <c r="EK292" s="63">
        <v>466</v>
      </c>
      <c r="EL292" s="63">
        <v>500</v>
      </c>
      <c r="EM292" s="63">
        <v>69</v>
      </c>
      <c r="EN292" s="63">
        <v>0.19188175428006549</v>
      </c>
      <c r="EO292" s="63">
        <v>0.46600000000000003</v>
      </c>
      <c r="EP292" s="63">
        <v>7.0315647927795835E-2</v>
      </c>
      <c r="EQ292" s="63">
        <v>0.10254153733028086</v>
      </c>
      <c r="ER292" s="63">
        <v>2.9806403570697886</v>
      </c>
      <c r="ES292" s="63">
        <v>13</v>
      </c>
      <c r="ET292" s="63">
        <v>10</v>
      </c>
      <c r="EU292" s="63">
        <v>25.980640357069788</v>
      </c>
      <c r="EV292" s="63">
        <v>18.870698857078537</v>
      </c>
    </row>
    <row r="293" spans="138:152" x14ac:dyDescent="0.25">
      <c r="EH293" s="63" t="s">
        <v>139</v>
      </c>
      <c r="EI293" s="63" t="s">
        <v>611</v>
      </c>
      <c r="EJ293" s="63" t="s">
        <v>610</v>
      </c>
      <c r="EK293" s="63">
        <v>466</v>
      </c>
      <c r="EL293" s="63">
        <v>500</v>
      </c>
      <c r="EM293" s="63">
        <v>251</v>
      </c>
      <c r="EN293" s="63">
        <v>0.18919595698173888</v>
      </c>
      <c r="EO293" s="63">
        <v>0.46600000000000003</v>
      </c>
      <c r="EP293" s="63">
        <v>6.9331429402469488E-2</v>
      </c>
      <c r="EQ293" s="63">
        <v>0.37301341840435503</v>
      </c>
      <c r="ER293" s="63">
        <v>3.3536537754741436</v>
      </c>
      <c r="ES293" s="63">
        <v>15</v>
      </c>
      <c r="ET293" s="63">
        <v>10</v>
      </c>
      <c r="EU293" s="63">
        <v>28.353653775474143</v>
      </c>
      <c r="EV293" s="63">
        <v>16.497685438674182</v>
      </c>
    </row>
    <row r="294" spans="138:152" x14ac:dyDescent="0.25">
      <c r="EH294" s="63" t="s">
        <v>138</v>
      </c>
      <c r="EI294" s="63" t="s">
        <v>612</v>
      </c>
      <c r="EJ294" s="63" t="s">
        <v>611</v>
      </c>
      <c r="EK294" s="63">
        <v>350</v>
      </c>
      <c r="EL294" s="63">
        <v>350</v>
      </c>
      <c r="EM294" s="63">
        <v>129</v>
      </c>
      <c r="EN294" s="63">
        <v>0.11492738092712057</v>
      </c>
      <c r="EO294" s="63">
        <v>0.35</v>
      </c>
      <c r="EP294" s="63">
        <v>7.4658207229210016E-2</v>
      </c>
      <c r="EQ294" s="63">
        <v>0.27254531158613615</v>
      </c>
      <c r="ER294" s="63">
        <v>3.6261990870602796</v>
      </c>
      <c r="ES294" s="63">
        <v>15</v>
      </c>
      <c r="ET294" s="63">
        <v>10</v>
      </c>
      <c r="EU294" s="63">
        <v>28.626199087060279</v>
      </c>
      <c r="EV294" s="63">
        <v>16.225140127088046</v>
      </c>
    </row>
    <row r="295" spans="138:152" x14ac:dyDescent="0.25">
      <c r="EH295" s="63" t="s">
        <v>137</v>
      </c>
      <c r="EI295" s="63" t="s">
        <v>613</v>
      </c>
      <c r="EJ295" s="63" t="s">
        <v>612</v>
      </c>
      <c r="EK295" s="63">
        <v>350</v>
      </c>
      <c r="EL295" s="63">
        <v>350</v>
      </c>
      <c r="EM295" s="63">
        <v>157</v>
      </c>
      <c r="EN295" s="63">
        <v>0.11265888178789435</v>
      </c>
      <c r="EO295" s="63">
        <v>0.35</v>
      </c>
      <c r="EP295" s="63">
        <v>7.318456293775058E-2</v>
      </c>
      <c r="EQ295" s="63">
        <v>0.33170243348080136</v>
      </c>
      <c r="ER295" s="63">
        <v>3.957901520541081</v>
      </c>
      <c r="ES295" s="63">
        <v>18</v>
      </c>
      <c r="ET295" s="63">
        <v>10</v>
      </c>
      <c r="EU295" s="63">
        <v>31.957901520541082</v>
      </c>
      <c r="EV295" s="63">
        <v>12.893437693607243</v>
      </c>
    </row>
    <row r="296" spans="138:152" x14ac:dyDescent="0.25">
      <c r="EH296" s="63" t="s">
        <v>136</v>
      </c>
      <c r="EI296" s="63" t="s">
        <v>614</v>
      </c>
      <c r="EJ296" s="63" t="s">
        <v>613</v>
      </c>
      <c r="EK296" s="63">
        <v>350</v>
      </c>
      <c r="EL296" s="63">
        <v>350</v>
      </c>
      <c r="EM296" s="63">
        <v>82</v>
      </c>
      <c r="EN296" s="63">
        <v>0.11072408370900942</v>
      </c>
      <c r="EO296" s="63">
        <v>0.35</v>
      </c>
      <c r="EP296" s="63">
        <v>7.1927694863712865E-2</v>
      </c>
      <c r="EQ296" s="63">
        <v>0.1732458569772338</v>
      </c>
      <c r="ER296" s="63">
        <v>4.1311473775183147</v>
      </c>
      <c r="ES296" s="63">
        <v>12</v>
      </c>
      <c r="ET296" s="63">
        <v>10</v>
      </c>
      <c r="EU296" s="63">
        <v>26.131147377518314</v>
      </c>
      <c r="EV296" s="63">
        <v>18.720191836630011</v>
      </c>
    </row>
    <row r="297" spans="138:152" x14ac:dyDescent="0.25">
      <c r="EH297" s="63" t="s">
        <v>134</v>
      </c>
      <c r="EI297" s="63" t="s">
        <v>615</v>
      </c>
      <c r="EJ297" s="63" t="s">
        <v>614</v>
      </c>
      <c r="EK297" s="63">
        <v>350</v>
      </c>
      <c r="EL297" s="63">
        <v>350</v>
      </c>
      <c r="EM297" s="63">
        <v>69</v>
      </c>
      <c r="EN297" s="63">
        <v>0.10974783372471916</v>
      </c>
      <c r="EO297" s="63">
        <v>0.35</v>
      </c>
      <c r="EP297" s="63">
        <v>7.1293511146597849E-2</v>
      </c>
      <c r="EQ297" s="63">
        <v>0.14578005038328212</v>
      </c>
      <c r="ER297" s="63">
        <v>4.2769274279015965</v>
      </c>
      <c r="ES297" s="63">
        <v>8</v>
      </c>
      <c r="ET297" s="63">
        <v>10</v>
      </c>
      <c r="EU297" s="63">
        <v>22.276927427901597</v>
      </c>
      <c r="EV297" s="63">
        <v>22.574411786246728</v>
      </c>
    </row>
    <row r="298" spans="138:152" x14ac:dyDescent="0.25">
      <c r="EH298" s="63" t="s">
        <v>135</v>
      </c>
      <c r="EI298" s="63" t="s">
        <v>616</v>
      </c>
      <c r="EJ298" s="63" t="s">
        <v>615</v>
      </c>
      <c r="EK298" s="63">
        <v>350</v>
      </c>
      <c r="EL298" s="63">
        <v>350</v>
      </c>
      <c r="EM298" s="63">
        <v>73</v>
      </c>
      <c r="EN298" s="63">
        <v>0.10933901969787044</v>
      </c>
      <c r="EO298" s="63">
        <v>0.35</v>
      </c>
      <c r="EP298" s="63">
        <v>7.1027940643829376E-2</v>
      </c>
      <c r="EQ298" s="63">
        <v>0.1542310677968057</v>
      </c>
      <c r="ER298" s="63">
        <v>4.4311584956984023</v>
      </c>
      <c r="ES298" s="63">
        <v>13</v>
      </c>
      <c r="ET298" s="63">
        <v>10</v>
      </c>
      <c r="EU298" s="63">
        <v>27.431158495698401</v>
      </c>
      <c r="EV298" s="63">
        <v>17.420180718449924</v>
      </c>
    </row>
    <row r="299" spans="138:152" x14ac:dyDescent="0.25">
      <c r="EH299" s="63" t="s">
        <v>133</v>
      </c>
      <c r="EI299" s="63" t="s">
        <v>617</v>
      </c>
      <c r="EJ299" s="63" t="s">
        <v>616</v>
      </c>
      <c r="EK299" s="63">
        <v>350</v>
      </c>
      <c r="EL299" s="63">
        <v>350</v>
      </c>
      <c r="EM299" s="63">
        <v>81</v>
      </c>
      <c r="EN299" s="63">
        <v>0.10877622031843998</v>
      </c>
      <c r="EO299" s="63">
        <v>0.35</v>
      </c>
      <c r="EP299" s="63">
        <v>7.0662339406256269E-2</v>
      </c>
      <c r="EQ299" s="63">
        <v>0.17113310262385292</v>
      </c>
      <c r="ER299" s="63">
        <v>4.602291598322255</v>
      </c>
      <c r="ES299" s="63">
        <v>18</v>
      </c>
      <c r="ET299" s="63">
        <v>10</v>
      </c>
      <c r="EU299" s="63">
        <v>32.602291598322253</v>
      </c>
      <c r="EV299" s="63">
        <v>12.24904761582607</v>
      </c>
    </row>
    <row r="300" spans="138:152" x14ac:dyDescent="0.25">
      <c r="EH300" s="63" t="s">
        <v>132</v>
      </c>
      <c r="EI300" s="63" t="s">
        <v>618</v>
      </c>
      <c r="EJ300" s="63" t="s">
        <v>617</v>
      </c>
      <c r="EK300" s="63">
        <v>350</v>
      </c>
      <c r="EL300" s="63">
        <v>350</v>
      </c>
      <c r="EM300" s="63">
        <v>101</v>
      </c>
      <c r="EN300" s="63">
        <v>0.10688779292319475</v>
      </c>
      <c r="EO300" s="63">
        <v>0.35</v>
      </c>
      <c r="EP300" s="63">
        <v>6.9435594285344321E-2</v>
      </c>
      <c r="EQ300" s="63">
        <v>0.21338818969147089</v>
      </c>
      <c r="ER300" s="63">
        <v>4.8156797880137256</v>
      </c>
      <c r="ES300" s="63">
        <v>14</v>
      </c>
      <c r="ET300" s="63">
        <v>10</v>
      </c>
      <c r="EU300" s="63">
        <v>28.815679788013725</v>
      </c>
      <c r="EV300" s="63">
        <v>16.0356594261346</v>
      </c>
    </row>
    <row r="301" spans="138:152" x14ac:dyDescent="0.25">
      <c r="EH301" s="63" t="s">
        <v>408</v>
      </c>
      <c r="EI301" s="63" t="s">
        <v>619</v>
      </c>
      <c r="EJ301" s="63" t="s">
        <v>618</v>
      </c>
      <c r="EK301" s="63">
        <v>350</v>
      </c>
      <c r="EL301" s="63">
        <v>350</v>
      </c>
      <c r="EM301" s="63">
        <v>91</v>
      </c>
      <c r="EN301" s="63">
        <v>0.10685680333419756</v>
      </c>
      <c r="EO301" s="63">
        <v>0.35</v>
      </c>
      <c r="EP301" s="63">
        <v>6.9415463076065581E-2</v>
      </c>
      <c r="EQ301" s="63">
        <v>0.19226064615766192</v>
      </c>
      <c r="ER301" s="63">
        <v>5.0079404341713873</v>
      </c>
      <c r="ES301" s="63">
        <v>15</v>
      </c>
      <c r="ET301" s="63">
        <v>10</v>
      </c>
      <c r="EU301" s="63">
        <v>30.007940434171388</v>
      </c>
      <c r="EV301" s="63">
        <v>14.843398779976937</v>
      </c>
    </row>
    <row r="302" spans="138:152" x14ac:dyDescent="0.25">
      <c r="EH302" s="63" t="s">
        <v>172</v>
      </c>
      <c r="EI302" s="63" t="s">
        <v>620</v>
      </c>
      <c r="EJ302" s="63" t="s">
        <v>619</v>
      </c>
      <c r="EK302" s="63">
        <v>350</v>
      </c>
      <c r="EL302" s="63">
        <v>350</v>
      </c>
      <c r="EM302" s="63">
        <v>87</v>
      </c>
      <c r="EN302" s="63">
        <v>0.10539382343429968</v>
      </c>
      <c r="EO302" s="63">
        <v>0.35</v>
      </c>
      <c r="EP302" s="63">
        <v>6.8465093758870346E-2</v>
      </c>
      <c r="EQ302" s="63">
        <v>0.18380962874413831</v>
      </c>
      <c r="ER302" s="63">
        <v>5.191750062915526</v>
      </c>
      <c r="ES302" s="63">
        <v>12</v>
      </c>
      <c r="ET302" s="63">
        <v>10</v>
      </c>
      <c r="EU302" s="63">
        <v>27.191750062915524</v>
      </c>
      <c r="EV302" s="63">
        <v>17.659589151232801</v>
      </c>
    </row>
    <row r="303" spans="138:152" x14ac:dyDescent="0.25">
      <c r="EH303" s="63" t="s">
        <v>170</v>
      </c>
      <c r="EI303" s="63" t="s">
        <v>621</v>
      </c>
      <c r="EJ303" s="63" t="s">
        <v>620</v>
      </c>
      <c r="EK303" s="63">
        <v>350</v>
      </c>
      <c r="EL303" s="63">
        <v>350</v>
      </c>
      <c r="EM303" s="63">
        <v>94</v>
      </c>
      <c r="EN303" s="63">
        <v>0.10387601811623667</v>
      </c>
      <c r="EO303" s="63">
        <v>0.35</v>
      </c>
      <c r="EP303" s="63">
        <v>6.7479109191438125E-2</v>
      </c>
      <c r="EQ303" s="63">
        <v>0.19859890921780463</v>
      </c>
      <c r="ER303" s="63">
        <v>5.3903489721333306</v>
      </c>
      <c r="ES303" s="63">
        <v>10</v>
      </c>
      <c r="ET303" s="63">
        <v>10</v>
      </c>
      <c r="EU303" s="63">
        <v>25.390348972133332</v>
      </c>
      <c r="EV303" s="63">
        <v>19.460990242014994</v>
      </c>
    </row>
    <row r="304" spans="138:152" x14ac:dyDescent="0.25">
      <c r="EH304" s="63" t="s">
        <v>171</v>
      </c>
      <c r="EI304" s="63" t="s">
        <v>621</v>
      </c>
      <c r="EJ304" s="63" t="s">
        <v>622</v>
      </c>
      <c r="EK304" s="63">
        <v>400</v>
      </c>
      <c r="EL304" s="63">
        <v>400</v>
      </c>
      <c r="EM304" s="63">
        <v>70</v>
      </c>
      <c r="EN304" s="63">
        <v>0.10191419697451586</v>
      </c>
      <c r="EO304" s="63">
        <v>0.4</v>
      </c>
      <c r="EP304" s="63">
        <v>5.0687963186672756E-2</v>
      </c>
      <c r="EQ304" s="63">
        <v>0.10167689645312228</v>
      </c>
      <c r="ER304" s="63">
        <v>5.4920258685864525</v>
      </c>
      <c r="ES304" s="63">
        <v>11</v>
      </c>
      <c r="ET304" s="63">
        <v>10</v>
      </c>
      <c r="EU304" s="63">
        <v>26.492025868586452</v>
      </c>
      <c r="EV304" s="63">
        <v>18.359313345561873</v>
      </c>
    </row>
    <row r="305" spans="138:152" x14ac:dyDescent="0.25">
      <c r="EH305" s="63" t="s">
        <v>413</v>
      </c>
      <c r="EI305" s="63" t="s">
        <v>691</v>
      </c>
      <c r="EJ305" s="63" t="s">
        <v>622</v>
      </c>
      <c r="EK305" s="63">
        <v>250</v>
      </c>
      <c r="EL305" s="63">
        <v>250</v>
      </c>
      <c r="EM305" s="63">
        <v>59</v>
      </c>
      <c r="EN305" s="63">
        <v>1.9795627454542077E-3</v>
      </c>
      <c r="EO305" s="63">
        <v>0.25</v>
      </c>
      <c r="EP305" s="63">
        <v>2.5204575687968042E-3</v>
      </c>
      <c r="EQ305" s="63">
        <v>8.9986313765935425E-2</v>
      </c>
      <c r="ER305" s="63">
        <v>5.5820121823523881</v>
      </c>
      <c r="ES305" s="63">
        <v>11</v>
      </c>
      <c r="ET305" s="63">
        <v>10</v>
      </c>
      <c r="EU305" s="63">
        <v>26.582012182352386</v>
      </c>
      <c r="EV305" s="63">
        <v>18.269327031795939</v>
      </c>
    </row>
    <row r="306" spans="138:152" x14ac:dyDescent="0.25">
      <c r="EH306" s="63" t="s">
        <v>258</v>
      </c>
      <c r="EI306" s="63" t="s">
        <v>686</v>
      </c>
      <c r="EJ306" s="63" t="s">
        <v>687</v>
      </c>
      <c r="EK306" s="63">
        <v>350</v>
      </c>
      <c r="EL306" s="63">
        <v>350</v>
      </c>
      <c r="EM306" s="63">
        <v>218</v>
      </c>
      <c r="EN306" s="63">
        <v>7.0133763091527745E-2</v>
      </c>
      <c r="EO306" s="63">
        <v>0.35</v>
      </c>
      <c r="EP306" s="63">
        <v>4.5559734994500285E-2</v>
      </c>
      <c r="EQ306" s="63">
        <v>0.36186954243828162</v>
      </c>
      <c r="ER306" s="63">
        <v>5.9438817247906695</v>
      </c>
      <c r="ES306" s="63">
        <v>9</v>
      </c>
      <c r="ET306" s="63">
        <v>10</v>
      </c>
      <c r="EU306" s="63">
        <v>24.943881724790671</v>
      </c>
      <c r="EV306" s="63">
        <v>19.907457489357654</v>
      </c>
    </row>
    <row r="307" spans="138:152" x14ac:dyDescent="0.25">
      <c r="EH307" s="63" t="s">
        <v>259</v>
      </c>
      <c r="EI307" s="63" t="s">
        <v>687</v>
      </c>
      <c r="EJ307" s="63" t="s">
        <v>688</v>
      </c>
      <c r="EK307" s="63">
        <v>350</v>
      </c>
      <c r="EL307" s="63">
        <v>350</v>
      </c>
      <c r="EM307" s="63">
        <v>101</v>
      </c>
      <c r="EN307" s="63">
        <v>6.7808844197154716E-2</v>
      </c>
      <c r="EO307" s="63">
        <v>0.35</v>
      </c>
      <c r="EP307" s="63">
        <v>4.4049439752348402E-2</v>
      </c>
      <c r="EQ307" s="63">
        <v>0.16765515498287359</v>
      </c>
      <c r="ER307" s="63">
        <v>6.111536879773543</v>
      </c>
      <c r="ES307" s="63">
        <v>16</v>
      </c>
      <c r="ET307" s="63">
        <v>10</v>
      </c>
      <c r="EU307" s="63">
        <v>32.111536879773546</v>
      </c>
      <c r="EV307" s="63">
        <v>12.739802334374783</v>
      </c>
    </row>
    <row r="308" spans="138:152" x14ac:dyDescent="0.25">
      <c r="EH308" s="63" t="s">
        <v>261</v>
      </c>
      <c r="EI308" s="63" t="s">
        <v>688</v>
      </c>
      <c r="EJ308" s="63" t="s">
        <v>689</v>
      </c>
      <c r="EK308" s="63">
        <v>350</v>
      </c>
      <c r="EL308" s="63">
        <v>350</v>
      </c>
      <c r="EM308" s="63">
        <v>149</v>
      </c>
      <c r="EN308" s="63">
        <v>6.6685904906306714E-2</v>
      </c>
      <c r="EO308" s="63">
        <v>0.35</v>
      </c>
      <c r="EP308" s="63">
        <v>4.331996489957058E-2</v>
      </c>
      <c r="EQ308" s="63">
        <v>0.24733285240047689</v>
      </c>
      <c r="ER308" s="63">
        <v>6.3588697321740195</v>
      </c>
      <c r="ES308" s="63">
        <v>16</v>
      </c>
      <c r="ET308" s="63">
        <v>10</v>
      </c>
      <c r="EU308" s="63">
        <v>32.358869732174021</v>
      </c>
      <c r="EV308" s="63">
        <v>12.492469481974306</v>
      </c>
    </row>
    <row r="309" spans="138:152" x14ac:dyDescent="0.25">
      <c r="EH309" s="63" t="s">
        <v>260</v>
      </c>
      <c r="EI309" s="63" t="s">
        <v>689</v>
      </c>
      <c r="EJ309" s="63" t="s">
        <v>690</v>
      </c>
      <c r="EK309" s="63">
        <v>350</v>
      </c>
      <c r="EL309" s="63">
        <v>350</v>
      </c>
      <c r="EM309" s="63">
        <v>260</v>
      </c>
      <c r="EN309" s="63">
        <v>6.4212306552556886E-2</v>
      </c>
      <c r="EO309" s="63">
        <v>0.35</v>
      </c>
      <c r="EP309" s="63">
        <v>4.1713085694577677E-2</v>
      </c>
      <c r="EQ309" s="63">
        <v>0.43158752767868452</v>
      </c>
      <c r="ER309" s="63">
        <v>6.7904572598527038</v>
      </c>
      <c r="ES309" s="63">
        <v>16</v>
      </c>
      <c r="ET309" s="63">
        <v>10</v>
      </c>
      <c r="EU309" s="63">
        <v>32.790457259852701</v>
      </c>
      <c r="EV309" s="63">
        <v>12.06088195429562</v>
      </c>
    </row>
    <row r="310" spans="138:152" x14ac:dyDescent="0.25">
      <c r="EH310" s="63" t="s">
        <v>410</v>
      </c>
      <c r="EI310" s="63" t="s">
        <v>690</v>
      </c>
      <c r="EJ310" s="63" t="s">
        <v>701</v>
      </c>
      <c r="EK310" s="63">
        <v>350</v>
      </c>
      <c r="EL310" s="63">
        <v>350</v>
      </c>
      <c r="EM310" s="63">
        <v>81</v>
      </c>
      <c r="EN310" s="63">
        <v>6.2086070535941118E-2</v>
      </c>
      <c r="EO310" s="63">
        <v>0.35</v>
      </c>
      <c r="EP310" s="63">
        <v>4.0331857236518817E-2</v>
      </c>
      <c r="EQ310" s="63">
        <v>0.13445611439220556</v>
      </c>
      <c r="ER310" s="63">
        <v>6.9249133742449089</v>
      </c>
      <c r="ES310" s="63">
        <v>12</v>
      </c>
      <c r="ET310" s="63">
        <v>10</v>
      </c>
      <c r="EU310" s="63">
        <v>28.924913374244909</v>
      </c>
      <c r="EV310" s="63">
        <v>15.926425839903416</v>
      </c>
    </row>
    <row r="311" spans="138:152" x14ac:dyDescent="0.25">
      <c r="EH311" s="63" t="s">
        <v>263</v>
      </c>
      <c r="EI311" s="63" t="s">
        <v>692</v>
      </c>
      <c r="EJ311" s="63" t="s">
        <v>691</v>
      </c>
      <c r="EK311" s="63">
        <v>250</v>
      </c>
      <c r="EL311" s="63">
        <v>250</v>
      </c>
      <c r="EM311" s="63">
        <v>234</v>
      </c>
      <c r="EN311" s="63">
        <v>7.5790581407477429E-4</v>
      </c>
      <c r="EO311" s="63">
        <v>0.25</v>
      </c>
      <c r="EP311" s="63">
        <v>9.649956536646985E-4</v>
      </c>
      <c r="EQ311" s="63">
        <v>0.35691500121726061</v>
      </c>
      <c r="ER311" s="63">
        <v>7.2818283754621698</v>
      </c>
      <c r="ES311" s="63">
        <v>16</v>
      </c>
      <c r="ET311" s="63">
        <v>10</v>
      </c>
      <c r="EU311" s="63">
        <v>33.281828375462169</v>
      </c>
      <c r="EV311" s="63">
        <v>11.569510838686156</v>
      </c>
    </row>
    <row r="312" spans="138:152" x14ac:dyDescent="0.25">
      <c r="EH312" s="63" t="s">
        <v>264</v>
      </c>
      <c r="EI312" s="63" t="s">
        <v>693</v>
      </c>
      <c r="EJ312" s="63" t="s">
        <v>692</v>
      </c>
      <c r="EK312" s="63">
        <v>250</v>
      </c>
      <c r="EL312" s="63">
        <v>250</v>
      </c>
      <c r="EM312" s="63">
        <v>74</v>
      </c>
      <c r="EN312" s="63">
        <v>1.6875265397991862E-3</v>
      </c>
      <c r="EO312" s="63">
        <v>0.25</v>
      </c>
      <c r="EP312" s="63">
        <v>2.1486255232624203E-3</v>
      </c>
      <c r="EQ312" s="63">
        <v>0.1128705559405012</v>
      </c>
      <c r="ER312" s="63">
        <v>7.3946989314026705</v>
      </c>
      <c r="ES312" s="63">
        <v>9</v>
      </c>
      <c r="ET312" s="63">
        <v>10</v>
      </c>
      <c r="EU312" s="63">
        <v>26.394698931402672</v>
      </c>
      <c r="EV312" s="63">
        <v>18.456640282745653</v>
      </c>
    </row>
    <row r="313" spans="138:152" x14ac:dyDescent="0.25">
      <c r="EH313" s="63" t="s">
        <v>266</v>
      </c>
      <c r="EI313" s="63" t="s">
        <v>694</v>
      </c>
      <c r="EJ313" s="63" t="s">
        <v>693</v>
      </c>
      <c r="EK313" s="63">
        <v>250</v>
      </c>
      <c r="EL313" s="63">
        <v>250</v>
      </c>
      <c r="EM313" s="63">
        <v>79</v>
      </c>
      <c r="EN313" s="63">
        <v>1.5957880706549475E-3</v>
      </c>
      <c r="EO313" s="63">
        <v>0.25</v>
      </c>
      <c r="EP313" s="63">
        <v>2.0318204765745092E-3</v>
      </c>
      <c r="EQ313" s="63">
        <v>0.12049694485539995</v>
      </c>
      <c r="ER313" s="63">
        <v>7.5151958762580708</v>
      </c>
      <c r="ES313" s="63">
        <v>13</v>
      </c>
      <c r="ET313" s="63">
        <v>10</v>
      </c>
      <c r="EU313" s="63">
        <v>30.515195876258069</v>
      </c>
      <c r="EV313" s="63">
        <v>14.336143337890254</v>
      </c>
    </row>
    <row r="314" spans="138:152" x14ac:dyDescent="0.25">
      <c r="EH314" s="63" t="s">
        <v>276</v>
      </c>
      <c r="EI314" s="63" t="s">
        <v>695</v>
      </c>
      <c r="EJ314" s="63" t="s">
        <v>694</v>
      </c>
      <c r="EK314" s="63">
        <v>250</v>
      </c>
      <c r="EL314" s="63">
        <v>250</v>
      </c>
      <c r="EM314" s="63">
        <v>241</v>
      </c>
      <c r="EN314" s="63">
        <v>3.8781924199989834E-3</v>
      </c>
      <c r="EO314" s="63">
        <v>0.25</v>
      </c>
      <c r="EP314" s="63">
        <v>4.9378679512348646E-3</v>
      </c>
      <c r="EQ314" s="63">
        <v>0.36759194569811882</v>
      </c>
      <c r="ER314" s="63">
        <v>7.8827878219561898</v>
      </c>
      <c r="ES314" s="63">
        <v>9</v>
      </c>
      <c r="ET314" s="63">
        <v>10</v>
      </c>
      <c r="EU314" s="63">
        <v>26.882787821956189</v>
      </c>
      <c r="EV314" s="63">
        <v>17.968551392192136</v>
      </c>
    </row>
    <row r="315" spans="138:152" x14ac:dyDescent="0.25">
      <c r="EH315" s="63" t="s">
        <v>316</v>
      </c>
      <c r="EI315" s="63" t="s">
        <v>696</v>
      </c>
      <c r="EJ315" s="63" t="s">
        <v>695</v>
      </c>
      <c r="EK315" s="63">
        <v>250</v>
      </c>
      <c r="EL315" s="63">
        <v>250</v>
      </c>
      <c r="EM315" s="63">
        <v>61</v>
      </c>
      <c r="EN315" s="63">
        <v>6.2940476480171049E-3</v>
      </c>
      <c r="EO315" s="63">
        <v>0.25</v>
      </c>
      <c r="EP315" s="63">
        <v>8.0138303619027209E-3</v>
      </c>
      <c r="EQ315" s="63">
        <v>9.30419447617645E-2</v>
      </c>
      <c r="ER315" s="63">
        <v>7.9758297667179541</v>
      </c>
      <c r="ES315" s="63">
        <v>13</v>
      </c>
      <c r="ET315" s="63">
        <v>10</v>
      </c>
      <c r="EU315" s="63">
        <v>30.975829766717954</v>
      </c>
      <c r="EV315" s="63">
        <v>13.875509447430371</v>
      </c>
    </row>
    <row r="316" spans="138:152" x14ac:dyDescent="0.25">
      <c r="EH316" s="63" t="s">
        <v>412</v>
      </c>
      <c r="EI316" s="63" t="s">
        <v>775</v>
      </c>
      <c r="EJ316" s="63" t="s">
        <v>696</v>
      </c>
      <c r="EK316" s="63">
        <v>250</v>
      </c>
      <c r="EL316" s="63">
        <v>250</v>
      </c>
      <c r="EM316" s="63">
        <v>76</v>
      </c>
      <c r="EN316" s="63">
        <v>4.8204183594252655E-3</v>
      </c>
      <c r="EO316" s="63">
        <v>0.25</v>
      </c>
      <c r="EP316" s="63">
        <v>6.1375472773876451E-3</v>
      </c>
      <c r="EQ316" s="63">
        <v>0.1159211115064607</v>
      </c>
      <c r="ER316" s="63">
        <v>8.0917508782244152</v>
      </c>
      <c r="ES316" s="63">
        <v>15</v>
      </c>
      <c r="ET316" s="63">
        <v>10</v>
      </c>
      <c r="EU316" s="63">
        <v>33.091750878224417</v>
      </c>
      <c r="EV316" s="63">
        <v>11.75958833592391</v>
      </c>
    </row>
    <row r="317" spans="138:152" x14ac:dyDescent="0.25">
      <c r="EH317" s="63" t="s">
        <v>308</v>
      </c>
      <c r="EI317" s="63" t="s">
        <v>698</v>
      </c>
      <c r="EJ317" s="63" t="s">
        <v>697</v>
      </c>
      <c r="EK317" s="63">
        <v>250</v>
      </c>
      <c r="EL317" s="63">
        <v>250</v>
      </c>
      <c r="EM317" s="63">
        <v>132</v>
      </c>
      <c r="EN317" s="63">
        <v>2.7931675626914295E-3</v>
      </c>
      <c r="EO317" s="63">
        <v>0.25</v>
      </c>
      <c r="EP317" s="63">
        <v>3.5563713958902598E-3</v>
      </c>
      <c r="EQ317" s="63">
        <v>0.20133666735332648</v>
      </c>
      <c r="ER317" s="63">
        <v>8.2930875455777411</v>
      </c>
      <c r="ES317" s="63">
        <v>8</v>
      </c>
      <c r="ET317" s="63">
        <v>10</v>
      </c>
      <c r="EU317" s="63">
        <v>26.293087545577741</v>
      </c>
      <c r="EV317" s="63">
        <v>18.558251668570584</v>
      </c>
    </row>
    <row r="318" spans="138:152" x14ac:dyDescent="0.25">
      <c r="EH318" s="63" t="s">
        <v>411</v>
      </c>
      <c r="EI318" s="63" t="s">
        <v>697</v>
      </c>
      <c r="EJ318" s="63" t="s">
        <v>775</v>
      </c>
      <c r="EK318" s="63">
        <v>250</v>
      </c>
      <c r="EL318" s="63">
        <v>250</v>
      </c>
      <c r="EM318" s="63">
        <v>154</v>
      </c>
      <c r="EN318" s="63">
        <v>3.7213845051180475E-3</v>
      </c>
      <c r="EO318" s="63">
        <v>0.25</v>
      </c>
      <c r="EP318" s="63">
        <v>4.7382139130809917E-3</v>
      </c>
      <c r="EQ318" s="63">
        <v>0.23489277857888088</v>
      </c>
      <c r="ER318" s="63">
        <v>8.5279803241566228</v>
      </c>
      <c r="ES318" s="63">
        <v>10</v>
      </c>
      <c r="ET318" s="63">
        <v>10</v>
      </c>
      <c r="EU318" s="63">
        <v>28.527980324156623</v>
      </c>
      <c r="EV318" s="63">
        <v>16.323358889991702</v>
      </c>
    </row>
    <row r="319" spans="138:152" x14ac:dyDescent="0.25">
      <c r="EH319" s="63" t="s">
        <v>309</v>
      </c>
      <c r="EI319" s="63" t="s">
        <v>699</v>
      </c>
      <c r="EJ319" s="63" t="s">
        <v>698</v>
      </c>
      <c r="EK319" s="63">
        <v>250</v>
      </c>
      <c r="EL319" s="63">
        <v>250</v>
      </c>
      <c r="EM319" s="63">
        <v>212</v>
      </c>
      <c r="EN319" s="63">
        <v>9.8794479951817143E-7</v>
      </c>
      <c r="EO319" s="63">
        <v>0.25</v>
      </c>
      <c r="EP319" s="63">
        <v>1.2578903867619882E-6</v>
      </c>
      <c r="EQ319" s="63">
        <v>0.32335888999170614</v>
      </c>
      <c r="ER319" s="63">
        <v>8.8513392141483287</v>
      </c>
      <c r="ES319" s="63">
        <v>16</v>
      </c>
      <c r="ET319" s="63">
        <v>10</v>
      </c>
      <c r="EU319" s="63">
        <v>34.851339214148325</v>
      </c>
      <c r="EV319" s="63">
        <v>9.9999999999999964</v>
      </c>
    </row>
    <row r="320" spans="138:152" x14ac:dyDescent="0.25">
      <c r="EH320" s="63" t="s">
        <v>310</v>
      </c>
      <c r="EI320" s="63" t="s">
        <v>700</v>
      </c>
      <c r="EJ320" s="63" t="s">
        <v>699</v>
      </c>
      <c r="EK320" s="63">
        <v>250</v>
      </c>
      <c r="EL320" s="63">
        <v>250</v>
      </c>
      <c r="EM320" s="63">
        <v>173</v>
      </c>
      <c r="EN320" s="63">
        <v>2.3196888687243922E-3</v>
      </c>
      <c r="EO320" s="63">
        <v>0.25</v>
      </c>
      <c r="EP320" s="63">
        <v>2.9535195991418697E-3</v>
      </c>
      <c r="EQ320" s="63">
        <v>0.26387305645549608</v>
      </c>
      <c r="ER320" s="63">
        <v>9.1152122706038252</v>
      </c>
      <c r="ES320" s="63">
        <v>8</v>
      </c>
      <c r="ET320" s="63">
        <v>10</v>
      </c>
      <c r="EU320" s="63">
        <v>27.115212270603827</v>
      </c>
      <c r="EV320" s="63">
        <v>17.736126943544498</v>
      </c>
    </row>
    <row r="321" spans="138:152" x14ac:dyDescent="0.25">
      <c r="EH321" s="63" t="s">
        <v>312</v>
      </c>
      <c r="EI321" s="63" t="s">
        <v>701</v>
      </c>
      <c r="EJ321" s="63" t="s">
        <v>700</v>
      </c>
      <c r="EK321" s="63">
        <v>250</v>
      </c>
      <c r="EL321" s="63">
        <v>250</v>
      </c>
      <c r="EM321" s="63">
        <v>133</v>
      </c>
      <c r="EN321" s="63">
        <v>4.2142145374784905E-3</v>
      </c>
      <c r="EO321" s="63">
        <v>0.25</v>
      </c>
      <c r="EP321" s="63">
        <v>5.3657045991154177E-3</v>
      </c>
      <c r="EQ321" s="63">
        <v>0.20285050391304088</v>
      </c>
      <c r="ER321" s="63">
        <v>9.318062774516866</v>
      </c>
      <c r="ES321" s="63">
        <v>13</v>
      </c>
      <c r="ET321" s="63">
        <v>10</v>
      </c>
      <c r="EU321" s="63">
        <v>32.318062774516868</v>
      </c>
      <c r="EV321" s="63">
        <v>12.533276439631459</v>
      </c>
    </row>
    <row r="322" spans="138:152" x14ac:dyDescent="0.25">
      <c r="EH322" s="63" t="s">
        <v>405</v>
      </c>
      <c r="EI322" s="63" t="s">
        <v>419</v>
      </c>
      <c r="EJ322" s="63" t="s">
        <v>581</v>
      </c>
      <c r="EK322" s="63">
        <v>700</v>
      </c>
      <c r="EL322" s="63">
        <v>800</v>
      </c>
      <c r="EM322" s="63">
        <v>47</v>
      </c>
      <c r="EN322" s="63">
        <v>0.32695801758481885</v>
      </c>
      <c r="EO322" s="63">
        <v>0.7</v>
      </c>
      <c r="EP322" s="63">
        <v>5.3098963961378337E-2</v>
      </c>
      <c r="EQ322" s="63">
        <v>0.3321200561523438</v>
      </c>
      <c r="ER322" s="63">
        <v>0.3321200561523438</v>
      </c>
      <c r="ES322" s="63">
        <v>12</v>
      </c>
      <c r="ET322" s="63">
        <v>10</v>
      </c>
      <c r="EU322" s="63">
        <v>22.332120056152345</v>
      </c>
      <c r="EV322" s="63">
        <v>22.206922716379164</v>
      </c>
    </row>
    <row r="323" spans="138:152" x14ac:dyDescent="0.25">
      <c r="EH323" s="63" t="s">
        <v>406</v>
      </c>
      <c r="EI323" s="63" t="s">
        <v>581</v>
      </c>
      <c r="EJ323" s="63" t="s">
        <v>582</v>
      </c>
      <c r="EK323" s="63">
        <v>700</v>
      </c>
      <c r="EL323" s="63">
        <v>800</v>
      </c>
      <c r="EM323" s="63">
        <v>117</v>
      </c>
      <c r="EN323" s="63">
        <v>0.32569252933850168</v>
      </c>
      <c r="EO323" s="63">
        <v>0.7</v>
      </c>
      <c r="EP323" s="63">
        <v>5.2893444869719079E-2</v>
      </c>
      <c r="EQ323" s="63">
        <v>0.33091619873046879</v>
      </c>
      <c r="ER323" s="63">
        <v>0.66303625488281259</v>
      </c>
      <c r="ES323" s="63">
        <v>16</v>
      </c>
      <c r="ET323" s="63">
        <v>10</v>
      </c>
      <c r="EU323" s="63">
        <v>26.663036254882812</v>
      </c>
      <c r="EV323" s="63">
        <v>17.876006517648698</v>
      </c>
    </row>
    <row r="324" spans="138:152" x14ac:dyDescent="0.25">
      <c r="EH324" s="63" t="s">
        <v>407</v>
      </c>
      <c r="EI324" s="63" t="s">
        <v>582</v>
      </c>
      <c r="EJ324" s="63" t="s">
        <v>583</v>
      </c>
      <c r="EK324" s="63">
        <v>700</v>
      </c>
      <c r="EL324" s="63">
        <v>800</v>
      </c>
      <c r="EM324" s="63">
        <v>167</v>
      </c>
      <c r="EN324" s="63">
        <v>0.32282119808546517</v>
      </c>
      <c r="EO324" s="63">
        <v>0.7</v>
      </c>
      <c r="EP324" s="63">
        <v>5.2427132051173157E-2</v>
      </c>
      <c r="EQ324" s="63">
        <v>0.32929580688476562</v>
      </c>
      <c r="ER324" s="63">
        <v>0.99233206176757816</v>
      </c>
      <c r="ES324" s="63">
        <v>13</v>
      </c>
      <c r="ET324" s="63">
        <v>10</v>
      </c>
      <c r="EU324" s="63">
        <v>23.992332061767577</v>
      </c>
      <c r="EV324" s="63">
        <v>20.546710710763932</v>
      </c>
    </row>
    <row r="325" spans="138:152" x14ac:dyDescent="0.25">
      <c r="EH325" s="63" t="s">
        <v>399</v>
      </c>
      <c r="EI325" s="63" t="s">
        <v>598</v>
      </c>
      <c r="EJ325" s="63" t="s">
        <v>583</v>
      </c>
      <c r="EK325" s="63">
        <v>466</v>
      </c>
      <c r="EL325" s="63">
        <v>500</v>
      </c>
      <c r="EM325" s="63">
        <v>93</v>
      </c>
      <c r="EN325" s="63">
        <v>-0.20269972205284387</v>
      </c>
      <c r="EO325" s="63">
        <v>0.46600000000000003</v>
      </c>
      <c r="EP325" s="63">
        <v>-7.4279924865219865E-2</v>
      </c>
      <c r="EQ325" s="63">
        <v>0.20916310119628909</v>
      </c>
      <c r="ER325" s="63">
        <v>1.2014951629638673</v>
      </c>
      <c r="ES325" s="63">
        <v>13</v>
      </c>
      <c r="ET325" s="63">
        <v>10</v>
      </c>
      <c r="EU325" s="63">
        <v>24.201495162963866</v>
      </c>
      <c r="EV325" s="63">
        <v>20.337547609567643</v>
      </c>
    </row>
    <row r="326" spans="138:152" x14ac:dyDescent="0.25">
      <c r="EH326" s="63" t="s">
        <v>400</v>
      </c>
      <c r="EI326" s="63" t="s">
        <v>583</v>
      </c>
      <c r="EJ326" s="63" t="s">
        <v>584</v>
      </c>
      <c r="EK326" s="63">
        <v>466</v>
      </c>
      <c r="EL326" s="63">
        <v>500</v>
      </c>
      <c r="EM326" s="63">
        <v>181</v>
      </c>
      <c r="EN326" s="63">
        <v>0.11132402623255135</v>
      </c>
      <c r="EO326" s="63">
        <v>0.46600000000000003</v>
      </c>
      <c r="EP326" s="63">
        <v>4.0795025373009206E-2</v>
      </c>
      <c r="EQ326" s="63">
        <v>0.11761656188964839</v>
      </c>
      <c r="ER326" s="63">
        <v>1.3191117248535156</v>
      </c>
      <c r="ES326" s="63">
        <v>16</v>
      </c>
      <c r="ET326" s="63">
        <v>10</v>
      </c>
      <c r="EU326" s="63">
        <v>27.319111724853517</v>
      </c>
      <c r="EV326" s="63">
        <v>17.219931047677992</v>
      </c>
    </row>
    <row r="327" spans="138:152" x14ac:dyDescent="0.25">
      <c r="EH327" s="63" t="s">
        <v>401</v>
      </c>
      <c r="EI327" s="63" t="s">
        <v>584</v>
      </c>
      <c r="EJ327" s="63" t="s">
        <v>585</v>
      </c>
      <c r="EK327" s="63">
        <v>466</v>
      </c>
      <c r="EL327" s="63">
        <v>500</v>
      </c>
      <c r="EM327" s="63">
        <v>133</v>
      </c>
      <c r="EN327" s="63">
        <v>0.11052685253980399</v>
      </c>
      <c r="EO327" s="63">
        <v>0.46600000000000003</v>
      </c>
      <c r="EP327" s="63">
        <v>4.0502898667545015E-2</v>
      </c>
      <c r="EQ327" s="63">
        <v>0.1158250274658203</v>
      </c>
      <c r="ER327" s="63">
        <v>1.4349367523193359</v>
      </c>
      <c r="ES327" s="63">
        <v>19</v>
      </c>
      <c r="ET327" s="63">
        <v>10</v>
      </c>
      <c r="EU327" s="63">
        <v>30.434936752319334</v>
      </c>
      <c r="EV327" s="63">
        <v>14.104106020212173</v>
      </c>
    </row>
    <row r="328" spans="138:152" x14ac:dyDescent="0.25">
      <c r="EH328" s="63" t="s">
        <v>403</v>
      </c>
      <c r="EI328" s="63" t="s">
        <v>585</v>
      </c>
      <c r="EJ328" s="63" t="s">
        <v>586</v>
      </c>
      <c r="EK328" s="63">
        <v>466</v>
      </c>
      <c r="EL328" s="63">
        <v>500</v>
      </c>
      <c r="EM328" s="63">
        <v>75</v>
      </c>
      <c r="EN328" s="63">
        <v>0.10907875110584422</v>
      </c>
      <c r="EO328" s="63">
        <v>0.46600000000000003</v>
      </c>
      <c r="EP328" s="63">
        <v>3.9972237526906124E-2</v>
      </c>
      <c r="EQ328" s="63">
        <v>0.1146382675170898</v>
      </c>
      <c r="ER328" s="63">
        <v>1.5495750198364258</v>
      </c>
      <c r="ES328" s="63">
        <v>18</v>
      </c>
      <c r="ET328" s="63">
        <v>10</v>
      </c>
      <c r="EU328" s="63">
        <v>29.549575019836425</v>
      </c>
      <c r="EV328" s="63">
        <v>14.989467752695084</v>
      </c>
    </row>
    <row r="329" spans="138:152" x14ac:dyDescent="0.25">
      <c r="EH329" s="63" t="s">
        <v>396</v>
      </c>
      <c r="EI329" s="63" t="s">
        <v>586</v>
      </c>
      <c r="EJ329" s="63" t="s">
        <v>587</v>
      </c>
      <c r="EK329" s="63">
        <v>466</v>
      </c>
      <c r="EL329" s="63">
        <v>500</v>
      </c>
      <c r="EM329" s="63">
        <v>94</v>
      </c>
      <c r="EN329" s="63">
        <v>0.10768741191372394</v>
      </c>
      <c r="EO329" s="63">
        <v>0.46600000000000003</v>
      </c>
      <c r="EP329" s="63">
        <v>3.946237708108969E-2</v>
      </c>
      <c r="EQ329" s="63">
        <v>0.1136740341186523</v>
      </c>
      <c r="ER329" s="63">
        <v>1.6632490539550782</v>
      </c>
      <c r="ES329" s="63">
        <v>16</v>
      </c>
      <c r="ET329" s="63">
        <v>10</v>
      </c>
      <c r="EU329" s="63">
        <v>27.663249053955077</v>
      </c>
      <c r="EV329" s="63">
        <v>16.875793718576432</v>
      </c>
    </row>
    <row r="330" spans="138:152" x14ac:dyDescent="0.25">
      <c r="EH330" s="63" t="s">
        <v>402</v>
      </c>
      <c r="EI330" s="63" t="s">
        <v>588</v>
      </c>
      <c r="EJ330" s="63" t="s">
        <v>587</v>
      </c>
      <c r="EK330" s="63">
        <v>350</v>
      </c>
      <c r="EL330" s="63">
        <v>350</v>
      </c>
      <c r="EM330" s="63">
        <v>133</v>
      </c>
      <c r="EN330" s="63">
        <v>-2.5839013948785006E-2</v>
      </c>
      <c r="EO330" s="63">
        <v>0.35</v>
      </c>
      <c r="EP330" s="63">
        <v>-1.6785333855385994E-2</v>
      </c>
      <c r="EQ330" s="63">
        <v>3.1258901596069338E-2</v>
      </c>
      <c r="ER330" s="63">
        <v>1.6945079555511475</v>
      </c>
      <c r="ES330" s="63">
        <v>16</v>
      </c>
      <c r="ET330" s="63">
        <v>10</v>
      </c>
      <c r="EU330" s="63">
        <v>27.694507955551149</v>
      </c>
      <c r="EV330" s="63">
        <v>16.84453481698036</v>
      </c>
    </row>
    <row r="331" spans="138:152" x14ac:dyDescent="0.25">
      <c r="EH331" s="63" t="s">
        <v>174</v>
      </c>
      <c r="EI331" s="63" t="s">
        <v>589</v>
      </c>
      <c r="EJ331" s="63" t="s">
        <v>588</v>
      </c>
      <c r="EK331" s="63">
        <v>350</v>
      </c>
      <c r="EL331" s="63">
        <v>350</v>
      </c>
      <c r="EM331" s="63">
        <v>178</v>
      </c>
      <c r="EN331" s="63">
        <v>-2.4259108997570306E-2</v>
      </c>
      <c r="EO331" s="63">
        <v>0.35</v>
      </c>
      <c r="EP331" s="63">
        <v>-1.5759008620279139E-2</v>
      </c>
      <c r="EQ331" s="63">
        <v>2.9484477996826169E-2</v>
      </c>
      <c r="ER331" s="63">
        <v>1.7239924335479737</v>
      </c>
      <c r="ES331" s="63">
        <v>17</v>
      </c>
      <c r="ET331" s="63">
        <v>10</v>
      </c>
      <c r="EU331" s="63">
        <v>28.723992433547973</v>
      </c>
      <c r="EV331" s="63">
        <v>15.815050338983536</v>
      </c>
    </row>
    <row r="332" spans="138:152" x14ac:dyDescent="0.25">
      <c r="EH332" s="63" t="s">
        <v>175</v>
      </c>
      <c r="EI332" s="63" t="s">
        <v>590</v>
      </c>
      <c r="EJ332" s="63" t="s">
        <v>589</v>
      </c>
      <c r="EK332" s="63">
        <v>350</v>
      </c>
      <c r="EL332" s="63">
        <v>350</v>
      </c>
      <c r="EM332" s="63">
        <v>198</v>
      </c>
      <c r="EN332" s="63">
        <v>-2.0891790732002126E-2</v>
      </c>
      <c r="EO332" s="63">
        <v>0.35</v>
      </c>
      <c r="EP332" s="63">
        <v>-1.357155822465137E-2</v>
      </c>
      <c r="EQ332" s="63">
        <v>2.7339191436767583E-2</v>
      </c>
      <c r="ER332" s="63">
        <v>1.7513316249847413</v>
      </c>
      <c r="ES332" s="63">
        <v>15</v>
      </c>
      <c r="ET332" s="63">
        <v>10</v>
      </c>
      <c r="EU332" s="63">
        <v>26.75133162498474</v>
      </c>
      <c r="EV332" s="63">
        <v>17.787711147546769</v>
      </c>
    </row>
    <row r="333" spans="138:152" x14ac:dyDescent="0.25">
      <c r="EH333" s="63" t="s">
        <v>176</v>
      </c>
      <c r="EI333" s="63" t="s">
        <v>591</v>
      </c>
      <c r="EJ333" s="63" t="s">
        <v>590</v>
      </c>
      <c r="EK333" s="63">
        <v>350</v>
      </c>
      <c r="EL333" s="63">
        <v>350</v>
      </c>
      <c r="EM333" s="63">
        <v>174</v>
      </c>
      <c r="EN333" s="63">
        <v>-1.9209646870473867E-2</v>
      </c>
      <c r="EO333" s="63">
        <v>0.35</v>
      </c>
      <c r="EP333" s="63">
        <v>-1.247881736524765E-2</v>
      </c>
      <c r="EQ333" s="63">
        <v>2.5216728210449218E-2</v>
      </c>
      <c r="ER333" s="63">
        <v>1.7765483531951904</v>
      </c>
      <c r="ES333" s="63">
        <v>16</v>
      </c>
      <c r="ET333" s="63">
        <v>10</v>
      </c>
      <c r="EU333" s="63">
        <v>27.776548353195189</v>
      </c>
      <c r="EV333" s="63">
        <v>16.762494419336321</v>
      </c>
    </row>
    <row r="334" spans="138:152" x14ac:dyDescent="0.25">
      <c r="EH334" s="63" t="s">
        <v>177</v>
      </c>
      <c r="EI334" s="63" t="s">
        <v>592</v>
      </c>
      <c r="EJ334" s="63" t="s">
        <v>591</v>
      </c>
      <c r="EK334" s="63">
        <v>350</v>
      </c>
      <c r="EL334" s="63">
        <v>350</v>
      </c>
      <c r="EM334" s="63">
        <v>227</v>
      </c>
      <c r="EN334" s="63">
        <v>-1.6738908936000177E-2</v>
      </c>
      <c r="EO334" s="63">
        <v>0.35</v>
      </c>
      <c r="EP334" s="63">
        <v>-1.0873796322977662E-2</v>
      </c>
      <c r="EQ334" s="63">
        <v>2.2928802490234379E-2</v>
      </c>
      <c r="ER334" s="63">
        <v>1.7994771556854248</v>
      </c>
      <c r="ES334" s="63">
        <v>17</v>
      </c>
      <c r="ET334" s="63">
        <v>10</v>
      </c>
      <c r="EU334" s="63">
        <v>28.799477155685423</v>
      </c>
      <c r="EV334" s="63">
        <v>15.739565616846084</v>
      </c>
    </row>
    <row r="335" spans="138:152" x14ac:dyDescent="0.25">
      <c r="EH335" s="63" t="s">
        <v>157</v>
      </c>
      <c r="EI335" s="63" t="s">
        <v>593</v>
      </c>
      <c r="EJ335" s="63" t="s">
        <v>592</v>
      </c>
      <c r="EK335" s="63">
        <v>350</v>
      </c>
      <c r="EL335" s="63">
        <v>350</v>
      </c>
      <c r="EM335" s="63">
        <v>533</v>
      </c>
      <c r="EN335" s="63">
        <v>-1.2144866330574784E-2</v>
      </c>
      <c r="EO335" s="63">
        <v>0.35</v>
      </c>
      <c r="EP335" s="63">
        <v>-7.8894510600053293E-3</v>
      </c>
      <c r="EQ335" s="63">
        <v>1.8592584609985353E-2</v>
      </c>
      <c r="ER335" s="63">
        <v>1.81806974029541</v>
      </c>
      <c r="ES335" s="63">
        <v>14</v>
      </c>
      <c r="ET335" s="63">
        <v>10</v>
      </c>
      <c r="EU335" s="63">
        <v>25.81806974029541</v>
      </c>
      <c r="EV335" s="63">
        <v>18.720973032236099</v>
      </c>
    </row>
    <row r="336" spans="138:152" x14ac:dyDescent="0.25">
      <c r="EH336" s="63" t="s">
        <v>156</v>
      </c>
      <c r="EI336" s="63" t="s">
        <v>594</v>
      </c>
      <c r="EJ336" s="63" t="s">
        <v>593</v>
      </c>
      <c r="EK336" s="63">
        <v>350</v>
      </c>
      <c r="EL336" s="63">
        <v>350</v>
      </c>
      <c r="EM336" s="63">
        <v>345</v>
      </c>
      <c r="EN336" s="63">
        <v>-7.649554198455511E-3</v>
      </c>
      <c r="EO336" s="63">
        <v>0.35</v>
      </c>
      <c r="EP336" s="63">
        <v>-4.9692422985043111E-3</v>
      </c>
      <c r="EQ336" s="63">
        <v>1.3583112716674799E-2</v>
      </c>
      <c r="ER336" s="63">
        <v>1.8316528530120848</v>
      </c>
      <c r="ES336" s="63">
        <v>13</v>
      </c>
      <c r="ET336" s="63">
        <v>10</v>
      </c>
      <c r="EU336" s="63">
        <v>24.831652853012084</v>
      </c>
      <c r="EV336" s="63">
        <v>19.707389919519425</v>
      </c>
    </row>
    <row r="337" spans="138:152" x14ac:dyDescent="0.25">
      <c r="EH337" s="63" t="s">
        <v>155</v>
      </c>
      <c r="EI337" s="63" t="s">
        <v>595</v>
      </c>
      <c r="EJ337" s="63" t="s">
        <v>594</v>
      </c>
      <c r="EK337" s="63">
        <v>350</v>
      </c>
      <c r="EL337" s="63">
        <v>350</v>
      </c>
      <c r="EM337" s="63">
        <v>795</v>
      </c>
      <c r="EN337" s="63">
        <v>-8.8685056572850463E-4</v>
      </c>
      <c r="EO337" s="63">
        <v>0.35</v>
      </c>
      <c r="EP337" s="63">
        <v>-5.7610878089606275E-4</v>
      </c>
      <c r="EQ337" s="63">
        <v>7.0787868499755857E-3</v>
      </c>
      <c r="ER337" s="63">
        <v>1.8387316398620603</v>
      </c>
      <c r="ES337" s="63">
        <v>15</v>
      </c>
      <c r="ET337" s="63">
        <v>10</v>
      </c>
      <c r="EU337" s="63">
        <v>26.838731639862061</v>
      </c>
      <c r="EV337" s="63">
        <v>17.700311132669448</v>
      </c>
    </row>
    <row r="338" spans="138:152" x14ac:dyDescent="0.25">
      <c r="EH338" s="63" t="s">
        <v>154</v>
      </c>
      <c r="EI338" s="63" t="s">
        <v>596</v>
      </c>
      <c r="EJ338" s="63" t="s">
        <v>595</v>
      </c>
      <c r="EK338" s="63">
        <v>350</v>
      </c>
      <c r="EL338" s="63">
        <v>350</v>
      </c>
      <c r="EM338" s="63">
        <v>496</v>
      </c>
      <c r="EN338" s="63">
        <v>-5.320223211385448E-3</v>
      </c>
      <c r="EO338" s="63">
        <v>0.35</v>
      </c>
      <c r="EP338" s="63">
        <v>-3.4560809079356401E-3</v>
      </c>
      <c r="EQ338" s="63">
        <v>2.8707671165466308E-4</v>
      </c>
      <c r="ER338" s="63">
        <v>1.8390187165737151</v>
      </c>
      <c r="ES338" s="63">
        <v>9</v>
      </c>
      <c r="ET338" s="63">
        <v>10</v>
      </c>
      <c r="EU338" s="63">
        <v>20.839018716573715</v>
      </c>
      <c r="EV338" s="63">
        <v>23.700024055957794</v>
      </c>
    </row>
    <row r="339" spans="138:152" x14ac:dyDescent="0.25">
      <c r="EH339" s="63" t="s">
        <v>153</v>
      </c>
      <c r="EI339" s="63" t="s">
        <v>597</v>
      </c>
      <c r="EJ339" s="63" t="s">
        <v>596</v>
      </c>
      <c r="EK339" s="63">
        <v>350</v>
      </c>
      <c r="EL339" s="63">
        <v>350</v>
      </c>
      <c r="EM339" s="63">
        <v>414</v>
      </c>
      <c r="EN339" s="63">
        <v>-1.5991994782500307E-4</v>
      </c>
      <c r="EO339" s="63">
        <v>0.35</v>
      </c>
      <c r="EP339" s="63">
        <v>-1.0388591916468261E-4</v>
      </c>
      <c r="EQ339" s="63">
        <v>5.4791264533996581E-3</v>
      </c>
      <c r="ER339" s="63">
        <v>1.8444978430271148</v>
      </c>
      <c r="ES339" s="63">
        <v>8</v>
      </c>
      <c r="ET339" s="63">
        <v>10</v>
      </c>
      <c r="EU339" s="63">
        <v>19.844497843027114</v>
      </c>
      <c r="EV339" s="63">
        <v>24.694544929504396</v>
      </c>
    </row>
    <row r="340" spans="138:152" x14ac:dyDescent="0.25">
      <c r="EH340" s="63" t="s">
        <v>404</v>
      </c>
      <c r="EI340" s="63" t="s">
        <v>611</v>
      </c>
      <c r="EJ340" s="63" t="s">
        <v>597</v>
      </c>
      <c r="EK340" s="63">
        <v>466</v>
      </c>
      <c r="EL340" s="63">
        <v>500</v>
      </c>
      <c r="EM340" s="63">
        <v>211</v>
      </c>
      <c r="EN340" s="63">
        <v>6.5183618837085594E-2</v>
      </c>
      <c r="EO340" s="63">
        <v>0.46600000000000003</v>
      </c>
      <c r="EP340" s="63">
        <v>2.3886733837748333E-2</v>
      </c>
      <c r="EQ340" s="63">
        <v>7.1654319763183594E-2</v>
      </c>
      <c r="ER340" s="63">
        <v>1.9161521627902984</v>
      </c>
      <c r="ES340" s="63">
        <v>17</v>
      </c>
      <c r="ET340" s="63">
        <v>10</v>
      </c>
      <c r="EU340" s="63">
        <v>28.916152162790297</v>
      </c>
      <c r="EV340" s="63">
        <v>15.62289060974121</v>
      </c>
    </row>
    <row r="341" spans="138:152" x14ac:dyDescent="0.25">
      <c r="EH341" s="63" t="s">
        <v>151</v>
      </c>
      <c r="EI341" s="63" t="s">
        <v>599</v>
      </c>
      <c r="EJ341" s="63" t="s">
        <v>598</v>
      </c>
      <c r="EK341" s="63">
        <v>466</v>
      </c>
      <c r="EL341" s="63">
        <v>500</v>
      </c>
      <c r="EM341" s="63">
        <v>56</v>
      </c>
      <c r="EN341" s="63">
        <v>-0.20180924300433026</v>
      </c>
      <c r="EO341" s="63">
        <v>0.46600000000000003</v>
      </c>
      <c r="EP341" s="63">
        <v>-7.3953606130552824E-2</v>
      </c>
      <c r="EQ341" s="63">
        <v>0.20831297302246091</v>
      </c>
      <c r="ER341" s="63">
        <v>2.1244651358127595</v>
      </c>
      <c r="ES341" s="63">
        <v>12</v>
      </c>
      <c r="ET341" s="63">
        <v>10</v>
      </c>
      <c r="EU341" s="63">
        <v>24.124465135812759</v>
      </c>
      <c r="EV341" s="63">
        <v>20.41457763671875</v>
      </c>
    </row>
    <row r="342" spans="138:152" x14ac:dyDescent="0.25">
      <c r="EH342" s="63" t="s">
        <v>150</v>
      </c>
      <c r="EI342" s="63" t="s">
        <v>600</v>
      </c>
      <c r="EJ342" s="63" t="s">
        <v>599</v>
      </c>
      <c r="EK342" s="63">
        <v>466</v>
      </c>
      <c r="EL342" s="63">
        <v>500</v>
      </c>
      <c r="EM342" s="63">
        <v>60</v>
      </c>
      <c r="EN342" s="63">
        <v>-0.20239427713333771</v>
      </c>
      <c r="EO342" s="63">
        <v>0.46600000000000003</v>
      </c>
      <c r="EP342" s="63">
        <v>-7.4167993652677469E-2</v>
      </c>
      <c r="EQ342" s="63">
        <v>0.207651123046875</v>
      </c>
      <c r="ER342" s="63">
        <v>2.3321162588596347</v>
      </c>
      <c r="ES342" s="63">
        <v>14</v>
      </c>
      <c r="ET342" s="63">
        <v>10</v>
      </c>
      <c r="EU342" s="63">
        <v>26.332116258859635</v>
      </c>
      <c r="EV342" s="63">
        <v>18.206926513671874</v>
      </c>
    </row>
    <row r="343" spans="138:152" x14ac:dyDescent="0.25">
      <c r="EH343" s="63" t="s">
        <v>149</v>
      </c>
      <c r="EI343" s="63" t="s">
        <v>601</v>
      </c>
      <c r="EJ343" s="63" t="s">
        <v>600</v>
      </c>
      <c r="EK343" s="63">
        <v>466</v>
      </c>
      <c r="EL343" s="63">
        <v>500</v>
      </c>
      <c r="EM343" s="63">
        <v>67</v>
      </c>
      <c r="EN343" s="63">
        <v>-0.20162554013312178</v>
      </c>
      <c r="EO343" s="63">
        <v>0.46600000000000003</v>
      </c>
      <c r="EP343" s="63">
        <v>-7.3886287659009314E-2</v>
      </c>
      <c r="EQ343" s="63">
        <v>0.20692651367187501</v>
      </c>
      <c r="ER343" s="63">
        <v>2.5390427725315097</v>
      </c>
      <c r="ES343" s="63">
        <v>22</v>
      </c>
      <c r="ET343" s="63">
        <v>10</v>
      </c>
      <c r="EU343" s="63">
        <v>34.539042772531509</v>
      </c>
      <c r="EV343" s="63">
        <v>10</v>
      </c>
    </row>
    <row r="344" spans="138:152" x14ac:dyDescent="0.25">
      <c r="EH344" s="63" t="s">
        <v>148</v>
      </c>
      <c r="EI344" s="63" t="s">
        <v>602</v>
      </c>
      <c r="EJ344" s="63" t="s">
        <v>601</v>
      </c>
      <c r="EK344" s="63">
        <v>466</v>
      </c>
      <c r="EL344" s="63">
        <v>500</v>
      </c>
      <c r="EM344" s="63">
        <v>194</v>
      </c>
      <c r="EN344" s="63">
        <v>-0.20039678333471983</v>
      </c>
      <c r="EO344" s="63">
        <v>0.46600000000000003</v>
      </c>
      <c r="EP344" s="63">
        <v>-7.3436006022021522E-2</v>
      </c>
      <c r="EQ344" s="63">
        <v>0.2054373626708984</v>
      </c>
      <c r="ER344" s="63">
        <v>2.7444801352024082</v>
      </c>
      <c r="ES344" s="63">
        <v>13</v>
      </c>
      <c r="ET344" s="63">
        <v>10</v>
      </c>
      <c r="EU344" s="63">
        <v>25.744480135202409</v>
      </c>
      <c r="EV344" s="63">
        <v>18.794562637329101</v>
      </c>
    </row>
    <row r="345" spans="138:152" x14ac:dyDescent="0.25">
      <c r="EH345" s="63" t="s">
        <v>147</v>
      </c>
      <c r="EI345" s="63" t="s">
        <v>603</v>
      </c>
      <c r="EJ345" s="63" t="s">
        <v>602</v>
      </c>
      <c r="EK345" s="63">
        <v>466</v>
      </c>
      <c r="EL345" s="63">
        <v>500</v>
      </c>
      <c r="EM345" s="63">
        <v>74</v>
      </c>
      <c r="EN345" s="63">
        <v>-0.19764543899739712</v>
      </c>
      <c r="EO345" s="63">
        <v>0.46600000000000003</v>
      </c>
      <c r="EP345" s="63">
        <v>-7.2427767586443412E-2</v>
      </c>
      <c r="EQ345" s="63">
        <v>0.20390827941894532</v>
      </c>
      <c r="ER345" s="63">
        <v>2.9483884146213537</v>
      </c>
      <c r="ES345" s="63">
        <v>11</v>
      </c>
      <c r="ET345" s="63">
        <v>10</v>
      </c>
      <c r="EU345" s="63">
        <v>23.948388414621355</v>
      </c>
      <c r="EV345" s="63">
        <v>20.590654357910154</v>
      </c>
    </row>
    <row r="346" spans="138:152" x14ac:dyDescent="0.25">
      <c r="EH346" s="63" t="s">
        <v>146</v>
      </c>
      <c r="EI346" s="63" t="s">
        <v>604</v>
      </c>
      <c r="EJ346" s="63" t="s">
        <v>603</v>
      </c>
      <c r="EK346" s="63">
        <v>466</v>
      </c>
      <c r="EL346" s="63">
        <v>500</v>
      </c>
      <c r="EM346" s="63">
        <v>92</v>
      </c>
      <c r="EN346" s="63">
        <v>-0.19785482356957199</v>
      </c>
      <c r="EO346" s="63">
        <v>0.46600000000000003</v>
      </c>
      <c r="EP346" s="63">
        <v>-7.2504497194809767E-2</v>
      </c>
      <c r="EQ346" s="63">
        <v>0.20296116638183592</v>
      </c>
      <c r="ER346" s="63">
        <v>3.1513495810031897</v>
      </c>
      <c r="ES346" s="63">
        <v>12</v>
      </c>
      <c r="ET346" s="63">
        <v>10</v>
      </c>
      <c r="EU346" s="63">
        <v>25.151349581003188</v>
      </c>
      <c r="EV346" s="63">
        <v>19.387693191528321</v>
      </c>
    </row>
    <row r="347" spans="138:152" x14ac:dyDescent="0.25">
      <c r="EH347" s="63" t="s">
        <v>145</v>
      </c>
      <c r="EI347" s="63" t="s">
        <v>605</v>
      </c>
      <c r="EJ347" s="63" t="s">
        <v>604</v>
      </c>
      <c r="EK347" s="63">
        <v>466</v>
      </c>
      <c r="EL347" s="63">
        <v>500</v>
      </c>
      <c r="EM347" s="63">
        <v>75</v>
      </c>
      <c r="EN347" s="63">
        <v>-0.19665419810246818</v>
      </c>
      <c r="EO347" s="63">
        <v>0.46600000000000003</v>
      </c>
      <c r="EP347" s="63">
        <v>-7.2064524369072541E-2</v>
      </c>
      <c r="EQ347" s="63">
        <v>0.20200834655761718</v>
      </c>
      <c r="ER347" s="63">
        <v>3.3533579275608068</v>
      </c>
      <c r="ES347" s="63">
        <v>18</v>
      </c>
      <c r="ET347" s="63">
        <v>10</v>
      </c>
      <c r="EU347" s="63">
        <v>31.353357927560808</v>
      </c>
      <c r="EV347" s="63">
        <v>13.185684844970702</v>
      </c>
    </row>
    <row r="348" spans="138:152" x14ac:dyDescent="0.25">
      <c r="EH348" s="63" t="s">
        <v>144</v>
      </c>
      <c r="EI348" s="63" t="s">
        <v>606</v>
      </c>
      <c r="EJ348" s="63" t="s">
        <v>605</v>
      </c>
      <c r="EK348" s="63">
        <v>466</v>
      </c>
      <c r="EL348" s="63">
        <v>500</v>
      </c>
      <c r="EM348" s="63">
        <v>76</v>
      </c>
      <c r="EN348" s="63">
        <v>-0.19565228663273518</v>
      </c>
      <c r="EO348" s="63">
        <v>0.46600000000000003</v>
      </c>
      <c r="EP348" s="63">
        <v>-7.1697370887362458E-2</v>
      </c>
      <c r="EQ348" s="63">
        <v>0.20114678955078119</v>
      </c>
      <c r="ER348" s="63">
        <v>3.554504717111588</v>
      </c>
      <c r="ES348" s="63">
        <v>9</v>
      </c>
      <c r="ET348" s="63">
        <v>10</v>
      </c>
      <c r="EU348" s="63">
        <v>22.554504717111588</v>
      </c>
      <c r="EV348" s="63">
        <v>21.984538055419922</v>
      </c>
    </row>
    <row r="349" spans="138:152" x14ac:dyDescent="0.25">
      <c r="EH349" s="63" t="s">
        <v>142</v>
      </c>
      <c r="EI349" s="63" t="s">
        <v>607</v>
      </c>
      <c r="EJ349" s="63" t="s">
        <v>606</v>
      </c>
      <c r="EK349" s="63">
        <v>466</v>
      </c>
      <c r="EL349" s="63">
        <v>500</v>
      </c>
      <c r="EM349" s="63">
        <v>76</v>
      </c>
      <c r="EN349" s="63">
        <v>-0.19425446505626293</v>
      </c>
      <c r="EO349" s="63">
        <v>0.46600000000000003</v>
      </c>
      <c r="EP349" s="63">
        <v>-7.1185134952237328E-2</v>
      </c>
      <c r="EQ349" s="63">
        <v>0.2002795562744141</v>
      </c>
      <c r="ER349" s="63">
        <v>3.7547842733860022</v>
      </c>
      <c r="ES349" s="63">
        <v>13</v>
      </c>
      <c r="ET349" s="63">
        <v>10</v>
      </c>
      <c r="EU349" s="63">
        <v>26.754784273386001</v>
      </c>
      <c r="EV349" s="63">
        <v>17.784258499145508</v>
      </c>
    </row>
    <row r="350" spans="138:152" x14ac:dyDescent="0.25">
      <c r="EH350" s="63" t="s">
        <v>143</v>
      </c>
      <c r="EI350" s="63" t="s">
        <v>608</v>
      </c>
      <c r="EJ350" s="63" t="s">
        <v>607</v>
      </c>
      <c r="EK350" s="63">
        <v>466</v>
      </c>
      <c r="EL350" s="63">
        <v>500</v>
      </c>
      <c r="EM350" s="63">
        <v>80</v>
      </c>
      <c r="EN350" s="63">
        <v>-0.19297039668740901</v>
      </c>
      <c r="EO350" s="63">
        <v>0.46600000000000003</v>
      </c>
      <c r="EP350" s="63">
        <v>-7.0714584223334945E-2</v>
      </c>
      <c r="EQ350" s="63">
        <v>0.19938948059082032</v>
      </c>
      <c r="ER350" s="63">
        <v>3.9541737539768227</v>
      </c>
      <c r="ES350" s="63">
        <v>20</v>
      </c>
      <c r="ET350" s="63">
        <v>10</v>
      </c>
      <c r="EU350" s="63">
        <v>33.954173753976825</v>
      </c>
      <c r="EV350" s="63">
        <v>10.584869018554686</v>
      </c>
    </row>
    <row r="351" spans="138:152" x14ac:dyDescent="0.25">
      <c r="EH351" s="63" t="s">
        <v>398</v>
      </c>
      <c r="EI351" s="63" t="s">
        <v>776</v>
      </c>
      <c r="EJ351" s="63" t="s">
        <v>608</v>
      </c>
      <c r="EK351" s="63">
        <v>466</v>
      </c>
      <c r="EL351" s="63">
        <v>500</v>
      </c>
      <c r="EM351" s="63">
        <v>75</v>
      </c>
      <c r="EN351" s="63">
        <v>-0.19334847269591324</v>
      </c>
      <c r="EO351" s="63">
        <v>0.46600000000000003</v>
      </c>
      <c r="EP351" s="63">
        <v>-7.0853131317630991E-2</v>
      </c>
      <c r="EQ351" s="63">
        <v>0.198505126953125</v>
      </c>
      <c r="ER351" s="63">
        <v>4.1526788809299475</v>
      </c>
      <c r="ES351" s="63">
        <v>12</v>
      </c>
      <c r="ET351" s="63">
        <v>10</v>
      </c>
      <c r="EU351" s="63">
        <v>26.152678880929948</v>
      </c>
      <c r="EV351" s="63">
        <v>18.386363891601562</v>
      </c>
    </row>
    <row r="352" spans="138:152" x14ac:dyDescent="0.25">
      <c r="EH352" s="63" t="s">
        <v>140</v>
      </c>
      <c r="EI352" s="63" t="s">
        <v>610</v>
      </c>
      <c r="EJ352" s="63" t="s">
        <v>609</v>
      </c>
      <c r="EK352" s="63">
        <v>466</v>
      </c>
      <c r="EL352" s="63">
        <v>500</v>
      </c>
      <c r="EM352" s="63">
        <v>76</v>
      </c>
      <c r="EN352" s="63">
        <v>-0.19164464160766895</v>
      </c>
      <c r="EO352" s="63">
        <v>0.46600000000000003</v>
      </c>
      <c r="EP352" s="63">
        <v>-7.0228757273423773E-2</v>
      </c>
      <c r="EQ352" s="63">
        <v>0.19685621643066409</v>
      </c>
      <c r="ER352" s="63">
        <v>4.3495350973606115</v>
      </c>
      <c r="ES352" s="63">
        <v>16</v>
      </c>
      <c r="ET352" s="63">
        <v>10</v>
      </c>
      <c r="EU352" s="63">
        <v>30.349535097360612</v>
      </c>
      <c r="EV352" s="63">
        <v>14.189507675170898</v>
      </c>
    </row>
    <row r="353" spans="138:152" x14ac:dyDescent="0.25">
      <c r="EH353" s="63" t="s">
        <v>909</v>
      </c>
      <c r="EI353" s="63" t="s">
        <v>609</v>
      </c>
      <c r="EJ353" s="63" t="s">
        <v>776</v>
      </c>
      <c r="EK353" s="63">
        <v>466</v>
      </c>
      <c r="EL353" s="63">
        <v>500</v>
      </c>
      <c r="EM353" s="63">
        <v>69</v>
      </c>
      <c r="EN353" s="63">
        <v>-0.19194672054338871</v>
      </c>
      <c r="EO353" s="63">
        <v>0.46600000000000003</v>
      </c>
      <c r="EP353" s="63">
        <v>-7.0339455011049587E-2</v>
      </c>
      <c r="EQ353" s="63">
        <v>0.19768353271484382</v>
      </c>
      <c r="ER353" s="63">
        <v>4.5472186300754549</v>
      </c>
      <c r="ES353" s="63">
        <v>13</v>
      </c>
      <c r="ET353" s="63">
        <v>10</v>
      </c>
      <c r="EU353" s="63">
        <v>27.547218630075456</v>
      </c>
      <c r="EV353" s="63">
        <v>16.991824142456053</v>
      </c>
    </row>
    <row r="354" spans="138:152" x14ac:dyDescent="0.25">
      <c r="EH354" s="63" t="s">
        <v>139</v>
      </c>
      <c r="EI354" s="63" t="s">
        <v>611</v>
      </c>
      <c r="EJ354" s="63" t="s">
        <v>610</v>
      </c>
      <c r="EK354" s="63">
        <v>466</v>
      </c>
      <c r="EL354" s="63">
        <v>500</v>
      </c>
      <c r="EM354" s="63">
        <v>251</v>
      </c>
      <c r="EN354" s="63">
        <v>-0.18919259961205423</v>
      </c>
      <c r="EO354" s="63">
        <v>0.46600000000000003</v>
      </c>
      <c r="EP354" s="63">
        <v>-6.933019908421649E-2</v>
      </c>
      <c r="EQ354" s="63">
        <v>0.19499050903320311</v>
      </c>
      <c r="ER354" s="63">
        <v>4.7422091391086578</v>
      </c>
      <c r="ES354" s="63">
        <v>15</v>
      </c>
      <c r="ET354" s="63">
        <v>10</v>
      </c>
      <c r="EU354" s="63">
        <v>29.74220913910866</v>
      </c>
      <c r="EV354" s="63">
        <v>14.796833633422851</v>
      </c>
    </row>
    <row r="355" spans="138:152" x14ac:dyDescent="0.25">
      <c r="EH355" s="63"/>
      <c r="EI355" s="63"/>
      <c r="EJ355" s="63"/>
      <c r="EK355" s="63"/>
      <c r="EL355" s="63"/>
      <c r="EM355" s="63">
        <f>SUBTOTAL(9,EM4:EM354)</f>
        <v>44028</v>
      </c>
      <c r="EN355" s="63"/>
      <c r="EO355" s="63"/>
      <c r="EP355" s="63"/>
      <c r="EQ355" s="63"/>
      <c r="ER355" s="63"/>
      <c r="ES355" s="63"/>
      <c r="ET355" s="63"/>
      <c r="EU355" s="63"/>
      <c r="EV355" s="63"/>
    </row>
  </sheetData>
  <mergeCells count="7">
    <mergeCell ref="B3:H3"/>
    <mergeCell ref="T3:Z3"/>
    <mergeCell ref="BG3:BM3"/>
    <mergeCell ref="AM3:AS3"/>
    <mergeCell ref="DP3:DV3"/>
    <mergeCell ref="CV3:DB3"/>
    <mergeCell ref="CB3:CH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7BD56-E7A8-4633-8C42-639F3A0C01F3}">
  <sheetPr codeName="Feuil13"/>
  <dimension ref="D15:Q34"/>
  <sheetViews>
    <sheetView workbookViewId="0">
      <selection activeCell="B24" sqref="B24"/>
    </sheetView>
  </sheetViews>
  <sheetFormatPr baseColWidth="10" defaultRowHeight="15" x14ac:dyDescent="0.25"/>
  <cols>
    <col min="4" max="4" width="20.85546875" bestFit="1" customWidth="1"/>
    <col min="8" max="8" width="14.85546875" bestFit="1" customWidth="1"/>
    <col min="9" max="9" width="14.85546875" customWidth="1"/>
    <col min="11" max="11" width="17.5703125" customWidth="1"/>
    <col min="12" max="12" width="13.85546875" customWidth="1"/>
    <col min="13" max="13" width="14.5703125" bestFit="1" customWidth="1"/>
    <col min="14" max="14" width="14.85546875" bestFit="1" customWidth="1"/>
    <col min="15" max="15" width="11.85546875" bestFit="1" customWidth="1"/>
    <col min="16" max="16" width="13.85546875" customWidth="1"/>
  </cols>
  <sheetData>
    <row r="15" spans="7:17" x14ac:dyDescent="0.25">
      <c r="Q15" s="103"/>
    </row>
    <row r="16" spans="7:17" ht="15.75" x14ac:dyDescent="0.25">
      <c r="G16" s="104"/>
    </row>
    <row r="18" spans="4:13" ht="15.75" x14ac:dyDescent="0.25">
      <c r="D18" s="250" t="s">
        <v>419</v>
      </c>
      <c r="E18" s="250"/>
      <c r="H18" s="250" t="s">
        <v>568</v>
      </c>
      <c r="I18" s="250"/>
      <c r="L18" s="250" t="s">
        <v>418</v>
      </c>
      <c r="M18" s="250"/>
    </row>
    <row r="19" spans="4:13" x14ac:dyDescent="0.25">
      <c r="D19" s="63" t="s">
        <v>565</v>
      </c>
      <c r="E19" s="100" t="s">
        <v>419</v>
      </c>
      <c r="H19" s="63" t="s">
        <v>565</v>
      </c>
      <c r="I19" s="100" t="s">
        <v>568</v>
      </c>
      <c r="L19" s="63" t="s">
        <v>565</v>
      </c>
      <c r="M19" s="100" t="s">
        <v>568</v>
      </c>
    </row>
    <row r="20" spans="4:13" x14ac:dyDescent="0.25">
      <c r="D20" s="63" t="s">
        <v>553</v>
      </c>
      <c r="E20" s="100">
        <v>1.2160105185891401</v>
      </c>
      <c r="H20" s="63" t="s">
        <v>553</v>
      </c>
      <c r="I20" s="100">
        <v>1.2235468</v>
      </c>
      <c r="L20" s="63" t="s">
        <v>553</v>
      </c>
      <c r="M20" s="100">
        <v>1.2329531375</v>
      </c>
    </row>
    <row r="21" spans="4:13" x14ac:dyDescent="0.25">
      <c r="D21" s="63" t="s">
        <v>554</v>
      </c>
      <c r="E21" s="100">
        <v>6.2770897650920201</v>
      </c>
      <c r="H21" s="63" t="s">
        <v>554</v>
      </c>
      <c r="I21" s="100">
        <v>6.2619498849999999</v>
      </c>
      <c r="L21" s="63" t="s">
        <v>554</v>
      </c>
      <c r="M21" s="100">
        <v>6.2448323274999904</v>
      </c>
    </row>
    <row r="22" spans="4:13" x14ac:dyDescent="0.25">
      <c r="D22" s="63" t="s">
        <v>555</v>
      </c>
      <c r="E22" s="101">
        <v>12</v>
      </c>
      <c r="H22" s="63" t="s">
        <v>555</v>
      </c>
      <c r="I22" s="101">
        <v>17</v>
      </c>
      <c r="L22" s="63" t="s">
        <v>555</v>
      </c>
      <c r="M22" s="101">
        <v>12</v>
      </c>
    </row>
    <row r="23" spans="4:13" x14ac:dyDescent="0.25">
      <c r="D23" s="63" t="s">
        <v>556</v>
      </c>
      <c r="E23" s="100">
        <f>'BESOIN SELON ETAT'!$J$42 * 30%</f>
        <v>5464.7062105263149</v>
      </c>
      <c r="H23" s="63" t="s">
        <v>569</v>
      </c>
      <c r="I23" s="105">
        <f>'DEMANDE SELON ETAT'!$M$12</f>
        <v>200.01000000000002</v>
      </c>
      <c r="L23" s="63" t="s">
        <v>569</v>
      </c>
      <c r="M23" s="105">
        <v>90</v>
      </c>
    </row>
    <row r="24" spans="4:13" x14ac:dyDescent="0.25">
      <c r="D24" s="63" t="s">
        <v>557</v>
      </c>
      <c r="E24" s="100">
        <v>120</v>
      </c>
      <c r="H24" s="63" t="s">
        <v>560</v>
      </c>
      <c r="I24" s="100">
        <v>15</v>
      </c>
      <c r="L24" s="63" t="s">
        <v>560</v>
      </c>
      <c r="M24" s="100">
        <v>15</v>
      </c>
    </row>
    <row r="25" spans="4:13" x14ac:dyDescent="0.25">
      <c r="D25" s="63" t="s">
        <v>558</v>
      </c>
      <c r="E25" s="100">
        <f>0.02*E23</f>
        <v>109.29412421052631</v>
      </c>
      <c r="H25" s="63" t="s">
        <v>561</v>
      </c>
      <c r="I25" s="100">
        <v>7</v>
      </c>
      <c r="L25" s="63" t="s">
        <v>561</v>
      </c>
      <c r="M25" s="100">
        <v>5</v>
      </c>
    </row>
    <row r="26" spans="4:13" x14ac:dyDescent="0.25">
      <c r="D26" s="63" t="s">
        <v>559</v>
      </c>
      <c r="E26" s="100">
        <f>('BESOIN SELON ETAT'!$J$42)*(2/24)</f>
        <v>1517.9739473684208</v>
      </c>
      <c r="H26" s="63" t="s">
        <v>562</v>
      </c>
      <c r="I26" s="100">
        <f>(PI() * I25^2) / 4</f>
        <v>38.484510006474963</v>
      </c>
      <c r="L26" s="63" t="s">
        <v>562</v>
      </c>
      <c r="M26" s="100">
        <f>(PI() * M25^2) / 4</f>
        <v>19.634954084936208</v>
      </c>
    </row>
    <row r="27" spans="4:13" x14ac:dyDescent="0.25">
      <c r="D27" s="63" t="s">
        <v>566</v>
      </c>
      <c r="E27" s="100">
        <f>E26+E25+E24+E23</f>
        <v>7211.9742821052623</v>
      </c>
      <c r="H27" s="63" t="s">
        <v>564</v>
      </c>
      <c r="I27" s="100">
        <f>I23/I26</f>
        <v>5.197155945764897</v>
      </c>
      <c r="L27" s="63" t="s">
        <v>564</v>
      </c>
      <c r="M27" s="100">
        <f>M23/M26</f>
        <v>4.5836623610465859</v>
      </c>
    </row>
    <row r="28" spans="4:13" x14ac:dyDescent="0.25">
      <c r="D28" s="63" t="s">
        <v>567</v>
      </c>
      <c r="E28" s="100">
        <v>7200</v>
      </c>
      <c r="H28" s="63" t="s">
        <v>100</v>
      </c>
      <c r="I28" s="100">
        <f>I22+I24+I27</f>
        <v>37.197155945764898</v>
      </c>
      <c r="L28" s="63" t="s">
        <v>100</v>
      </c>
      <c r="M28" s="100">
        <f>M22+M24+M27</f>
        <v>31.583662361046585</v>
      </c>
    </row>
    <row r="29" spans="4:13" x14ac:dyDescent="0.25">
      <c r="D29" s="63" t="s">
        <v>922</v>
      </c>
      <c r="E29" s="100">
        <f>ROUND(MAX(SUITE_DIM_PIPE!EC38,SUITE_DIM_PIPE!DI53,SUITE_DIM_PIPE!CO46,SUITE_DIM_PIPE!BT57,SUITE_DIM_PIPE!AZ42,SUITE_DIM_PIPE!AG75,SUITE_DIM_PIPE!O75)-E22,0)</f>
        <v>73</v>
      </c>
      <c r="F29">
        <v>75</v>
      </c>
    </row>
    <row r="30" spans="4:13" x14ac:dyDescent="0.25">
      <c r="D30" s="63" t="s">
        <v>561</v>
      </c>
      <c r="E30" s="100">
        <v>17</v>
      </c>
    </row>
    <row r="31" spans="4:13" x14ac:dyDescent="0.25">
      <c r="D31" s="63" t="s">
        <v>923</v>
      </c>
      <c r="E31" s="100">
        <f>(PI() * E30^2) / 4</f>
        <v>226.98006922186255</v>
      </c>
    </row>
    <row r="32" spans="4:13" x14ac:dyDescent="0.25">
      <c r="D32" s="102" t="s">
        <v>563</v>
      </c>
      <c r="E32" s="100">
        <f>E28/E31</f>
        <v>31.72084678924973</v>
      </c>
    </row>
    <row r="33" spans="4:5" x14ac:dyDescent="0.25">
      <c r="D33" s="63" t="s">
        <v>564</v>
      </c>
      <c r="E33" s="100">
        <v>32</v>
      </c>
    </row>
    <row r="34" spans="4:5" x14ac:dyDescent="0.25">
      <c r="D34" s="63" t="s">
        <v>100</v>
      </c>
      <c r="E34" s="100">
        <f>E22+E29+E33</f>
        <v>117</v>
      </c>
    </row>
  </sheetData>
  <mergeCells count="3">
    <mergeCell ref="D18:E18"/>
    <mergeCell ref="H18:I18"/>
    <mergeCell ref="L18:M18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9D921-DF43-4393-A222-ED0E2EFF991C}">
  <dimension ref="B2:EJ205"/>
  <sheetViews>
    <sheetView topLeftCell="CA1" workbookViewId="0">
      <selection activeCell="CA48" sqref="A48:XFD48"/>
    </sheetView>
  </sheetViews>
  <sheetFormatPr baseColWidth="10" defaultRowHeight="15" x14ac:dyDescent="0.25"/>
  <cols>
    <col min="2" max="2" width="9.7109375" customWidth="1"/>
    <col min="3" max="3" width="8.85546875" bestFit="1" customWidth="1"/>
    <col min="4" max="4" width="11.85546875" bestFit="1" customWidth="1"/>
    <col min="5" max="6" width="11.85546875" customWidth="1"/>
    <col min="7" max="7" width="18.7109375" bestFit="1" customWidth="1"/>
    <col min="8" max="8" width="15" customWidth="1"/>
    <col min="9" max="9" width="8.5703125" customWidth="1"/>
    <col min="10" max="10" width="17.5703125" customWidth="1"/>
    <col min="11" max="11" width="11.42578125" bestFit="1" customWidth="1"/>
    <col min="12" max="12" width="14.85546875" customWidth="1"/>
    <col min="13" max="13" width="12" bestFit="1" customWidth="1"/>
    <col min="14" max="14" width="14.5703125" bestFit="1" customWidth="1"/>
    <col min="15" max="16" width="12" bestFit="1" customWidth="1"/>
    <col min="17" max="17" width="16.5703125" customWidth="1"/>
    <col min="18" max="18" width="17.28515625" customWidth="1"/>
    <col min="19" max="19" width="6.42578125" bestFit="1" customWidth="1"/>
    <col min="20" max="20" width="10.140625" bestFit="1" customWidth="1"/>
    <col min="21" max="21" width="10.28515625" bestFit="1" customWidth="1"/>
    <col min="22" max="22" width="28.85546875" customWidth="1"/>
    <col min="23" max="25" width="10.42578125" customWidth="1"/>
    <col min="26" max="27" width="10.140625" bestFit="1" customWidth="1"/>
    <col min="28" max="28" width="10.5703125" bestFit="1" customWidth="1"/>
    <col min="30" max="30" width="10" bestFit="1" customWidth="1"/>
    <col min="31" max="31" width="6.140625" bestFit="1" customWidth="1"/>
    <col min="32" max="32" width="8.5703125" bestFit="1" customWidth="1"/>
    <col min="33" max="33" width="10.5703125" bestFit="1" customWidth="1"/>
    <col min="34" max="34" width="10.140625" bestFit="1" customWidth="1"/>
    <col min="37" max="37" width="11.42578125" bestFit="1" customWidth="1"/>
    <col min="56" max="56" width="11.42578125" bestFit="1" customWidth="1"/>
  </cols>
  <sheetData>
    <row r="2" spans="2:140" ht="26.1" customHeight="1" x14ac:dyDescent="0.25">
      <c r="DV2" s="78">
        <f ca="1">0.005 + ($D$79 - 0.005) * RAND()</f>
        <v>5.8724147794148671E-3</v>
      </c>
    </row>
    <row r="3" spans="2:140" x14ac:dyDescent="0.25">
      <c r="E3" s="78">
        <f ca="1">0.005 + ($D$79 - 0.005) * RAND()</f>
        <v>5.1957199077295041E-3</v>
      </c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</row>
    <row r="4" spans="2:140" x14ac:dyDescent="0.25"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</row>
    <row r="5" spans="2:140" x14ac:dyDescent="0.25"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</row>
    <row r="6" spans="2:140" x14ac:dyDescent="0.25">
      <c r="B6" s="106"/>
      <c r="C6" s="233" t="s">
        <v>111</v>
      </c>
      <c r="D6" s="233"/>
      <c r="E6" s="233"/>
      <c r="F6" s="233"/>
      <c r="G6" s="233"/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78"/>
      <c r="S6" s="78"/>
      <c r="T6" s="78"/>
      <c r="U6" s="78"/>
      <c r="V6" s="249" t="s">
        <v>203</v>
      </c>
      <c r="W6" s="249"/>
      <c r="X6" s="249"/>
      <c r="Y6" s="249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Q6" s="233" t="s">
        <v>233</v>
      </c>
      <c r="AR6" s="233"/>
      <c r="AS6" s="233"/>
      <c r="AT6" s="233"/>
      <c r="AU6" s="233"/>
      <c r="AV6" s="233"/>
      <c r="AW6" s="233"/>
      <c r="AX6" s="233"/>
      <c r="AY6" s="233"/>
      <c r="AZ6" s="233"/>
      <c r="BA6" s="233"/>
      <c r="BB6" s="233"/>
      <c r="BC6" s="233"/>
      <c r="BD6" s="233"/>
      <c r="BL6" s="233" t="s">
        <v>255</v>
      </c>
      <c r="BM6" s="233"/>
      <c r="BN6" s="233"/>
      <c r="BO6" s="233"/>
      <c r="BP6" s="233"/>
      <c r="BQ6" s="233"/>
      <c r="BR6" s="233"/>
      <c r="BS6" s="233"/>
      <c r="BT6" s="233"/>
      <c r="BU6" s="233"/>
      <c r="BV6" s="233"/>
      <c r="BW6" s="233"/>
      <c r="BX6" s="233"/>
      <c r="BY6" s="106"/>
      <c r="BZ6" s="106"/>
      <c r="CA6" s="106"/>
      <c r="CG6" t="s">
        <v>279</v>
      </c>
      <c r="DA6" t="s">
        <v>305</v>
      </c>
      <c r="DV6" t="s">
        <v>305</v>
      </c>
    </row>
    <row r="7" spans="2:140" ht="45" x14ac:dyDescent="0.25">
      <c r="B7" s="106"/>
      <c r="C7" s="106" t="s">
        <v>542</v>
      </c>
      <c r="D7" s="106" t="s">
        <v>102</v>
      </c>
      <c r="E7" s="106" t="s">
        <v>905</v>
      </c>
      <c r="F7" s="106" t="s">
        <v>906</v>
      </c>
      <c r="G7" s="106" t="s">
        <v>384</v>
      </c>
      <c r="H7" s="107" t="s">
        <v>440</v>
      </c>
      <c r="I7" s="107" t="s">
        <v>106</v>
      </c>
      <c r="J7" s="107" t="s">
        <v>107</v>
      </c>
      <c r="K7" s="107" t="s">
        <v>379</v>
      </c>
      <c r="L7" s="107" t="s">
        <v>385</v>
      </c>
      <c r="M7" s="107" t="s">
        <v>387</v>
      </c>
      <c r="N7" s="107" t="s">
        <v>388</v>
      </c>
      <c r="O7" s="107" t="s">
        <v>386</v>
      </c>
      <c r="P7" s="78" t="s">
        <v>907</v>
      </c>
      <c r="Q7" s="107" t="s">
        <v>908</v>
      </c>
      <c r="R7" s="78"/>
      <c r="S7" s="78"/>
      <c r="T7" s="78" t="s">
        <v>544</v>
      </c>
      <c r="U7" s="78" t="s">
        <v>545</v>
      </c>
      <c r="V7" s="78" t="s">
        <v>542</v>
      </c>
      <c r="W7" s="78" t="s">
        <v>102</v>
      </c>
      <c r="X7" s="106" t="s">
        <v>905</v>
      </c>
      <c r="Y7" s="106" t="s">
        <v>906</v>
      </c>
      <c r="Z7" s="78" t="s">
        <v>384</v>
      </c>
      <c r="AA7" s="78" t="s">
        <v>440</v>
      </c>
      <c r="AB7" s="78" t="s">
        <v>106</v>
      </c>
      <c r="AC7" s="78" t="s">
        <v>107</v>
      </c>
      <c r="AD7" s="78" t="s">
        <v>379</v>
      </c>
      <c r="AE7" s="78" t="s">
        <v>385</v>
      </c>
      <c r="AF7" s="78" t="s">
        <v>550</v>
      </c>
      <c r="AG7" s="78" t="s">
        <v>551</v>
      </c>
      <c r="AH7" s="78" t="s">
        <v>387</v>
      </c>
      <c r="AI7" t="s">
        <v>388</v>
      </c>
      <c r="AJ7" t="s">
        <v>386</v>
      </c>
      <c r="AK7" s="78" t="s">
        <v>907</v>
      </c>
      <c r="AL7" s="107" t="s">
        <v>908</v>
      </c>
      <c r="AP7" t="s">
        <v>544</v>
      </c>
      <c r="AQ7" t="s">
        <v>545</v>
      </c>
      <c r="AR7" t="s">
        <v>542</v>
      </c>
      <c r="AS7" t="s">
        <v>102</v>
      </c>
      <c r="AT7" s="106" t="s">
        <v>905</v>
      </c>
      <c r="AU7" s="106" t="s">
        <v>906</v>
      </c>
      <c r="AV7" t="s">
        <v>384</v>
      </c>
      <c r="AW7" t="s">
        <v>440</v>
      </c>
      <c r="AX7" t="s">
        <v>106</v>
      </c>
      <c r="AY7" t="s">
        <v>107</v>
      </c>
      <c r="AZ7" t="s">
        <v>379</v>
      </c>
      <c r="BA7" t="s">
        <v>385</v>
      </c>
      <c r="BB7" t="s">
        <v>387</v>
      </c>
      <c r="BC7" t="s">
        <v>388</v>
      </c>
      <c r="BD7" t="s">
        <v>386</v>
      </c>
      <c r="BE7" s="78" t="s">
        <v>907</v>
      </c>
      <c r="BF7" s="107" t="s">
        <v>908</v>
      </c>
      <c r="BJ7" t="s">
        <v>544</v>
      </c>
      <c r="BK7" t="s">
        <v>545</v>
      </c>
      <c r="BL7" t="s">
        <v>542</v>
      </c>
      <c r="BM7" t="s">
        <v>102</v>
      </c>
      <c r="BN7" s="106" t="s">
        <v>905</v>
      </c>
      <c r="BO7" s="106" t="s">
        <v>906</v>
      </c>
      <c r="BP7" t="s">
        <v>384</v>
      </c>
      <c r="BQ7" t="s">
        <v>440</v>
      </c>
      <c r="BR7" t="s">
        <v>106</v>
      </c>
      <c r="BS7" t="s">
        <v>107</v>
      </c>
      <c r="BT7" t="s">
        <v>379</v>
      </c>
      <c r="BU7" t="s">
        <v>385</v>
      </c>
      <c r="BV7" t="s">
        <v>387</v>
      </c>
      <c r="BW7" t="s">
        <v>388</v>
      </c>
      <c r="BX7" t="s">
        <v>386</v>
      </c>
      <c r="BY7" s="78" t="s">
        <v>907</v>
      </c>
      <c r="BZ7" s="107" t="s">
        <v>908</v>
      </c>
      <c r="CE7" t="s">
        <v>544</v>
      </c>
      <c r="CF7" t="s">
        <v>545</v>
      </c>
      <c r="CG7" t="s">
        <v>542</v>
      </c>
      <c r="CH7" t="s">
        <v>102</v>
      </c>
      <c r="CI7" s="106" t="s">
        <v>905</v>
      </c>
      <c r="CJ7" s="106" t="s">
        <v>906</v>
      </c>
      <c r="CK7" t="s">
        <v>384</v>
      </c>
      <c r="CL7" t="s">
        <v>440</v>
      </c>
      <c r="CM7" t="s">
        <v>106</v>
      </c>
      <c r="CN7" t="s">
        <v>107</v>
      </c>
      <c r="CO7" t="s">
        <v>379</v>
      </c>
      <c r="CP7" t="s">
        <v>385</v>
      </c>
      <c r="CQ7" t="s">
        <v>387</v>
      </c>
      <c r="CR7" t="s">
        <v>388</v>
      </c>
      <c r="CS7" t="s">
        <v>386</v>
      </c>
      <c r="CT7" s="78" t="s">
        <v>907</v>
      </c>
      <c r="CU7" s="107" t="s">
        <v>908</v>
      </c>
      <c r="CY7" t="s">
        <v>544</v>
      </c>
      <c r="CZ7" t="s">
        <v>545</v>
      </c>
      <c r="DA7" t="s">
        <v>542</v>
      </c>
      <c r="DB7" t="s">
        <v>102</v>
      </c>
      <c r="DC7" s="106" t="s">
        <v>905</v>
      </c>
      <c r="DD7" s="106" t="s">
        <v>906</v>
      </c>
      <c r="DE7" t="s">
        <v>384</v>
      </c>
      <c r="DF7" t="s">
        <v>440</v>
      </c>
      <c r="DG7" t="s">
        <v>106</v>
      </c>
      <c r="DH7" t="s">
        <v>107</v>
      </c>
      <c r="DI7" t="s">
        <v>379</v>
      </c>
      <c r="DJ7" t="s">
        <v>385</v>
      </c>
      <c r="DK7" t="s">
        <v>387</v>
      </c>
      <c r="DL7" t="s">
        <v>388</v>
      </c>
      <c r="DM7" t="s">
        <v>386</v>
      </c>
      <c r="DN7" s="78" t="s">
        <v>907</v>
      </c>
      <c r="DO7" s="107" t="s">
        <v>908</v>
      </c>
      <c r="DP7" s="107"/>
      <c r="DQ7" s="107"/>
      <c r="DR7" s="107"/>
      <c r="DT7" t="s">
        <v>544</v>
      </c>
      <c r="DU7" t="s">
        <v>545</v>
      </c>
      <c r="DV7" t="s">
        <v>542</v>
      </c>
      <c r="DW7" t="s">
        <v>102</v>
      </c>
      <c r="DX7" s="106" t="s">
        <v>905</v>
      </c>
      <c r="DY7" s="106" t="s">
        <v>906</v>
      </c>
      <c r="DZ7" t="s">
        <v>384</v>
      </c>
      <c r="EA7" t="s">
        <v>440</v>
      </c>
      <c r="EB7" t="s">
        <v>106</v>
      </c>
      <c r="EC7" t="s">
        <v>107</v>
      </c>
      <c r="ED7" t="s">
        <v>379</v>
      </c>
      <c r="EE7" t="s">
        <v>385</v>
      </c>
      <c r="EF7" t="s">
        <v>387</v>
      </c>
      <c r="EG7" t="s">
        <v>388</v>
      </c>
      <c r="EH7" t="s">
        <v>386</v>
      </c>
      <c r="EI7" s="78" t="s">
        <v>907</v>
      </c>
      <c r="EJ7" s="107" t="s">
        <v>908</v>
      </c>
    </row>
    <row r="8" spans="2:140" x14ac:dyDescent="0.25">
      <c r="B8" s="106">
        <v>1</v>
      </c>
      <c r="C8" s="106" t="s">
        <v>539</v>
      </c>
      <c r="D8" s="106" t="s">
        <v>884</v>
      </c>
      <c r="E8" s="106" t="str">
        <f>INDEX(Pipes_result_save_V1!$G$2:$G$206,MATCH(D8,Pipes_result_save_V1!$I$2:$I$206,0))</f>
        <v>N165</v>
      </c>
      <c r="F8" s="106" t="str">
        <f>INDEX(Pipes_result_save_V1!$H$2:$H$206,MATCH(D8,Pipes_result_save_V1!$I$2:$I$206,0))</f>
        <v>N84</v>
      </c>
      <c r="G8" s="106">
        <v>9.6000000000000002E-2</v>
      </c>
      <c r="H8" s="107">
        <v>350</v>
      </c>
      <c r="I8" s="107">
        <v>150</v>
      </c>
      <c r="J8" s="107">
        <v>96</v>
      </c>
      <c r="K8" s="107">
        <v>15.904695680187142</v>
      </c>
      <c r="L8" s="107">
        <v>9.6000000000000002E-2</v>
      </c>
      <c r="M8" s="107">
        <v>0.20734410255996347</v>
      </c>
      <c r="N8" s="107">
        <v>4.0000133118859607</v>
      </c>
      <c r="O8" s="107">
        <f>INDEX(Pipes_result_save_V1!$K$2:$K$206,MATCH(D8,Pipes_result_save_V1!$I$2:$I$206,0)) *POWER(10,-3)</f>
        <v>-2.7296918869018551E-2</v>
      </c>
      <c r="P8" s="78">
        <v>6.4431228208937973E-3</v>
      </c>
      <c r="Q8" s="78">
        <f>(ABS(O8)-P8)*SIGN(O8)</f>
        <v>-2.0853796048124755E-2</v>
      </c>
      <c r="R8" s="78"/>
      <c r="S8" s="78"/>
      <c r="T8" s="78">
        <v>0</v>
      </c>
      <c r="U8" s="78">
        <v>1</v>
      </c>
      <c r="V8" s="78" t="s">
        <v>539</v>
      </c>
      <c r="W8" s="78" t="s">
        <v>184</v>
      </c>
      <c r="X8" s="106" t="str">
        <f>INDEX(Pipes_result_save_V1!$G$2:$G$206,MATCH(W8,Pipes_result_save_V1!$I$2:$I$206,0))</f>
        <v>N82</v>
      </c>
      <c r="Y8" s="106" t="str">
        <f>INDEX(Pipes_result_save_V1!$H$2:$H$206,MATCH(W8,Pipes_result_save_V1!$I$2:$I$206,0))</f>
        <v>N81</v>
      </c>
      <c r="Z8" s="78">
        <v>9.0894000000000003E-2</v>
      </c>
      <c r="AA8" s="78">
        <v>350</v>
      </c>
      <c r="AB8" s="78">
        <v>150</v>
      </c>
      <c r="AC8" s="78">
        <v>68</v>
      </c>
      <c r="AD8" s="78">
        <v>11.265826106799226</v>
      </c>
      <c r="AE8" s="78">
        <v>9.0894000000000003E-2</v>
      </c>
      <c r="AF8" s="78">
        <v>0</v>
      </c>
      <c r="AG8" s="78">
        <v>0</v>
      </c>
      <c r="AH8" s="78">
        <v>0.13273035727434446</v>
      </c>
      <c r="AI8">
        <v>2.7044317740674404</v>
      </c>
      <c r="AJ8" s="107">
        <f>INDEX(Pipes_result_save_V1!$K$2:$K$206,MATCH(W8,Pipes_result_save_V1!$I$2:$I$206,0)) *POWER(10,-3)</f>
        <v>-5.1448749542236327E-2</v>
      </c>
      <c r="AK8" s="78">
        <v>-1.7548399279513731E-3</v>
      </c>
      <c r="AL8" s="78">
        <f>(ABS(AJ8)-AK8)*SIGN(AJ8)</f>
        <v>-5.3203589470187704E-2</v>
      </c>
      <c r="AP8">
        <v>0</v>
      </c>
      <c r="AQ8">
        <v>1</v>
      </c>
      <c r="AR8" t="s">
        <v>539</v>
      </c>
      <c r="AS8" t="s">
        <v>421</v>
      </c>
      <c r="AT8" s="106" t="str">
        <f>INDEX(Pipes_result_save_V1!$G$2:$G$206,MATCH(AS8,Pipes_result_save_V1!$I$2:$I$206,0))</f>
        <v>N42</v>
      </c>
      <c r="AU8" s="106" t="str">
        <f>INDEX(Pipes_result_save_V1!$H$2:$H$206,MATCH(AS8,Pipes_result_save_V1!$I$2:$I$206,0))</f>
        <v>N72</v>
      </c>
      <c r="AV8">
        <v>3.2835999999999997E-2</v>
      </c>
      <c r="AW8">
        <v>250</v>
      </c>
      <c r="AX8">
        <v>150</v>
      </c>
      <c r="AY8">
        <v>42</v>
      </c>
      <c r="AZ8">
        <v>35.833817943811347</v>
      </c>
      <c r="BA8">
        <v>3.2835999999999997E-2</v>
      </c>
      <c r="BB8">
        <v>6.405805386727606E-2</v>
      </c>
      <c r="BC8">
        <v>3.6129710001886743</v>
      </c>
      <c r="BD8" s="107">
        <f>INDEX(Pipes_result_save_V1!$K$2:$K$206,MATCH(AS8,Pipes_result_save_V1!$I$2:$I$206,0)) *POWER(10,-3)</f>
        <v>6.4305412292480477E-2</v>
      </c>
      <c r="BE8" s="78">
        <v>5.753361051944573E-3</v>
      </c>
      <c r="BF8" s="78">
        <f>(ABS(BD8)-BE8)*SIGN(BD8)</f>
        <v>5.8552051240535904E-2</v>
      </c>
      <c r="BJ8">
        <v>0</v>
      </c>
      <c r="BK8">
        <v>1</v>
      </c>
      <c r="BL8" t="s">
        <v>539</v>
      </c>
      <c r="BM8" t="s">
        <v>414</v>
      </c>
      <c r="BN8" s="106" t="str">
        <f>INDEX(Pipes_result_save_V1!$G$2:$G$206,MATCH(BM8,Pipes_result_save_V1!$I$2:$I$206,0))</f>
        <v>N52</v>
      </c>
      <c r="BO8" s="106" t="str">
        <f>INDEX(Pipes_result_save_V1!$H$2:$H$206,MATCH(BM8,Pipes_result_save_V1!$I$2:$I$206,0))</f>
        <v>N42</v>
      </c>
      <c r="BP8">
        <v>3.2835999999999997E-2</v>
      </c>
      <c r="BQ8">
        <v>250</v>
      </c>
      <c r="BR8">
        <v>150</v>
      </c>
      <c r="BS8">
        <v>223</v>
      </c>
      <c r="BT8">
        <v>190.26050955880785</v>
      </c>
      <c r="BU8">
        <v>3.2835999999999997E-2</v>
      </c>
      <c r="BV8">
        <v>0.34011776220006096</v>
      </c>
      <c r="BW8">
        <v>19.183155548620817</v>
      </c>
      <c r="BX8" s="107">
        <f>INDEX(Pipes_result_save_V1!$K$2:$K$206,MATCH(BM8,Pipes_result_save_V1!$I$2:$I$206,0)) *POWER(10,-3)</f>
        <v>-3.351390075683594E-2</v>
      </c>
      <c r="BY8" s="78">
        <v>6.0903187807181871E-3</v>
      </c>
      <c r="BZ8" s="78">
        <f>(ABS(BX8)-BY8)*SIGN(BX8)</f>
        <v>-2.7423581976117752E-2</v>
      </c>
      <c r="CE8">
        <v>0</v>
      </c>
      <c r="CF8">
        <v>1</v>
      </c>
      <c r="CG8" t="s">
        <v>540</v>
      </c>
      <c r="CH8" t="s">
        <v>404</v>
      </c>
      <c r="CI8" s="106" t="str">
        <f>INDEX(Pipes_result_save_V1!$G$2:$G$206,MATCH(CH8,Pipes_result_save_V1!$I$2:$I$206,0))</f>
        <v>N31</v>
      </c>
      <c r="CJ8" s="106" t="str">
        <f>INDEX(Pipes_result_save_V1!$H$2:$H$206,MATCH(CH8,Pipes_result_save_V1!$I$2:$I$206,0))</f>
        <v>N17</v>
      </c>
      <c r="CK8">
        <v>0.16656000000000001</v>
      </c>
      <c r="CL8">
        <v>466</v>
      </c>
      <c r="CM8">
        <v>150</v>
      </c>
      <c r="CN8">
        <v>211</v>
      </c>
      <c r="CO8">
        <v>8.6693039509464178</v>
      </c>
      <c r="CP8">
        <v>-0.16656000000000001</v>
      </c>
      <c r="CQ8">
        <v>-0.31356904893752557</v>
      </c>
      <c r="CR8">
        <v>3.4866107026434761</v>
      </c>
      <c r="CS8" s="107">
        <f>INDEX(Pipes_result_save_V1!$K$2:$K$206,MATCH(CH8,Pipes_result_save_V1!$I$2:$I$206,0)) *POWER(10,-3)</f>
        <v>7.1654319763183594E-2</v>
      </c>
      <c r="CT8" s="78">
        <v>6.2765342189460916E-3</v>
      </c>
      <c r="CU8" s="78">
        <f>(ABS(CS8)-CT8)*SIGN(CS8)</f>
        <v>6.5377785544237496E-2</v>
      </c>
      <c r="CY8">
        <v>0</v>
      </c>
      <c r="CZ8">
        <v>1</v>
      </c>
      <c r="DA8" t="s">
        <v>539</v>
      </c>
      <c r="DB8" t="s">
        <v>399</v>
      </c>
      <c r="DC8" s="106" t="str">
        <f>INDEX(Pipes_result_save_V1!$G$2:$G$206,MATCH(DB8,Pipes_result_save_V1!$I$2:$I$206,0))</f>
        <v>N18</v>
      </c>
      <c r="DD8" s="106" t="str">
        <f>INDEX(Pipes_result_save_V1!$H$2:$H$206,MATCH(DB8,Pipes_result_save_V1!$I$2:$I$206,0))</f>
        <v>N3</v>
      </c>
      <c r="DE8">
        <v>0.16656000000000001</v>
      </c>
      <c r="DF8">
        <v>466</v>
      </c>
      <c r="DG8">
        <v>150</v>
      </c>
      <c r="DH8">
        <v>93</v>
      </c>
      <c r="DI8">
        <v>3.821067618189653</v>
      </c>
      <c r="DJ8">
        <v>0.16656000000000001</v>
      </c>
      <c r="DK8">
        <v>0.13820815901037856</v>
      </c>
      <c r="DL8">
        <v>1.5367525845774561</v>
      </c>
      <c r="DM8" s="107">
        <f>INDEX(Pipes_result_save_V1!$K$2:$K$206,MATCH(DB8,Pipes_result_save_V1!$I$2:$I$206,0)) *POWER(10,-3)</f>
        <v>-0.20916310119628909</v>
      </c>
      <c r="DN8" s="78">
        <v>5.5779905744318134E-3</v>
      </c>
      <c r="DO8" s="78">
        <f>(ABS(DM8)-DN8)*SIGN(DM8)</f>
        <v>-0.20358511062185727</v>
      </c>
      <c r="DT8">
        <v>0</v>
      </c>
      <c r="DU8">
        <v>1</v>
      </c>
      <c r="DV8" t="s">
        <v>539</v>
      </c>
      <c r="DW8" t="s">
        <v>405</v>
      </c>
      <c r="DX8" s="106" t="str">
        <f>INDEX(Pipes_result_save_V1!$G$2:$G$206,MATCH(DW8,Pipes_result_save_V1!$I$2:$I$206,0))</f>
        <v>R3</v>
      </c>
      <c r="DY8" s="106" t="str">
        <f>INDEX(Pipes_result_save_V1!$H$2:$H$206,MATCH(DW8,Pipes_result_save_V1!$I$2:$I$206,0))</f>
        <v>N1</v>
      </c>
      <c r="DZ8">
        <v>0.33212000000000003</v>
      </c>
      <c r="EA8">
        <v>700</v>
      </c>
      <c r="EB8">
        <v>150</v>
      </c>
      <c r="EC8">
        <v>47</v>
      </c>
      <c r="ED8">
        <v>0.26609387608691482</v>
      </c>
      <c r="EE8">
        <v>0.33212000000000003</v>
      </c>
      <c r="EF8">
        <v>3.4552006595457756E-2</v>
      </c>
      <c r="EG8">
        <v>0.19267227572801324</v>
      </c>
      <c r="EH8" s="107">
        <f>INDEX(Pipes_result_save_V1!$K$2:$K$206,MATCH(DW8,Pipes_result_save_V1!$I$2:$I$206,0)) *POWER(10,-3)</f>
        <v>0.3321200561523438</v>
      </c>
      <c r="EI8" s="78">
        <v>5.1620385675249583E-3</v>
      </c>
      <c r="EJ8" s="78">
        <f>(ABS(EH8)-EI8)*SIGN(EH8)</f>
        <v>0.32695801758481885</v>
      </c>
    </row>
    <row r="9" spans="2:140" x14ac:dyDescent="0.25">
      <c r="B9" s="106">
        <v>2</v>
      </c>
      <c r="C9" s="106" t="s">
        <v>539</v>
      </c>
      <c r="D9" s="106" t="s">
        <v>201</v>
      </c>
      <c r="E9" s="106" t="str">
        <f>INDEX(Pipes_result_save_V1!$G$2:$G$206,MATCH(D9,Pipes_result_save_V1!$I$2:$I$206,0))</f>
        <v>N84</v>
      </c>
      <c r="F9" s="106" t="str">
        <f>INDEX(Pipes_result_save_V1!$H$2:$H$206,MATCH(D9,Pipes_result_save_V1!$I$2:$I$206,0))</f>
        <v>N85</v>
      </c>
      <c r="G9" s="106">
        <v>9.5000000000000001E-2</v>
      </c>
      <c r="H9" s="107">
        <v>350</v>
      </c>
      <c r="I9" s="107">
        <v>150</v>
      </c>
      <c r="J9" s="107">
        <v>95</v>
      </c>
      <c r="K9" s="107">
        <v>15.739021766851859</v>
      </c>
      <c r="L9" s="107">
        <v>9.5000000000000001E-2</v>
      </c>
      <c r="M9" s="107">
        <v>0.2012434958680151</v>
      </c>
      <c r="N9" s="107">
        <v>3.9231889931322512</v>
      </c>
      <c r="O9" s="107">
        <f>INDEX(Pipes_result_save_V1!$K$2:$K$206,MATCH(D9,Pipes_result_save_V1!$I$2:$I$206,0)) *POWER(10,-3)</f>
        <v>2.0083776473999022E-2</v>
      </c>
      <c r="P9" s="78">
        <v>5.1523291787287252E-3</v>
      </c>
      <c r="Q9" s="78">
        <f t="shared" ref="Q9:Q72" si="0">(ABS(O9)-P9)*SIGN(O9)</f>
        <v>1.4931447295270297E-2</v>
      </c>
      <c r="R9" s="78"/>
      <c r="S9" s="78"/>
      <c r="T9" s="78">
        <v>0</v>
      </c>
      <c r="U9" s="78">
        <v>2</v>
      </c>
      <c r="V9" s="78" t="s">
        <v>539</v>
      </c>
      <c r="W9" s="78" t="s">
        <v>422</v>
      </c>
      <c r="X9" s="106" t="str">
        <f>INDEX(Pipes_result_save_V1!$G$2:$G$206,MATCH(W9,Pipes_result_save_V1!$I$2:$I$206,0))</f>
        <v>N81</v>
      </c>
      <c r="Y9" s="106" t="str">
        <f>INDEX(Pipes_result_save_V1!$H$2:$H$206,MATCH(W9,Pipes_result_save_V1!$I$2:$I$206,0))</f>
        <v>N135</v>
      </c>
      <c r="Z9" s="78">
        <v>5.8057999999999998E-2</v>
      </c>
      <c r="AA9" s="78">
        <v>300</v>
      </c>
      <c r="AB9" s="78">
        <v>150</v>
      </c>
      <c r="AC9" s="78">
        <v>88</v>
      </c>
      <c r="AD9" s="78">
        <v>30.891188328490372</v>
      </c>
      <c r="AE9" s="78">
        <v>5.8057999999999998E-2</v>
      </c>
      <c r="AF9" s="78">
        <v>0</v>
      </c>
      <c r="AG9" s="78">
        <v>0</v>
      </c>
      <c r="AH9" s="78">
        <v>0.15867451177943664</v>
      </c>
      <c r="AI9">
        <v>5.061579727436647</v>
      </c>
      <c r="AJ9" s="107">
        <f>INDEX(Pipes_result_save_V1!$K$2:$K$206,MATCH(W9,Pipes_result_save_V1!$I$2:$I$206,0)) *POWER(10,-3)</f>
        <v>2.2272217273712159E-3</v>
      </c>
      <c r="AK9" s="78">
        <v>3.9753378517913395E-3</v>
      </c>
      <c r="AL9" s="78">
        <f t="shared" ref="AL9:AL72" si="1">(ABS(AJ9)-AK9)*SIGN(AJ9)</f>
        <v>-1.7481161244201236E-3</v>
      </c>
      <c r="AP9">
        <v>0</v>
      </c>
      <c r="AQ9">
        <v>2</v>
      </c>
      <c r="AR9" t="s">
        <v>540</v>
      </c>
      <c r="AS9" t="s">
        <v>413</v>
      </c>
      <c r="AT9" s="106" t="str">
        <f>INDEX(Pipes_result_save_V1!$G$2:$G$206,MATCH(AS9,Pipes_result_save_V1!$I$2:$I$206,0))</f>
        <v>N111</v>
      </c>
      <c r="AU9" s="106" t="str">
        <f>INDEX(Pipes_result_save_V1!$H$2:$H$206,MATCH(AS9,Pipes_result_save_V1!$I$2:$I$206,0))</f>
        <v>N42</v>
      </c>
      <c r="AV9">
        <v>3.2835999999999997E-2</v>
      </c>
      <c r="AW9">
        <v>250</v>
      </c>
      <c r="AX9">
        <v>150</v>
      </c>
      <c r="AY9">
        <v>42</v>
      </c>
      <c r="AZ9">
        <v>35.833817943811347</v>
      </c>
      <c r="BA9">
        <v>-3.2835999999999997E-2</v>
      </c>
      <c r="BB9">
        <v>-6.405805386727606E-2</v>
      </c>
      <c r="BC9">
        <v>3.6129710001886743</v>
      </c>
      <c r="BD9" s="107">
        <f>INDEX(Pipes_result_save_V1!$K$2:$K$206,MATCH(AS9,Pipes_result_save_V1!$I$2:$I$206,0)) *POWER(10,-3)</f>
        <v>-8.0635652542114262E-3</v>
      </c>
      <c r="BE9" s="78">
        <v>5.8404372619920604E-3</v>
      </c>
      <c r="BF9" s="78">
        <f t="shared" ref="BF9:BF44" si="2">(ABS(BD9)-BE9)*SIGN(BD9)</f>
        <v>-2.2231279922193658E-3</v>
      </c>
      <c r="BJ9">
        <v>1</v>
      </c>
      <c r="BK9">
        <v>2</v>
      </c>
      <c r="BL9" t="s">
        <v>540</v>
      </c>
      <c r="BM9" t="s">
        <v>421</v>
      </c>
      <c r="BN9" s="106" t="str">
        <f>INDEX(Pipes_result_save_V1!$G$2:$G$206,MATCH(BM9,Pipes_result_save_V1!$I$2:$I$206,0))</f>
        <v>N42</v>
      </c>
      <c r="BO9" s="106" t="str">
        <f>INDEX(Pipes_result_save_V1!$H$2:$H$206,MATCH(BM9,Pipes_result_save_V1!$I$2:$I$206,0))</f>
        <v>N72</v>
      </c>
      <c r="BP9">
        <v>3.2835999999999997E-2</v>
      </c>
      <c r="BQ9">
        <v>250</v>
      </c>
      <c r="BR9">
        <v>150</v>
      </c>
      <c r="BS9">
        <v>91</v>
      </c>
      <c r="BT9">
        <v>77.639938878257922</v>
      </c>
      <c r="BU9">
        <v>3.8249255700015396E-2</v>
      </c>
      <c r="BV9">
        <v>0.18412084510295368</v>
      </c>
      <c r="BW9">
        <v>8.9149919100395199</v>
      </c>
      <c r="BX9" s="107">
        <f>INDEX(Pipes_result_save_V1!$K$2:$K$206,MATCH(BM9,Pipes_result_save_V1!$I$2:$I$206,0)) *POWER(10,-3)</f>
        <v>6.4305412292480477E-2</v>
      </c>
      <c r="BY9" s="78">
        <v>5.0228789967472947E-3</v>
      </c>
      <c r="BZ9" s="78">
        <f t="shared" ref="BZ9:BZ59" si="3">(ABS(BX9)-BY9)*SIGN(BX9)</f>
        <v>5.9282533295733179E-2</v>
      </c>
      <c r="CE9">
        <v>0</v>
      </c>
      <c r="CF9">
        <v>2</v>
      </c>
      <c r="CG9" t="s">
        <v>539</v>
      </c>
      <c r="CH9" t="s">
        <v>416</v>
      </c>
      <c r="CI9" s="106" t="str">
        <f>INDEX(Pipes_result_save_V1!$G$2:$G$206,MATCH(CH9,Pipes_result_save_V1!$I$2:$I$206,0))</f>
        <v>N43</v>
      </c>
      <c r="CJ9" s="106" t="str">
        <f>INDEX(Pipes_result_save_V1!$H$2:$H$206,MATCH(CH9,Pipes_result_save_V1!$I$2:$I$206,0))</f>
        <v>N17</v>
      </c>
      <c r="CK9">
        <v>0.16656000000000001</v>
      </c>
      <c r="CL9">
        <v>466</v>
      </c>
      <c r="CM9">
        <v>150</v>
      </c>
      <c r="CN9">
        <v>232</v>
      </c>
      <c r="CO9">
        <v>9.5321256711827917</v>
      </c>
      <c r="CP9">
        <v>0.16656000000000001</v>
      </c>
      <c r="CQ9">
        <v>0.34477734290761108</v>
      </c>
      <c r="CR9">
        <v>3.8336193507738692</v>
      </c>
      <c r="CS9" s="107">
        <f>INDEX(Pipes_result_save_V1!$K$2:$K$206,MATCH(CH9,Pipes_result_save_V1!$I$2:$I$206,0)) *POWER(10,-3)</f>
        <v>-6.128554534912109E-2</v>
      </c>
      <c r="CT9" s="78">
        <v>5.6258596043895891E-3</v>
      </c>
      <c r="CU9" s="78">
        <f t="shared" ref="CU9:CU48" si="4">(ABS(CS9)-CT9)*SIGN(CS9)</f>
        <v>-5.5659685744731499E-2</v>
      </c>
      <c r="CY9">
        <v>0</v>
      </c>
      <c r="CZ9">
        <v>2</v>
      </c>
      <c r="DA9" t="s">
        <v>540</v>
      </c>
      <c r="DB9" t="s">
        <v>400</v>
      </c>
      <c r="DC9" s="106" t="str">
        <f>INDEX(Pipes_result_save_V1!$G$2:$G$206,MATCH(DB9,Pipes_result_save_V1!$I$2:$I$206,0))</f>
        <v>N3</v>
      </c>
      <c r="DD9" s="106" t="str">
        <f>INDEX(Pipes_result_save_V1!$H$2:$H$206,MATCH(DB9,Pipes_result_save_V1!$I$2:$I$206,0))</f>
        <v>N4</v>
      </c>
      <c r="DE9">
        <v>0.16656000000000001</v>
      </c>
      <c r="DF9">
        <v>466</v>
      </c>
      <c r="DG9">
        <v>150</v>
      </c>
      <c r="DH9">
        <v>181</v>
      </c>
      <c r="DI9">
        <v>7.4367014934658844</v>
      </c>
      <c r="DJ9">
        <v>-0.16656000000000001</v>
      </c>
      <c r="DK9">
        <v>-0.26898577183740346</v>
      </c>
      <c r="DL9">
        <v>2.9908840624571997</v>
      </c>
      <c r="DM9" s="107">
        <f>INDEX(Pipes_result_save_V1!$K$2:$K$206,MATCH(DB9,Pipes_result_save_V1!$I$2:$I$206,0)) *POWER(10,-3)</f>
        <v>0.11761656188964839</v>
      </c>
      <c r="DN9" s="78">
        <v>5.1155246570994449E-3</v>
      </c>
      <c r="DO9" s="78">
        <f t="shared" ref="DO9:DO55" si="5">(ABS(DM9)-DN9)*SIGN(DM9)</f>
        <v>0.11250103723254895</v>
      </c>
      <c r="DT9">
        <v>0</v>
      </c>
      <c r="DU9">
        <v>2</v>
      </c>
      <c r="DV9" t="s">
        <v>539</v>
      </c>
      <c r="DW9" t="s">
        <v>406</v>
      </c>
      <c r="DX9" s="106" t="str">
        <f>INDEX(Pipes_result_save_V1!$G$2:$G$206,MATCH(DW9,Pipes_result_save_V1!$I$2:$I$206,0))</f>
        <v>N1</v>
      </c>
      <c r="DY9" s="106" t="str">
        <f>INDEX(Pipes_result_save_V1!$H$2:$H$206,MATCH(DW9,Pipes_result_save_V1!$I$2:$I$206,0))</f>
        <v>N2</v>
      </c>
      <c r="DZ9">
        <v>0.33212000000000003</v>
      </c>
      <c r="EA9">
        <v>700</v>
      </c>
      <c r="EB9">
        <v>150</v>
      </c>
      <c r="EC9">
        <v>117</v>
      </c>
      <c r="ED9">
        <v>0.66240390430146878</v>
      </c>
      <c r="EE9">
        <v>0.33212000000000003</v>
      </c>
      <c r="EF9">
        <v>8.6012441950394827E-2</v>
      </c>
      <c r="EG9">
        <v>0.47963098425909684</v>
      </c>
      <c r="EH9" s="107">
        <f>INDEX(Pipes_result_save_V1!$K$2:$K$206,MATCH(DW9,Pipes_result_save_V1!$I$2:$I$206,0)) *POWER(10,-3)</f>
        <v>0.33091619873046879</v>
      </c>
      <c r="EI9" s="78">
        <v>5.2236693919670936E-3</v>
      </c>
      <c r="EJ9" s="78">
        <f t="shared" ref="EJ9:EJ40" si="6">(ABS(EH9)-EI9)*SIGN(EH9)</f>
        <v>0.32569252933850168</v>
      </c>
    </row>
    <row r="10" spans="2:140" x14ac:dyDescent="0.25">
      <c r="B10" s="106">
        <v>3</v>
      </c>
      <c r="C10" s="106" t="s">
        <v>539</v>
      </c>
      <c r="D10" s="106" t="s">
        <v>199</v>
      </c>
      <c r="E10" s="106" t="str">
        <f>INDEX(Pipes_result_save_V1!$G$2:$G$206,MATCH(D10,Pipes_result_save_V1!$I$2:$I$206,0))</f>
        <v>N85</v>
      </c>
      <c r="F10" s="106" t="str">
        <f>INDEX(Pipes_result_save_V1!$H$2:$H$206,MATCH(D10,Pipes_result_save_V1!$I$2:$I$206,0))</f>
        <v>N86</v>
      </c>
      <c r="G10" s="106">
        <v>7.2999999999999995E-2</v>
      </c>
      <c r="H10" s="107">
        <v>350</v>
      </c>
      <c r="I10" s="107">
        <v>150</v>
      </c>
      <c r="J10" s="107">
        <v>73</v>
      </c>
      <c r="K10" s="107">
        <v>12.094195673475639</v>
      </c>
      <c r="L10" s="107">
        <v>7.2999999999999995E-2</v>
      </c>
      <c r="M10" s="107">
        <v>9.4940371718878883E-2</v>
      </c>
      <c r="N10" s="107">
        <v>2.4086242249775851</v>
      </c>
      <c r="O10" s="107">
        <f>INDEX(Pipes_result_save_V1!$K$2:$K$206,MATCH(D10,Pipes_result_save_V1!$I$2:$I$206,0)) *POWER(10,-3)</f>
        <v>1.9125244140625001E-2</v>
      </c>
      <c r="P10" s="78">
        <v>5.5356757694688587E-3</v>
      </c>
      <c r="Q10" s="78">
        <f t="shared" si="0"/>
        <v>1.3589568371156142E-2</v>
      </c>
      <c r="R10" s="78"/>
      <c r="S10" s="78"/>
      <c r="T10" s="78">
        <v>0</v>
      </c>
      <c r="U10" s="78">
        <v>3</v>
      </c>
      <c r="V10" s="78" t="s">
        <v>539</v>
      </c>
      <c r="W10" s="78" t="s">
        <v>200</v>
      </c>
      <c r="X10" s="106" t="str">
        <f>INDEX(Pipes_result_save_V1!$G$2:$G$206,MATCH(W10,Pipes_result_save_V1!$I$2:$I$206,0))</f>
        <v>N83</v>
      </c>
      <c r="Y10" s="106" t="str">
        <f>INDEX(Pipes_result_save_V1!$H$2:$H$206,MATCH(W10,Pipes_result_save_V1!$I$2:$I$206,0))</f>
        <v>N82</v>
      </c>
      <c r="Z10" s="78">
        <v>9.0894000000000003E-2</v>
      </c>
      <c r="AA10" s="78">
        <v>350</v>
      </c>
      <c r="AB10" s="78">
        <v>150</v>
      </c>
      <c r="AC10" s="78">
        <v>152</v>
      </c>
      <c r="AD10" s="78">
        <v>25.182434826962975</v>
      </c>
      <c r="AE10" s="78">
        <v>9.0894000000000003E-2</v>
      </c>
      <c r="AF10" s="78">
        <v>0</v>
      </c>
      <c r="AG10" s="78">
        <v>0</v>
      </c>
      <c r="AH10" s="78">
        <v>0.29669138684853463</v>
      </c>
      <c r="AI10">
        <v>6.0452004361507479</v>
      </c>
      <c r="AJ10" s="107">
        <f>INDEX(Pipes_result_save_V1!$K$2:$K$206,MATCH(W10,Pipes_result_save_V1!$I$2:$I$206,0)) *POWER(10,-3)</f>
        <v>-5.0193531036376957E-2</v>
      </c>
      <c r="AK10" s="78">
        <v>1.5341845089411276E-3</v>
      </c>
      <c r="AL10" s="78">
        <f t="shared" si="1"/>
        <v>-4.865934652743583E-2</v>
      </c>
      <c r="AP10">
        <v>0</v>
      </c>
      <c r="AQ10">
        <v>3</v>
      </c>
      <c r="AR10" t="s">
        <v>539</v>
      </c>
      <c r="AS10" t="s">
        <v>181</v>
      </c>
      <c r="AT10" s="106" t="str">
        <f>INDEX(Pipes_result_save_V1!$G$2:$G$206,MATCH(AS10,Pipes_result_save_V1!$I$2:$I$206,0))</f>
        <v>N72</v>
      </c>
      <c r="AU10" s="106" t="str">
        <f>INDEX(Pipes_result_save_V1!$H$2:$H$206,MATCH(AS10,Pipes_result_save_V1!$I$2:$I$206,0))</f>
        <v>N73</v>
      </c>
      <c r="AV10">
        <v>3.2837000000000005E-2</v>
      </c>
      <c r="AW10">
        <v>250</v>
      </c>
      <c r="AX10">
        <v>150</v>
      </c>
      <c r="AY10">
        <v>72</v>
      </c>
      <c r="AZ10">
        <v>61.429402189390885</v>
      </c>
      <c r="BA10">
        <v>3.2837000000000005E-2</v>
      </c>
      <c r="BB10">
        <v>0.10982000037454172</v>
      </c>
      <c r="BC10">
        <v>6.19382527921708</v>
      </c>
      <c r="BD10" s="107">
        <f>INDEX(Pipes_result_save_V1!$K$2:$K$206,MATCH(AS10,Pipes_result_save_V1!$I$2:$I$206,0)) *POWER(10,-3)</f>
        <v>6.3329761505126952E-2</v>
      </c>
      <c r="BE10" s="78">
        <v>5.2013618015163731E-3</v>
      </c>
      <c r="BF10" s="78">
        <f t="shared" si="2"/>
        <v>5.8128399703610577E-2</v>
      </c>
      <c r="BJ10">
        <v>0</v>
      </c>
      <c r="BK10">
        <v>3</v>
      </c>
      <c r="BL10" t="s">
        <v>539</v>
      </c>
      <c r="BM10" t="s">
        <v>159</v>
      </c>
      <c r="BN10" s="106" t="str">
        <f>INDEX(Pipes_result_save_V1!$G$2:$G$206,MATCH(BM10,Pipes_result_save_V1!$I$2:$I$206,0))</f>
        <v>N53</v>
      </c>
      <c r="BO10" s="106" t="str">
        <f>INDEX(Pipes_result_save_V1!$H$2:$H$206,MATCH(BM10,Pipes_result_save_V1!$I$2:$I$206,0))</f>
        <v>N52</v>
      </c>
      <c r="BP10">
        <v>3.2837000000000005E-2</v>
      </c>
      <c r="BQ10">
        <v>250</v>
      </c>
      <c r="BR10">
        <v>150</v>
      </c>
      <c r="BS10">
        <v>94</v>
      </c>
      <c r="BT10">
        <v>80.199497302815871</v>
      </c>
      <c r="BU10">
        <v>3.2837000000000005E-2</v>
      </c>
      <c r="BV10">
        <v>0.14337611160009611</v>
      </c>
      <c r="BW10">
        <v>8.0863830034222985</v>
      </c>
      <c r="BX10" s="107">
        <f>INDEX(Pipes_result_save_V1!$K$2:$K$206,MATCH(BM10,Pipes_result_save_V1!$I$2:$I$206,0)) *POWER(10,-3)</f>
        <v>-3.1705240249633788E-2</v>
      </c>
      <c r="BY10" s="78">
        <v>5.890773312039058E-3</v>
      </c>
      <c r="BZ10" s="78">
        <f t="shared" si="3"/>
        <v>-2.5814466937594732E-2</v>
      </c>
      <c r="CE10">
        <v>0</v>
      </c>
      <c r="CF10">
        <v>3</v>
      </c>
      <c r="CG10" t="s">
        <v>540</v>
      </c>
      <c r="CH10" t="s">
        <v>138</v>
      </c>
      <c r="CI10" s="106" t="str">
        <f>INDEX(Pipes_result_save_V1!$G$2:$G$206,MATCH(CH10,Pipes_result_save_V1!$I$2:$I$206,0))</f>
        <v>N32</v>
      </c>
      <c r="CJ10" s="106" t="str">
        <f>INDEX(Pipes_result_save_V1!$H$2:$H$206,MATCH(CH10,Pipes_result_save_V1!$I$2:$I$206,0))</f>
        <v>N31</v>
      </c>
      <c r="CK10">
        <v>8.3280000000000007E-2</v>
      </c>
      <c r="CL10">
        <v>350</v>
      </c>
      <c r="CM10">
        <v>150</v>
      </c>
      <c r="CN10">
        <v>129</v>
      </c>
      <c r="CO10">
        <v>21.371934820251475</v>
      </c>
      <c r="CP10">
        <v>-8.3280000000000007E-2</v>
      </c>
      <c r="CQ10">
        <v>-0.21413381180980889</v>
      </c>
      <c r="CR10">
        <v>4.7619574864525225</v>
      </c>
      <c r="CS10" s="107">
        <f>INDEX(Pipes_result_save_V1!$K$2:$K$206,MATCH(CH10,Pipes_result_save_V1!$I$2:$I$206,0)) *POWER(10,-3)</f>
        <v>-0.11996421051025391</v>
      </c>
      <c r="CT10" s="78">
        <v>5.6823466040250145E-3</v>
      </c>
      <c r="CU10" s="78">
        <f t="shared" si="4"/>
        <v>-0.11428186390622889</v>
      </c>
      <c r="CY10">
        <v>0</v>
      </c>
      <c r="CZ10">
        <v>3</v>
      </c>
      <c r="DA10" t="s">
        <v>540</v>
      </c>
      <c r="DB10" t="s">
        <v>401</v>
      </c>
      <c r="DC10" s="106" t="str">
        <f>INDEX(Pipes_result_save_V1!$G$2:$G$206,MATCH(DB10,Pipes_result_save_V1!$I$2:$I$206,0))</f>
        <v>N4</v>
      </c>
      <c r="DD10" s="106" t="str">
        <f>INDEX(Pipes_result_save_V1!$H$2:$H$206,MATCH(DB10,Pipes_result_save_V1!$I$2:$I$206,0))</f>
        <v>N5</v>
      </c>
      <c r="DE10">
        <v>0.16656000000000001</v>
      </c>
      <c r="DF10">
        <v>466</v>
      </c>
      <c r="DG10">
        <v>150</v>
      </c>
      <c r="DH10">
        <v>133</v>
      </c>
      <c r="DI10">
        <v>5.4645375614970311</v>
      </c>
      <c r="DJ10">
        <v>-0.16656000000000001</v>
      </c>
      <c r="DK10">
        <v>-0.19765252847720807</v>
      </c>
      <c r="DL10">
        <v>2.1977214381591574</v>
      </c>
      <c r="DM10" s="107">
        <f>INDEX(Pipes_result_save_V1!$K$2:$K$206,MATCH(DB10,Pipes_result_save_V1!$I$2:$I$206,0)) *POWER(10,-3)</f>
        <v>0.1158250274658203</v>
      </c>
      <c r="DN10" s="78">
        <v>5.0833954696630455E-3</v>
      </c>
      <c r="DO10" s="78">
        <f t="shared" si="5"/>
        <v>0.11074163199615725</v>
      </c>
      <c r="DT10">
        <v>0</v>
      </c>
      <c r="DU10">
        <v>3</v>
      </c>
      <c r="DV10" t="s">
        <v>539</v>
      </c>
      <c r="DW10" t="s">
        <v>407</v>
      </c>
      <c r="DX10" s="106" t="str">
        <f>INDEX(Pipes_result_save_V1!$G$2:$G$206,MATCH(DW10,Pipes_result_save_V1!$I$2:$I$206,0))</f>
        <v>N2</v>
      </c>
      <c r="DY10" s="106" t="str">
        <f>INDEX(Pipes_result_save_V1!$H$2:$H$206,MATCH(DW10,Pipes_result_save_V1!$I$2:$I$206,0))</f>
        <v>N3</v>
      </c>
      <c r="DZ10">
        <v>0.33212000000000003</v>
      </c>
      <c r="EA10">
        <v>700</v>
      </c>
      <c r="EB10">
        <v>150</v>
      </c>
      <c r="EC10">
        <v>167</v>
      </c>
      <c r="ED10">
        <v>0.94548249588329314</v>
      </c>
      <c r="EE10">
        <v>0.33212000000000003</v>
      </c>
      <c r="EF10">
        <v>0.1227698957753499</v>
      </c>
      <c r="EG10">
        <v>0.68460149035272788</v>
      </c>
      <c r="EH10" s="107">
        <f>INDEX(Pipes_result_save_V1!$K$2:$K$206,MATCH(DW10,Pipes_result_save_V1!$I$2:$I$206,0)) *POWER(10,-3)</f>
        <v>0.32929580688476562</v>
      </c>
      <c r="EI10" s="78">
        <v>6.474608799300445E-3</v>
      </c>
      <c r="EJ10" s="78">
        <f t="shared" si="6"/>
        <v>0.32282119808546517</v>
      </c>
    </row>
    <row r="11" spans="2:140" x14ac:dyDescent="0.25">
      <c r="B11" s="106">
        <v>4</v>
      </c>
      <c r="C11" s="106" t="s">
        <v>539</v>
      </c>
      <c r="D11" s="106" t="s">
        <v>198</v>
      </c>
      <c r="E11" s="106" t="str">
        <f>INDEX(Pipes_result_save_V1!$G$2:$G$206,MATCH(D11,Pipes_result_save_V1!$I$2:$I$206,0))</f>
        <v>N86</v>
      </c>
      <c r="F11" s="106" t="str">
        <f>INDEX(Pipes_result_save_V1!$H$2:$H$206,MATCH(D11,Pipes_result_save_V1!$I$2:$I$206,0))</f>
        <v>N87</v>
      </c>
      <c r="G11" s="106">
        <v>7.6999999999999999E-2</v>
      </c>
      <c r="H11" s="107">
        <v>350</v>
      </c>
      <c r="I11" s="107">
        <v>150</v>
      </c>
      <c r="J11" s="107">
        <v>77</v>
      </c>
      <c r="K11" s="107">
        <v>12.756891326816771</v>
      </c>
      <c r="L11" s="107">
        <v>7.6999999999999999E-2</v>
      </c>
      <c r="M11" s="107">
        <v>0.11054158283193545</v>
      </c>
      <c r="N11" s="107">
        <v>2.6587404078538244</v>
      </c>
      <c r="O11" s="107">
        <f>INDEX(Pipes_result_save_V1!$K$2:$K$206,MATCH(D11,Pipes_result_save_V1!$I$2:$I$206,0)) *POWER(10,-3)</f>
        <v>1.8269411087036131E-2</v>
      </c>
      <c r="P11" s="78">
        <v>6.0150194757186077E-3</v>
      </c>
      <c r="Q11" s="78">
        <f t="shared" si="0"/>
        <v>1.2254391611317524E-2</v>
      </c>
      <c r="R11" s="78"/>
      <c r="S11" s="78"/>
      <c r="T11" s="78">
        <v>0</v>
      </c>
      <c r="U11" s="78">
        <v>4</v>
      </c>
      <c r="V11" s="78" t="s">
        <v>539</v>
      </c>
      <c r="W11" s="78" t="s">
        <v>202</v>
      </c>
      <c r="X11" s="106" t="str">
        <f>INDEX(Pipes_result_save_V1!$G$2:$G$206,MATCH(W11,Pipes_result_save_V1!$I$2:$I$206,0))</f>
        <v>N84</v>
      </c>
      <c r="Y11" s="106" t="str">
        <f>INDEX(Pipes_result_save_V1!$H$2:$H$206,MATCH(W11,Pipes_result_save_V1!$I$2:$I$206,0))</f>
        <v>N83</v>
      </c>
      <c r="Z11" s="78">
        <v>9.0894000000000003E-2</v>
      </c>
      <c r="AA11" s="78">
        <v>350</v>
      </c>
      <c r="AB11" s="78">
        <v>150</v>
      </c>
      <c r="AC11" s="78">
        <v>75</v>
      </c>
      <c r="AD11" s="78">
        <v>12.425543500146206</v>
      </c>
      <c r="AE11" s="78">
        <v>9.0894000000000003E-2</v>
      </c>
      <c r="AF11" s="78">
        <v>0</v>
      </c>
      <c r="AG11" s="78">
        <v>0</v>
      </c>
      <c r="AH11" s="78">
        <v>0.14639377640552698</v>
      </c>
      <c r="AI11">
        <v>2.982829162574383</v>
      </c>
      <c r="AJ11" s="107">
        <f>INDEX(Pipes_result_save_V1!$K$2:$K$206,MATCH(W11,Pipes_result_save_V1!$I$2:$I$206,0)) *POWER(10,-3)</f>
        <v>-4.8898372650146481E-2</v>
      </c>
      <c r="AK11" s="78">
        <v>3.6478905222830926E-3</v>
      </c>
      <c r="AL11" s="78">
        <f t="shared" si="1"/>
        <v>-4.5250482127863388E-2</v>
      </c>
      <c r="AP11">
        <v>0</v>
      </c>
      <c r="AQ11">
        <v>4</v>
      </c>
      <c r="AR11" t="s">
        <v>539</v>
      </c>
      <c r="AS11" t="s">
        <v>179</v>
      </c>
      <c r="AT11" s="106" t="str">
        <f>INDEX(Pipes_result_save_V1!$G$2:$G$206,MATCH(AS11,Pipes_result_save_V1!$I$2:$I$206,0))</f>
        <v>N73</v>
      </c>
      <c r="AU11" s="106" t="str">
        <f>INDEX(Pipes_result_save_V1!$H$2:$H$206,MATCH(AS11,Pipes_result_save_V1!$I$2:$I$206,0))</f>
        <v>N74</v>
      </c>
      <c r="AV11">
        <v>3.2837000000000005E-2</v>
      </c>
      <c r="AW11">
        <v>250</v>
      </c>
      <c r="AX11">
        <v>150</v>
      </c>
      <c r="AY11">
        <v>73</v>
      </c>
      <c r="AZ11">
        <v>62.282588330910201</v>
      </c>
      <c r="BA11">
        <v>3.2837000000000005E-2</v>
      </c>
      <c r="BB11">
        <v>0.11134527815752146</v>
      </c>
      <c r="BC11">
        <v>6.2798506303173163</v>
      </c>
      <c r="BD11" s="107">
        <f>INDEX(Pipes_result_save_V1!$K$2:$K$206,MATCH(AS11,Pipes_result_save_V1!$I$2:$I$206,0)) *POWER(10,-3)</f>
        <v>6.2376930236816418E-2</v>
      </c>
      <c r="BE11" s="78">
        <v>6.030104226897608E-3</v>
      </c>
      <c r="BF11" s="78">
        <f t="shared" si="2"/>
        <v>5.6346826009918811E-2</v>
      </c>
      <c r="BJ11">
        <v>0</v>
      </c>
      <c r="BK11">
        <v>4</v>
      </c>
      <c r="BL11" t="s">
        <v>539</v>
      </c>
      <c r="BM11" t="s">
        <v>158</v>
      </c>
      <c r="BN11" s="106" t="str">
        <f>INDEX(Pipes_result_save_V1!$G$2:$G$206,MATCH(BM11,Pipes_result_save_V1!$I$2:$I$206,0))</f>
        <v>N54</v>
      </c>
      <c r="BO11" s="106" t="str">
        <f>INDEX(Pipes_result_save_V1!$H$2:$H$206,MATCH(BM11,Pipes_result_save_V1!$I$2:$I$206,0))</f>
        <v>N53</v>
      </c>
      <c r="BP11">
        <v>3.2837000000000005E-2</v>
      </c>
      <c r="BQ11">
        <v>250</v>
      </c>
      <c r="BR11">
        <v>150</v>
      </c>
      <c r="BS11">
        <v>191</v>
      </c>
      <c r="BT11">
        <v>162.95855303018971</v>
      </c>
      <c r="BU11">
        <v>3.2837000000000005E-2</v>
      </c>
      <c r="BV11">
        <v>0.29132805654913152</v>
      </c>
      <c r="BW11">
        <v>16.430842060145309</v>
      </c>
      <c r="BX11" s="107">
        <f>INDEX(Pipes_result_save_V1!$K$2:$K$206,MATCH(BM11,Pipes_result_save_V1!$I$2:$I$206,0)) *POWER(10,-3)</f>
        <v>-3.0079156875610351E-2</v>
      </c>
      <c r="BY11" s="78">
        <v>6.1574795089512106E-3</v>
      </c>
      <c r="BZ11" s="78">
        <f t="shared" si="3"/>
        <v>-2.3921677366659139E-2</v>
      </c>
      <c r="CE11">
        <v>0</v>
      </c>
      <c r="CF11">
        <v>4</v>
      </c>
      <c r="CG11" t="s">
        <v>540</v>
      </c>
      <c r="CH11" t="s">
        <v>137</v>
      </c>
      <c r="CI11" s="106" t="str">
        <f>INDEX(Pipes_result_save_V1!$G$2:$G$206,MATCH(CH11,Pipes_result_save_V1!$I$2:$I$206,0))</f>
        <v>N33</v>
      </c>
      <c r="CJ11" s="106" t="str">
        <f>INDEX(Pipes_result_save_V1!$H$2:$H$206,MATCH(CH11,Pipes_result_save_V1!$I$2:$I$206,0))</f>
        <v>N32</v>
      </c>
      <c r="CK11">
        <v>8.3280000000000007E-2</v>
      </c>
      <c r="CL11">
        <v>350</v>
      </c>
      <c r="CM11">
        <v>150</v>
      </c>
      <c r="CN11">
        <v>157</v>
      </c>
      <c r="CO11">
        <v>26.01080439363939</v>
      </c>
      <c r="CP11">
        <v>-8.3280000000000007E-2</v>
      </c>
      <c r="CQ11">
        <v>-0.26061246863674414</v>
      </c>
      <c r="CR11">
        <v>5.795560661806558</v>
      </c>
      <c r="CS11" s="107">
        <f>INDEX(Pipes_result_save_V1!$K$2:$K$206,MATCH(CH11,Pipes_result_save_V1!$I$2:$I$206,0)) *POWER(10,-3)</f>
        <v>-0.1183324203491211</v>
      </c>
      <c r="CT11" s="78">
        <v>6.0996730274598832E-3</v>
      </c>
      <c r="CU11" s="78">
        <f t="shared" si="4"/>
        <v>-0.11223274732166122</v>
      </c>
      <c r="CY11">
        <v>0</v>
      </c>
      <c r="CZ11">
        <v>4</v>
      </c>
      <c r="DA11" t="s">
        <v>540</v>
      </c>
      <c r="DB11" t="s">
        <v>403</v>
      </c>
      <c r="DC11" s="106" t="str">
        <f>INDEX(Pipes_result_save_V1!$G$2:$G$206,MATCH(DB11,Pipes_result_save_V1!$I$2:$I$206,0))</f>
        <v>N5</v>
      </c>
      <c r="DD11" s="106" t="str">
        <f>INDEX(Pipes_result_save_V1!$H$2:$H$206,MATCH(DB11,Pipes_result_save_V1!$I$2:$I$206,0))</f>
        <v>N6</v>
      </c>
      <c r="DE11">
        <v>0.16656000000000001</v>
      </c>
      <c r="DF11">
        <v>466</v>
      </c>
      <c r="DG11">
        <v>150</v>
      </c>
      <c r="DH11">
        <v>75</v>
      </c>
      <c r="DI11">
        <v>3.0815061437013331</v>
      </c>
      <c r="DJ11">
        <v>-0.16656000000000001</v>
      </c>
      <c r="DK11">
        <v>-0.11145819275030529</v>
      </c>
      <c r="DL11">
        <v>1.2393166004656904</v>
      </c>
      <c r="DM11" s="107">
        <f>INDEX(Pipes_result_save_V1!$K$2:$K$206,MATCH(DB11,Pipes_result_save_V1!$I$2:$I$206,0)) *POWER(10,-3)</f>
        <v>0.1146382675170898</v>
      </c>
      <c r="DN11" s="78">
        <v>5.3390830705729595E-3</v>
      </c>
      <c r="DO11" s="78">
        <f t="shared" si="5"/>
        <v>0.10929918444651684</v>
      </c>
      <c r="DT11">
        <v>1</v>
      </c>
      <c r="DU11">
        <v>4</v>
      </c>
      <c r="DV11" t="s">
        <v>540</v>
      </c>
      <c r="DW11" t="s">
        <v>399</v>
      </c>
      <c r="DX11" s="106" t="str">
        <f>INDEX(Pipes_result_save_V1!$G$2:$G$206,MATCH(DW11,Pipes_result_save_V1!$I$2:$I$206,0))</f>
        <v>N18</v>
      </c>
      <c r="DY11" s="106" t="str">
        <f>INDEX(Pipes_result_save_V1!$H$2:$H$206,MATCH(DW11,Pipes_result_save_V1!$I$2:$I$206,0))</f>
        <v>N3</v>
      </c>
      <c r="DZ11">
        <v>0.16656000000000001</v>
      </c>
      <c r="EA11">
        <v>466</v>
      </c>
      <c r="EB11">
        <v>150</v>
      </c>
      <c r="EC11">
        <v>93</v>
      </c>
      <c r="ED11">
        <v>3.821067618189653</v>
      </c>
      <c r="EE11">
        <v>-0.17814435626548825</v>
      </c>
      <c r="EF11">
        <v>-0.15653613023676707</v>
      </c>
      <c r="EG11">
        <v>1.6273595149230984</v>
      </c>
      <c r="EH11" s="107">
        <f>INDEX(Pipes_result_save_V1!$K$2:$K$206,MATCH(DW11,Pipes_result_save_V1!$I$2:$I$206,0)) *POWER(10,-3)</f>
        <v>-0.20916310119628909</v>
      </c>
      <c r="EI11" s="78">
        <v>6.4633791434452279E-3</v>
      </c>
      <c r="EJ11" s="78">
        <f t="shared" si="6"/>
        <v>-0.20269972205284387</v>
      </c>
    </row>
    <row r="12" spans="2:140" x14ac:dyDescent="0.25">
      <c r="B12" s="106">
        <v>5</v>
      </c>
      <c r="C12" s="106" t="s">
        <v>539</v>
      </c>
      <c r="D12" s="106" t="s">
        <v>197</v>
      </c>
      <c r="E12" s="106" t="str">
        <f>INDEX(Pipes_result_save_V1!$G$2:$G$206,MATCH(D12,Pipes_result_save_V1!$I$2:$I$206,0))</f>
        <v>N87</v>
      </c>
      <c r="F12" s="106" t="str">
        <f>INDEX(Pipes_result_save_V1!$H$2:$H$206,MATCH(D12,Pipes_result_save_V1!$I$2:$I$206,0))</f>
        <v>N88</v>
      </c>
      <c r="G12" s="106">
        <v>0.25</v>
      </c>
      <c r="H12" s="107">
        <v>565</v>
      </c>
      <c r="I12" s="107">
        <v>150</v>
      </c>
      <c r="J12" s="107">
        <v>250</v>
      </c>
      <c r="K12" s="107">
        <v>4.0190332028082514</v>
      </c>
      <c r="L12" s="107">
        <v>0.25</v>
      </c>
      <c r="M12" s="107">
        <v>0.30839440487044523</v>
      </c>
      <c r="N12" s="107">
        <v>2.2845857512802583</v>
      </c>
      <c r="O12" s="107">
        <f>INDEX(Pipes_result_save_V1!$K$2:$K$206,MATCH(D12,Pipes_result_save_V1!$I$2:$I$206,0)) *POWER(10,-3)</f>
        <v>1.6403696060180661E-2</v>
      </c>
      <c r="P12" s="78">
        <v>5.9554526288505532E-3</v>
      </c>
      <c r="Q12" s="78">
        <f t="shared" si="0"/>
        <v>1.0448243431330108E-2</v>
      </c>
      <c r="R12" s="78"/>
      <c r="S12" s="78"/>
      <c r="T12" s="78">
        <v>0</v>
      </c>
      <c r="U12" s="78">
        <v>5</v>
      </c>
      <c r="V12" s="78" t="s">
        <v>540</v>
      </c>
      <c r="W12" s="106" t="s">
        <v>884</v>
      </c>
      <c r="X12" s="106" t="str">
        <f>INDEX(Pipes_result_save_V1!$G$2:$G$206,MATCH(W12,Pipes_result_save_V1!$I$2:$I$206,0))</f>
        <v>N165</v>
      </c>
      <c r="Y12" s="106" t="str">
        <f>INDEX(Pipes_result_save_V1!$H$2:$H$206,MATCH(W12,Pipes_result_save_V1!$I$2:$I$206,0))</f>
        <v>N84</v>
      </c>
      <c r="Z12" s="78">
        <v>2.9028999999999999E-2</v>
      </c>
      <c r="AA12" s="78">
        <v>200</v>
      </c>
      <c r="AB12" s="78">
        <v>150</v>
      </c>
      <c r="AC12" s="78">
        <v>96</v>
      </c>
      <c r="AD12" s="78">
        <v>242.86431051954654</v>
      </c>
      <c r="AE12" s="78">
        <v>-2.9028999999999999E-2</v>
      </c>
      <c r="AF12" s="78">
        <v>0</v>
      </c>
      <c r="AG12" s="78">
        <v>0</v>
      </c>
      <c r="AH12" s="78">
        <v>-0.34556416714209448</v>
      </c>
      <c r="AI12">
        <v>22.046396277762213</v>
      </c>
      <c r="AJ12" s="107">
        <f>INDEX(Pipes_result_save_V1!$K$2:$K$206,MATCH(W12,Pipes_result_save_V1!$I$2:$I$206,0)) *POWER(10,-3)</f>
        <v>-2.7296918869018551E-2</v>
      </c>
      <c r="AK12" s="78">
        <v>1.1755613789145893E-3</v>
      </c>
      <c r="AL12" s="78">
        <f t="shared" si="1"/>
        <v>-2.6121357490103962E-2</v>
      </c>
      <c r="AP12">
        <v>0</v>
      </c>
      <c r="AQ12">
        <v>5</v>
      </c>
      <c r="AR12" t="s">
        <v>539</v>
      </c>
      <c r="AS12" t="s">
        <v>180</v>
      </c>
      <c r="AT12" s="106" t="str">
        <f>INDEX(Pipes_result_save_V1!$G$2:$G$206,MATCH(AS12,Pipes_result_save_V1!$I$2:$I$206,0))</f>
        <v>N74</v>
      </c>
      <c r="AU12" s="106" t="str">
        <f>INDEX(Pipes_result_save_V1!$H$2:$H$206,MATCH(AS12,Pipes_result_save_V1!$I$2:$I$206,0))</f>
        <v>N75</v>
      </c>
      <c r="AV12">
        <v>3.2837000000000005E-2</v>
      </c>
      <c r="AW12">
        <v>250</v>
      </c>
      <c r="AX12">
        <v>150</v>
      </c>
      <c r="AY12">
        <v>74</v>
      </c>
      <c r="AZ12">
        <v>63.135774472429517</v>
      </c>
      <c r="BA12">
        <v>3.2837000000000005E-2</v>
      </c>
      <c r="BB12">
        <v>0.1128705559405012</v>
      </c>
      <c r="BC12">
        <v>6.3658759814175534</v>
      </c>
      <c r="BD12" s="107">
        <f>INDEX(Pipes_result_save_V1!$K$2:$K$206,MATCH(AS12,Pipes_result_save_V1!$I$2:$I$206,0)) *POWER(10,-3)</f>
        <v>6.1372756958007813E-2</v>
      </c>
      <c r="BE12" s="78">
        <v>6.0754373213024147E-3</v>
      </c>
      <c r="BF12" s="78">
        <f t="shared" si="2"/>
        <v>5.5297319636705394E-2</v>
      </c>
      <c r="BJ12">
        <v>0</v>
      </c>
      <c r="BK12">
        <v>5</v>
      </c>
      <c r="BL12" t="s">
        <v>539</v>
      </c>
      <c r="BM12" t="s">
        <v>130</v>
      </c>
      <c r="BN12" s="106" t="str">
        <f>INDEX(Pipes_result_save_V1!$G$2:$G$206,MATCH(BM12,Pipes_result_save_V1!$I$2:$I$206,0))</f>
        <v>N55</v>
      </c>
      <c r="BO12" s="106" t="str">
        <f>INDEX(Pipes_result_save_V1!$H$2:$H$206,MATCH(BM12,Pipes_result_save_V1!$I$2:$I$206,0))</f>
        <v>N54</v>
      </c>
      <c r="BP12">
        <v>3.2837000000000005E-2</v>
      </c>
      <c r="BQ12">
        <v>250</v>
      </c>
      <c r="BR12">
        <v>150</v>
      </c>
      <c r="BS12">
        <v>77</v>
      </c>
      <c r="BT12">
        <v>65.695332896987466</v>
      </c>
      <c r="BU12">
        <v>3.2837000000000005E-2</v>
      </c>
      <c r="BV12">
        <v>0.11744638928944044</v>
      </c>
      <c r="BW12">
        <v>6.6239520347182648</v>
      </c>
      <c r="BX12" s="107">
        <f>INDEX(Pipes_result_save_V1!$K$2:$K$206,MATCH(BM12,Pipes_result_save_V1!$I$2:$I$206,0)) *POWER(10,-3)</f>
        <v>-2.8550071716308592E-2</v>
      </c>
      <c r="BY12" s="78">
        <v>5.4589137819041553E-3</v>
      </c>
      <c r="BZ12" s="78">
        <f t="shared" si="3"/>
        <v>-2.3091157934404437E-2</v>
      </c>
      <c r="CE12">
        <v>0</v>
      </c>
      <c r="CF12">
        <v>5</v>
      </c>
      <c r="CG12" t="s">
        <v>540</v>
      </c>
      <c r="CH12" t="s">
        <v>136</v>
      </c>
      <c r="CI12" s="106" t="str">
        <f>INDEX(Pipes_result_save_V1!$G$2:$G$206,MATCH(CH12,Pipes_result_save_V1!$I$2:$I$206,0))</f>
        <v>N34</v>
      </c>
      <c r="CJ12" s="106" t="str">
        <f>INDEX(Pipes_result_save_V1!$H$2:$H$206,MATCH(CH12,Pipes_result_save_V1!$I$2:$I$206,0))</f>
        <v>N33</v>
      </c>
      <c r="CK12">
        <v>8.3280000000000007E-2</v>
      </c>
      <c r="CL12">
        <v>350</v>
      </c>
      <c r="CM12">
        <v>150</v>
      </c>
      <c r="CN12">
        <v>82</v>
      </c>
      <c r="CO12">
        <v>13.585260893493183</v>
      </c>
      <c r="CP12">
        <v>-8.3280000000000007E-2</v>
      </c>
      <c r="CQ12">
        <v>-0.13611606642173896</v>
      </c>
      <c r="CR12">
        <v>3.0269807278225334</v>
      </c>
      <c r="CS12" s="107">
        <f>INDEX(Pipes_result_save_V1!$K$2:$K$206,MATCH(CH12,Pipes_result_save_V1!$I$2:$I$206,0)) *POWER(10,-3)</f>
        <v>-0.11696879577636721</v>
      </c>
      <c r="CT12" s="78">
        <v>6.3272602333288921E-3</v>
      </c>
      <c r="CU12" s="78">
        <f t="shared" si="4"/>
        <v>-0.11064153554303832</v>
      </c>
      <c r="CY12">
        <v>0</v>
      </c>
      <c r="CZ12">
        <v>5</v>
      </c>
      <c r="DA12" t="s">
        <v>540</v>
      </c>
      <c r="DB12" t="s">
        <v>396</v>
      </c>
      <c r="DC12" s="106" t="str">
        <f>INDEX(Pipes_result_save_V1!$G$2:$G$206,MATCH(DB12,Pipes_result_save_V1!$I$2:$I$206,0))</f>
        <v>N6</v>
      </c>
      <c r="DD12" s="106" t="str">
        <f>INDEX(Pipes_result_save_V1!$H$2:$H$206,MATCH(DB12,Pipes_result_save_V1!$I$2:$I$206,0))</f>
        <v>N7</v>
      </c>
      <c r="DE12">
        <v>0.16656000000000001</v>
      </c>
      <c r="DF12">
        <v>466</v>
      </c>
      <c r="DG12">
        <v>150</v>
      </c>
      <c r="DH12">
        <v>94</v>
      </c>
      <c r="DI12">
        <v>3.8621543667723377</v>
      </c>
      <c r="DJ12">
        <v>-0.16656000000000001</v>
      </c>
      <c r="DK12">
        <v>-0.13969426824704931</v>
      </c>
      <c r="DL12">
        <v>1.5532768059169988</v>
      </c>
      <c r="DM12" s="107">
        <f>INDEX(Pipes_result_save_V1!$K$2:$K$206,MATCH(DB12,Pipes_result_save_V1!$I$2:$I$206,0)) *POWER(10,-3)</f>
        <v>0.1136740341186523</v>
      </c>
      <c r="DN12" s="78">
        <v>5.5846881956221669E-3</v>
      </c>
      <c r="DO12" s="78">
        <f t="shared" si="5"/>
        <v>0.10808934592303014</v>
      </c>
      <c r="DT12">
        <v>2</v>
      </c>
      <c r="DU12">
        <v>5</v>
      </c>
      <c r="DV12" t="s">
        <v>539</v>
      </c>
      <c r="DW12" t="s">
        <v>400</v>
      </c>
      <c r="DX12" s="106" t="str">
        <f>INDEX(Pipes_result_save_V1!$G$2:$G$206,MATCH(DW12,Pipes_result_save_V1!$I$2:$I$206,0))</f>
        <v>N3</v>
      </c>
      <c r="DY12" s="106" t="str">
        <f>INDEX(Pipes_result_save_V1!$H$2:$H$206,MATCH(DW12,Pipes_result_save_V1!$I$2:$I$206,0))</f>
        <v>N4</v>
      </c>
      <c r="DZ12">
        <v>0.16656000000000001</v>
      </c>
      <c r="EA12">
        <v>466</v>
      </c>
      <c r="EB12">
        <v>150</v>
      </c>
      <c r="EC12">
        <v>181</v>
      </c>
      <c r="ED12">
        <v>7.4367014934658844</v>
      </c>
      <c r="EE12">
        <v>0.15497564373451178</v>
      </c>
      <c r="EF12">
        <v>0.23536845520519051</v>
      </c>
      <c r="EG12">
        <v>2.8127153953737118</v>
      </c>
      <c r="EH12" s="107">
        <f>INDEX(Pipes_result_save_V1!$K$2:$K$206,MATCH(DW12,Pipes_result_save_V1!$I$2:$I$206,0)) *POWER(10,-3)</f>
        <v>0.11761656188964839</v>
      </c>
      <c r="EI12" s="78">
        <v>6.2925356570970392E-3</v>
      </c>
      <c r="EJ12" s="78">
        <f t="shared" si="6"/>
        <v>0.11132402623255135</v>
      </c>
    </row>
    <row r="13" spans="2:140" ht="30" x14ac:dyDescent="0.25">
      <c r="B13" s="106">
        <v>6</v>
      </c>
      <c r="C13" s="106" t="s">
        <v>539</v>
      </c>
      <c r="D13" s="106" t="s">
        <v>196</v>
      </c>
      <c r="E13" s="106" t="str">
        <f>INDEX(Pipes_result_save_V1!$G$2:$G$206,MATCH(D13,Pipes_result_save_V1!$I$2:$I$206,0))</f>
        <v>N88</v>
      </c>
      <c r="F13" s="106" t="str">
        <f>INDEX(Pipes_result_save_V1!$H$2:$H$206,MATCH(D13,Pipes_result_save_V1!$I$2:$I$206,0))</f>
        <v>N89</v>
      </c>
      <c r="G13" s="106">
        <v>6.3E-2</v>
      </c>
      <c r="H13" s="107">
        <v>300</v>
      </c>
      <c r="I13" s="107">
        <v>150</v>
      </c>
      <c r="J13" s="107">
        <v>63</v>
      </c>
      <c r="K13" s="107">
        <v>22.115282553351062</v>
      </c>
      <c r="L13" s="107">
        <v>6.3E-2</v>
      </c>
      <c r="M13" s="107">
        <v>0.132151224021303</v>
      </c>
      <c r="N13" s="107">
        <v>3.8848264585309997</v>
      </c>
      <c r="O13" s="107">
        <f>INDEX(Pipes_result_save_V1!$K$2:$K$206,MATCH(D13,Pipes_result_save_V1!$I$2:$I$206,0)) *POWER(10,-3)</f>
        <v>1.461785984039307E-2</v>
      </c>
      <c r="P13" s="78">
        <v>6.4376277225501911E-3</v>
      </c>
      <c r="Q13" s="78">
        <f t="shared" si="0"/>
        <v>8.1802321178428786E-3</v>
      </c>
      <c r="R13" s="78"/>
      <c r="S13" s="78"/>
      <c r="T13" s="78">
        <v>0</v>
      </c>
      <c r="U13" s="78">
        <v>6</v>
      </c>
      <c r="V13" s="78" t="s">
        <v>540</v>
      </c>
      <c r="W13" s="78" t="s">
        <v>436</v>
      </c>
      <c r="X13" s="106" t="str">
        <f>INDEX(Pipes_result_save_V1!$G$2:$G$206,MATCH(W13,Pipes_result_save_V1!$I$2:$I$206,0))</f>
        <v>N127</v>
      </c>
      <c r="Y13" s="106" t="str">
        <f>INDEX(Pipes_result_save_V1!$H$2:$H$206,MATCH(W13,Pipes_result_save_V1!$I$2:$I$206,0))</f>
        <v>N136</v>
      </c>
      <c r="Z13" s="78">
        <v>5.8057999999999998E-2</v>
      </c>
      <c r="AA13" s="78">
        <v>300</v>
      </c>
      <c r="AB13" s="78">
        <v>150</v>
      </c>
      <c r="AC13" s="78">
        <v>222</v>
      </c>
      <c r="AD13" s="78">
        <v>77.930043283237083</v>
      </c>
      <c r="AE13" s="78">
        <v>-5.8057999999999998E-2</v>
      </c>
      <c r="AF13" s="78">
        <v>0</v>
      </c>
      <c r="AG13" s="78">
        <v>0</v>
      </c>
      <c r="AH13" s="78">
        <v>-0.40029251835266977</v>
      </c>
      <c r="AI13">
        <v>12.768985221487904</v>
      </c>
      <c r="AJ13" s="107">
        <f>INDEX(Pipes_result_save_V1!$K$2:$K$206,MATCH(W13,Pipes_result_save_V1!$I$2:$I$206,0)) *POWER(10,-3)</f>
        <v>3.1976058959960939E-2</v>
      </c>
      <c r="AK13" s="78">
        <v>3.2090603882803858E-3</v>
      </c>
      <c r="AL13" s="78">
        <f t="shared" si="1"/>
        <v>2.8766998571680552E-2</v>
      </c>
      <c r="AP13">
        <v>0</v>
      </c>
      <c r="AQ13">
        <v>6</v>
      </c>
      <c r="AR13" t="s">
        <v>539</v>
      </c>
      <c r="AS13" t="s">
        <v>178</v>
      </c>
      <c r="AT13" s="106" t="str">
        <f>INDEX(Pipes_result_save_V1!$G$2:$G$206,MATCH(AS13,Pipes_result_save_V1!$I$2:$I$206,0))</f>
        <v>N75</v>
      </c>
      <c r="AU13" s="106" t="str">
        <f>INDEX(Pipes_result_save_V1!$H$2:$H$206,MATCH(AS13,Pipes_result_save_V1!$I$2:$I$206,0))</f>
        <v>N76</v>
      </c>
      <c r="AV13">
        <v>3.2837000000000005E-2</v>
      </c>
      <c r="AW13">
        <v>250</v>
      </c>
      <c r="AX13">
        <v>150</v>
      </c>
      <c r="AY13">
        <v>75</v>
      </c>
      <c r="AZ13">
        <v>63.988960613948841</v>
      </c>
      <c r="BA13">
        <v>3.2837000000000005E-2</v>
      </c>
      <c r="BB13">
        <v>0.11439583372348096</v>
      </c>
      <c r="BC13">
        <v>6.4519013325177914</v>
      </c>
      <c r="BD13" s="107">
        <f>INDEX(Pipes_result_save_V1!$K$2:$K$206,MATCH(AS13,Pipes_result_save_V1!$I$2:$I$206,0)) *POWER(10,-3)</f>
        <v>6.0362876892089835E-2</v>
      </c>
      <c r="BE13" s="78">
        <v>5.6477156408531754E-3</v>
      </c>
      <c r="BF13" s="78">
        <f t="shared" si="2"/>
        <v>5.4715161251236662E-2</v>
      </c>
      <c r="BJ13">
        <v>0</v>
      </c>
      <c r="BK13">
        <v>6</v>
      </c>
      <c r="BL13" t="s">
        <v>539</v>
      </c>
      <c r="BM13" t="s">
        <v>129</v>
      </c>
      <c r="BN13" s="106" t="str">
        <f>INDEX(Pipes_result_save_V1!$G$2:$G$206,MATCH(BM13,Pipes_result_save_V1!$I$2:$I$206,0))</f>
        <v>N56</v>
      </c>
      <c r="BO13" s="106" t="str">
        <f>INDEX(Pipes_result_save_V1!$H$2:$H$206,MATCH(BM13,Pipes_result_save_V1!$I$2:$I$206,0))</f>
        <v>N55</v>
      </c>
      <c r="BP13">
        <v>3.2837000000000005E-2</v>
      </c>
      <c r="BQ13">
        <v>250</v>
      </c>
      <c r="BR13">
        <v>150</v>
      </c>
      <c r="BS13">
        <v>77</v>
      </c>
      <c r="BT13">
        <v>65.695332896987466</v>
      </c>
      <c r="BU13">
        <v>3.2837000000000005E-2</v>
      </c>
      <c r="BV13">
        <v>0.11744638928944044</v>
      </c>
      <c r="BW13">
        <v>6.6239520347182648</v>
      </c>
      <c r="BX13" s="107">
        <f>INDEX(Pipes_result_save_V1!$K$2:$K$206,MATCH(BM13,Pipes_result_save_V1!$I$2:$I$206,0)) *POWER(10,-3)</f>
        <v>-2.7671417236328121E-2</v>
      </c>
      <c r="BY13" s="78">
        <v>5.1170571745524735E-3</v>
      </c>
      <c r="BZ13" s="78">
        <f t="shared" si="3"/>
        <v>-2.2554360061775646E-2</v>
      </c>
      <c r="CE13">
        <v>0</v>
      </c>
      <c r="CF13">
        <v>6</v>
      </c>
      <c r="CG13" t="s">
        <v>540</v>
      </c>
      <c r="CH13" t="s">
        <v>134</v>
      </c>
      <c r="CI13" s="106" t="str">
        <f>INDEX(Pipes_result_save_V1!$G$2:$G$206,MATCH(CH13,Pipes_result_save_V1!$I$2:$I$206,0))</f>
        <v>N35</v>
      </c>
      <c r="CJ13" s="106" t="str">
        <f>INDEX(Pipes_result_save_V1!$H$2:$H$206,MATCH(CH13,Pipes_result_save_V1!$I$2:$I$206,0))</f>
        <v>N34</v>
      </c>
      <c r="CK13">
        <v>8.3280000000000007E-2</v>
      </c>
      <c r="CL13">
        <v>350</v>
      </c>
      <c r="CM13">
        <v>150</v>
      </c>
      <c r="CN13">
        <v>69</v>
      </c>
      <c r="CO13">
        <v>11.431500020134509</v>
      </c>
      <c r="CP13">
        <v>-8.3280000000000007E-2</v>
      </c>
      <c r="CQ13">
        <v>-0.11453669003780474</v>
      </c>
      <c r="CR13">
        <v>2.5470935392653025</v>
      </c>
      <c r="CS13" s="107">
        <f>INDEX(Pipes_result_save_V1!$K$2:$K$206,MATCH(CH13,Pipes_result_save_V1!$I$2:$I$206,0)) *POWER(10,-3)</f>
        <v>-0.1161072616577148</v>
      </c>
      <c r="CT13" s="78">
        <v>6.5534383745440121E-3</v>
      </c>
      <c r="CU13" s="78">
        <f t="shared" si="4"/>
        <v>-0.10955382328317079</v>
      </c>
      <c r="CY13">
        <v>0</v>
      </c>
      <c r="CZ13">
        <v>6</v>
      </c>
      <c r="DA13" t="s">
        <v>540</v>
      </c>
      <c r="DB13" t="s">
        <v>409</v>
      </c>
      <c r="DC13" s="106" t="str">
        <f>INDEX(Pipes_result_save_V1!$G$2:$G$206,MATCH(DB13,Pipes_result_save_V1!$I$2:$I$206,0))</f>
        <v>N7</v>
      </c>
      <c r="DD13" s="106" t="str">
        <f>INDEX(Pipes_result_save_V1!$H$2:$H$206,MATCH(DB13,Pipes_result_save_V1!$I$2:$I$206,0))</f>
        <v>N106</v>
      </c>
      <c r="DE13">
        <v>8.3280000000000007E-2</v>
      </c>
      <c r="DF13">
        <v>350</v>
      </c>
      <c r="DG13">
        <v>150</v>
      </c>
      <c r="DH13">
        <v>322</v>
      </c>
      <c r="DI13">
        <v>53.347000093961036</v>
      </c>
      <c r="DJ13">
        <v>-8.3280000000000007E-2</v>
      </c>
      <c r="DK13">
        <v>-0.53450455350975545</v>
      </c>
      <c r="DL13">
        <v>11.886436516571411</v>
      </c>
      <c r="DM13" s="107">
        <f>INDEX(Pipes_result_save_V1!$K$2:$K$206,MATCH(DB13,Pipes_result_save_V1!$I$2:$I$206,0)) *POWER(10,-3)</f>
        <v>7.9282783508300786E-2</v>
      </c>
      <c r="DN13" s="78">
        <v>5.9367404767737527E-3</v>
      </c>
      <c r="DO13" s="78">
        <f t="shared" si="5"/>
        <v>7.3346043031527031E-2</v>
      </c>
      <c r="DT13">
        <v>3</v>
      </c>
      <c r="DU13">
        <v>6</v>
      </c>
      <c r="DV13" t="s">
        <v>539</v>
      </c>
      <c r="DW13" t="s">
        <v>401</v>
      </c>
      <c r="DX13" s="106" t="str">
        <f>INDEX(Pipes_result_save_V1!$G$2:$G$206,MATCH(DW13,Pipes_result_save_V1!$I$2:$I$206,0))</f>
        <v>N4</v>
      </c>
      <c r="DY13" s="106" t="str">
        <f>INDEX(Pipes_result_save_V1!$H$2:$H$206,MATCH(DW13,Pipes_result_save_V1!$I$2:$I$206,0))</f>
        <v>N5</v>
      </c>
      <c r="DZ13">
        <v>0.16656000000000001</v>
      </c>
      <c r="EA13">
        <v>466</v>
      </c>
      <c r="EB13">
        <v>150</v>
      </c>
      <c r="EC13">
        <v>133</v>
      </c>
      <c r="ED13">
        <v>5.4645375614970311</v>
      </c>
      <c r="EE13">
        <v>-9.4864356265488253E-2</v>
      </c>
      <c r="EF13">
        <v>-6.9686441817195688E-2</v>
      </c>
      <c r="EG13">
        <v>1.3604613505652203</v>
      </c>
      <c r="EH13" s="107">
        <f>INDEX(Pipes_result_save_V1!$K$2:$K$206,MATCH(DW13,Pipes_result_save_V1!$I$2:$I$206,0)) *POWER(10,-3)</f>
        <v>0.1158250274658203</v>
      </c>
      <c r="EI13" s="78">
        <v>5.2981749260163141E-3</v>
      </c>
      <c r="EJ13" s="78">
        <f t="shared" si="6"/>
        <v>0.11052685253980399</v>
      </c>
    </row>
    <row r="14" spans="2:140" ht="30" x14ac:dyDescent="0.25">
      <c r="B14" s="106">
        <v>7</v>
      </c>
      <c r="C14" s="106" t="s">
        <v>539</v>
      </c>
      <c r="D14" s="106" t="s">
        <v>195</v>
      </c>
      <c r="E14" s="106" t="str">
        <f>INDEX(Pipes_result_save_V1!$G$2:$G$206,MATCH(D14,Pipes_result_save_V1!$I$2:$I$206,0))</f>
        <v>N89</v>
      </c>
      <c r="F14" s="106" t="str">
        <f>INDEX(Pipes_result_save_V1!$H$2:$H$206,MATCH(D14,Pipes_result_save_V1!$I$2:$I$206,0))</f>
        <v>N90</v>
      </c>
      <c r="G14" s="106">
        <v>4.1000000000000002E-2</v>
      </c>
      <c r="H14" s="107">
        <v>250</v>
      </c>
      <c r="I14" s="107">
        <v>150</v>
      </c>
      <c r="J14" s="107">
        <v>41</v>
      </c>
      <c r="K14" s="107">
        <v>34.980631802292031</v>
      </c>
      <c r="L14" s="107">
        <v>4.1000000000000002E-2</v>
      </c>
      <c r="M14" s="107">
        <v>9.4341624853503211E-2</v>
      </c>
      <c r="N14" s="107">
        <v>4.2614802250899499</v>
      </c>
      <c r="O14" s="107">
        <f>INDEX(Pipes_result_save_V1!$K$2:$K$206,MATCH(D14,Pipes_result_save_V1!$I$2:$I$206,0)) *POWER(10,-3)</f>
        <v>1.402448272705078E-2</v>
      </c>
      <c r="P14" s="78">
        <v>6.1790292582421221E-3</v>
      </c>
      <c r="Q14" s="78">
        <f t="shared" si="0"/>
        <v>7.8454534688086573E-3</v>
      </c>
      <c r="R14" s="78"/>
      <c r="S14" s="78"/>
      <c r="T14" s="78">
        <v>0</v>
      </c>
      <c r="U14" s="78">
        <v>7</v>
      </c>
      <c r="V14" s="78" t="s">
        <v>539</v>
      </c>
      <c r="W14" s="78" t="s">
        <v>292</v>
      </c>
      <c r="X14" s="106" t="str">
        <f>INDEX(Pipes_result_save_V1!$G$2:$G$206,MATCH(W14,Pipes_result_save_V1!$I$2:$I$206,0))</f>
        <v>N128</v>
      </c>
      <c r="Y14" s="106" t="str">
        <f>INDEX(Pipes_result_save_V1!$H$2:$H$206,MATCH(W14,Pipes_result_save_V1!$I$2:$I$206,0))</f>
        <v>N127</v>
      </c>
      <c r="Z14" s="78">
        <v>5.8057999999999998E-2</v>
      </c>
      <c r="AA14" s="78">
        <v>300</v>
      </c>
      <c r="AB14" s="78">
        <v>150</v>
      </c>
      <c r="AC14" s="78">
        <v>190</v>
      </c>
      <c r="AD14" s="78">
        <v>66.696883891058746</v>
      </c>
      <c r="AE14" s="78">
        <v>5.8057999999999998E-2</v>
      </c>
      <c r="AF14" s="78">
        <v>0</v>
      </c>
      <c r="AG14" s="78">
        <v>0</v>
      </c>
      <c r="AH14" s="78">
        <v>0.34259269588741997</v>
      </c>
      <c r="AI14">
        <v>10.928410775147302</v>
      </c>
      <c r="AJ14" s="107">
        <f>INDEX(Pipes_result_save_V1!$K$2:$K$206,MATCH(W14,Pipes_result_save_V1!$I$2:$I$206,0)) *POWER(10,-3)</f>
        <v>-9.0811767578125001E-3</v>
      </c>
      <c r="AK14" s="78">
        <v>1.7520822324454286E-3</v>
      </c>
      <c r="AL14" s="78">
        <f t="shared" si="1"/>
        <v>-7.3290945253670714E-3</v>
      </c>
      <c r="AP14">
        <v>0</v>
      </c>
      <c r="AQ14">
        <v>7</v>
      </c>
      <c r="AR14" t="s">
        <v>539</v>
      </c>
      <c r="AS14" t="s">
        <v>189</v>
      </c>
      <c r="AT14" s="106" t="str">
        <f>INDEX(Pipes_result_save_V1!$G$2:$G$206,MATCH(AS14,Pipes_result_save_V1!$I$2:$I$206,0))</f>
        <v>N76</v>
      </c>
      <c r="AU14" s="106" t="str">
        <f>INDEX(Pipes_result_save_V1!$H$2:$H$206,MATCH(AS14,Pipes_result_save_V1!$I$2:$I$206,0))</f>
        <v>N77</v>
      </c>
      <c r="AV14">
        <v>3.2837000000000005E-2</v>
      </c>
      <c r="AW14">
        <v>250</v>
      </c>
      <c r="AX14">
        <v>150</v>
      </c>
      <c r="AY14">
        <v>76</v>
      </c>
      <c r="AZ14">
        <v>64.84214675546815</v>
      </c>
      <c r="BA14">
        <v>3.2837000000000005E-2</v>
      </c>
      <c r="BB14">
        <v>0.1159211115064607</v>
      </c>
      <c r="BC14">
        <v>6.5379266836180276</v>
      </c>
      <c r="BD14" s="107">
        <f>INDEX(Pipes_result_save_V1!$K$2:$K$206,MATCH(AS14,Pipes_result_save_V1!$I$2:$I$206,0)) *POWER(10,-3)</f>
        <v>5.9427165985107423E-2</v>
      </c>
      <c r="BE14" s="78">
        <v>5.1678069077390172E-3</v>
      </c>
      <c r="BF14" s="78">
        <f t="shared" si="2"/>
        <v>5.4259359077368403E-2</v>
      </c>
      <c r="BJ14">
        <v>0</v>
      </c>
      <c r="BK14">
        <v>7</v>
      </c>
      <c r="BL14" t="s">
        <v>539</v>
      </c>
      <c r="BM14" t="s">
        <v>128</v>
      </c>
      <c r="BN14" s="106" t="str">
        <f>INDEX(Pipes_result_save_V1!$G$2:$G$206,MATCH(BM14,Pipes_result_save_V1!$I$2:$I$206,0))</f>
        <v>N57</v>
      </c>
      <c r="BO14" s="106" t="str">
        <f>INDEX(Pipes_result_save_V1!$H$2:$H$206,MATCH(BM14,Pipes_result_save_V1!$I$2:$I$206,0))</f>
        <v>N56</v>
      </c>
      <c r="BP14">
        <v>3.2837000000000005E-2</v>
      </c>
      <c r="BQ14">
        <v>250</v>
      </c>
      <c r="BR14">
        <v>150</v>
      </c>
      <c r="BS14">
        <v>76</v>
      </c>
      <c r="BT14">
        <v>64.84214675546815</v>
      </c>
      <c r="BU14">
        <v>3.2837000000000005E-2</v>
      </c>
      <c r="BV14">
        <v>0.1159211115064607</v>
      </c>
      <c r="BW14">
        <v>6.5379266836180276</v>
      </c>
      <c r="BX14" s="107">
        <f>INDEX(Pipes_result_save_V1!$K$2:$K$206,MATCH(BM14,Pipes_result_save_V1!$I$2:$I$206,0)) *POWER(10,-3)</f>
        <v>-2.6798467636108398E-2</v>
      </c>
      <c r="BY14" s="78">
        <v>5.8060254579695826E-3</v>
      </c>
      <c r="BZ14" s="78">
        <f t="shared" si="3"/>
        <v>-2.0992442178138816E-2</v>
      </c>
      <c r="CE14">
        <v>0</v>
      </c>
      <c r="CF14">
        <v>7</v>
      </c>
      <c r="CG14" t="s">
        <v>540</v>
      </c>
      <c r="CH14" t="s">
        <v>135</v>
      </c>
      <c r="CI14" s="106" t="str">
        <f>INDEX(Pipes_result_save_V1!$G$2:$G$206,MATCH(CH14,Pipes_result_save_V1!$I$2:$I$206,0))</f>
        <v>N36</v>
      </c>
      <c r="CJ14" s="106" t="str">
        <f>INDEX(Pipes_result_save_V1!$H$2:$H$206,MATCH(CH14,Pipes_result_save_V1!$I$2:$I$206,0))</f>
        <v>N35</v>
      </c>
      <c r="CK14">
        <v>8.3280000000000007E-2</v>
      </c>
      <c r="CL14">
        <v>350</v>
      </c>
      <c r="CM14">
        <v>150</v>
      </c>
      <c r="CN14">
        <v>73</v>
      </c>
      <c r="CO14">
        <v>12.094195673475639</v>
      </c>
      <c r="CP14">
        <v>-8.3280000000000007E-2</v>
      </c>
      <c r="CQ14">
        <v>-0.12117649815593834</v>
      </c>
      <c r="CR14">
        <v>2.69475113574445</v>
      </c>
      <c r="CS14" s="107">
        <f>INDEX(Pipes_result_save_V1!$K$2:$K$206,MATCH(CH14,Pipes_result_save_V1!$I$2:$I$206,0)) *POWER(10,-3)</f>
        <v>-0.1152970657348633</v>
      </c>
      <c r="CT14" s="78">
        <v>5.6497529229469576E-3</v>
      </c>
      <c r="CU14" s="78">
        <f t="shared" si="4"/>
        <v>-0.10964731281191634</v>
      </c>
      <c r="CY14">
        <v>0</v>
      </c>
      <c r="CZ14">
        <v>7</v>
      </c>
      <c r="DA14" t="s">
        <v>539</v>
      </c>
      <c r="DB14" t="s">
        <v>151</v>
      </c>
      <c r="DC14" s="106" t="str">
        <f>INDEX(Pipes_result_save_V1!$G$2:$G$206,MATCH(DB14,Pipes_result_save_V1!$I$2:$I$206,0))</f>
        <v>N19</v>
      </c>
      <c r="DD14" s="106" t="str">
        <f>INDEX(Pipes_result_save_V1!$H$2:$H$206,MATCH(DB14,Pipes_result_save_V1!$I$2:$I$206,0))</f>
        <v>N18</v>
      </c>
      <c r="DE14">
        <v>0.16656000000000001</v>
      </c>
      <c r="DF14">
        <v>466</v>
      </c>
      <c r="DG14">
        <v>150</v>
      </c>
      <c r="DH14">
        <v>56</v>
      </c>
      <c r="DI14">
        <v>2.3008579206303286</v>
      </c>
      <c r="DJ14">
        <v>0.16656000000000001</v>
      </c>
      <c r="DK14">
        <v>8.3222117253561281E-2</v>
      </c>
      <c r="DL14">
        <v>0.92535639501438216</v>
      </c>
      <c r="DM14" s="107">
        <f>INDEX(Pipes_result_save_V1!$K$2:$K$206,MATCH(DB14,Pipes_result_save_V1!$I$2:$I$206,0)) *POWER(10,-3)</f>
        <v>-0.20831297302246091</v>
      </c>
      <c r="DN14" s="78">
        <v>6.3972910940920513E-3</v>
      </c>
      <c r="DO14" s="78">
        <f t="shared" si="5"/>
        <v>-0.20191568192836887</v>
      </c>
      <c r="DT14">
        <v>4</v>
      </c>
      <c r="DU14">
        <v>7</v>
      </c>
      <c r="DV14" t="s">
        <v>539</v>
      </c>
      <c r="DW14" t="s">
        <v>403</v>
      </c>
      <c r="DX14" s="106" t="str">
        <f>INDEX(Pipes_result_save_V1!$G$2:$G$206,MATCH(DW14,Pipes_result_save_V1!$I$2:$I$206,0))</f>
        <v>N5</v>
      </c>
      <c r="DY14" s="106" t="str">
        <f>INDEX(Pipes_result_save_V1!$H$2:$H$206,MATCH(DW14,Pipes_result_save_V1!$I$2:$I$206,0))</f>
        <v>N6</v>
      </c>
      <c r="DZ14">
        <v>0.16656000000000001</v>
      </c>
      <c r="EA14">
        <v>466</v>
      </c>
      <c r="EB14">
        <v>150</v>
      </c>
      <c r="EC14">
        <v>75</v>
      </c>
      <c r="ED14">
        <v>3.0815061437013331</v>
      </c>
      <c r="EE14">
        <v>-9.4864356265488253E-2</v>
      </c>
      <c r="EF14">
        <v>-3.9296865686388543E-2</v>
      </c>
      <c r="EG14">
        <v>0.76717745332625198</v>
      </c>
      <c r="EH14" s="107">
        <f>INDEX(Pipes_result_save_V1!$K$2:$K$206,MATCH(DW14,Pipes_result_save_V1!$I$2:$I$206,0)) *POWER(10,-3)</f>
        <v>0.1146382675170898</v>
      </c>
      <c r="EI14" s="78">
        <v>5.5595164112455788E-3</v>
      </c>
      <c r="EJ14" s="78">
        <f t="shared" si="6"/>
        <v>0.10907875110584422</v>
      </c>
    </row>
    <row r="15" spans="2:140" ht="30" x14ac:dyDescent="0.25">
      <c r="B15" s="106">
        <v>8</v>
      </c>
      <c r="C15" s="106" t="s">
        <v>539</v>
      </c>
      <c r="D15" s="106" t="s">
        <v>194</v>
      </c>
      <c r="E15" s="106" t="str">
        <f>INDEX(Pipes_result_save_V1!$G$2:$G$206,MATCH(D15,Pipes_result_save_V1!$I$2:$I$206,0))</f>
        <v>N90</v>
      </c>
      <c r="F15" s="106" t="str">
        <f>INDEX(Pipes_result_save_V1!$H$2:$H$206,MATCH(D15,Pipes_result_save_V1!$I$2:$I$206,0))</f>
        <v>N91</v>
      </c>
      <c r="G15" s="106">
        <v>0.20100000000000001</v>
      </c>
      <c r="H15" s="107">
        <v>565</v>
      </c>
      <c r="I15" s="107">
        <v>150</v>
      </c>
      <c r="J15" s="107">
        <v>201</v>
      </c>
      <c r="K15" s="107">
        <v>3.2313026950578347</v>
      </c>
      <c r="L15" s="107">
        <v>0.20100000000000001</v>
      </c>
      <c r="M15" s="107">
        <v>0.16553763307059088</v>
      </c>
      <c r="N15" s="107">
        <v>1.5252522211280313</v>
      </c>
      <c r="O15" s="107">
        <f>INDEX(Pipes_result_save_V1!$K$2:$K$206,MATCH(D15,Pipes_result_save_V1!$I$2:$I$206,0)) *POWER(10,-3)</f>
        <v>1.264373970031738E-2</v>
      </c>
      <c r="P15" s="78">
        <v>6.5072513739895029E-3</v>
      </c>
      <c r="Q15" s="78">
        <f t="shared" si="0"/>
        <v>6.1364883263278769E-3</v>
      </c>
      <c r="R15" s="78"/>
      <c r="S15" s="78"/>
      <c r="T15" s="78">
        <v>0</v>
      </c>
      <c r="U15" s="78">
        <v>8</v>
      </c>
      <c r="V15" s="78" t="s">
        <v>539</v>
      </c>
      <c r="W15" s="78" t="s">
        <v>291</v>
      </c>
      <c r="X15" s="106" t="str">
        <f>INDEX(Pipes_result_save_V1!$G$2:$G$206,MATCH(W15,Pipes_result_save_V1!$I$2:$I$206,0))</f>
        <v>N129</v>
      </c>
      <c r="Y15" s="106" t="str">
        <f>INDEX(Pipes_result_save_V1!$H$2:$H$206,MATCH(W15,Pipes_result_save_V1!$I$2:$I$206,0))</f>
        <v>N128</v>
      </c>
      <c r="Z15" s="78">
        <v>5.8057999999999998E-2</v>
      </c>
      <c r="AA15" s="78">
        <v>300</v>
      </c>
      <c r="AB15" s="78">
        <v>150</v>
      </c>
      <c r="AC15" s="78">
        <v>290</v>
      </c>
      <c r="AD15" s="78">
        <v>101.80050699161599</v>
      </c>
      <c r="AE15" s="78">
        <v>5.8057999999999998E-2</v>
      </c>
      <c r="AF15" s="78">
        <v>0</v>
      </c>
      <c r="AG15" s="78">
        <v>0</v>
      </c>
      <c r="AH15" s="78">
        <v>0.52290464109132528</v>
      </c>
      <c r="AI15">
        <v>16.680205919961676</v>
      </c>
      <c r="AJ15" s="107">
        <f>INDEX(Pipes_result_save_V1!$K$2:$K$206,MATCH(W15,Pipes_result_save_V1!$I$2:$I$206,0)) *POWER(10,-3)</f>
        <v>-6.3425126075744628E-3</v>
      </c>
      <c r="AK15" s="78">
        <v>4.3014822979732074E-3</v>
      </c>
      <c r="AL15" s="78">
        <f t="shared" si="1"/>
        <v>-2.0410303096012553E-3</v>
      </c>
      <c r="AP15">
        <v>0</v>
      </c>
      <c r="AQ15">
        <v>8</v>
      </c>
      <c r="AR15" t="s">
        <v>539</v>
      </c>
      <c r="AS15" t="s">
        <v>188</v>
      </c>
      <c r="AT15" s="106" t="str">
        <f>INDEX(Pipes_result_save_V1!$G$2:$G$206,MATCH(AS15,Pipes_result_save_V1!$I$2:$I$206,0))</f>
        <v>N77</v>
      </c>
      <c r="AU15" s="106" t="str">
        <f>INDEX(Pipes_result_save_V1!$H$2:$H$206,MATCH(AS15,Pipes_result_save_V1!$I$2:$I$206,0))</f>
        <v>N78</v>
      </c>
      <c r="AV15">
        <v>3.2837000000000005E-2</v>
      </c>
      <c r="AW15">
        <v>250</v>
      </c>
      <c r="AX15">
        <v>150</v>
      </c>
      <c r="AY15">
        <v>77</v>
      </c>
      <c r="AZ15">
        <v>65.695332896987466</v>
      </c>
      <c r="BA15">
        <v>3.2837000000000005E-2</v>
      </c>
      <c r="BB15">
        <v>0.11744638928944044</v>
      </c>
      <c r="BC15">
        <v>6.6239520347182648</v>
      </c>
      <c r="BD15" s="107">
        <f>INDEX(Pipes_result_save_V1!$K$2:$K$206,MATCH(AS15,Pipes_result_save_V1!$I$2:$I$206,0)) *POWER(10,-3)</f>
        <v>5.8537097930908201E-2</v>
      </c>
      <c r="BE15" s="78">
        <v>5.2131629820899731E-3</v>
      </c>
      <c r="BF15" s="78">
        <f t="shared" si="2"/>
        <v>5.3323934948818229E-2</v>
      </c>
      <c r="BJ15">
        <v>0</v>
      </c>
      <c r="BK15">
        <v>8</v>
      </c>
      <c r="BL15" t="s">
        <v>539</v>
      </c>
      <c r="BM15" t="s">
        <v>127</v>
      </c>
      <c r="BN15" s="106" t="str">
        <f>INDEX(Pipes_result_save_V1!$G$2:$G$206,MATCH(BM15,Pipes_result_save_V1!$I$2:$I$206,0))</f>
        <v>N58</v>
      </c>
      <c r="BO15" s="106" t="str">
        <f>INDEX(Pipes_result_save_V1!$H$2:$H$206,MATCH(BM15,Pipes_result_save_V1!$I$2:$I$206,0))</f>
        <v>N57</v>
      </c>
      <c r="BP15">
        <v>3.2837000000000005E-2</v>
      </c>
      <c r="BQ15">
        <v>250</v>
      </c>
      <c r="BR15">
        <v>150</v>
      </c>
      <c r="BS15">
        <v>36</v>
      </c>
      <c r="BT15">
        <v>30.714701094695442</v>
      </c>
      <c r="BU15">
        <v>3.2837000000000005E-2</v>
      </c>
      <c r="BV15">
        <v>5.4910000187270859E-2</v>
      </c>
      <c r="BW15">
        <v>3.09691263960854</v>
      </c>
      <c r="BX15" s="107">
        <f>INDEX(Pipes_result_save_V1!$K$2:$K$206,MATCH(BM15,Pipes_result_save_V1!$I$2:$I$206,0)) *POWER(10,-3)</f>
        <v>-2.6159444808959962E-2</v>
      </c>
      <c r="BY15" s="78">
        <v>5.1975307395639636E-3</v>
      </c>
      <c r="BZ15" s="78">
        <f t="shared" si="3"/>
        <v>-2.0961914069395998E-2</v>
      </c>
      <c r="CE15">
        <v>0</v>
      </c>
      <c r="CF15">
        <v>8</v>
      </c>
      <c r="CG15" t="s">
        <v>540</v>
      </c>
      <c r="CH15" t="s">
        <v>133</v>
      </c>
      <c r="CI15" s="106" t="str">
        <f>INDEX(Pipes_result_save_V1!$G$2:$G$206,MATCH(CH15,Pipes_result_save_V1!$I$2:$I$206,0))</f>
        <v>N37</v>
      </c>
      <c r="CJ15" s="106" t="str">
        <f>INDEX(Pipes_result_save_V1!$H$2:$H$206,MATCH(CH15,Pipes_result_save_V1!$I$2:$I$206,0))</f>
        <v>N36</v>
      </c>
      <c r="CK15">
        <v>8.3280000000000007E-2</v>
      </c>
      <c r="CL15">
        <v>350</v>
      </c>
      <c r="CM15">
        <v>150</v>
      </c>
      <c r="CN15">
        <v>81</v>
      </c>
      <c r="CO15">
        <v>13.419586980157902</v>
      </c>
      <c r="CP15">
        <v>-8.3280000000000007E-2</v>
      </c>
      <c r="CQ15">
        <v>-0.13445611439220556</v>
      </c>
      <c r="CR15">
        <v>2.9900663287027465</v>
      </c>
      <c r="CS15" s="107">
        <f>INDEX(Pipes_result_save_V1!$K$2:$K$206,MATCH(CH15,Pipes_result_save_V1!$I$2:$I$206,0)) *POWER(10,-3)</f>
        <v>-0.11441841125488281</v>
      </c>
      <c r="CT15" s="78">
        <v>6.1696904257668578E-3</v>
      </c>
      <c r="CU15" s="78">
        <f t="shared" si="4"/>
        <v>-0.10824872082911595</v>
      </c>
      <c r="CY15">
        <v>0</v>
      </c>
      <c r="CZ15">
        <v>8</v>
      </c>
      <c r="DA15" t="s">
        <v>539</v>
      </c>
      <c r="DB15" t="s">
        <v>150</v>
      </c>
      <c r="DC15" s="106" t="str">
        <f>INDEX(Pipes_result_save_V1!$G$2:$G$206,MATCH(DB15,Pipes_result_save_V1!$I$2:$I$206,0))</f>
        <v>N20</v>
      </c>
      <c r="DD15" s="106" t="str">
        <f>INDEX(Pipes_result_save_V1!$H$2:$H$206,MATCH(DB15,Pipes_result_save_V1!$I$2:$I$206,0))</f>
        <v>N19</v>
      </c>
      <c r="DE15">
        <v>0.16656000000000001</v>
      </c>
      <c r="DF15">
        <v>466</v>
      </c>
      <c r="DG15">
        <v>150</v>
      </c>
      <c r="DH15">
        <v>60</v>
      </c>
      <c r="DI15">
        <v>2.4652049149610664</v>
      </c>
      <c r="DJ15">
        <v>0.16656000000000001</v>
      </c>
      <c r="DK15">
        <v>8.9166554200244233E-2</v>
      </c>
      <c r="DL15">
        <v>0.9914532803725522</v>
      </c>
      <c r="DM15" s="107">
        <f>INDEX(Pipes_result_save_V1!$K$2:$K$206,MATCH(DB15,Pipes_result_save_V1!$I$2:$I$206,0)) *POWER(10,-3)</f>
        <v>-0.207651123046875</v>
      </c>
      <c r="DN15" s="78">
        <v>6.1394164288756797E-3</v>
      </c>
      <c r="DO15" s="78">
        <f t="shared" si="5"/>
        <v>-0.20151170661799933</v>
      </c>
      <c r="DT15">
        <v>5</v>
      </c>
      <c r="DU15">
        <v>8</v>
      </c>
      <c r="DV15" t="s">
        <v>539</v>
      </c>
      <c r="DW15" t="s">
        <v>396</v>
      </c>
      <c r="DX15" s="106" t="str">
        <f>INDEX(Pipes_result_save_V1!$G$2:$G$206,MATCH(DW15,Pipes_result_save_V1!$I$2:$I$206,0))</f>
        <v>N6</v>
      </c>
      <c r="DY15" s="106" t="str">
        <f>INDEX(Pipes_result_save_V1!$H$2:$H$206,MATCH(DW15,Pipes_result_save_V1!$I$2:$I$206,0))</f>
        <v>N7</v>
      </c>
      <c r="DZ15">
        <v>0.16656000000000001</v>
      </c>
      <c r="EA15">
        <v>466</v>
      </c>
      <c r="EB15">
        <v>150</v>
      </c>
      <c r="EC15">
        <v>94</v>
      </c>
      <c r="ED15">
        <v>3.8621543667723377</v>
      </c>
      <c r="EE15">
        <v>-9.4864356265488253E-2</v>
      </c>
      <c r="EF15">
        <v>-4.9252071660273643E-2</v>
      </c>
      <c r="EG15">
        <v>0.96152907483556926</v>
      </c>
      <c r="EH15" s="107">
        <f>INDEX(Pipes_result_save_V1!$K$2:$K$206,MATCH(DW15,Pipes_result_save_V1!$I$2:$I$206,0)) *POWER(10,-3)</f>
        <v>0.1136740341186523</v>
      </c>
      <c r="EI15" s="78">
        <v>5.9866222049283595E-3</v>
      </c>
      <c r="EJ15" s="78">
        <f t="shared" si="6"/>
        <v>0.10768741191372394</v>
      </c>
    </row>
    <row r="16" spans="2:140" ht="30" x14ac:dyDescent="0.25">
      <c r="B16" s="106">
        <v>9</v>
      </c>
      <c r="C16" s="106" t="s">
        <v>539</v>
      </c>
      <c r="D16" s="106" t="s">
        <v>425</v>
      </c>
      <c r="E16" s="106" t="str">
        <f>INDEX(Pipes_result_save_V1!$G$2:$G$206,MATCH(D16,Pipes_result_save_V1!$I$2:$I$206,0))</f>
        <v>N91</v>
      </c>
      <c r="F16" s="106" t="str">
        <f>INDEX(Pipes_result_save_V1!$H$2:$H$206,MATCH(D16,Pipes_result_save_V1!$I$2:$I$206,0))</f>
        <v>N92</v>
      </c>
      <c r="G16" s="106">
        <v>0.129</v>
      </c>
      <c r="H16" s="107">
        <v>421</v>
      </c>
      <c r="I16" s="107">
        <v>150</v>
      </c>
      <c r="J16" s="107">
        <v>129</v>
      </c>
      <c r="K16" s="107">
        <v>8.6920295923619637</v>
      </c>
      <c r="L16" s="107">
        <v>0.129</v>
      </c>
      <c r="M16" s="107">
        <v>0.19585440315176539</v>
      </c>
      <c r="N16" s="107">
        <v>2.8118011987369731</v>
      </c>
      <c r="O16" s="107">
        <f>INDEX(Pipes_result_save_V1!$K$2:$K$206,MATCH(D16,Pipes_result_save_V1!$I$2:$I$206,0)) *POWER(10,-3)</f>
        <v>1.0760909080505369E-2</v>
      </c>
      <c r="P16" s="78">
        <v>5.6664658257871477E-3</v>
      </c>
      <c r="Q16" s="78">
        <f t="shared" si="0"/>
        <v>5.0944432547182211E-3</v>
      </c>
      <c r="R16" s="78"/>
      <c r="S16" s="78"/>
      <c r="T16" s="78">
        <v>0</v>
      </c>
      <c r="U16" s="78">
        <v>9</v>
      </c>
      <c r="V16" s="78" t="s">
        <v>539</v>
      </c>
      <c r="W16" s="78" t="s">
        <v>293</v>
      </c>
      <c r="X16" s="106" t="str">
        <f>INDEX(Pipes_result_save_V1!$G$2:$G$206,MATCH(W16,Pipes_result_save_V1!$I$2:$I$206,0))</f>
        <v>N130</v>
      </c>
      <c r="Y16" s="106" t="str">
        <f>INDEX(Pipes_result_save_V1!$H$2:$H$206,MATCH(W16,Pipes_result_save_V1!$I$2:$I$206,0))</f>
        <v>N129</v>
      </c>
      <c r="Z16" s="78">
        <v>5.8057999999999998E-2</v>
      </c>
      <c r="AA16" s="78">
        <v>300</v>
      </c>
      <c r="AB16" s="78">
        <v>150</v>
      </c>
      <c r="AC16" s="78">
        <v>82</v>
      </c>
      <c r="AD16" s="78">
        <v>28.784970942456937</v>
      </c>
      <c r="AE16" s="78">
        <v>5.8057999999999998E-2</v>
      </c>
      <c r="AF16" s="78">
        <v>0</v>
      </c>
      <c r="AG16" s="78">
        <v>0</v>
      </c>
      <c r="AH16" s="78">
        <v>0.14785579506720234</v>
      </c>
      <c r="AI16">
        <v>4.7164720187477842</v>
      </c>
      <c r="AJ16" s="107">
        <f>INDEX(Pipes_result_save_V1!$K$2:$K$206,MATCH(W16,Pipes_result_save_V1!$I$2:$I$206,0)) *POWER(10,-3)</f>
        <v>-4.2200489044189457E-3</v>
      </c>
      <c r="AK16" s="78">
        <v>2.0451193143003572E-3</v>
      </c>
      <c r="AL16" s="78">
        <f t="shared" si="1"/>
        <v>-2.1749295901185885E-3</v>
      </c>
      <c r="AP16">
        <v>0</v>
      </c>
      <c r="AQ16">
        <v>9</v>
      </c>
      <c r="AR16" t="s">
        <v>539</v>
      </c>
      <c r="AS16" t="s">
        <v>186</v>
      </c>
      <c r="AT16" s="106" t="str">
        <f>INDEX(Pipes_result_save_V1!$G$2:$G$206,MATCH(AS16,Pipes_result_save_V1!$I$2:$I$206,0))</f>
        <v>N78</v>
      </c>
      <c r="AU16" s="106" t="str">
        <f>INDEX(Pipes_result_save_V1!$H$2:$H$206,MATCH(AS16,Pipes_result_save_V1!$I$2:$I$206,0))</f>
        <v>N79</v>
      </c>
      <c r="AV16">
        <v>3.2837000000000005E-2</v>
      </c>
      <c r="AW16">
        <v>250</v>
      </c>
      <c r="AX16">
        <v>150</v>
      </c>
      <c r="AY16">
        <v>78</v>
      </c>
      <c r="AZ16">
        <v>66.548519038506782</v>
      </c>
      <c r="BA16">
        <v>3.2837000000000005E-2</v>
      </c>
      <c r="BB16">
        <v>0.11897166707242018</v>
      </c>
      <c r="BC16">
        <v>6.7099773858185019</v>
      </c>
      <c r="BD16" s="107">
        <f>INDEX(Pipes_result_save_V1!$K$2:$K$206,MATCH(AS16,Pipes_result_save_V1!$I$2:$I$206,0)) *POWER(10,-3)</f>
        <v>5.7179180145263672E-2</v>
      </c>
      <c r="BE16" s="78">
        <v>5.4724288895827613E-3</v>
      </c>
      <c r="BF16" s="78">
        <f t="shared" si="2"/>
        <v>5.1706751255680909E-2</v>
      </c>
      <c r="BJ16">
        <v>0</v>
      </c>
      <c r="BK16">
        <v>9</v>
      </c>
      <c r="BL16" t="s">
        <v>539</v>
      </c>
      <c r="BM16" t="s">
        <v>126</v>
      </c>
      <c r="BN16" s="106" t="str">
        <f>INDEX(Pipes_result_save_V1!$G$2:$G$206,MATCH(BM16,Pipes_result_save_V1!$I$2:$I$206,0))</f>
        <v>N59</v>
      </c>
      <c r="BO16" s="106" t="str">
        <f>INDEX(Pipes_result_save_V1!$H$2:$H$206,MATCH(BM16,Pipes_result_save_V1!$I$2:$I$206,0))</f>
        <v>N58</v>
      </c>
      <c r="BP16">
        <v>3.2837000000000005E-2</v>
      </c>
      <c r="BQ16">
        <v>250</v>
      </c>
      <c r="BR16">
        <v>150</v>
      </c>
      <c r="BS16">
        <v>32</v>
      </c>
      <c r="BT16">
        <v>27.30195652861817</v>
      </c>
      <c r="BU16">
        <v>3.2837000000000005E-2</v>
      </c>
      <c r="BV16">
        <v>4.8808889055351877E-2</v>
      </c>
      <c r="BW16">
        <v>2.7528112352075911</v>
      </c>
      <c r="BX16" s="107">
        <f>INDEX(Pipes_result_save_V1!$K$2:$K$206,MATCH(BM16,Pipes_result_save_V1!$I$2:$I$206,0)) *POWER(10,-3)</f>
        <v>-2.5771469116210942E-2</v>
      </c>
      <c r="BY16" s="78">
        <v>5.5781242088045243E-3</v>
      </c>
      <c r="BZ16" s="78">
        <f t="shared" si="3"/>
        <v>-2.0193344907406416E-2</v>
      </c>
      <c r="CE16">
        <v>0</v>
      </c>
      <c r="CF16">
        <v>9</v>
      </c>
      <c r="CG16" t="s">
        <v>540</v>
      </c>
      <c r="CH16" t="s">
        <v>132</v>
      </c>
      <c r="CI16" s="106" t="str">
        <f>INDEX(Pipes_result_save_V1!$G$2:$G$206,MATCH(CH16,Pipes_result_save_V1!$I$2:$I$206,0))</f>
        <v>N38</v>
      </c>
      <c r="CJ16" s="106" t="str">
        <f>INDEX(Pipes_result_save_V1!$H$2:$H$206,MATCH(CH16,Pipes_result_save_V1!$I$2:$I$206,0))</f>
        <v>N37</v>
      </c>
      <c r="CK16">
        <v>8.3280000000000007E-2</v>
      </c>
      <c r="CL16">
        <v>350</v>
      </c>
      <c r="CM16">
        <v>150</v>
      </c>
      <c r="CN16">
        <v>101</v>
      </c>
      <c r="CO16">
        <v>16.733065246863553</v>
      </c>
      <c r="CP16">
        <v>-8.3280000000000007E-2</v>
      </c>
      <c r="CQ16">
        <v>-0.16765515498287359</v>
      </c>
      <c r="CR16">
        <v>3.7283543110984856</v>
      </c>
      <c r="CS16" s="107">
        <f>INDEX(Pipes_result_save_V1!$K$2:$K$206,MATCH(CH16,Pipes_result_save_V1!$I$2:$I$206,0)) *POWER(10,-3)</f>
        <v>-0.1133800048828125</v>
      </c>
      <c r="CT16" s="78">
        <v>5.3039577739582063E-3</v>
      </c>
      <c r="CU16" s="78">
        <f t="shared" si="4"/>
        <v>-0.1080760471088543</v>
      </c>
      <c r="CY16">
        <v>0</v>
      </c>
      <c r="CZ16">
        <v>9</v>
      </c>
      <c r="DA16" t="s">
        <v>539</v>
      </c>
      <c r="DB16" t="s">
        <v>149</v>
      </c>
      <c r="DC16" s="106" t="str">
        <f>INDEX(Pipes_result_save_V1!$G$2:$G$206,MATCH(DB16,Pipes_result_save_V1!$I$2:$I$206,0))</f>
        <v>N21</v>
      </c>
      <c r="DD16" s="106" t="str">
        <f>INDEX(Pipes_result_save_V1!$H$2:$H$206,MATCH(DB16,Pipes_result_save_V1!$I$2:$I$206,0))</f>
        <v>N20</v>
      </c>
      <c r="DE16">
        <v>0.16656000000000001</v>
      </c>
      <c r="DF16">
        <v>466</v>
      </c>
      <c r="DG16">
        <v>150</v>
      </c>
      <c r="DH16">
        <v>67</v>
      </c>
      <c r="DI16">
        <v>2.7528121550398579</v>
      </c>
      <c r="DJ16">
        <v>0.16656000000000001</v>
      </c>
      <c r="DK16">
        <v>9.9569318856939398E-2</v>
      </c>
      <c r="DL16">
        <v>1.1071228297493503</v>
      </c>
      <c r="DM16" s="107">
        <f>INDEX(Pipes_result_save_V1!$K$2:$K$206,MATCH(DB16,Pipes_result_save_V1!$I$2:$I$206,0)) *POWER(10,-3)</f>
        <v>-0.20692651367187501</v>
      </c>
      <c r="DN16" s="78">
        <v>6.4258328353900933E-3</v>
      </c>
      <c r="DO16" s="78">
        <f t="shared" si="5"/>
        <v>-0.20050068083648492</v>
      </c>
      <c r="DT16">
        <v>0</v>
      </c>
      <c r="DU16">
        <v>9</v>
      </c>
      <c r="DV16" t="s">
        <v>539</v>
      </c>
      <c r="DW16" t="s">
        <v>402</v>
      </c>
      <c r="DX16" s="106" t="str">
        <f>INDEX(Pipes_result_save_V1!$G$2:$G$206,MATCH(DW16,Pipes_result_save_V1!$I$2:$I$206,0))</f>
        <v>N8</v>
      </c>
      <c r="DY16" s="106" t="str">
        <f>INDEX(Pipes_result_save_V1!$H$2:$H$206,MATCH(DW16,Pipes_result_save_V1!$I$2:$I$206,0))</f>
        <v>N7</v>
      </c>
      <c r="DZ16">
        <v>8.3280000000000007E-2</v>
      </c>
      <c r="EA16">
        <v>350</v>
      </c>
      <c r="EB16">
        <v>150</v>
      </c>
      <c r="EC16">
        <v>133</v>
      </c>
      <c r="ED16">
        <v>22.034630473592603</v>
      </c>
      <c r="EE16">
        <v>8.3280000000000007E-2</v>
      </c>
      <c r="EF16">
        <v>0.22077361992794248</v>
      </c>
      <c r="EG16">
        <v>4.9096150829316691</v>
      </c>
      <c r="EH16" s="107">
        <f>INDEX(Pipes_result_save_V1!$K$2:$K$206,MATCH(DW16,Pipes_result_save_V1!$I$2:$I$206,0)) *POWER(10,-3)</f>
        <v>-3.1258901596069338E-2</v>
      </c>
      <c r="EI16" s="78">
        <v>5.419887647284332E-3</v>
      </c>
      <c r="EJ16" s="78">
        <f t="shared" si="6"/>
        <v>-2.5839013948785006E-2</v>
      </c>
    </row>
    <row r="17" spans="2:140" ht="14.45" customHeight="1" x14ac:dyDescent="0.25">
      <c r="B17" s="106">
        <v>10</v>
      </c>
      <c r="C17" s="106" t="s">
        <v>539</v>
      </c>
      <c r="D17" s="106" t="s">
        <v>183</v>
      </c>
      <c r="E17" s="106" t="str">
        <f>INDEX(Pipes_result_save_V1!$G$2:$G$206,MATCH(D17,Pipes_result_save_V1!$I$2:$I$206,0))</f>
        <v>N92</v>
      </c>
      <c r="F17" s="106" t="str">
        <f>INDEX(Pipes_result_save_V1!$H$2:$H$206,MATCH(D17,Pipes_result_save_V1!$I$2:$I$206,0))</f>
        <v>N93</v>
      </c>
      <c r="G17" s="106">
        <v>0.111</v>
      </c>
      <c r="H17" s="107">
        <v>400</v>
      </c>
      <c r="I17" s="107">
        <v>150</v>
      </c>
      <c r="J17" s="107">
        <v>111</v>
      </c>
      <c r="K17" s="107">
        <v>9.5961788981398755</v>
      </c>
      <c r="L17" s="107">
        <v>0.111</v>
      </c>
      <c r="M17" s="107">
        <v>0.16369540640591485</v>
      </c>
      <c r="N17" s="107">
        <v>2.7312062402140032</v>
      </c>
      <c r="O17" s="107">
        <f>INDEX(Pipes_result_save_V1!$K$2:$K$206,MATCH(D17,Pipes_result_save_V1!$I$2:$I$206,0)) *POWER(10,-3)</f>
        <v>9.3915777206420893E-3</v>
      </c>
      <c r="P17" s="78">
        <v>5.1410950439355957E-3</v>
      </c>
      <c r="Q17" s="78">
        <f t="shared" si="0"/>
        <v>4.2504826767064937E-3</v>
      </c>
      <c r="R17" s="78"/>
      <c r="S17" s="78"/>
      <c r="T17" s="78">
        <v>0</v>
      </c>
      <c r="U17" s="78">
        <v>10</v>
      </c>
      <c r="V17" s="78" t="s">
        <v>539</v>
      </c>
      <c r="W17" s="78" t="s">
        <v>294</v>
      </c>
      <c r="X17" s="106" t="str">
        <f>INDEX(Pipes_result_save_V1!$G$2:$G$206,MATCH(W17,Pipes_result_save_V1!$I$2:$I$206,0))</f>
        <v>N131</v>
      </c>
      <c r="Y17" s="106" t="str">
        <f>INDEX(Pipes_result_save_V1!$H$2:$H$206,MATCH(W17,Pipes_result_save_V1!$I$2:$I$206,0))</f>
        <v>N130</v>
      </c>
      <c r="Z17" s="78">
        <v>5.8057999999999998E-2</v>
      </c>
      <c r="AA17" s="78">
        <v>300</v>
      </c>
      <c r="AB17" s="78">
        <v>150</v>
      </c>
      <c r="AC17" s="78">
        <v>75</v>
      </c>
      <c r="AD17" s="78">
        <v>26.327717325417932</v>
      </c>
      <c r="AE17" s="78">
        <v>5.8057999999999998E-2</v>
      </c>
      <c r="AF17" s="78">
        <v>0</v>
      </c>
      <c r="AG17" s="78">
        <v>0</v>
      </c>
      <c r="AH17" s="78">
        <v>0.13523395890292897</v>
      </c>
      <c r="AI17">
        <v>4.3138463586107783</v>
      </c>
      <c r="AJ17" s="107">
        <f>INDEX(Pipes_result_save_V1!$K$2:$K$206,MATCH(W17,Pipes_result_save_V1!$I$2:$I$206,0)) *POWER(10,-3)</f>
        <v>-3.3242774009704591E-3</v>
      </c>
      <c r="AK17" s="78">
        <v>2.9765588437570896E-3</v>
      </c>
      <c r="AL17" s="78">
        <f t="shared" si="1"/>
        <v>-3.4771855721336953E-4</v>
      </c>
      <c r="AP17">
        <v>0</v>
      </c>
      <c r="AQ17">
        <v>10</v>
      </c>
      <c r="AR17" t="s">
        <v>539</v>
      </c>
      <c r="AS17" t="s">
        <v>187</v>
      </c>
      <c r="AT17" s="106" t="str">
        <f>INDEX(Pipes_result_save_V1!$G$2:$G$206,MATCH(AS17,Pipes_result_save_V1!$I$2:$I$206,0))</f>
        <v>N80</v>
      </c>
      <c r="AU17" s="106" t="str">
        <f>INDEX(Pipes_result_save_V1!$H$2:$H$206,MATCH(AS17,Pipes_result_save_V1!$I$2:$I$206,0))</f>
        <v>N79</v>
      </c>
      <c r="AV17">
        <v>3.2837000000000005E-2</v>
      </c>
      <c r="AW17">
        <v>250</v>
      </c>
      <c r="AX17">
        <v>150</v>
      </c>
      <c r="AY17">
        <v>79</v>
      </c>
      <c r="AZ17">
        <v>67.401705180026113</v>
      </c>
      <c r="BA17">
        <v>3.2837000000000005E-2</v>
      </c>
      <c r="BB17">
        <v>0.12049694485539995</v>
      </c>
      <c r="BC17">
        <v>6.7960027369187399</v>
      </c>
      <c r="BD17" s="107">
        <f>INDEX(Pipes_result_save_V1!$K$2:$K$206,MATCH(AS17,Pipes_result_save_V1!$I$2:$I$206,0)) *POWER(10,-3)</f>
        <v>-5.5878314971923831E-2</v>
      </c>
      <c r="BE17" s="78">
        <v>5.4515790317720761E-3</v>
      </c>
      <c r="BF17" s="78">
        <f t="shared" si="2"/>
        <v>-5.0426735940151755E-2</v>
      </c>
      <c r="BJ17">
        <v>0</v>
      </c>
      <c r="BK17">
        <v>10</v>
      </c>
      <c r="BL17" t="s">
        <v>539</v>
      </c>
      <c r="BM17" t="s">
        <v>125</v>
      </c>
      <c r="BN17" s="106" t="str">
        <f>INDEX(Pipes_result_save_V1!$G$2:$G$206,MATCH(BM17,Pipes_result_save_V1!$I$2:$I$206,0))</f>
        <v>N60</v>
      </c>
      <c r="BO17" s="106" t="str">
        <f>INDEX(Pipes_result_save_V1!$H$2:$H$206,MATCH(BM17,Pipes_result_save_V1!$I$2:$I$206,0))</f>
        <v>N59</v>
      </c>
      <c r="BP17">
        <v>3.2837000000000005E-2</v>
      </c>
      <c r="BQ17">
        <v>250</v>
      </c>
      <c r="BR17">
        <v>150</v>
      </c>
      <c r="BS17">
        <v>79</v>
      </c>
      <c r="BT17">
        <v>67.401705180026113</v>
      </c>
      <c r="BU17">
        <v>3.2837000000000005E-2</v>
      </c>
      <c r="BV17">
        <v>0.12049694485539995</v>
      </c>
      <c r="BW17">
        <v>6.7960027369187399</v>
      </c>
      <c r="BX17" s="107">
        <f>INDEX(Pipes_result_save_V1!$K$2:$K$206,MATCH(BM17,Pipes_result_save_V1!$I$2:$I$206,0)) *POWER(10,-3)</f>
        <v>-2.5138153076171878E-2</v>
      </c>
      <c r="BY17" s="78">
        <v>6.2043547710051656E-3</v>
      </c>
      <c r="BZ17" s="78">
        <f t="shared" si="3"/>
        <v>-1.8933798305166713E-2</v>
      </c>
      <c r="CE17">
        <v>0</v>
      </c>
      <c r="CF17">
        <v>10</v>
      </c>
      <c r="CG17" t="s">
        <v>540</v>
      </c>
      <c r="CH17" t="s">
        <v>408</v>
      </c>
      <c r="CI17" s="106" t="str">
        <f>INDEX(Pipes_result_save_V1!$G$2:$G$206,MATCH(CH17,Pipes_result_save_V1!$I$2:$I$206,0))</f>
        <v>N39</v>
      </c>
      <c r="CJ17" s="106" t="str">
        <f>INDEX(Pipes_result_save_V1!$H$2:$H$206,MATCH(CH17,Pipes_result_save_V1!$I$2:$I$206,0))</f>
        <v>N38</v>
      </c>
      <c r="CK17">
        <v>8.3280000000000007E-2</v>
      </c>
      <c r="CL17">
        <v>350</v>
      </c>
      <c r="CM17">
        <v>150</v>
      </c>
      <c r="CN17">
        <v>91</v>
      </c>
      <c r="CO17">
        <v>15.076326113510728</v>
      </c>
      <c r="CP17">
        <v>-8.3280000000000007E-2</v>
      </c>
      <c r="CQ17">
        <v>-0.15105563468753958</v>
      </c>
      <c r="CR17">
        <v>3.3592103199006162</v>
      </c>
      <c r="CS17" s="107">
        <f>INDEX(Pipes_result_save_V1!$K$2:$K$206,MATCH(CH17,Pipes_result_save_V1!$I$2:$I$206,0)) *POWER(10,-3)</f>
        <v>-0.112284538269043</v>
      </c>
      <c r="CT17" s="78">
        <v>6.194731456914444E-3</v>
      </c>
      <c r="CU17" s="78">
        <f t="shared" si="4"/>
        <v>-0.10608980681212855</v>
      </c>
      <c r="CY17">
        <v>0</v>
      </c>
      <c r="CZ17">
        <v>10</v>
      </c>
      <c r="DA17" t="s">
        <v>539</v>
      </c>
      <c r="DB17" t="s">
        <v>148</v>
      </c>
      <c r="DC17" s="106" t="str">
        <f>INDEX(Pipes_result_save_V1!$G$2:$G$206,MATCH(DB17,Pipes_result_save_V1!$I$2:$I$206,0))</f>
        <v>N22</v>
      </c>
      <c r="DD17" s="106" t="str">
        <f>INDEX(Pipes_result_save_V1!$H$2:$H$206,MATCH(DB17,Pipes_result_save_V1!$I$2:$I$206,0))</f>
        <v>N21</v>
      </c>
      <c r="DE17">
        <v>0.16656000000000001</v>
      </c>
      <c r="DF17">
        <v>466</v>
      </c>
      <c r="DG17">
        <v>150</v>
      </c>
      <c r="DH17">
        <v>194</v>
      </c>
      <c r="DI17">
        <v>7.9708292250407817</v>
      </c>
      <c r="DJ17">
        <v>0.16656000000000001</v>
      </c>
      <c r="DK17">
        <v>0.28830519191412302</v>
      </c>
      <c r="DL17">
        <v>3.2056989398712523</v>
      </c>
      <c r="DM17" s="107">
        <f>INDEX(Pipes_result_save_V1!$K$2:$K$206,MATCH(DB17,Pipes_result_save_V1!$I$2:$I$206,0)) *POWER(10,-3)</f>
        <v>-0.2054373626708984</v>
      </c>
      <c r="DN17" s="78">
        <v>6.026751064043042E-3</v>
      </c>
      <c r="DO17" s="78">
        <f t="shared" si="5"/>
        <v>-0.19941061160685536</v>
      </c>
      <c r="DT17">
        <v>0</v>
      </c>
      <c r="DU17">
        <v>10</v>
      </c>
      <c r="DV17" t="s">
        <v>539</v>
      </c>
      <c r="DW17" t="s">
        <v>174</v>
      </c>
      <c r="DX17" s="106" t="str">
        <f>INDEX(Pipes_result_save_V1!$G$2:$G$206,MATCH(DW17,Pipes_result_save_V1!$I$2:$I$206,0))</f>
        <v>N9</v>
      </c>
      <c r="DY17" s="106" t="str">
        <f>INDEX(Pipes_result_save_V1!$H$2:$H$206,MATCH(DW17,Pipes_result_save_V1!$I$2:$I$206,0))</f>
        <v>N8</v>
      </c>
      <c r="DZ17">
        <v>8.3280000000000007E-2</v>
      </c>
      <c r="EA17">
        <v>350</v>
      </c>
      <c r="EB17">
        <v>150</v>
      </c>
      <c r="EC17">
        <v>178</v>
      </c>
      <c r="ED17">
        <v>29.489956573680328</v>
      </c>
      <c r="EE17">
        <v>8.3280000000000007E-2</v>
      </c>
      <c r="EF17">
        <v>0.29547146125694557</v>
      </c>
      <c r="EG17">
        <v>6.5707630433220849</v>
      </c>
      <c r="EH17" s="107">
        <f>INDEX(Pipes_result_save_V1!$K$2:$K$206,MATCH(DW17,Pipes_result_save_V1!$I$2:$I$206,0)) *POWER(10,-3)</f>
        <v>-2.9484477996826169E-2</v>
      </c>
      <c r="EI17" s="78">
        <v>5.2253689992558623E-3</v>
      </c>
      <c r="EJ17" s="78">
        <f t="shared" si="6"/>
        <v>-2.4259108997570306E-2</v>
      </c>
    </row>
    <row r="18" spans="2:140" ht="30" x14ac:dyDescent="0.25">
      <c r="B18" s="106">
        <v>11</v>
      </c>
      <c r="C18" s="106" t="s">
        <v>539</v>
      </c>
      <c r="D18" s="106" t="s">
        <v>192</v>
      </c>
      <c r="E18" s="106" t="str">
        <f>INDEX(Pipes_result_save_V1!$G$2:$G$206,MATCH(D18,Pipes_result_save_V1!$I$2:$I$206,0))</f>
        <v>N93</v>
      </c>
      <c r="F18" s="106" t="str">
        <f>INDEX(Pipes_result_save_V1!$H$2:$H$206,MATCH(D18,Pipes_result_save_V1!$I$2:$I$206,0))</f>
        <v>N94</v>
      </c>
      <c r="G18" s="106">
        <v>8.7999999999999995E-2</v>
      </c>
      <c r="H18" s="107">
        <v>350</v>
      </c>
      <c r="I18" s="107">
        <v>150</v>
      </c>
      <c r="J18" s="107">
        <v>88</v>
      </c>
      <c r="K18" s="107">
        <v>14.579304373504881</v>
      </c>
      <c r="L18" s="107">
        <v>8.7999999999999995E-2</v>
      </c>
      <c r="M18" s="107">
        <v>0.16177772046556005</v>
      </c>
      <c r="N18" s="107">
        <v>3.4046856625251967</v>
      </c>
      <c r="O18" s="107">
        <f>INDEX(Pipes_result_save_V1!$K$2:$K$206,MATCH(D18,Pipes_result_save_V1!$I$2:$I$206,0)) *POWER(10,-3)</f>
        <v>8.256173133850098E-3</v>
      </c>
      <c r="P18" s="78">
        <v>6.4400131087253634E-3</v>
      </c>
      <c r="Q18" s="78">
        <f t="shared" si="0"/>
        <v>1.8161600251247346E-3</v>
      </c>
      <c r="R18" s="78"/>
      <c r="S18" s="78"/>
      <c r="T18" s="78">
        <v>0</v>
      </c>
      <c r="U18" s="78">
        <v>11</v>
      </c>
      <c r="V18" s="78" t="s">
        <v>539</v>
      </c>
      <c r="W18" s="78" t="s">
        <v>295</v>
      </c>
      <c r="X18" s="106" t="str">
        <f>INDEX(Pipes_result_save_V1!$G$2:$G$206,MATCH(W18,Pipes_result_save_V1!$I$2:$I$206,0))</f>
        <v>N132</v>
      </c>
      <c r="Y18" s="106" t="str">
        <f>INDEX(Pipes_result_save_V1!$H$2:$H$206,MATCH(W18,Pipes_result_save_V1!$I$2:$I$206,0))</f>
        <v>N131</v>
      </c>
      <c r="Z18" s="78">
        <v>5.8057999999999998E-2</v>
      </c>
      <c r="AA18" s="78">
        <v>300</v>
      </c>
      <c r="AB18" s="78">
        <v>150</v>
      </c>
      <c r="AC18" s="78">
        <v>108</v>
      </c>
      <c r="AD18" s="78">
        <v>37.911912948601824</v>
      </c>
      <c r="AE18" s="78">
        <v>5.8057999999999998E-2</v>
      </c>
      <c r="AF18" s="78">
        <v>0</v>
      </c>
      <c r="AG18" s="78">
        <v>0</v>
      </c>
      <c r="AH18" s="78">
        <v>0.19473690082021772</v>
      </c>
      <c r="AI18">
        <v>6.2119387563995216</v>
      </c>
      <c r="AJ18" s="107">
        <f>INDEX(Pipes_result_save_V1!$K$2:$K$206,MATCH(W18,Pipes_result_save_V1!$I$2:$I$206,0)) *POWER(10,-3)</f>
        <v>-2.2801618576049803E-3</v>
      </c>
      <c r="AK18" s="78">
        <v>4.9607976540950102E-3</v>
      </c>
      <c r="AL18" s="78">
        <f t="shared" si="1"/>
        <v>2.68063579649003E-3</v>
      </c>
      <c r="AP18">
        <v>0</v>
      </c>
      <c r="AQ18">
        <v>11</v>
      </c>
      <c r="AR18" t="s">
        <v>539</v>
      </c>
      <c r="AS18" t="s">
        <v>185</v>
      </c>
      <c r="AT18" s="106" t="str">
        <f>INDEX(Pipes_result_save_V1!$G$2:$G$206,MATCH(AS18,Pipes_result_save_V1!$I$2:$I$206,0))</f>
        <v>N81</v>
      </c>
      <c r="AU18" s="106" t="str">
        <f>INDEX(Pipes_result_save_V1!$H$2:$H$206,MATCH(AS18,Pipes_result_save_V1!$I$2:$I$206,0))</f>
        <v>N80</v>
      </c>
      <c r="AV18">
        <v>3.2835999999999997E-2</v>
      </c>
      <c r="AW18">
        <v>250</v>
      </c>
      <c r="AX18">
        <v>150</v>
      </c>
      <c r="AY18">
        <v>80</v>
      </c>
      <c r="AZ18">
        <v>68.254891321545429</v>
      </c>
      <c r="BA18">
        <v>3.2835999999999997E-2</v>
      </c>
      <c r="BB18">
        <v>0.12201534069957347</v>
      </c>
      <c r="BC18">
        <v>6.8818495241689046</v>
      </c>
      <c r="BD18" s="107">
        <f>INDEX(Pipes_result_save_V1!$K$2:$K$206,MATCH(AS18,Pipes_result_save_V1!$I$2:$I$206,0)) *POWER(10,-3)</f>
        <v>-5.5022480010986329E-2</v>
      </c>
      <c r="BE18" s="78">
        <v>6.4606581198190681E-3</v>
      </c>
      <c r="BF18" s="78">
        <f t="shared" si="2"/>
        <v>-4.8561821891167263E-2</v>
      </c>
      <c r="BJ18">
        <v>0</v>
      </c>
      <c r="BK18">
        <v>11</v>
      </c>
      <c r="BL18" t="s">
        <v>539</v>
      </c>
      <c r="BM18" t="s">
        <v>124</v>
      </c>
      <c r="BN18" s="106" t="str">
        <f>INDEX(Pipes_result_save_V1!$G$2:$G$206,MATCH(BM18,Pipes_result_save_V1!$I$2:$I$206,0))</f>
        <v>N61</v>
      </c>
      <c r="BO18" s="106" t="str">
        <f>INDEX(Pipes_result_save_V1!$H$2:$H$206,MATCH(BM18,Pipes_result_save_V1!$I$2:$I$206,0))</f>
        <v>N60</v>
      </c>
      <c r="BP18">
        <v>3.2837000000000005E-2</v>
      </c>
      <c r="BQ18">
        <v>250</v>
      </c>
      <c r="BR18">
        <v>150</v>
      </c>
      <c r="BS18">
        <v>51</v>
      </c>
      <c r="BT18">
        <v>43.512493217485208</v>
      </c>
      <c r="BU18">
        <v>3.2837000000000005E-2</v>
      </c>
      <c r="BV18">
        <v>7.7789166931967052E-2</v>
      </c>
      <c r="BW18">
        <v>4.3872929061120978</v>
      </c>
      <c r="BX18" s="107">
        <f>INDEX(Pipes_result_save_V1!$K$2:$K$206,MATCH(BM18,Pipes_result_save_V1!$I$2:$I$206,0)) *POWER(10,-3)</f>
        <v>-2.439643096923828E-2</v>
      </c>
      <c r="BY18" s="78">
        <v>5.6834226732106396E-3</v>
      </c>
      <c r="BZ18" s="78">
        <f t="shared" si="3"/>
        <v>-1.871300829602764E-2</v>
      </c>
      <c r="CE18">
        <v>0</v>
      </c>
      <c r="CF18">
        <v>11</v>
      </c>
      <c r="CG18" t="s">
        <v>540</v>
      </c>
      <c r="CH18" t="s">
        <v>172</v>
      </c>
      <c r="CI18" s="106" t="str">
        <f>INDEX(Pipes_result_save_V1!$G$2:$G$206,MATCH(CH18,Pipes_result_save_V1!$I$2:$I$206,0))</f>
        <v>N40</v>
      </c>
      <c r="CJ18" s="106" t="str">
        <f>INDEX(Pipes_result_save_V1!$H$2:$H$206,MATCH(CH18,Pipes_result_save_V1!$I$2:$I$206,0))</f>
        <v>N39</v>
      </c>
      <c r="CK18">
        <v>8.3280000000000007E-2</v>
      </c>
      <c r="CL18">
        <v>350</v>
      </c>
      <c r="CM18">
        <v>150</v>
      </c>
      <c r="CN18">
        <v>87</v>
      </c>
      <c r="CO18">
        <v>14.413630460169598</v>
      </c>
      <c r="CP18">
        <v>-8.3280000000000007E-2</v>
      </c>
      <c r="CQ18">
        <v>-0.14441582656940599</v>
      </c>
      <c r="CR18">
        <v>3.2115527234214682</v>
      </c>
      <c r="CS18" s="107">
        <f>INDEX(Pipes_result_save_V1!$K$2:$K$206,MATCH(CH18,Pipes_result_save_V1!$I$2:$I$206,0)) *POWER(10,-3)</f>
        <v>-0.1112689437866211</v>
      </c>
      <c r="CT18" s="78">
        <v>5.341244150467433E-3</v>
      </c>
      <c r="CU18" s="78">
        <f t="shared" si="4"/>
        <v>-0.10592769963615366</v>
      </c>
      <c r="CY18">
        <v>0</v>
      </c>
      <c r="CZ18">
        <v>11</v>
      </c>
      <c r="DA18" t="s">
        <v>539</v>
      </c>
      <c r="DB18" t="s">
        <v>147</v>
      </c>
      <c r="DC18" s="106" t="str">
        <f>INDEX(Pipes_result_save_V1!$G$2:$G$206,MATCH(DB18,Pipes_result_save_V1!$I$2:$I$206,0))</f>
        <v>N23</v>
      </c>
      <c r="DD18" s="106" t="str">
        <f>INDEX(Pipes_result_save_V1!$H$2:$H$206,MATCH(DB18,Pipes_result_save_V1!$I$2:$I$206,0))</f>
        <v>N22</v>
      </c>
      <c r="DE18">
        <v>0.16656000000000001</v>
      </c>
      <c r="DF18">
        <v>466</v>
      </c>
      <c r="DG18">
        <v>150</v>
      </c>
      <c r="DH18">
        <v>74</v>
      </c>
      <c r="DI18">
        <v>3.0404193951186484</v>
      </c>
      <c r="DJ18">
        <v>0.16656000000000001</v>
      </c>
      <c r="DK18">
        <v>0.10997208351363455</v>
      </c>
      <c r="DL18">
        <v>1.2227923791261477</v>
      </c>
      <c r="DM18" s="107">
        <f>INDEX(Pipes_result_save_V1!$K$2:$K$206,MATCH(DB18,Pipes_result_save_V1!$I$2:$I$206,0)) *POWER(10,-3)</f>
        <v>-0.20390827941894532</v>
      </c>
      <c r="DN18" s="78">
        <v>5.186407326757592E-3</v>
      </c>
      <c r="DO18" s="78">
        <f t="shared" si="5"/>
        <v>-0.19872187209218772</v>
      </c>
      <c r="DT18">
        <v>0</v>
      </c>
      <c r="DU18">
        <v>11</v>
      </c>
      <c r="DV18" t="s">
        <v>539</v>
      </c>
      <c r="DW18" t="s">
        <v>175</v>
      </c>
      <c r="DX18" s="106" t="str">
        <f>INDEX(Pipes_result_save_V1!$G$2:$G$206,MATCH(DW18,Pipes_result_save_V1!$I$2:$I$206,0))</f>
        <v>N10</v>
      </c>
      <c r="DY18" s="106" t="str">
        <f>INDEX(Pipes_result_save_V1!$H$2:$H$206,MATCH(DW18,Pipes_result_save_V1!$I$2:$I$206,0))</f>
        <v>N9</v>
      </c>
      <c r="DZ18">
        <v>8.3280000000000007E-2</v>
      </c>
      <c r="EA18">
        <v>350</v>
      </c>
      <c r="EB18">
        <v>150</v>
      </c>
      <c r="EC18">
        <v>198</v>
      </c>
      <c r="ED18">
        <v>32.803434840385982</v>
      </c>
      <c r="EE18">
        <v>8.3280000000000007E-2</v>
      </c>
      <c r="EF18">
        <v>0.32867050184761359</v>
      </c>
      <c r="EG18">
        <v>7.3090510257178245</v>
      </c>
      <c r="EH18" s="107">
        <f>INDEX(Pipes_result_save_V1!$K$2:$K$206,MATCH(DW18,Pipes_result_save_V1!$I$2:$I$206,0)) *POWER(10,-3)</f>
        <v>-2.7339191436767583E-2</v>
      </c>
      <c r="EI18" s="78">
        <v>6.4474007047654585E-3</v>
      </c>
      <c r="EJ18" s="78">
        <f t="shared" si="6"/>
        <v>-2.0891790732002126E-2</v>
      </c>
    </row>
    <row r="19" spans="2:140" ht="30" x14ac:dyDescent="0.25">
      <c r="B19" s="106">
        <v>12</v>
      </c>
      <c r="C19" s="106" t="s">
        <v>539</v>
      </c>
      <c r="D19" s="106" t="s">
        <v>230</v>
      </c>
      <c r="E19" s="106" t="str">
        <f>INDEX(Pipes_result_save_V1!$G$2:$G$206,MATCH(D19,Pipes_result_save_V1!$I$2:$I$206,0))</f>
        <v>N94</v>
      </c>
      <c r="F19" s="106" t="str">
        <f>INDEX(Pipes_result_save_V1!$H$2:$H$206,MATCH(D19,Pipes_result_save_V1!$I$2:$I$206,0))</f>
        <v>N95</v>
      </c>
      <c r="G19" s="106">
        <v>7.3999999999999996E-2</v>
      </c>
      <c r="H19" s="107">
        <v>350</v>
      </c>
      <c r="I19" s="107">
        <v>150</v>
      </c>
      <c r="J19" s="107">
        <v>74</v>
      </c>
      <c r="K19" s="107">
        <v>12.259869586810922</v>
      </c>
      <c r="L19" s="107">
        <v>7.3999999999999996E-2</v>
      </c>
      <c r="M19" s="107">
        <v>9.8696782594534224E-2</v>
      </c>
      <c r="N19" s="107">
        <v>2.4700870454740191</v>
      </c>
      <c r="O19" s="107">
        <f>INDEX(Pipes_result_save_V1!$K$2:$K$206,MATCH(D19,Pipes_result_save_V1!$I$2:$I$206,0)) *POWER(10,-3)</f>
        <v>7.3318743705749513E-3</v>
      </c>
      <c r="P19" s="78">
        <v>6.2863093128296037E-3</v>
      </c>
      <c r="Q19" s="78">
        <f t="shared" si="0"/>
        <v>1.0455650577453476E-3</v>
      </c>
      <c r="R19" s="78"/>
      <c r="S19" s="78"/>
      <c r="T19" s="78">
        <v>0</v>
      </c>
      <c r="U19" s="78">
        <v>12</v>
      </c>
      <c r="V19" s="78" t="s">
        <v>539</v>
      </c>
      <c r="W19" s="78" t="s">
        <v>296</v>
      </c>
      <c r="X19" s="106" t="str">
        <f>INDEX(Pipes_result_save_V1!$G$2:$G$206,MATCH(W19,Pipes_result_save_V1!$I$2:$I$206,0))</f>
        <v>N133</v>
      </c>
      <c r="Y19" s="106" t="str">
        <f>INDEX(Pipes_result_save_V1!$H$2:$H$206,MATCH(W19,Pipes_result_save_V1!$I$2:$I$206,0))</f>
        <v>N132</v>
      </c>
      <c r="Z19" s="78">
        <v>5.8057999999999998E-2</v>
      </c>
      <c r="AA19" s="78">
        <v>300</v>
      </c>
      <c r="AB19" s="78">
        <v>150</v>
      </c>
      <c r="AC19" s="78">
        <v>150</v>
      </c>
      <c r="AD19" s="78">
        <v>52.655434650835865</v>
      </c>
      <c r="AE19" s="78">
        <v>5.8057999999999998E-2</v>
      </c>
      <c r="AF19" s="78">
        <v>0</v>
      </c>
      <c r="AG19" s="78">
        <v>0</v>
      </c>
      <c r="AH19" s="78">
        <v>0.27046791780585794</v>
      </c>
      <c r="AI19">
        <v>8.6276927172215565</v>
      </c>
      <c r="AJ19" s="107">
        <f>INDEX(Pipes_result_save_V1!$K$2:$K$206,MATCH(W19,Pipes_result_save_V1!$I$2:$I$206,0)) *POWER(10,-3)</f>
        <v>-8.0813032388687132E-4</v>
      </c>
      <c r="AK19" s="78">
        <v>4.851489264708366E-3</v>
      </c>
      <c r="AL19" s="78">
        <f t="shared" si="1"/>
        <v>4.0433589408214949E-3</v>
      </c>
      <c r="AP19">
        <v>2</v>
      </c>
      <c r="AQ19">
        <v>12</v>
      </c>
      <c r="AR19" t="s">
        <v>540</v>
      </c>
      <c r="AS19" t="s">
        <v>422</v>
      </c>
      <c r="AT19" s="106" t="str">
        <f>INDEX(Pipes_result_save_V1!$G$2:$G$206,MATCH(AS19,Pipes_result_save_V1!$I$2:$I$206,0))</f>
        <v>N81</v>
      </c>
      <c r="AU19" s="106" t="str">
        <f>INDEX(Pipes_result_save_V1!$H$2:$H$206,MATCH(AS19,Pipes_result_save_V1!$I$2:$I$206,0))</f>
        <v>N135</v>
      </c>
      <c r="AV19">
        <v>5.8057999999999998E-2</v>
      </c>
      <c r="AW19">
        <v>300</v>
      </c>
      <c r="AX19">
        <v>150</v>
      </c>
      <c r="AY19">
        <v>81</v>
      </c>
      <c r="AZ19">
        <v>28.433934711451364</v>
      </c>
      <c r="BA19">
        <v>3.5211178482065772E-2</v>
      </c>
      <c r="BB19">
        <v>5.7848134769030488E-2</v>
      </c>
      <c r="BC19">
        <v>3.0426344760602615</v>
      </c>
      <c r="BD19" s="107">
        <f>INDEX(Pipes_result_save_V1!$K$2:$K$206,MATCH(AS19,Pipes_result_save_V1!$I$2:$I$206,0)) *POWER(10,-3)</f>
        <v>2.2272217273712159E-3</v>
      </c>
      <c r="BE19" s="78">
        <v>5.5853532612658713E-3</v>
      </c>
      <c r="BF19" s="78">
        <f t="shared" si="2"/>
        <v>-3.3581315338946554E-3</v>
      </c>
      <c r="BJ19">
        <v>0</v>
      </c>
      <c r="BK19">
        <v>12</v>
      </c>
      <c r="BL19" t="s">
        <v>539</v>
      </c>
      <c r="BM19" t="s">
        <v>123</v>
      </c>
      <c r="BN19" s="106" t="str">
        <f>INDEX(Pipes_result_save_V1!$G$2:$G$206,MATCH(BM19,Pipes_result_save_V1!$I$2:$I$206,0))</f>
        <v>N62</v>
      </c>
      <c r="BO19" s="106" t="str">
        <f>INDEX(Pipes_result_save_V1!$H$2:$H$206,MATCH(BM19,Pipes_result_save_V1!$I$2:$I$206,0))</f>
        <v>N61</v>
      </c>
      <c r="BP19">
        <v>3.2837000000000005E-2</v>
      </c>
      <c r="BQ19">
        <v>250</v>
      </c>
      <c r="BR19">
        <v>150</v>
      </c>
      <c r="BS19">
        <v>73</v>
      </c>
      <c r="BT19">
        <v>62.282588330910201</v>
      </c>
      <c r="BU19">
        <v>3.2837000000000005E-2</v>
      </c>
      <c r="BV19">
        <v>0.11134527815752146</v>
      </c>
      <c r="BW19">
        <v>6.2798506303173163</v>
      </c>
      <c r="BX19" s="107">
        <f>INDEX(Pipes_result_save_V1!$K$2:$K$206,MATCH(BM19,Pipes_result_save_V1!$I$2:$I$206,0)) *POWER(10,-3)</f>
        <v>-2.3688943862915039E-2</v>
      </c>
      <c r="BY19" s="78">
        <v>6.0413349936045812E-3</v>
      </c>
      <c r="BZ19" s="78">
        <f t="shared" si="3"/>
        <v>-1.7647608869310459E-2</v>
      </c>
      <c r="CE19">
        <v>0</v>
      </c>
      <c r="CF19">
        <v>12</v>
      </c>
      <c r="CG19" t="s">
        <v>540</v>
      </c>
      <c r="CH19" t="s">
        <v>170</v>
      </c>
      <c r="CI19" s="106" t="str">
        <f>INDEX(Pipes_result_save_V1!$G$2:$G$206,MATCH(CH19,Pipes_result_save_V1!$I$2:$I$206,0))</f>
        <v>N41</v>
      </c>
      <c r="CJ19" s="106" t="str">
        <f>INDEX(Pipes_result_save_V1!$H$2:$H$206,MATCH(CH19,Pipes_result_save_V1!$I$2:$I$206,0))</f>
        <v>N40</v>
      </c>
      <c r="CK19">
        <v>8.3280000000000007E-2</v>
      </c>
      <c r="CL19">
        <v>350</v>
      </c>
      <c r="CM19">
        <v>150</v>
      </c>
      <c r="CN19">
        <v>94</v>
      </c>
      <c r="CO19">
        <v>15.573347853516577</v>
      </c>
      <c r="CP19">
        <v>-8.3280000000000007E-2</v>
      </c>
      <c r="CQ19">
        <v>-0.15603549077613979</v>
      </c>
      <c r="CR19">
        <v>3.4699535172599769</v>
      </c>
      <c r="CS19" s="107">
        <f>INDEX(Pipes_result_save_V1!$K$2:$K$206,MATCH(CH19,Pipes_result_save_V1!$I$2:$I$206,0)) *POWER(10,-3)</f>
        <v>-0.10984255981445309</v>
      </c>
      <c r="CT19" s="78">
        <v>5.2385239985790026E-3</v>
      </c>
      <c r="CU19" s="78">
        <f t="shared" si="4"/>
        <v>-0.10460403581587409</v>
      </c>
      <c r="CY19">
        <v>0</v>
      </c>
      <c r="CZ19">
        <v>12</v>
      </c>
      <c r="DA19" t="s">
        <v>539</v>
      </c>
      <c r="DB19" t="s">
        <v>146</v>
      </c>
      <c r="DC19" s="106" t="str">
        <f>INDEX(Pipes_result_save_V1!$G$2:$G$206,MATCH(DB19,Pipes_result_save_V1!$I$2:$I$206,0))</f>
        <v>N24</v>
      </c>
      <c r="DD19" s="106" t="str">
        <f>INDEX(Pipes_result_save_V1!$H$2:$H$206,MATCH(DB19,Pipes_result_save_V1!$I$2:$I$206,0))</f>
        <v>N23</v>
      </c>
      <c r="DE19">
        <v>0.16656000000000001</v>
      </c>
      <c r="DF19">
        <v>466</v>
      </c>
      <c r="DG19">
        <v>150</v>
      </c>
      <c r="DH19">
        <v>92</v>
      </c>
      <c r="DI19">
        <v>3.7799808696069688</v>
      </c>
      <c r="DJ19">
        <v>0.16656000000000001</v>
      </c>
      <c r="DK19">
        <v>0.13672204977370783</v>
      </c>
      <c r="DL19">
        <v>1.5202283632379134</v>
      </c>
      <c r="DM19" s="107">
        <f>INDEX(Pipes_result_save_V1!$K$2:$K$206,MATCH(DB19,Pipes_result_save_V1!$I$2:$I$206,0)) *POWER(10,-3)</f>
        <v>-0.20296116638183592</v>
      </c>
      <c r="DN19" s="78">
        <v>5.1205947079335547E-3</v>
      </c>
      <c r="DO19" s="78">
        <f t="shared" si="5"/>
        <v>-0.19784057167390237</v>
      </c>
      <c r="DT19">
        <v>0</v>
      </c>
      <c r="DU19">
        <v>12</v>
      </c>
      <c r="DV19" t="s">
        <v>539</v>
      </c>
      <c r="DW19" t="s">
        <v>176</v>
      </c>
      <c r="DX19" s="106" t="str">
        <f>INDEX(Pipes_result_save_V1!$G$2:$G$206,MATCH(DW19,Pipes_result_save_V1!$I$2:$I$206,0))</f>
        <v>N11</v>
      </c>
      <c r="DY19" s="106" t="str">
        <f>INDEX(Pipes_result_save_V1!$H$2:$H$206,MATCH(DW19,Pipes_result_save_V1!$I$2:$I$206,0))</f>
        <v>N10</v>
      </c>
      <c r="DZ19">
        <v>8.3280000000000007E-2</v>
      </c>
      <c r="EA19">
        <v>350</v>
      </c>
      <c r="EB19">
        <v>150</v>
      </c>
      <c r="EC19">
        <v>174</v>
      </c>
      <c r="ED19">
        <v>28.827260920339196</v>
      </c>
      <c r="EE19">
        <v>8.3280000000000007E-2</v>
      </c>
      <c r="EF19">
        <v>0.28883165313881198</v>
      </c>
      <c r="EG19">
        <v>6.4231054468429365</v>
      </c>
      <c r="EH19" s="107">
        <f>INDEX(Pipes_result_save_V1!$K$2:$K$206,MATCH(DW19,Pipes_result_save_V1!$I$2:$I$206,0)) *POWER(10,-3)</f>
        <v>-2.5216728210449218E-2</v>
      </c>
      <c r="EI19" s="78">
        <v>6.0070813399753509E-3</v>
      </c>
      <c r="EJ19" s="78">
        <f t="shared" si="6"/>
        <v>-1.9209646870473867E-2</v>
      </c>
    </row>
    <row r="20" spans="2:140" ht="30" x14ac:dyDescent="0.25">
      <c r="B20" s="106">
        <v>13</v>
      </c>
      <c r="C20" s="106" t="s">
        <v>539</v>
      </c>
      <c r="D20" s="106" t="s">
        <v>215</v>
      </c>
      <c r="E20" s="106" t="str">
        <f>INDEX(Pipes_result_save_V1!$G$2:$G$206,MATCH(D20,Pipes_result_save_V1!$I$2:$I$206,0))</f>
        <v>N95</v>
      </c>
      <c r="F20" s="106" t="str">
        <f>INDEX(Pipes_result_save_V1!$H$2:$H$206,MATCH(D20,Pipes_result_save_V1!$I$2:$I$206,0))</f>
        <v>N96</v>
      </c>
      <c r="G20" s="106">
        <v>0.248</v>
      </c>
      <c r="H20" s="107">
        <v>565</v>
      </c>
      <c r="I20" s="107">
        <v>150</v>
      </c>
      <c r="J20" s="107">
        <v>248</v>
      </c>
      <c r="K20" s="107">
        <v>3.9868809371857856</v>
      </c>
      <c r="L20" s="107">
        <v>0.248</v>
      </c>
      <c r="M20" s="107">
        <v>0.30141008477405656</v>
      </c>
      <c r="N20" s="107">
        <v>2.2508527298449703</v>
      </c>
      <c r="O20" s="107">
        <f>INDEX(Pipes_result_save_V1!$K$2:$K$206,MATCH(D20,Pipes_result_save_V1!$I$2:$I$206,0)) *POWER(10,-3)</f>
        <v>5.4946870803833005E-3</v>
      </c>
      <c r="P20" s="78">
        <v>5.0800818278635036E-3</v>
      </c>
      <c r="Q20" s="78">
        <f t="shared" si="0"/>
        <v>4.1460525251979692E-4</v>
      </c>
      <c r="R20" s="78"/>
      <c r="S20" s="78"/>
      <c r="T20" s="78">
        <v>0</v>
      </c>
      <c r="U20" s="78">
        <v>13</v>
      </c>
      <c r="V20" s="78" t="s">
        <v>539</v>
      </c>
      <c r="W20" s="78" t="s">
        <v>297</v>
      </c>
      <c r="X20" s="106" t="str">
        <f>INDEX(Pipes_result_save_V1!$G$2:$G$206,MATCH(W20,Pipes_result_save_V1!$I$2:$I$206,0))</f>
        <v>N134</v>
      </c>
      <c r="Y20" s="106" t="str">
        <f>INDEX(Pipes_result_save_V1!$H$2:$H$206,MATCH(W20,Pipes_result_save_V1!$I$2:$I$206,0))</f>
        <v>N133</v>
      </c>
      <c r="Z20" s="78">
        <v>5.8057999999999998E-2</v>
      </c>
      <c r="AA20" s="78">
        <v>300</v>
      </c>
      <c r="AB20" s="78">
        <v>150</v>
      </c>
      <c r="AC20" s="78">
        <v>54</v>
      </c>
      <c r="AD20" s="78">
        <v>18.955956474300912</v>
      </c>
      <c r="AE20" s="78">
        <v>5.8057999999999998E-2</v>
      </c>
      <c r="AF20" s="78">
        <v>0</v>
      </c>
      <c r="AG20" s="78">
        <v>0</v>
      </c>
      <c r="AH20" s="78">
        <v>9.7368450410108859E-2</v>
      </c>
      <c r="AI20">
        <v>3.1059693781997608</v>
      </c>
      <c r="AJ20" s="107">
        <f>INDEX(Pipes_result_save_V1!$K$2:$K$206,MATCH(W20,Pipes_result_save_V1!$I$2:$I$206,0)) *POWER(10,-3)</f>
        <v>3.558016419410706E-4</v>
      </c>
      <c r="AK20" s="78">
        <v>4.391108088355699E-3</v>
      </c>
      <c r="AL20" s="78">
        <f t="shared" si="1"/>
        <v>-4.0353064464146281E-3</v>
      </c>
      <c r="AP20">
        <v>0</v>
      </c>
      <c r="AQ20">
        <v>13</v>
      </c>
      <c r="AR20" t="s">
        <v>540</v>
      </c>
      <c r="AS20" t="s">
        <v>263</v>
      </c>
      <c r="AT20" s="106" t="str">
        <f>INDEX(Pipes_result_save_V1!$G$2:$G$206,MATCH(AS20,Pipes_result_save_V1!$I$2:$I$206,0))</f>
        <v>N112</v>
      </c>
      <c r="AU20" s="106" t="str">
        <f>INDEX(Pipes_result_save_V1!$H$2:$H$206,MATCH(AS20,Pipes_result_save_V1!$I$2:$I$206,0))</f>
        <v>N111</v>
      </c>
      <c r="AV20">
        <v>3.2837000000000005E-2</v>
      </c>
      <c r="AW20">
        <v>250</v>
      </c>
      <c r="AX20">
        <v>150</v>
      </c>
      <c r="AY20">
        <v>111</v>
      </c>
      <c r="AZ20">
        <v>94.70366170864429</v>
      </c>
      <c r="BA20">
        <v>-3.2837000000000005E-2</v>
      </c>
      <c r="BB20">
        <v>-0.16930583391075182</v>
      </c>
      <c r="BC20">
        <v>9.5488139721263323</v>
      </c>
      <c r="BD20" s="107">
        <f>INDEX(Pipes_result_save_V1!$K$2:$K$206,MATCH(AS20,Pipes_result_save_V1!$I$2:$I$206,0)) *POWER(10,-3)</f>
        <v>-6.3918390274047849E-3</v>
      </c>
      <c r="BE20" s="78">
        <v>5.9927909760638907E-3</v>
      </c>
      <c r="BF20" s="78">
        <f t="shared" si="2"/>
        <v>-3.9904805134089415E-4</v>
      </c>
      <c r="BJ20">
        <v>0</v>
      </c>
      <c r="BK20">
        <v>13</v>
      </c>
      <c r="BL20" t="s">
        <v>539</v>
      </c>
      <c r="BM20" t="s">
        <v>122</v>
      </c>
      <c r="BN20" s="106" t="str">
        <f>INDEX(Pipes_result_save_V1!$G$2:$G$206,MATCH(BM20,Pipes_result_save_V1!$I$2:$I$206,0))</f>
        <v>N63</v>
      </c>
      <c r="BO20" s="106" t="str">
        <f>INDEX(Pipes_result_save_V1!$H$2:$H$206,MATCH(BM20,Pipes_result_save_V1!$I$2:$I$206,0))</f>
        <v>N62</v>
      </c>
      <c r="BP20">
        <v>3.2837000000000005E-2</v>
      </c>
      <c r="BQ20">
        <v>250</v>
      </c>
      <c r="BR20">
        <v>150</v>
      </c>
      <c r="BS20">
        <v>58</v>
      </c>
      <c r="BT20">
        <v>49.484796208120436</v>
      </c>
      <c r="BU20">
        <v>3.2837000000000005E-2</v>
      </c>
      <c r="BV20">
        <v>8.8466111412825274E-2</v>
      </c>
      <c r="BW20">
        <v>4.9894703638137585</v>
      </c>
      <c r="BX20" s="107">
        <f>INDEX(Pipes_result_save_V1!$K$2:$K$206,MATCH(BM20,Pipes_result_save_V1!$I$2:$I$206,0)) *POWER(10,-3)</f>
        <v>-2.2941516876220699E-2</v>
      </c>
      <c r="BY20" s="78">
        <v>5.561579490242767E-3</v>
      </c>
      <c r="BZ20" s="78">
        <f t="shared" si="3"/>
        <v>-1.7379937385977932E-2</v>
      </c>
      <c r="CE20">
        <v>0</v>
      </c>
      <c r="CF20">
        <v>13</v>
      </c>
      <c r="CG20" t="s">
        <v>540</v>
      </c>
      <c r="CH20" t="s">
        <v>171</v>
      </c>
      <c r="CI20" s="106" t="str">
        <f>INDEX(Pipes_result_save_V1!$G$2:$G$206,MATCH(CH20,Pipes_result_save_V1!$I$2:$I$206,0))</f>
        <v>N41</v>
      </c>
      <c r="CJ20" s="106" t="str">
        <f>INDEX(Pipes_result_save_V1!$H$2:$H$206,MATCH(CH20,Pipes_result_save_V1!$I$2:$I$206,0))</f>
        <v>N42</v>
      </c>
      <c r="CK20">
        <v>9.851E-2</v>
      </c>
      <c r="CL20">
        <v>400</v>
      </c>
      <c r="CM20">
        <v>150</v>
      </c>
      <c r="CN20">
        <v>70</v>
      </c>
      <c r="CO20">
        <v>6.0516443501782993</v>
      </c>
      <c r="CP20">
        <v>-9.851E-2</v>
      </c>
      <c r="CQ20">
        <v>-8.2755896525604014E-2</v>
      </c>
      <c r="CR20">
        <v>1.5558209355945454</v>
      </c>
      <c r="CS20" s="107">
        <f>INDEX(Pipes_result_save_V1!$K$2:$K$206,MATCH(CH20,Pipes_result_save_V1!$I$2:$I$206,0)) *POWER(10,-3)</f>
        <v>0.1084104309082031</v>
      </c>
      <c r="CT20" s="78">
        <v>5.2961710303004832E-3</v>
      </c>
      <c r="CU20" s="78">
        <f t="shared" si="4"/>
        <v>0.10311425987790261</v>
      </c>
      <c r="CY20">
        <v>0</v>
      </c>
      <c r="CZ20">
        <v>13</v>
      </c>
      <c r="DA20" t="s">
        <v>539</v>
      </c>
      <c r="DB20" t="s">
        <v>145</v>
      </c>
      <c r="DC20" s="106" t="str">
        <f>INDEX(Pipes_result_save_V1!$G$2:$G$206,MATCH(DB20,Pipes_result_save_V1!$I$2:$I$206,0))</f>
        <v>N25</v>
      </c>
      <c r="DD20" s="106" t="str">
        <f>INDEX(Pipes_result_save_V1!$H$2:$H$206,MATCH(DB20,Pipes_result_save_V1!$I$2:$I$206,0))</f>
        <v>N24</v>
      </c>
      <c r="DE20">
        <v>0.16656000000000001</v>
      </c>
      <c r="DF20">
        <v>466</v>
      </c>
      <c r="DG20">
        <v>150</v>
      </c>
      <c r="DH20">
        <v>75</v>
      </c>
      <c r="DI20">
        <v>3.0815061437013331</v>
      </c>
      <c r="DJ20">
        <v>0.16656000000000001</v>
      </c>
      <c r="DK20">
        <v>0.11145819275030529</v>
      </c>
      <c r="DL20">
        <v>1.2393166004656904</v>
      </c>
      <c r="DM20" s="107">
        <f>INDEX(Pipes_result_save_V1!$K$2:$K$206,MATCH(DB20,Pipes_result_save_V1!$I$2:$I$206,0)) *POWER(10,-3)</f>
        <v>-0.20200834655761718</v>
      </c>
      <c r="DN20" s="78">
        <v>5.5044408918834406E-3</v>
      </c>
      <c r="DO20" s="78">
        <f t="shared" si="5"/>
        <v>-0.19650390566573375</v>
      </c>
      <c r="DT20">
        <v>0</v>
      </c>
      <c r="DU20">
        <v>13</v>
      </c>
      <c r="DV20" t="s">
        <v>539</v>
      </c>
      <c r="DW20" t="s">
        <v>177</v>
      </c>
      <c r="DX20" s="106" t="str">
        <f>INDEX(Pipes_result_save_V1!$G$2:$G$206,MATCH(DW20,Pipes_result_save_V1!$I$2:$I$206,0))</f>
        <v>N12</v>
      </c>
      <c r="DY20" s="106" t="str">
        <f>INDEX(Pipes_result_save_V1!$H$2:$H$206,MATCH(DW20,Pipes_result_save_V1!$I$2:$I$206,0))</f>
        <v>N11</v>
      </c>
      <c r="DZ20">
        <v>8.3280000000000007E-2</v>
      </c>
      <c r="EA20">
        <v>350</v>
      </c>
      <c r="EB20">
        <v>150</v>
      </c>
      <c r="EC20">
        <v>227</v>
      </c>
      <c r="ED20">
        <v>37.607978327109187</v>
      </c>
      <c r="EE20">
        <v>8.3280000000000007E-2</v>
      </c>
      <c r="EF20">
        <v>0.37680911070408235</v>
      </c>
      <c r="EG20">
        <v>8.3795686001916483</v>
      </c>
      <c r="EH20" s="107">
        <f>INDEX(Pipes_result_save_V1!$K$2:$K$206,MATCH(DW20,Pipes_result_save_V1!$I$2:$I$206,0)) *POWER(10,-3)</f>
        <v>-2.2928802490234379E-2</v>
      </c>
      <c r="EI20" s="78">
        <v>6.1898935542342029E-3</v>
      </c>
      <c r="EJ20" s="78">
        <f t="shared" si="6"/>
        <v>-1.6738908936000177E-2</v>
      </c>
    </row>
    <row r="21" spans="2:140" ht="30" x14ac:dyDescent="0.25">
      <c r="B21" s="106">
        <v>14</v>
      </c>
      <c r="C21" s="106" t="s">
        <v>539</v>
      </c>
      <c r="D21" s="106" t="s">
        <v>214</v>
      </c>
      <c r="E21" s="106" t="str">
        <f>INDEX(Pipes_result_save_V1!$G$2:$G$206,MATCH(D21,Pipes_result_save_V1!$I$2:$I$206,0))</f>
        <v>N96</v>
      </c>
      <c r="F21" s="106" t="str">
        <f>INDEX(Pipes_result_save_V1!$H$2:$H$206,MATCH(D21,Pipes_result_save_V1!$I$2:$I$206,0))</f>
        <v>N97</v>
      </c>
      <c r="G21" s="106">
        <v>0.11600000000000001</v>
      </c>
      <c r="H21" s="107">
        <v>400</v>
      </c>
      <c r="I21" s="107">
        <v>150</v>
      </c>
      <c r="J21" s="107">
        <v>116</v>
      </c>
      <c r="K21" s="107">
        <v>10.028439208866896</v>
      </c>
      <c r="L21" s="107">
        <v>0.11600000000000001</v>
      </c>
      <c r="M21" s="107">
        <v>0.18561349239891756</v>
      </c>
      <c r="N21" s="107">
        <v>2.963415413127545</v>
      </c>
      <c r="O21" s="107">
        <f>INDEX(Pipes_result_save_V1!$K$2:$K$206,MATCH(D21,Pipes_result_save_V1!$I$2:$I$206,0)) *POWER(10,-3)</f>
        <v>3.417867422103882E-3</v>
      </c>
      <c r="P21" s="78">
        <v>5.35508992780528E-3</v>
      </c>
      <c r="Q21" s="78">
        <f t="shared" si="0"/>
        <v>-1.937222505701398E-3</v>
      </c>
      <c r="R21" s="78"/>
      <c r="S21" s="78"/>
      <c r="T21" s="78">
        <v>0</v>
      </c>
      <c r="U21" s="78">
        <v>14</v>
      </c>
      <c r="V21" s="78" t="s">
        <v>539</v>
      </c>
      <c r="W21" s="78" t="s">
        <v>298</v>
      </c>
      <c r="X21" s="106" t="str">
        <f>INDEX(Pipes_result_save_V1!$G$2:$G$206,MATCH(W21,Pipes_result_save_V1!$I$2:$I$206,0))</f>
        <v>N135</v>
      </c>
      <c r="Y21" s="106" t="str">
        <f>INDEX(Pipes_result_save_V1!$H$2:$H$206,MATCH(W21,Pipes_result_save_V1!$I$2:$I$206,0))</f>
        <v>N134</v>
      </c>
      <c r="Z21" s="78">
        <v>5.8057999999999998E-2</v>
      </c>
      <c r="AA21" s="78">
        <v>300</v>
      </c>
      <c r="AB21" s="78">
        <v>150</v>
      </c>
      <c r="AC21" s="78">
        <v>93</v>
      </c>
      <c r="AD21" s="78">
        <v>32.646369483518235</v>
      </c>
      <c r="AE21" s="78">
        <v>5.8057999999999998E-2</v>
      </c>
      <c r="AF21" s="78">
        <v>0</v>
      </c>
      <c r="AG21" s="78">
        <v>0</v>
      </c>
      <c r="AH21" s="78">
        <v>0.16769010903963191</v>
      </c>
      <c r="AI21">
        <v>5.3491694846773656</v>
      </c>
      <c r="AJ21" s="107">
        <f>INDEX(Pipes_result_save_V1!$K$2:$K$206,MATCH(W21,Pipes_result_save_V1!$I$2:$I$206,0)) *POWER(10,-3)</f>
        <v>1.194517374038696E-3</v>
      </c>
      <c r="AK21" s="78">
        <v>3.6538468174584261E-3</v>
      </c>
      <c r="AL21" s="78">
        <f t="shared" si="1"/>
        <v>-2.4593294434197303E-3</v>
      </c>
      <c r="AP21">
        <v>0</v>
      </c>
      <c r="AQ21">
        <v>14</v>
      </c>
      <c r="AR21" t="s">
        <v>540</v>
      </c>
      <c r="AS21" t="s">
        <v>264</v>
      </c>
      <c r="AT21" s="106" t="str">
        <f>INDEX(Pipes_result_save_V1!$G$2:$G$206,MATCH(AS21,Pipes_result_save_V1!$I$2:$I$206,0))</f>
        <v>N113</v>
      </c>
      <c r="AU21" s="106" t="str">
        <f>INDEX(Pipes_result_save_V1!$H$2:$H$206,MATCH(AS21,Pipes_result_save_V1!$I$2:$I$206,0))</f>
        <v>N112</v>
      </c>
      <c r="AV21">
        <v>3.2837000000000005E-2</v>
      </c>
      <c r="AW21">
        <v>250</v>
      </c>
      <c r="AX21">
        <v>150</v>
      </c>
      <c r="AY21">
        <v>112</v>
      </c>
      <c r="AZ21">
        <v>95.556847850163592</v>
      </c>
      <c r="BA21">
        <v>-3.2837000000000005E-2</v>
      </c>
      <c r="BB21">
        <v>-0.17083111169373155</v>
      </c>
      <c r="BC21">
        <v>9.6348393232265668</v>
      </c>
      <c r="BD21" s="107">
        <f>INDEX(Pipes_result_save_V1!$K$2:$K$206,MATCH(AS21,Pipes_result_save_V1!$I$2:$I$206,0)) *POWER(10,-3)</f>
        <v>-4.6345300674438478E-3</v>
      </c>
      <c r="BE21" s="78">
        <v>5.2542776304977338E-3</v>
      </c>
      <c r="BF21" s="78">
        <f t="shared" si="2"/>
        <v>6.1974756305388599E-4</v>
      </c>
      <c r="BJ21">
        <v>0</v>
      </c>
      <c r="BK21">
        <v>14</v>
      </c>
      <c r="BL21" t="s">
        <v>539</v>
      </c>
      <c r="BM21" t="s">
        <v>121</v>
      </c>
      <c r="BN21" s="106" t="str">
        <f>INDEX(Pipes_result_save_V1!$G$2:$G$206,MATCH(BM21,Pipes_result_save_V1!$I$2:$I$206,0))</f>
        <v>N64</v>
      </c>
      <c r="BO21" s="106" t="str">
        <f>INDEX(Pipes_result_save_V1!$H$2:$H$206,MATCH(BM21,Pipes_result_save_V1!$I$2:$I$206,0))</f>
        <v>N63</v>
      </c>
      <c r="BP21">
        <v>3.2837000000000005E-2</v>
      </c>
      <c r="BQ21">
        <v>250</v>
      </c>
      <c r="BR21">
        <v>150</v>
      </c>
      <c r="BS21">
        <v>216</v>
      </c>
      <c r="BT21">
        <v>184.28820656817265</v>
      </c>
      <c r="BU21">
        <v>3.2837000000000005E-2</v>
      </c>
      <c r="BV21">
        <v>0.32946000112362517</v>
      </c>
      <c r="BW21">
        <v>18.581475837651237</v>
      </c>
      <c r="BX21" s="107">
        <f>INDEX(Pipes_result_save_V1!$K$2:$K$206,MATCH(BM21,Pipes_result_save_V1!$I$2:$I$206,0)) *POWER(10,-3)</f>
        <v>-2.1378194808959961E-2</v>
      </c>
      <c r="BY21" s="78">
        <v>6.3848835260542861E-3</v>
      </c>
      <c r="BZ21" s="78">
        <f t="shared" si="3"/>
        <v>-1.4993311282905675E-2</v>
      </c>
      <c r="CE21">
        <v>1</v>
      </c>
      <c r="CF21">
        <v>14</v>
      </c>
      <c r="CG21" t="s">
        <v>540</v>
      </c>
      <c r="CH21" t="s">
        <v>414</v>
      </c>
      <c r="CI21" s="106" t="str">
        <f>INDEX(Pipes_result_save_V1!$G$2:$G$206,MATCH(CH21,Pipes_result_save_V1!$I$2:$I$206,0))</f>
        <v>N52</v>
      </c>
      <c r="CJ21" s="106" t="str">
        <f>INDEX(Pipes_result_save_V1!$H$2:$H$206,MATCH(CH21,Pipes_result_save_V1!$I$2:$I$206,0))</f>
        <v>N42</v>
      </c>
      <c r="CK21">
        <v>3.2835999999999997E-2</v>
      </c>
      <c r="CL21">
        <v>250</v>
      </c>
      <c r="CM21">
        <v>150</v>
      </c>
      <c r="CN21">
        <v>223</v>
      </c>
      <c r="CO21">
        <v>190.26050955880785</v>
      </c>
      <c r="CP21">
        <v>2.3579796114934291E-2</v>
      </c>
      <c r="CQ21">
        <v>0.18420135475776558</v>
      </c>
      <c r="CR21">
        <v>14.467508851585029</v>
      </c>
      <c r="CS21" s="107">
        <f>INDEX(Pipes_result_save_V1!$K$2:$K$206,MATCH(CH21,Pipes_result_save_V1!$I$2:$I$206,0)) *POWER(10,-3)</f>
        <v>-3.351390075683594E-2</v>
      </c>
      <c r="CT21" s="78">
        <v>5.4175001596607963E-3</v>
      </c>
      <c r="CU21" s="78">
        <f t="shared" si="4"/>
        <v>-2.8096400597175143E-2</v>
      </c>
      <c r="CY21">
        <v>0</v>
      </c>
      <c r="CZ21">
        <v>14</v>
      </c>
      <c r="DA21" t="s">
        <v>539</v>
      </c>
      <c r="DB21" t="s">
        <v>144</v>
      </c>
      <c r="DC21" s="106" t="str">
        <f>INDEX(Pipes_result_save_V1!$G$2:$G$206,MATCH(DB21,Pipes_result_save_V1!$I$2:$I$206,0))</f>
        <v>N26</v>
      </c>
      <c r="DD21" s="106" t="str">
        <f>INDEX(Pipes_result_save_V1!$H$2:$H$206,MATCH(DB21,Pipes_result_save_V1!$I$2:$I$206,0))</f>
        <v>N25</v>
      </c>
      <c r="DE21">
        <v>0.16656000000000001</v>
      </c>
      <c r="DF21">
        <v>466</v>
      </c>
      <c r="DG21">
        <v>150</v>
      </c>
      <c r="DH21">
        <v>76</v>
      </c>
      <c r="DI21">
        <v>3.1225928922840178</v>
      </c>
      <c r="DJ21">
        <v>0.16656000000000001</v>
      </c>
      <c r="DK21">
        <v>0.11294430198697604</v>
      </c>
      <c r="DL21">
        <v>1.255840821805233</v>
      </c>
      <c r="DM21" s="107">
        <f>INDEX(Pipes_result_save_V1!$K$2:$K$206,MATCH(DB21,Pipes_result_save_V1!$I$2:$I$206,0)) *POWER(10,-3)</f>
        <v>-0.20114678955078119</v>
      </c>
      <c r="DN21" s="78">
        <v>5.2238149459227431E-3</v>
      </c>
      <c r="DO21" s="78">
        <f t="shared" si="5"/>
        <v>-0.19592297460485844</v>
      </c>
      <c r="DT21">
        <v>0</v>
      </c>
      <c r="DU21">
        <v>14</v>
      </c>
      <c r="DV21" t="s">
        <v>539</v>
      </c>
      <c r="DW21" t="s">
        <v>157</v>
      </c>
      <c r="DX21" s="106" t="str">
        <f>INDEX(Pipes_result_save_V1!$G$2:$G$206,MATCH(DW21,Pipes_result_save_V1!$I$2:$I$206,0))</f>
        <v>N13</v>
      </c>
      <c r="DY21" s="106" t="str">
        <f>INDEX(Pipes_result_save_V1!$H$2:$H$206,MATCH(DW21,Pipes_result_save_V1!$I$2:$I$206,0))</f>
        <v>N12</v>
      </c>
      <c r="DZ21">
        <v>8.3280000000000007E-2</v>
      </c>
      <c r="EA21">
        <v>350</v>
      </c>
      <c r="EB21">
        <v>150</v>
      </c>
      <c r="EC21">
        <v>533</v>
      </c>
      <c r="ED21">
        <v>88.304195807705696</v>
      </c>
      <c r="EE21">
        <v>8.3280000000000007E-2</v>
      </c>
      <c r="EF21">
        <v>0.8847544317413033</v>
      </c>
      <c r="EG21">
        <v>19.675374730846467</v>
      </c>
      <c r="EH21" s="107">
        <f>INDEX(Pipes_result_save_V1!$K$2:$K$206,MATCH(DW21,Pipes_result_save_V1!$I$2:$I$206,0)) *POWER(10,-3)</f>
        <v>-1.8592584609985353E-2</v>
      </c>
      <c r="EI21" s="78">
        <v>6.4477182794105683E-3</v>
      </c>
      <c r="EJ21" s="78">
        <f t="shared" si="6"/>
        <v>-1.2144866330574784E-2</v>
      </c>
    </row>
    <row r="22" spans="2:140" ht="30" x14ac:dyDescent="0.25">
      <c r="B22" s="106">
        <v>15</v>
      </c>
      <c r="C22" s="106" t="s">
        <v>539</v>
      </c>
      <c r="D22" s="106" t="s">
        <v>213</v>
      </c>
      <c r="E22" s="106" t="str">
        <f>INDEX(Pipes_result_save_V1!$G$2:$G$206,MATCH(D22,Pipes_result_save_V1!$I$2:$I$206,0))</f>
        <v>N97</v>
      </c>
      <c r="F22" s="106" t="str">
        <f>INDEX(Pipes_result_save_V1!$H$2:$H$206,MATCH(D22,Pipes_result_save_V1!$I$2:$I$206,0))</f>
        <v>N98</v>
      </c>
      <c r="G22" s="106">
        <v>0.128</v>
      </c>
      <c r="H22" s="107">
        <v>421</v>
      </c>
      <c r="I22" s="107">
        <v>150</v>
      </c>
      <c r="J22" s="107">
        <v>128</v>
      </c>
      <c r="K22" s="107">
        <v>8.6246495180025686</v>
      </c>
      <c r="L22" s="107">
        <v>0.128</v>
      </c>
      <c r="M22" s="107">
        <v>0.19155536470823792</v>
      </c>
      <c r="N22" s="107">
        <v>2.7715666831223169</v>
      </c>
      <c r="O22" s="107">
        <f>INDEX(Pipes_result_save_V1!$K$2:$K$206,MATCH(D22,Pipes_result_save_V1!$I$2:$I$206,0)) *POWER(10,-3)</f>
        <v>2.0257134437561041E-3</v>
      </c>
      <c r="P22" s="78">
        <v>5.8974305337180823E-3</v>
      </c>
      <c r="Q22" s="78">
        <f t="shared" si="0"/>
        <v>-3.8717170899619782E-3</v>
      </c>
      <c r="R22" s="78"/>
      <c r="S22" s="78"/>
      <c r="T22" s="78">
        <v>0</v>
      </c>
      <c r="U22" s="78">
        <v>15</v>
      </c>
      <c r="V22" s="78" t="s">
        <v>540</v>
      </c>
      <c r="W22" s="78" t="s">
        <v>300</v>
      </c>
      <c r="X22" s="106" t="str">
        <f>INDEX(Pipes_result_save_V1!$G$2:$G$206,MATCH(W22,Pipes_result_save_V1!$I$2:$I$206,0))</f>
        <v>N136</v>
      </c>
      <c r="Y22" s="106" t="str">
        <f>INDEX(Pipes_result_save_V1!$H$2:$H$206,MATCH(W22,Pipes_result_save_V1!$I$2:$I$206,0))</f>
        <v>N137</v>
      </c>
      <c r="Z22" s="78">
        <v>5.8057999999999998E-2</v>
      </c>
      <c r="AA22" s="78">
        <v>300</v>
      </c>
      <c r="AB22" s="78">
        <v>150</v>
      </c>
      <c r="AC22" s="78">
        <v>360</v>
      </c>
      <c r="AD22" s="78">
        <v>126.37304316200606</v>
      </c>
      <c r="AE22" s="78">
        <v>-5.8057999999999998E-2</v>
      </c>
      <c r="AF22" s="78">
        <v>0</v>
      </c>
      <c r="AG22" s="78">
        <v>0</v>
      </c>
      <c r="AH22" s="78">
        <v>-0.64912300273405898</v>
      </c>
      <c r="AI22">
        <v>20.706462521331733</v>
      </c>
      <c r="AJ22" s="107">
        <f>INDEX(Pipes_result_save_V1!$K$2:$K$206,MATCH(W22,Pipes_result_save_V1!$I$2:$I$206,0)) *POWER(10,-3)</f>
        <v>2.8655429840087891E-2</v>
      </c>
      <c r="AK22" s="78">
        <v>4.5179268908135724E-3</v>
      </c>
      <c r="AL22" s="78">
        <f t="shared" si="1"/>
        <v>2.4137502949274317E-2</v>
      </c>
      <c r="AP22">
        <v>0</v>
      </c>
      <c r="AQ22">
        <v>15</v>
      </c>
      <c r="AR22" t="s">
        <v>540</v>
      </c>
      <c r="AS22" t="s">
        <v>266</v>
      </c>
      <c r="AT22" s="106" t="str">
        <f>INDEX(Pipes_result_save_V1!$G$2:$G$206,MATCH(AS22,Pipes_result_save_V1!$I$2:$I$206,0))</f>
        <v>N114</v>
      </c>
      <c r="AU22" s="106" t="str">
        <f>INDEX(Pipes_result_save_V1!$H$2:$H$206,MATCH(AS22,Pipes_result_save_V1!$I$2:$I$206,0))</f>
        <v>N113</v>
      </c>
      <c r="AV22">
        <v>3.2837000000000005E-2</v>
      </c>
      <c r="AW22">
        <v>250</v>
      </c>
      <c r="AX22">
        <v>150</v>
      </c>
      <c r="AY22">
        <v>113</v>
      </c>
      <c r="AZ22">
        <v>96.410033991682923</v>
      </c>
      <c r="BA22">
        <v>-3.2837000000000005E-2</v>
      </c>
      <c r="BB22">
        <v>-0.17235638947671134</v>
      </c>
      <c r="BC22">
        <v>9.7208646743268066</v>
      </c>
      <c r="BD22" s="107">
        <f>INDEX(Pipes_result_save_V1!$K$2:$K$206,MATCH(AS22,Pipes_result_save_V1!$I$2:$I$206,0)) *POWER(10,-3)</f>
        <v>-3.761581182479858E-3</v>
      </c>
      <c r="BE22" s="78">
        <v>5.6612208252616201E-3</v>
      </c>
      <c r="BF22" s="78">
        <f t="shared" si="2"/>
        <v>1.8996396427817621E-3</v>
      </c>
      <c r="BJ22">
        <v>0</v>
      </c>
      <c r="BK22">
        <v>15</v>
      </c>
      <c r="BL22" t="s">
        <v>539</v>
      </c>
      <c r="BM22" t="s">
        <v>119</v>
      </c>
      <c r="BN22" s="106" t="str">
        <f>INDEX(Pipes_result_save_V1!$G$2:$G$206,MATCH(BM22,Pipes_result_save_V1!$I$2:$I$206,0))</f>
        <v>N65</v>
      </c>
      <c r="BO22" s="106" t="str">
        <f>INDEX(Pipes_result_save_V1!$H$2:$H$206,MATCH(BM22,Pipes_result_save_V1!$I$2:$I$206,0))</f>
        <v>N64</v>
      </c>
      <c r="BP22">
        <v>3.2837000000000005E-2</v>
      </c>
      <c r="BQ22">
        <v>250</v>
      </c>
      <c r="BR22">
        <v>150</v>
      </c>
      <c r="BS22">
        <v>73</v>
      </c>
      <c r="BT22">
        <v>62.282588330910201</v>
      </c>
      <c r="BU22">
        <v>3.2837000000000005E-2</v>
      </c>
      <c r="BV22">
        <v>0.11134527815752146</v>
      </c>
      <c r="BW22">
        <v>6.2798506303173163</v>
      </c>
      <c r="BX22" s="107">
        <f>INDEX(Pipes_result_save_V1!$K$2:$K$206,MATCH(BM22,Pipes_result_save_V1!$I$2:$I$206,0)) *POWER(10,-3)</f>
        <v>-1.9729291915893551E-2</v>
      </c>
      <c r="BY22" s="78">
        <v>5.4690950211208214E-3</v>
      </c>
      <c r="BZ22" s="78">
        <f t="shared" si="3"/>
        <v>-1.4260196894772731E-2</v>
      </c>
      <c r="CE22">
        <v>0</v>
      </c>
      <c r="CF22">
        <v>15</v>
      </c>
      <c r="CG22" t="s">
        <v>540</v>
      </c>
      <c r="CH22" t="s">
        <v>168</v>
      </c>
      <c r="CI22" s="106" t="str">
        <f>INDEX(Pipes_result_save_V1!$G$2:$G$206,MATCH(CH22,Pipes_result_save_V1!$I$2:$I$206,0))</f>
        <v>N44</v>
      </c>
      <c r="CJ22" s="106" t="str">
        <f>INDEX(Pipes_result_save_V1!$H$2:$H$206,MATCH(CH22,Pipes_result_save_V1!$I$2:$I$206,0))</f>
        <v>N43</v>
      </c>
      <c r="CK22">
        <v>0.16656000000000001</v>
      </c>
      <c r="CL22">
        <v>466</v>
      </c>
      <c r="CM22">
        <v>150</v>
      </c>
      <c r="CN22">
        <v>340</v>
      </c>
      <c r="CO22">
        <v>13.969494518112711</v>
      </c>
      <c r="CP22">
        <v>-0.16656000000000001</v>
      </c>
      <c r="CQ22">
        <v>-0.50527714046805072</v>
      </c>
      <c r="CR22">
        <v>5.6182352554444632</v>
      </c>
      <c r="CS22" s="107">
        <f>INDEX(Pipes_result_save_V1!$K$2:$K$206,MATCH(CH22,Pipes_result_save_V1!$I$2:$I$206,0)) *POWER(10,-3)</f>
        <v>-5.8021972656250004E-2</v>
      </c>
      <c r="CT22" s="78">
        <v>6.12795826848829E-3</v>
      </c>
      <c r="CU22" s="78">
        <f t="shared" si="4"/>
        <v>-5.1894014387761714E-2</v>
      </c>
      <c r="CY22">
        <v>0</v>
      </c>
      <c r="CZ22">
        <v>15</v>
      </c>
      <c r="DA22" t="s">
        <v>539</v>
      </c>
      <c r="DB22" t="s">
        <v>142</v>
      </c>
      <c r="DC22" s="106" t="str">
        <f>INDEX(Pipes_result_save_V1!$G$2:$G$206,MATCH(DB22,Pipes_result_save_V1!$I$2:$I$206,0))</f>
        <v>N27</v>
      </c>
      <c r="DD22" s="106" t="str">
        <f>INDEX(Pipes_result_save_V1!$H$2:$H$206,MATCH(DB22,Pipes_result_save_V1!$I$2:$I$206,0))</f>
        <v>N26</v>
      </c>
      <c r="DE22">
        <v>0.16656000000000001</v>
      </c>
      <c r="DF22">
        <v>466</v>
      </c>
      <c r="DG22">
        <v>150</v>
      </c>
      <c r="DH22">
        <v>76</v>
      </c>
      <c r="DI22">
        <v>3.1225928922840178</v>
      </c>
      <c r="DJ22">
        <v>0.16656000000000001</v>
      </c>
      <c r="DK22">
        <v>0.11294430198697604</v>
      </c>
      <c r="DL22">
        <v>1.255840821805233</v>
      </c>
      <c r="DM22" s="107">
        <f>INDEX(Pipes_result_save_V1!$K$2:$K$206,MATCH(DB22,Pipes_result_save_V1!$I$2:$I$206,0)) *POWER(10,-3)</f>
        <v>-0.2002795562744141</v>
      </c>
      <c r="DN22" s="78">
        <v>5.575510199414305E-3</v>
      </c>
      <c r="DO22" s="78">
        <f t="shared" si="5"/>
        <v>-0.1947040460749998</v>
      </c>
      <c r="DT22">
        <v>0</v>
      </c>
      <c r="DU22">
        <v>15</v>
      </c>
      <c r="DV22" t="s">
        <v>539</v>
      </c>
      <c r="DW22" t="s">
        <v>156</v>
      </c>
      <c r="DX22" s="106" t="str">
        <f>INDEX(Pipes_result_save_V1!$G$2:$G$206,MATCH(DW22,Pipes_result_save_V1!$I$2:$I$206,0))</f>
        <v>N14</v>
      </c>
      <c r="DY22" s="106" t="str">
        <f>INDEX(Pipes_result_save_V1!$H$2:$H$206,MATCH(DW22,Pipes_result_save_V1!$I$2:$I$206,0))</f>
        <v>N13</v>
      </c>
      <c r="DZ22">
        <v>8.3280000000000007E-2</v>
      </c>
      <c r="EA22">
        <v>350</v>
      </c>
      <c r="EB22">
        <v>150</v>
      </c>
      <c r="EC22">
        <v>345</v>
      </c>
      <c r="ED22">
        <v>57.157500100672543</v>
      </c>
      <c r="EE22">
        <v>8.3280000000000007E-2</v>
      </c>
      <c r="EF22">
        <v>0.57268345018902367</v>
      </c>
      <c r="EG22">
        <v>12.735467696326513</v>
      </c>
      <c r="EH22" s="107">
        <f>INDEX(Pipes_result_save_V1!$K$2:$K$206,MATCH(DW22,Pipes_result_save_V1!$I$2:$I$206,0)) *POWER(10,-3)</f>
        <v>-1.3583112716674799E-2</v>
      </c>
      <c r="EI22" s="78">
        <v>5.933558518219288E-3</v>
      </c>
      <c r="EJ22" s="78">
        <f t="shared" si="6"/>
        <v>-7.649554198455511E-3</v>
      </c>
    </row>
    <row r="23" spans="2:140" ht="30" x14ac:dyDescent="0.25">
      <c r="B23" s="106">
        <v>16</v>
      </c>
      <c r="C23" s="106" t="s">
        <v>539</v>
      </c>
      <c r="D23" s="106" t="s">
        <v>212</v>
      </c>
      <c r="E23" s="106" t="str">
        <f>INDEX(Pipes_result_save_V1!$G$2:$G$206,MATCH(D23,Pipes_result_save_V1!$I$2:$I$206,0))</f>
        <v>N98</v>
      </c>
      <c r="F23" s="106" t="str">
        <f>INDEX(Pipes_result_save_V1!$H$2:$H$206,MATCH(D23,Pipes_result_save_V1!$I$2:$I$206,0))</f>
        <v>N99</v>
      </c>
      <c r="G23" s="106">
        <v>0.13800000000000001</v>
      </c>
      <c r="H23" s="107">
        <v>421</v>
      </c>
      <c r="I23" s="107">
        <v>150</v>
      </c>
      <c r="J23" s="107">
        <v>138</v>
      </c>
      <c r="K23" s="107">
        <v>9.2984502615965194</v>
      </c>
      <c r="L23" s="107">
        <v>0.13800000000000001</v>
      </c>
      <c r="M23" s="107">
        <v>0.2373923066502179</v>
      </c>
      <c r="N23" s="107">
        <v>3.1858735646101701</v>
      </c>
      <c r="O23" s="107">
        <f>INDEX(Pipes_result_save_V1!$K$2:$K$206,MATCH(D23,Pipes_result_save_V1!$I$2:$I$206,0)) *POWER(10,-3)</f>
        <v>5.0803762674331667E-4</v>
      </c>
      <c r="P23" s="78">
        <v>6.5780253695368633E-3</v>
      </c>
      <c r="Q23" s="78">
        <f t="shared" si="0"/>
        <v>-6.0699877427935469E-3</v>
      </c>
      <c r="R23" s="78"/>
      <c r="S23" s="78"/>
      <c r="T23" s="78">
        <v>0</v>
      </c>
      <c r="U23" s="78">
        <v>16</v>
      </c>
      <c r="V23" s="78" t="s">
        <v>540</v>
      </c>
      <c r="W23" s="78" t="s">
        <v>301</v>
      </c>
      <c r="X23" s="106" t="str">
        <f>INDEX(Pipes_result_save_V1!$G$2:$G$206,MATCH(W23,Pipes_result_save_V1!$I$2:$I$206,0))</f>
        <v>N137</v>
      </c>
      <c r="Y23" s="106" t="str">
        <f>INDEX(Pipes_result_save_V1!$H$2:$H$206,MATCH(W23,Pipes_result_save_V1!$I$2:$I$206,0))</f>
        <v>N138</v>
      </c>
      <c r="Z23" s="78">
        <v>5.8057999999999998E-2</v>
      </c>
      <c r="AA23" s="78">
        <v>300</v>
      </c>
      <c r="AB23" s="78">
        <v>150</v>
      </c>
      <c r="AC23" s="78">
        <v>315</v>
      </c>
      <c r="AD23" s="78">
        <v>110.57641276675531</v>
      </c>
      <c r="AE23" s="78">
        <v>-5.8057999999999998E-2</v>
      </c>
      <c r="AF23" s="78">
        <v>0</v>
      </c>
      <c r="AG23" s="78">
        <v>0</v>
      </c>
      <c r="AH23" s="78">
        <v>-0.56798262739230165</v>
      </c>
      <c r="AI23">
        <v>18.118154706165267</v>
      </c>
      <c r="AJ23" s="107">
        <f>INDEX(Pipes_result_save_V1!$K$2:$K$206,MATCH(W23,Pipes_result_save_V1!$I$2:$I$206,0)) *POWER(10,-3)</f>
        <v>2.4804183959960941E-2</v>
      </c>
      <c r="AK23" s="78">
        <v>4.2147937106030526E-3</v>
      </c>
      <c r="AL23" s="78">
        <f t="shared" si="1"/>
        <v>2.0589390249357888E-2</v>
      </c>
      <c r="AP23">
        <v>0</v>
      </c>
      <c r="AQ23">
        <v>16</v>
      </c>
      <c r="AR23" t="s">
        <v>540</v>
      </c>
      <c r="AS23" t="s">
        <v>276</v>
      </c>
      <c r="AT23" s="106" t="str">
        <f>INDEX(Pipes_result_save_V1!$G$2:$G$206,MATCH(AS23,Pipes_result_save_V1!$I$2:$I$206,0))</f>
        <v>N115</v>
      </c>
      <c r="AU23" s="106" t="str">
        <f>INDEX(Pipes_result_save_V1!$H$2:$H$206,MATCH(AS23,Pipes_result_save_V1!$I$2:$I$206,0))</f>
        <v>N114</v>
      </c>
      <c r="AV23">
        <v>3.2837000000000005E-2</v>
      </c>
      <c r="AW23">
        <v>250</v>
      </c>
      <c r="AX23">
        <v>150</v>
      </c>
      <c r="AY23">
        <v>114</v>
      </c>
      <c r="AZ23">
        <v>97.263220133202225</v>
      </c>
      <c r="BA23">
        <v>-3.2837000000000005E-2</v>
      </c>
      <c r="BB23">
        <v>-0.17388166725969104</v>
      </c>
      <c r="BC23">
        <v>9.8068900254270428</v>
      </c>
      <c r="BD23" s="107">
        <f>INDEX(Pipes_result_save_V1!$K$2:$K$206,MATCH(AS23,Pipes_result_save_V1!$I$2:$I$206,0)) *POWER(10,-3)</f>
        <v>-1.935805678367615E-3</v>
      </c>
      <c r="BE23" s="78">
        <v>6.1925185279414026E-3</v>
      </c>
      <c r="BF23" s="78">
        <f t="shared" si="2"/>
        <v>4.2567128495737874E-3</v>
      </c>
      <c r="BJ23">
        <v>0</v>
      </c>
      <c r="BK23">
        <v>16</v>
      </c>
      <c r="BL23" t="s">
        <v>539</v>
      </c>
      <c r="BM23" t="s">
        <v>120</v>
      </c>
      <c r="BN23" s="106" t="str">
        <f>INDEX(Pipes_result_save_V1!$G$2:$G$206,MATCH(BM23,Pipes_result_save_V1!$I$2:$I$206,0))</f>
        <v>N66</v>
      </c>
      <c r="BO23" s="106" t="str">
        <f>INDEX(Pipes_result_save_V1!$H$2:$H$206,MATCH(BM23,Pipes_result_save_V1!$I$2:$I$206,0))</f>
        <v>N65</v>
      </c>
      <c r="BP23">
        <v>3.2837000000000005E-2</v>
      </c>
      <c r="BQ23">
        <v>250</v>
      </c>
      <c r="BR23">
        <v>150</v>
      </c>
      <c r="BS23">
        <v>65</v>
      </c>
      <c r="BT23">
        <v>55.457099198755657</v>
      </c>
      <c r="BU23">
        <v>3.2837000000000005E-2</v>
      </c>
      <c r="BV23">
        <v>9.9143055893683496E-2</v>
      </c>
      <c r="BW23">
        <v>5.5916478215154193</v>
      </c>
      <c r="BX23" s="107">
        <f>INDEX(Pipes_result_save_V1!$K$2:$K$206,MATCH(BM23,Pipes_result_save_V1!$I$2:$I$206,0)) *POWER(10,-3)</f>
        <v>-1.8941926956176761E-2</v>
      </c>
      <c r="BY23" s="78">
        <v>5.4533404730918549E-3</v>
      </c>
      <c r="BZ23" s="78">
        <f t="shared" si="3"/>
        <v>-1.3488586483084906E-2</v>
      </c>
      <c r="CE23">
        <v>0</v>
      </c>
      <c r="CF23">
        <v>16</v>
      </c>
      <c r="CG23" t="s">
        <v>539</v>
      </c>
      <c r="CH23" t="s">
        <v>167</v>
      </c>
      <c r="CI23" s="106" t="str">
        <f>INDEX(Pipes_result_save_V1!$G$2:$G$206,MATCH(CH23,Pipes_result_save_V1!$I$2:$I$206,0))</f>
        <v>N45</v>
      </c>
      <c r="CJ23" s="106" t="str">
        <f>INDEX(Pipes_result_save_V1!$H$2:$H$206,MATCH(CH23,Pipes_result_save_V1!$I$2:$I$206,0))</f>
        <v>N44</v>
      </c>
      <c r="CK23">
        <v>0.16656000000000001</v>
      </c>
      <c r="CL23">
        <v>466</v>
      </c>
      <c r="CM23">
        <v>150</v>
      </c>
      <c r="CN23">
        <v>205</v>
      </c>
      <c r="CO23">
        <v>8.4227834594503115</v>
      </c>
      <c r="CP23">
        <v>0.16656000000000001</v>
      </c>
      <c r="CQ23">
        <v>0.30465239351750117</v>
      </c>
      <c r="CR23">
        <v>3.3874653746062209</v>
      </c>
      <c r="CS23" s="107">
        <f>INDEX(Pipes_result_save_V1!$K$2:$K$206,MATCH(CH23,Pipes_result_save_V1!$I$2:$I$206,0)) *POWER(10,-3)</f>
        <v>-5.4912445068359385E-2</v>
      </c>
      <c r="CT23" s="78">
        <v>5.6931941318149638E-3</v>
      </c>
      <c r="CU23" s="78">
        <f t="shared" si="4"/>
        <v>-4.9219250936544418E-2</v>
      </c>
      <c r="CY23">
        <v>0</v>
      </c>
      <c r="CZ23">
        <v>16</v>
      </c>
      <c r="DA23" t="s">
        <v>539</v>
      </c>
      <c r="DB23" t="s">
        <v>143</v>
      </c>
      <c r="DC23" s="106" t="str">
        <f>INDEX(Pipes_result_save_V1!$G$2:$G$206,MATCH(DB23,Pipes_result_save_V1!$I$2:$I$206,0))</f>
        <v>N28</v>
      </c>
      <c r="DD23" s="106" t="str">
        <f>INDEX(Pipes_result_save_V1!$H$2:$H$206,MATCH(DB23,Pipes_result_save_V1!$I$2:$I$206,0))</f>
        <v>N27</v>
      </c>
      <c r="DE23">
        <v>0.16656000000000001</v>
      </c>
      <c r="DF23">
        <v>466</v>
      </c>
      <c r="DG23">
        <v>150</v>
      </c>
      <c r="DH23">
        <v>80</v>
      </c>
      <c r="DI23">
        <v>3.2869398866147552</v>
      </c>
      <c r="DJ23">
        <v>0.16656000000000001</v>
      </c>
      <c r="DK23">
        <v>0.11888873893365898</v>
      </c>
      <c r="DL23">
        <v>1.3219377071634029</v>
      </c>
      <c r="DM23" s="107">
        <f>INDEX(Pipes_result_save_V1!$K$2:$K$206,MATCH(DB23,Pipes_result_save_V1!$I$2:$I$206,0)) *POWER(10,-3)</f>
        <v>-0.19938948059082032</v>
      </c>
      <c r="DN23" s="78">
        <v>6.5576107033999739E-3</v>
      </c>
      <c r="DO23" s="78">
        <f t="shared" si="5"/>
        <v>-0.19283186988742035</v>
      </c>
      <c r="DT23">
        <v>0</v>
      </c>
      <c r="DU23">
        <v>16</v>
      </c>
      <c r="DV23" t="s">
        <v>539</v>
      </c>
      <c r="DW23" t="s">
        <v>155</v>
      </c>
      <c r="DX23" s="106" t="str">
        <f>INDEX(Pipes_result_save_V1!$G$2:$G$206,MATCH(DW23,Pipes_result_save_V1!$I$2:$I$206,0))</f>
        <v>N15</v>
      </c>
      <c r="DY23" s="106" t="str">
        <f>INDEX(Pipes_result_save_V1!$H$2:$H$206,MATCH(DW23,Pipes_result_save_V1!$I$2:$I$206,0))</f>
        <v>N14</v>
      </c>
      <c r="DZ23">
        <v>8.3280000000000007E-2</v>
      </c>
      <c r="EA23">
        <v>350</v>
      </c>
      <c r="EB23">
        <v>150</v>
      </c>
      <c r="EC23">
        <v>795</v>
      </c>
      <c r="ED23">
        <v>131.71076110154976</v>
      </c>
      <c r="EE23">
        <v>8.3280000000000007E-2</v>
      </c>
      <c r="EF23">
        <v>1.3196618634790545</v>
      </c>
      <c r="EG23">
        <v>29.346947300230656</v>
      </c>
      <c r="EH23" s="107">
        <f>INDEX(Pipes_result_save_V1!$K$2:$K$206,MATCH(DW23,Pipes_result_save_V1!$I$2:$I$206,0)) *POWER(10,-3)</f>
        <v>-7.0787868499755857E-3</v>
      </c>
      <c r="EI23" s="78">
        <v>6.191936284247081E-3</v>
      </c>
      <c r="EJ23" s="78">
        <f t="shared" si="6"/>
        <v>-8.8685056572850463E-4</v>
      </c>
    </row>
    <row r="24" spans="2:140" ht="30" x14ac:dyDescent="0.25">
      <c r="B24" s="106">
        <v>17</v>
      </c>
      <c r="C24" s="106" t="s">
        <v>540</v>
      </c>
      <c r="D24" s="106" t="s">
        <v>426</v>
      </c>
      <c r="E24" s="106" t="str">
        <f>INDEX(Pipes_result_save_V1!$G$2:$G$206,MATCH(D24,Pipes_result_save_V1!$I$2:$I$206,0))</f>
        <v>N99</v>
      </c>
      <c r="F24" s="106" t="str">
        <f>INDEX(Pipes_result_save_V1!$H$2:$H$206,MATCH(D24,Pipes_result_save_V1!$I$2:$I$206,0))</f>
        <v>N194</v>
      </c>
      <c r="G24" s="106">
        <v>0.184</v>
      </c>
      <c r="H24" s="107">
        <v>565</v>
      </c>
      <c r="I24" s="107">
        <v>150</v>
      </c>
      <c r="J24" s="107">
        <v>184</v>
      </c>
      <c r="K24" s="107">
        <v>2.9580084372668733</v>
      </c>
      <c r="L24" s="107">
        <v>-0.184</v>
      </c>
      <c r="M24" s="107">
        <v>-0.12865954661016527</v>
      </c>
      <c r="N24" s="107">
        <v>1.2949863060979676</v>
      </c>
      <c r="O24" s="107">
        <f>INDEX(Pipes_result_save_V1!$K$2:$K$206,MATCH(D24,Pipes_result_save_V1!$I$2:$I$206,0)) *POWER(10,-3)</f>
        <v>-9.0544853210449226E-3</v>
      </c>
      <c r="P24" s="78">
        <v>6.5247330238857384E-3</v>
      </c>
      <c r="Q24" s="78">
        <f t="shared" si="0"/>
        <v>-2.5297522971591841E-3</v>
      </c>
      <c r="R24" s="78"/>
      <c r="S24" s="78"/>
      <c r="T24" s="78">
        <v>0</v>
      </c>
      <c r="U24" s="78">
        <v>17</v>
      </c>
      <c r="V24" s="78" t="s">
        <v>540</v>
      </c>
      <c r="W24" s="78" t="s">
        <v>302</v>
      </c>
      <c r="X24" s="106" t="str">
        <f>INDEX(Pipes_result_save_V1!$G$2:$G$206,MATCH(W24,Pipes_result_save_V1!$I$2:$I$206,0))</f>
        <v>N138</v>
      </c>
      <c r="Y24" s="106" t="str">
        <f>INDEX(Pipes_result_save_V1!$H$2:$H$206,MATCH(W24,Pipes_result_save_V1!$I$2:$I$206,0))</f>
        <v>N139</v>
      </c>
      <c r="Z24" s="78">
        <v>5.8057999999999998E-2</v>
      </c>
      <c r="AA24" s="78">
        <v>300</v>
      </c>
      <c r="AB24" s="78">
        <v>150</v>
      </c>
      <c r="AC24" s="78">
        <v>270</v>
      </c>
      <c r="AD24" s="78">
        <v>94.779782371504538</v>
      </c>
      <c r="AE24" s="78">
        <v>-5.8057999999999998E-2</v>
      </c>
      <c r="AF24" s="78">
        <v>0</v>
      </c>
      <c r="AG24" s="78">
        <v>0</v>
      </c>
      <c r="AH24" s="78">
        <v>-0.48684225205054421</v>
      </c>
      <c r="AI24">
        <v>15.529846890998799</v>
      </c>
      <c r="AJ24" s="107">
        <f>INDEX(Pipes_result_save_V1!$K$2:$K$206,MATCH(W24,Pipes_result_save_V1!$I$2:$I$206,0)) *POWER(10,-3)</f>
        <v>2.146643829345703E-2</v>
      </c>
      <c r="AK24" s="78">
        <v>2.5596503864963854E-4</v>
      </c>
      <c r="AL24" s="78">
        <f t="shared" si="1"/>
        <v>2.1210473254807391E-2</v>
      </c>
      <c r="AP24">
        <v>0</v>
      </c>
      <c r="AQ24">
        <v>17</v>
      </c>
      <c r="AR24" t="s">
        <v>540</v>
      </c>
      <c r="AS24" t="s">
        <v>316</v>
      </c>
      <c r="AT24" s="106" t="str">
        <f>INDEX(Pipes_result_save_V1!$G$2:$G$206,MATCH(AS24,Pipes_result_save_V1!$I$2:$I$206,0))</f>
        <v>N116</v>
      </c>
      <c r="AU24" s="106" t="str">
        <f>INDEX(Pipes_result_save_V1!$H$2:$H$206,MATCH(AS24,Pipes_result_save_V1!$I$2:$I$206,0))</f>
        <v>N115</v>
      </c>
      <c r="AV24">
        <v>3.2837000000000005E-2</v>
      </c>
      <c r="AW24">
        <v>250</v>
      </c>
      <c r="AX24">
        <v>150</v>
      </c>
      <c r="AY24">
        <v>115</v>
      </c>
      <c r="AZ24">
        <v>98.116406274721555</v>
      </c>
      <c r="BA24">
        <v>-3.2837000000000005E-2</v>
      </c>
      <c r="BB24">
        <v>-0.17540694504267082</v>
      </c>
      <c r="BC24">
        <v>9.8929153765272808</v>
      </c>
      <c r="BD24" s="107">
        <f>INDEX(Pipes_result_save_V1!$K$2:$K$206,MATCH(AS24,Pipes_result_save_V1!$I$2:$I$206,0)) *POWER(10,-3)</f>
        <v>-2.1272979676723481E-4</v>
      </c>
      <c r="BE24" s="78">
        <v>5.124979025131907E-3</v>
      </c>
      <c r="BF24" s="78">
        <f t="shared" si="2"/>
        <v>4.9122492283646723E-3</v>
      </c>
      <c r="BJ24">
        <v>0</v>
      </c>
      <c r="BK24">
        <v>17</v>
      </c>
      <c r="BL24" t="s">
        <v>539</v>
      </c>
      <c r="BM24" t="s">
        <v>118</v>
      </c>
      <c r="BN24" s="106" t="str">
        <f>INDEX(Pipes_result_save_V1!$G$2:$G$206,MATCH(BM24,Pipes_result_save_V1!$I$2:$I$206,0))</f>
        <v>N67</v>
      </c>
      <c r="BO24" s="106" t="str">
        <f>INDEX(Pipes_result_save_V1!$H$2:$H$206,MATCH(BM24,Pipes_result_save_V1!$I$2:$I$206,0))</f>
        <v>N66</v>
      </c>
      <c r="BP24">
        <v>3.2837000000000005E-2</v>
      </c>
      <c r="BQ24">
        <v>250</v>
      </c>
      <c r="BR24">
        <v>150</v>
      </c>
      <c r="BS24">
        <v>45</v>
      </c>
      <c r="BT24">
        <v>38.393376368369303</v>
      </c>
      <c r="BU24">
        <v>3.2837000000000005E-2</v>
      </c>
      <c r="BV24">
        <v>6.8637500234088572E-2</v>
      </c>
      <c r="BW24">
        <v>3.871140799510675</v>
      </c>
      <c r="BX24" s="107">
        <f>INDEX(Pipes_result_save_V1!$K$2:$K$206,MATCH(BM24,Pipes_result_save_V1!$I$2:$I$206,0)) *POWER(10,-3)</f>
        <v>-1.8314315795898442E-2</v>
      </c>
      <c r="BY24" s="78">
        <v>5.1194798104476809E-3</v>
      </c>
      <c r="BZ24" s="78">
        <f t="shared" si="3"/>
        <v>-1.3194835985450761E-2</v>
      </c>
      <c r="CE24">
        <v>0</v>
      </c>
      <c r="CF24">
        <v>17</v>
      </c>
      <c r="CG24" t="s">
        <v>539</v>
      </c>
      <c r="CH24" t="s">
        <v>166</v>
      </c>
      <c r="CI24" s="106" t="str">
        <f>INDEX(Pipes_result_save_V1!$G$2:$G$206,MATCH(CH24,Pipes_result_save_V1!$I$2:$I$206,0))</f>
        <v>N46</v>
      </c>
      <c r="CJ24" s="106" t="str">
        <f>INDEX(Pipes_result_save_V1!$H$2:$H$206,MATCH(CH24,Pipes_result_save_V1!$I$2:$I$206,0))</f>
        <v>N45</v>
      </c>
      <c r="CK24">
        <v>0.16656000000000001</v>
      </c>
      <c r="CL24">
        <v>466</v>
      </c>
      <c r="CM24">
        <v>150</v>
      </c>
      <c r="CN24">
        <v>196</v>
      </c>
      <c r="CO24">
        <v>8.0530027222061502</v>
      </c>
      <c r="CP24">
        <v>0.16656000000000001</v>
      </c>
      <c r="CQ24">
        <v>0.29127741038746446</v>
      </c>
      <c r="CR24">
        <v>3.2387473825503372</v>
      </c>
      <c r="CS24" s="107">
        <f>INDEX(Pipes_result_save_V1!$K$2:$K$206,MATCH(CH24,Pipes_result_save_V1!$I$2:$I$206,0)) *POWER(10,-3)</f>
        <v>-5.2624523162841795E-2</v>
      </c>
      <c r="CT24" s="78">
        <v>6.3249656174210094E-3</v>
      </c>
      <c r="CU24" s="78">
        <f t="shared" si="4"/>
        <v>-4.6299557545420783E-2</v>
      </c>
      <c r="CY24">
        <v>0</v>
      </c>
      <c r="CZ24">
        <v>17</v>
      </c>
      <c r="DA24" t="s">
        <v>539</v>
      </c>
      <c r="DB24" t="s">
        <v>398</v>
      </c>
      <c r="DC24" s="106" t="str">
        <f>INDEX(Pipes_result_save_V1!$G$2:$G$206,MATCH(DB24,Pipes_result_save_V1!$I$2:$I$206,0))</f>
        <v>N196</v>
      </c>
      <c r="DD24" s="106" t="str">
        <f>INDEX(Pipes_result_save_V1!$H$2:$H$206,MATCH(DB24,Pipes_result_save_V1!$I$2:$I$206,0))</f>
        <v>N28</v>
      </c>
      <c r="DE24">
        <v>0.16656000000000001</v>
      </c>
      <c r="DF24">
        <v>466</v>
      </c>
      <c r="DG24">
        <v>150</v>
      </c>
      <c r="DH24">
        <v>75</v>
      </c>
      <c r="DI24">
        <v>3.0815061437013331</v>
      </c>
      <c r="DJ24">
        <v>0.16656000000000001</v>
      </c>
      <c r="DK24">
        <v>0.11145819275030529</v>
      </c>
      <c r="DL24">
        <v>1.2393166004656904</v>
      </c>
      <c r="DM24" s="107">
        <f>INDEX(Pipes_result_save_V1!$K$2:$K$206,MATCH(DB24,Pipes_result_save_V1!$I$2:$I$206,0)) *POWER(10,-3)</f>
        <v>-0.198505126953125</v>
      </c>
      <c r="DN24" s="78">
        <v>5.1676600694270085E-3</v>
      </c>
      <c r="DO24" s="78">
        <f t="shared" si="5"/>
        <v>-0.19333746688369799</v>
      </c>
      <c r="DT24">
        <v>0</v>
      </c>
      <c r="DU24">
        <v>17</v>
      </c>
      <c r="DV24" t="s">
        <v>539</v>
      </c>
      <c r="DW24" t="s">
        <v>154</v>
      </c>
      <c r="DX24" s="106" t="str">
        <f>INDEX(Pipes_result_save_V1!$G$2:$G$206,MATCH(DW24,Pipes_result_save_V1!$I$2:$I$206,0))</f>
        <v>N16</v>
      </c>
      <c r="DY24" s="106" t="str">
        <f>INDEX(Pipes_result_save_V1!$H$2:$H$206,MATCH(DW24,Pipes_result_save_V1!$I$2:$I$206,0))</f>
        <v>N15</v>
      </c>
      <c r="DZ24">
        <v>8.3280000000000007E-2</v>
      </c>
      <c r="EA24">
        <v>350</v>
      </c>
      <c r="EB24">
        <v>150</v>
      </c>
      <c r="EC24">
        <v>496</v>
      </c>
      <c r="ED24">
        <v>82.174261014300242</v>
      </c>
      <c r="EE24">
        <v>8.3280000000000007E-2</v>
      </c>
      <c r="EF24">
        <v>0.82333620664856744</v>
      </c>
      <c r="EG24">
        <v>18.30954196341435</v>
      </c>
      <c r="EH24" s="107">
        <f>INDEX(Pipes_result_save_V1!$K$2:$K$206,MATCH(DW24,Pipes_result_save_V1!$I$2:$I$206,0)) *POWER(10,-3)</f>
        <v>2.8707671165466308E-4</v>
      </c>
      <c r="EI24" s="78">
        <v>5.607299923040111E-3</v>
      </c>
      <c r="EJ24" s="78">
        <f t="shared" si="6"/>
        <v>-5.320223211385448E-3</v>
      </c>
    </row>
    <row r="25" spans="2:140" ht="30" x14ac:dyDescent="0.25">
      <c r="B25" s="106">
        <v>18</v>
      </c>
      <c r="C25" s="106" t="s">
        <v>539</v>
      </c>
      <c r="D25" s="106" t="s">
        <v>211</v>
      </c>
      <c r="E25" s="106" t="str">
        <f>INDEX(Pipes_result_save_V1!$G$2:$G$206,MATCH(D25,Pipes_result_save_V1!$I$2:$I$206,0))</f>
        <v>N100</v>
      </c>
      <c r="F25" s="106" t="str">
        <f>INDEX(Pipes_result_save_V1!$H$2:$H$206,MATCH(D25,Pipes_result_save_V1!$I$2:$I$206,0))</f>
        <v>N99</v>
      </c>
      <c r="G25" s="106">
        <v>0.28899999999999998</v>
      </c>
      <c r="H25" s="107">
        <v>700</v>
      </c>
      <c r="I25" s="107">
        <v>150</v>
      </c>
      <c r="J25" s="107">
        <v>289</v>
      </c>
      <c r="K25" s="107">
        <v>1.6361942593429444</v>
      </c>
      <c r="L25" s="107">
        <v>0.28899999999999998</v>
      </c>
      <c r="M25" s="107">
        <v>0.16421683189371203</v>
      </c>
      <c r="N25" s="107">
        <v>1.0523514625161059</v>
      </c>
      <c r="O25" s="107">
        <f>INDEX(Pipes_result_save_V1!$K$2:$K$206,MATCH(D25,Pipes_result_save_V1!$I$2:$I$206,0)) *POWER(10,-3)</f>
        <v>-6.0764317512512211E-3</v>
      </c>
      <c r="P25" s="78">
        <v>5.7259074957591869E-3</v>
      </c>
      <c r="Q25" s="78">
        <f t="shared" si="0"/>
        <v>-3.5052425549203427E-4</v>
      </c>
      <c r="R25" s="78"/>
      <c r="S25" s="78"/>
      <c r="T25" s="78">
        <v>0</v>
      </c>
      <c r="U25" s="78">
        <v>18</v>
      </c>
      <c r="V25" s="78" t="s">
        <v>540</v>
      </c>
      <c r="W25" s="78" t="s">
        <v>303</v>
      </c>
      <c r="X25" s="106" t="str">
        <f>INDEX(Pipes_result_save_V1!$G$2:$G$206,MATCH(W25,Pipes_result_save_V1!$I$2:$I$206,0))</f>
        <v>N139</v>
      </c>
      <c r="Y25" s="106" t="str">
        <f>INDEX(Pipes_result_save_V1!$H$2:$H$206,MATCH(W25,Pipes_result_save_V1!$I$2:$I$206,0))</f>
        <v>N140</v>
      </c>
      <c r="Z25" s="78">
        <v>5.8057999999999998E-2</v>
      </c>
      <c r="AA25" s="78">
        <v>300</v>
      </c>
      <c r="AB25" s="78">
        <v>150</v>
      </c>
      <c r="AC25" s="78">
        <v>180</v>
      </c>
      <c r="AD25" s="78">
        <v>63.186521581003028</v>
      </c>
      <c r="AE25" s="78">
        <v>-5.8057999999999998E-2</v>
      </c>
      <c r="AF25" s="78">
        <v>0</v>
      </c>
      <c r="AG25" s="78">
        <v>0</v>
      </c>
      <c r="AH25" s="78">
        <v>-0.32456150136702949</v>
      </c>
      <c r="AI25">
        <v>10.353231260665867</v>
      </c>
      <c r="AJ25" s="107">
        <f>INDEX(Pipes_result_save_V1!$K$2:$K$206,MATCH(W25,Pipes_result_save_V1!$I$2:$I$206,0)) *POWER(10,-3)</f>
        <v>1.8898941040039058E-2</v>
      </c>
      <c r="AK25" s="78">
        <v>3.3091231072184331E-3</v>
      </c>
      <c r="AL25" s="78">
        <f t="shared" si="1"/>
        <v>1.5589817932820625E-2</v>
      </c>
      <c r="AP25">
        <v>0</v>
      </c>
      <c r="AQ25">
        <v>18</v>
      </c>
      <c r="AR25" t="s">
        <v>540</v>
      </c>
      <c r="AS25" t="s">
        <v>412</v>
      </c>
      <c r="AT25" s="106" t="str">
        <f>INDEX(Pipes_result_save_V1!$G$2:$G$206,MATCH(AS25,Pipes_result_save_V1!$I$2:$I$206,0))</f>
        <v>N195</v>
      </c>
      <c r="AU25" s="106" t="str">
        <f>INDEX(Pipes_result_save_V1!$H$2:$H$206,MATCH(AS25,Pipes_result_save_V1!$I$2:$I$206,0))</f>
        <v>N116</v>
      </c>
      <c r="AV25">
        <v>3.2837000000000005E-2</v>
      </c>
      <c r="AW25">
        <v>250</v>
      </c>
      <c r="AX25">
        <v>150</v>
      </c>
      <c r="AY25">
        <v>116</v>
      </c>
      <c r="AZ25">
        <v>98.969592416240872</v>
      </c>
      <c r="BA25">
        <v>-3.2837000000000005E-2</v>
      </c>
      <c r="BB25">
        <v>-0.17693222282565055</v>
      </c>
      <c r="BC25">
        <v>9.978940727627517</v>
      </c>
      <c r="BD25" s="107">
        <f>INDEX(Pipes_result_save_V1!$K$2:$K$206,MATCH(AS25,Pipes_result_save_V1!$I$2:$I$206,0)) *POWER(10,-3)</f>
        <v>5.689303874969482E-4</v>
      </c>
      <c r="BE25" s="78">
        <v>5.5553925534145045E-3</v>
      </c>
      <c r="BF25" s="78">
        <f t="shared" si="2"/>
        <v>-4.9864621659175563E-3</v>
      </c>
      <c r="BJ25">
        <v>0</v>
      </c>
      <c r="BK25">
        <v>18</v>
      </c>
      <c r="BL25" t="s">
        <v>539</v>
      </c>
      <c r="BM25" t="s">
        <v>117</v>
      </c>
      <c r="BN25" s="106" t="str">
        <f>INDEX(Pipes_result_save_V1!$G$2:$G$206,MATCH(BM25,Pipes_result_save_V1!$I$2:$I$206,0))</f>
        <v>N68</v>
      </c>
      <c r="BO25" s="106" t="str">
        <f>INDEX(Pipes_result_save_V1!$H$2:$H$206,MATCH(BM25,Pipes_result_save_V1!$I$2:$I$206,0))</f>
        <v>N67</v>
      </c>
      <c r="BP25">
        <v>3.2837000000000005E-2</v>
      </c>
      <c r="BQ25">
        <v>250</v>
      </c>
      <c r="BR25">
        <v>150</v>
      </c>
      <c r="BS25">
        <v>100</v>
      </c>
      <c r="BT25">
        <v>85.318614151931783</v>
      </c>
      <c r="BU25">
        <v>3.2837000000000005E-2</v>
      </c>
      <c r="BV25">
        <v>0.15252777829797462</v>
      </c>
      <c r="BW25">
        <v>8.6025351100237213</v>
      </c>
      <c r="BX25" s="107">
        <f>INDEX(Pipes_result_save_V1!$K$2:$K$206,MATCH(BM25,Pipes_result_save_V1!$I$2:$I$206,0)) *POWER(10,-3)</f>
        <v>-1.748701095581055E-2</v>
      </c>
      <c r="BY25" s="78">
        <v>5.8473319003270099E-3</v>
      </c>
      <c r="BZ25" s="78">
        <f t="shared" si="3"/>
        <v>-1.163967905548354E-2</v>
      </c>
      <c r="CE25">
        <v>0</v>
      </c>
      <c r="CF25">
        <v>18</v>
      </c>
      <c r="CG25" t="s">
        <v>539</v>
      </c>
      <c r="CH25" t="s">
        <v>165</v>
      </c>
      <c r="CI25" s="106" t="str">
        <f>INDEX(Pipes_result_save_V1!$G$2:$G$206,MATCH(CH25,Pipes_result_save_V1!$I$2:$I$206,0))</f>
        <v>N47</v>
      </c>
      <c r="CJ25" s="106" t="str">
        <f>INDEX(Pipes_result_save_V1!$H$2:$H$206,MATCH(CH25,Pipes_result_save_V1!$I$2:$I$206,0))</f>
        <v>N46</v>
      </c>
      <c r="CK25">
        <v>0.16656000000000001</v>
      </c>
      <c r="CL25">
        <v>466</v>
      </c>
      <c r="CM25">
        <v>150</v>
      </c>
      <c r="CN25">
        <v>275</v>
      </c>
      <c r="CO25">
        <v>11.298855860238222</v>
      </c>
      <c r="CP25">
        <v>0.16656000000000001</v>
      </c>
      <c r="CQ25">
        <v>0.40868004008445274</v>
      </c>
      <c r="CR25">
        <v>4.5441608683741981</v>
      </c>
      <c r="CS25" s="107">
        <f>INDEX(Pipes_result_save_V1!$K$2:$K$206,MATCH(CH25,Pipes_result_save_V1!$I$2:$I$206,0)) *POWER(10,-3)</f>
        <v>-4.9937206268310545E-2</v>
      </c>
      <c r="CT25" s="78">
        <v>5.0671622608914205E-3</v>
      </c>
      <c r="CU25" s="78">
        <f t="shared" si="4"/>
        <v>-4.4870044007419126E-2</v>
      </c>
      <c r="CY25">
        <v>0</v>
      </c>
      <c r="CZ25">
        <v>18</v>
      </c>
      <c r="DA25" t="s">
        <v>539</v>
      </c>
      <c r="DB25" t="s">
        <v>140</v>
      </c>
      <c r="DC25" s="106" t="str">
        <f>INDEX(Pipes_result_save_V1!$G$2:$G$206,MATCH(DB25,Pipes_result_save_V1!$I$2:$I$206,0))</f>
        <v>N30</v>
      </c>
      <c r="DD25" s="106" t="str">
        <f>INDEX(Pipes_result_save_V1!$H$2:$H$206,MATCH(DB25,Pipes_result_save_V1!$I$2:$I$206,0))</f>
        <v>N29</v>
      </c>
      <c r="DE25">
        <v>0.16656000000000001</v>
      </c>
      <c r="DF25">
        <v>466</v>
      </c>
      <c r="DG25">
        <v>150</v>
      </c>
      <c r="DH25">
        <v>76</v>
      </c>
      <c r="DI25">
        <v>3.1225928922840178</v>
      </c>
      <c r="DJ25">
        <v>0.16656000000000001</v>
      </c>
      <c r="DK25">
        <v>0.11294430198697604</v>
      </c>
      <c r="DL25">
        <v>1.255840821805233</v>
      </c>
      <c r="DM25" s="107">
        <f>INDEX(Pipes_result_save_V1!$K$2:$K$206,MATCH(DB25,Pipes_result_save_V1!$I$2:$I$206,0)) *POWER(10,-3)</f>
        <v>-0.19685621643066409</v>
      </c>
      <c r="DN25" s="78">
        <v>5.8515718255350326E-3</v>
      </c>
      <c r="DO25" s="78">
        <f t="shared" si="5"/>
        <v>-0.19100464460512906</v>
      </c>
      <c r="DT25">
        <v>0</v>
      </c>
      <c r="DU25">
        <v>18</v>
      </c>
      <c r="DV25" t="s">
        <v>539</v>
      </c>
      <c r="DW25" t="s">
        <v>153</v>
      </c>
      <c r="DX25" s="106" t="str">
        <f>INDEX(Pipes_result_save_V1!$G$2:$G$206,MATCH(DW25,Pipes_result_save_V1!$I$2:$I$206,0))</f>
        <v>N17</v>
      </c>
      <c r="DY25" s="106" t="str">
        <f>INDEX(Pipes_result_save_V1!$H$2:$H$206,MATCH(DW25,Pipes_result_save_V1!$I$2:$I$206,0))</f>
        <v>N16</v>
      </c>
      <c r="DZ25">
        <v>8.3280000000000007E-2</v>
      </c>
      <c r="EA25">
        <v>350</v>
      </c>
      <c r="EB25">
        <v>150</v>
      </c>
      <c r="EC25">
        <v>414</v>
      </c>
      <c r="ED25">
        <v>68.589000120807043</v>
      </c>
      <c r="EE25">
        <v>8.3280000000000007E-2</v>
      </c>
      <c r="EF25">
        <v>0.68722014022682831</v>
      </c>
      <c r="EG25">
        <v>15.282561235591812</v>
      </c>
      <c r="EH25" s="107">
        <f>INDEX(Pipes_result_save_V1!$K$2:$K$206,MATCH(DW25,Pipes_result_save_V1!$I$2:$I$206,0)) *POWER(10,-3)</f>
        <v>5.4791264533996581E-3</v>
      </c>
      <c r="EI25" s="78">
        <v>5.6390464012246611E-3</v>
      </c>
      <c r="EJ25" s="78">
        <f t="shared" si="6"/>
        <v>-1.5991994782500307E-4</v>
      </c>
    </row>
    <row r="26" spans="2:140" ht="30" x14ac:dyDescent="0.25">
      <c r="B26" s="106">
        <v>19</v>
      </c>
      <c r="C26" s="106" t="s">
        <v>539</v>
      </c>
      <c r="D26" s="106" t="s">
        <v>209</v>
      </c>
      <c r="E26" s="106" t="str">
        <f>INDEX(Pipes_result_save_V1!$G$2:$G$206,MATCH(D26,Pipes_result_save_V1!$I$2:$I$206,0))</f>
        <v>N101</v>
      </c>
      <c r="F26" s="106" t="str">
        <f>INDEX(Pipes_result_save_V1!$H$2:$H$206,MATCH(D26,Pipes_result_save_V1!$I$2:$I$206,0))</f>
        <v>N100</v>
      </c>
      <c r="G26" s="106">
        <v>0.153</v>
      </c>
      <c r="H26" s="107">
        <v>466</v>
      </c>
      <c r="I26" s="107">
        <v>150</v>
      </c>
      <c r="J26" s="107">
        <v>153</v>
      </c>
      <c r="K26" s="107">
        <v>6.2862725331507194</v>
      </c>
      <c r="L26" s="107">
        <v>0.153</v>
      </c>
      <c r="M26" s="107">
        <v>0.19428610209258285</v>
      </c>
      <c r="N26" s="107">
        <v>2.3517507259834214</v>
      </c>
      <c r="O26" s="107">
        <f>INDEX(Pipes_result_save_V1!$K$2:$K$206,MATCH(D26,Pipes_result_save_V1!$I$2:$I$206,0)) *POWER(10,-3)</f>
        <v>-3.5545794963836672E-3</v>
      </c>
      <c r="P26" s="78">
        <v>5.2890668299774395E-3</v>
      </c>
      <c r="Q26" s="78">
        <f t="shared" si="0"/>
        <v>1.7344873335937722E-3</v>
      </c>
      <c r="R26" s="78"/>
      <c r="S26" s="78"/>
      <c r="T26" s="78">
        <v>0</v>
      </c>
      <c r="U26" s="78">
        <v>19</v>
      </c>
      <c r="V26" s="78" t="s">
        <v>540</v>
      </c>
      <c r="W26" s="78" t="s">
        <v>304</v>
      </c>
      <c r="X26" s="106" t="str">
        <f>INDEX(Pipes_result_save_V1!$G$2:$G$206,MATCH(W26,Pipes_result_save_V1!$I$2:$I$206,0))</f>
        <v>N140</v>
      </c>
      <c r="Y26" s="106" t="str">
        <f>INDEX(Pipes_result_save_V1!$H$2:$H$206,MATCH(W26,Pipes_result_save_V1!$I$2:$I$206,0))</f>
        <v>N141</v>
      </c>
      <c r="Z26" s="78">
        <v>5.8057999999999998E-2</v>
      </c>
      <c r="AA26" s="78">
        <v>300</v>
      </c>
      <c r="AB26" s="78">
        <v>150</v>
      </c>
      <c r="AC26" s="78">
        <v>210</v>
      </c>
      <c r="AD26" s="78">
        <v>73.717608511170198</v>
      </c>
      <c r="AE26" s="78">
        <v>-5.8057999999999998E-2</v>
      </c>
      <c r="AF26" s="78">
        <v>0</v>
      </c>
      <c r="AG26" s="78">
        <v>0</v>
      </c>
      <c r="AH26" s="78">
        <v>-0.37865508492820105</v>
      </c>
      <c r="AI26">
        <v>12.078769804110179</v>
      </c>
      <c r="AJ26" s="107">
        <f>INDEX(Pipes_result_save_V1!$K$2:$K$206,MATCH(W26,Pipes_result_save_V1!$I$2:$I$206,0)) *POWER(10,-3)</f>
        <v>1.6673776626586912E-2</v>
      </c>
      <c r="AK26" s="78">
        <v>4.5240166897609355E-3</v>
      </c>
      <c r="AL26" s="78">
        <f t="shared" si="1"/>
        <v>1.2149759936825977E-2</v>
      </c>
      <c r="AP26">
        <v>0</v>
      </c>
      <c r="AQ26">
        <v>19</v>
      </c>
      <c r="AR26" t="s">
        <v>540</v>
      </c>
      <c r="AS26" t="s">
        <v>308</v>
      </c>
      <c r="AT26" s="106" t="str">
        <f>INDEX(Pipes_result_save_V1!$G$2:$G$206,MATCH(AS26,Pipes_result_save_V1!$I$2:$I$206,0))</f>
        <v>N118</v>
      </c>
      <c r="AU26" s="106" t="str">
        <f>INDEX(Pipes_result_save_V1!$H$2:$H$206,MATCH(AS26,Pipes_result_save_V1!$I$2:$I$206,0))</f>
        <v>N117</v>
      </c>
      <c r="AV26">
        <v>3.2837000000000005E-2</v>
      </c>
      <c r="AW26">
        <v>250</v>
      </c>
      <c r="AX26">
        <v>150</v>
      </c>
      <c r="AY26">
        <v>117</v>
      </c>
      <c r="AZ26">
        <v>99.822778557760188</v>
      </c>
      <c r="BA26">
        <v>-3.2837000000000005E-2</v>
      </c>
      <c r="BB26">
        <v>-0.1784575006086303</v>
      </c>
      <c r="BC26">
        <v>10.064966078727755</v>
      </c>
      <c r="BD26" s="107">
        <f>INDEX(Pipes_result_save_V1!$K$2:$K$206,MATCH(AS26,Pipes_result_save_V1!$I$2:$I$206,0)) *POWER(10,-3)</f>
        <v>3.5129935741424561E-3</v>
      </c>
      <c r="BE26" s="78">
        <v>6.3566054759352413E-3</v>
      </c>
      <c r="BF26" s="78">
        <f t="shared" si="2"/>
        <v>-2.8436119017927852E-3</v>
      </c>
      <c r="BJ26">
        <v>0</v>
      </c>
      <c r="BK26">
        <v>19</v>
      </c>
      <c r="BL26" t="s">
        <v>539</v>
      </c>
      <c r="BM26" t="s">
        <v>116</v>
      </c>
      <c r="BN26" s="106" t="str">
        <f>INDEX(Pipes_result_save_V1!$G$2:$G$206,MATCH(BM26,Pipes_result_save_V1!$I$2:$I$206,0))</f>
        <v>N69</v>
      </c>
      <c r="BO26" s="106" t="str">
        <f>INDEX(Pipes_result_save_V1!$H$2:$H$206,MATCH(BM26,Pipes_result_save_V1!$I$2:$I$206,0))</f>
        <v>N68</v>
      </c>
      <c r="BP26">
        <v>3.2835999999999997E-2</v>
      </c>
      <c r="BQ26">
        <v>250</v>
      </c>
      <c r="BR26">
        <v>150</v>
      </c>
      <c r="BS26">
        <v>202</v>
      </c>
      <c r="BT26">
        <v>172.3436005869022</v>
      </c>
      <c r="BU26">
        <v>3.2835999999999997E-2</v>
      </c>
      <c r="BV26">
        <v>0.308088735266423</v>
      </c>
      <c r="BW26">
        <v>17.376670048526481</v>
      </c>
      <c r="BX26" s="107">
        <f>INDEX(Pipes_result_save_V1!$K$2:$K$206,MATCH(BM26,Pipes_result_save_V1!$I$2:$I$206,0)) *POWER(10,-3)</f>
        <v>-1.5763935089111329E-2</v>
      </c>
      <c r="BY26" s="78">
        <v>6.4985723864827184E-3</v>
      </c>
      <c r="BZ26" s="78">
        <f t="shared" si="3"/>
        <v>-9.2653627026286108E-3</v>
      </c>
      <c r="CE26">
        <v>0</v>
      </c>
      <c r="CF26">
        <v>19</v>
      </c>
      <c r="CG26" t="s">
        <v>539</v>
      </c>
      <c r="CH26" t="s">
        <v>164</v>
      </c>
      <c r="CI26" s="106" t="str">
        <f>INDEX(Pipes_result_save_V1!$G$2:$G$206,MATCH(CH26,Pipes_result_save_V1!$I$2:$I$206,0))</f>
        <v>N48</v>
      </c>
      <c r="CJ26" s="106" t="str">
        <f>INDEX(Pipes_result_save_V1!$H$2:$H$206,MATCH(CH26,Pipes_result_save_V1!$I$2:$I$206,0))</f>
        <v>N47</v>
      </c>
      <c r="CK26">
        <v>0.16656000000000001</v>
      </c>
      <c r="CL26">
        <v>466</v>
      </c>
      <c r="CM26">
        <v>150</v>
      </c>
      <c r="CN26">
        <v>407</v>
      </c>
      <c r="CO26">
        <v>16.722306673152566</v>
      </c>
      <c r="CP26">
        <v>0.16656000000000001</v>
      </c>
      <c r="CQ26">
        <v>0.60484645932499004</v>
      </c>
      <c r="CR26">
        <v>6.7253580851938128</v>
      </c>
      <c r="CS26" s="107">
        <f>INDEX(Pipes_result_save_V1!$K$2:$K$206,MATCH(CH26,Pipes_result_save_V1!$I$2:$I$206,0)) *POWER(10,-3)</f>
        <v>-4.60460205078125E-2</v>
      </c>
      <c r="CT26" s="78">
        <v>6.1708428189658528E-3</v>
      </c>
      <c r="CU26" s="78">
        <f t="shared" si="4"/>
        <v>-3.9875177688846644E-2</v>
      </c>
      <c r="CY26">
        <v>0</v>
      </c>
      <c r="CZ26">
        <v>19</v>
      </c>
      <c r="DA26" t="s">
        <v>539</v>
      </c>
      <c r="DB26" t="s">
        <v>909</v>
      </c>
      <c r="DC26" s="106" t="str">
        <f>INDEX(Pipes_result_save_V1!$G$2:$G$206,MATCH(DB26,Pipes_result_save_V1!$I$2:$I$206,0))</f>
        <v>N29</v>
      </c>
      <c r="DD26" s="106" t="str">
        <f>INDEX(Pipes_result_save_V1!$H$2:$H$206,MATCH(DB26,Pipes_result_save_V1!$I$2:$I$206,0))</f>
        <v>N196</v>
      </c>
      <c r="DE26">
        <v>0.16656000000000001</v>
      </c>
      <c r="DF26">
        <v>466</v>
      </c>
      <c r="DG26">
        <v>150</v>
      </c>
      <c r="DH26">
        <v>69</v>
      </c>
      <c r="DI26">
        <v>2.8349856522052264</v>
      </c>
      <c r="DJ26">
        <v>0.16656000000000001</v>
      </c>
      <c r="DK26">
        <v>0.10254153733028086</v>
      </c>
      <c r="DL26">
        <v>1.140171272428435</v>
      </c>
      <c r="DM26" s="107">
        <f>INDEX(Pipes_result_save_V1!$K$2:$K$206,MATCH(DB26,Pipes_result_save_V1!$I$2:$I$206,0)) *POWER(10,-3)</f>
        <v>-0.19768353271484382</v>
      </c>
      <c r="DN26" s="78">
        <v>5.8017784347783241E-3</v>
      </c>
      <c r="DO26" s="78">
        <f t="shared" si="5"/>
        <v>-0.19188175428006549</v>
      </c>
      <c r="DT26">
        <v>0</v>
      </c>
      <c r="DU26">
        <v>19</v>
      </c>
      <c r="DV26" t="s">
        <v>540</v>
      </c>
      <c r="DW26" t="s">
        <v>404</v>
      </c>
      <c r="DX26" s="106" t="str">
        <f>INDEX(Pipes_result_save_V1!$G$2:$G$206,MATCH(DW26,Pipes_result_save_V1!$I$2:$I$206,0))</f>
        <v>N31</v>
      </c>
      <c r="DY26" s="106" t="str">
        <f>INDEX(Pipes_result_save_V1!$H$2:$H$206,MATCH(DW26,Pipes_result_save_V1!$I$2:$I$206,0))</f>
        <v>N17</v>
      </c>
      <c r="DZ26">
        <v>0.16656000000000001</v>
      </c>
      <c r="EA26">
        <v>466</v>
      </c>
      <c r="EB26">
        <v>150</v>
      </c>
      <c r="EC26">
        <v>211</v>
      </c>
      <c r="ED26">
        <v>8.6693039509464178</v>
      </c>
      <c r="EE26">
        <v>-0.16656000000000001</v>
      </c>
      <c r="EF26">
        <v>-0.31356904893752557</v>
      </c>
      <c r="EG26">
        <v>3.4866107026434761</v>
      </c>
      <c r="EH26" s="107">
        <f>INDEX(Pipes_result_save_V1!$K$2:$K$206,MATCH(DW26,Pipes_result_save_V1!$I$2:$I$206,0)) *POWER(10,-3)</f>
        <v>7.1654319763183594E-2</v>
      </c>
      <c r="EI26" s="78">
        <v>6.4707009260980023E-3</v>
      </c>
      <c r="EJ26" s="78">
        <f t="shared" si="6"/>
        <v>6.5183618837085594E-2</v>
      </c>
    </row>
    <row r="27" spans="2:140" ht="30" x14ac:dyDescent="0.25">
      <c r="B27" s="106">
        <v>20</v>
      </c>
      <c r="C27" s="106" t="s">
        <v>539</v>
      </c>
      <c r="D27" s="106" t="s">
        <v>210</v>
      </c>
      <c r="E27" s="106" t="str">
        <f>INDEX(Pipes_result_save_V1!$G$2:$G$206,MATCH(D27,Pipes_result_save_V1!$I$2:$I$206,0))</f>
        <v>N102</v>
      </c>
      <c r="F27" s="106" t="str">
        <f>INDEX(Pipes_result_save_V1!$H$2:$H$206,MATCH(D27,Pipes_result_save_V1!$I$2:$I$206,0))</f>
        <v>N101</v>
      </c>
      <c r="G27" s="106">
        <v>7.2999999999999995E-2</v>
      </c>
      <c r="H27" s="107">
        <v>350</v>
      </c>
      <c r="I27" s="107">
        <v>150</v>
      </c>
      <c r="J27" s="107">
        <v>73</v>
      </c>
      <c r="K27" s="107">
        <v>12.094195673475639</v>
      </c>
      <c r="L27" s="107">
        <v>7.2999999999999995E-2</v>
      </c>
      <c r="M27" s="107">
        <v>9.4940371718878883E-2</v>
      </c>
      <c r="N27" s="107">
        <v>2.4086242249775851</v>
      </c>
      <c r="O27" s="107">
        <f>INDEX(Pipes_result_save_V1!$K$2:$K$206,MATCH(D27,Pipes_result_save_V1!$I$2:$I$206,0)) *POWER(10,-3)</f>
        <v>-2.2651252746582031E-3</v>
      </c>
      <c r="P27" s="78">
        <v>5.0199050443581169E-3</v>
      </c>
      <c r="Q27" s="78">
        <f t="shared" si="0"/>
        <v>2.7547797696999138E-3</v>
      </c>
      <c r="R27" s="78"/>
      <c r="S27" s="78"/>
      <c r="T27" s="78">
        <v>0</v>
      </c>
      <c r="U27" s="78">
        <v>20</v>
      </c>
      <c r="V27" s="78" t="s">
        <v>540</v>
      </c>
      <c r="W27" s="78" t="s">
        <v>435</v>
      </c>
      <c r="X27" s="106" t="str">
        <f>INDEX(Pipes_result_save_V1!$G$2:$G$206,MATCH(W27,Pipes_result_save_V1!$I$2:$I$206,0))</f>
        <v>N141</v>
      </c>
      <c r="Y27" s="106" t="str">
        <f>INDEX(Pipes_result_save_V1!$H$2:$H$206,MATCH(W27,Pipes_result_save_V1!$I$2:$I$206,0))</f>
        <v>N142</v>
      </c>
      <c r="Z27" s="78">
        <v>5.8057999999999998E-2</v>
      </c>
      <c r="AA27" s="78">
        <v>300</v>
      </c>
      <c r="AB27" s="78">
        <v>150</v>
      </c>
      <c r="AC27" s="78">
        <v>100</v>
      </c>
      <c r="AD27" s="78">
        <v>35.103623100557243</v>
      </c>
      <c r="AE27" s="78">
        <v>-5.8057999999999998E-2</v>
      </c>
      <c r="AF27" s="78">
        <v>0</v>
      </c>
      <c r="AG27" s="78">
        <v>0</v>
      </c>
      <c r="AH27" s="78">
        <v>-0.18031194520390531</v>
      </c>
      <c r="AI27">
        <v>5.7517951448143707</v>
      </c>
      <c r="AJ27" s="107">
        <f>INDEX(Pipes_result_save_V1!$K$2:$K$206,MATCH(W27,Pipes_result_save_V1!$I$2:$I$206,0)) *POWER(10,-3)</f>
        <v>1.490505695343018E-2</v>
      </c>
      <c r="AK27" s="78">
        <v>3.1666859101101511E-3</v>
      </c>
      <c r="AL27" s="78">
        <f t="shared" si="1"/>
        <v>1.1738371043320029E-2</v>
      </c>
      <c r="AP27">
        <v>0</v>
      </c>
      <c r="AQ27">
        <v>20</v>
      </c>
      <c r="AR27" t="s">
        <v>540</v>
      </c>
      <c r="AS27" t="s">
        <v>411</v>
      </c>
      <c r="AT27" s="106" t="str">
        <f>INDEX(Pipes_result_save_V1!$G$2:$G$206,MATCH(AS27,Pipes_result_save_V1!$I$2:$I$206,0))</f>
        <v>N117</v>
      </c>
      <c r="AU27" s="106" t="str">
        <f>INDEX(Pipes_result_save_V1!$H$2:$H$206,MATCH(AS27,Pipes_result_save_V1!$I$2:$I$206,0))</f>
        <v>N195</v>
      </c>
      <c r="AV27">
        <v>3.2837000000000005E-2</v>
      </c>
      <c r="AW27">
        <v>250</v>
      </c>
      <c r="AX27">
        <v>150</v>
      </c>
      <c r="AY27">
        <v>117</v>
      </c>
      <c r="AZ27">
        <v>99.822778557760188</v>
      </c>
      <c r="BA27">
        <v>-3.2837000000000005E-2</v>
      </c>
      <c r="BB27">
        <v>-0.1784575006086303</v>
      </c>
      <c r="BC27">
        <v>10.064966078727755</v>
      </c>
      <c r="BD27" s="107">
        <f>INDEX(Pipes_result_save_V1!$K$2:$K$206,MATCH(AS27,Pipes_result_save_V1!$I$2:$I$206,0)) *POWER(10,-3)</f>
        <v>1.881206631660461E-3</v>
      </c>
      <c r="BE27" s="78">
        <v>6.4525918843725888E-3</v>
      </c>
      <c r="BF27" s="78">
        <f t="shared" si="2"/>
        <v>-4.571385252712128E-3</v>
      </c>
      <c r="BJ27">
        <v>0</v>
      </c>
      <c r="BK27">
        <v>20</v>
      </c>
      <c r="BL27" t="s">
        <v>539</v>
      </c>
      <c r="BM27" t="s">
        <v>115</v>
      </c>
      <c r="BN27" s="106" t="str">
        <f>INDEX(Pipes_result_save_V1!$G$2:$G$206,MATCH(BM27,Pipes_result_save_V1!$I$2:$I$206,0))</f>
        <v>N70</v>
      </c>
      <c r="BO27" s="106" t="str">
        <f>INDEX(Pipes_result_save_V1!$H$2:$H$206,MATCH(BM27,Pipes_result_save_V1!$I$2:$I$206,0))</f>
        <v>N69</v>
      </c>
      <c r="BP27">
        <v>0.19939599999999999</v>
      </c>
      <c r="BQ27">
        <v>565</v>
      </c>
      <c r="BR27">
        <v>150</v>
      </c>
      <c r="BS27">
        <v>166</v>
      </c>
      <c r="BT27">
        <v>2.6686380466646789</v>
      </c>
      <c r="BU27">
        <v>0.19939599999999999</v>
      </c>
      <c r="BV27">
        <v>0.13469904721539741</v>
      </c>
      <c r="BW27">
        <v>1.2510914734644432</v>
      </c>
      <c r="BX27" s="107">
        <f>INDEX(Pipes_result_save_V1!$K$2:$K$206,MATCH(BM27,Pipes_result_save_V1!$I$2:$I$206,0)) *POWER(10,-3)</f>
        <v>-4.6855716705322271E-2</v>
      </c>
      <c r="BY27" s="78">
        <v>6.5772864277440666E-3</v>
      </c>
      <c r="BZ27" s="78">
        <f t="shared" si="3"/>
        <v>-4.0278430277578207E-2</v>
      </c>
      <c r="CE27">
        <v>0</v>
      </c>
      <c r="CF27">
        <v>20</v>
      </c>
      <c r="CG27" t="s">
        <v>539</v>
      </c>
      <c r="CH27" t="s">
        <v>163</v>
      </c>
      <c r="CI27" s="106" t="str">
        <f>INDEX(Pipes_result_save_V1!$G$2:$G$206,MATCH(CH27,Pipes_result_save_V1!$I$2:$I$206,0))</f>
        <v>N49</v>
      </c>
      <c r="CJ27" s="106" t="str">
        <f>INDEX(Pipes_result_save_V1!$H$2:$H$206,MATCH(CH27,Pipes_result_save_V1!$I$2:$I$206,0))</f>
        <v>N48</v>
      </c>
      <c r="CK27">
        <v>0.16656000000000001</v>
      </c>
      <c r="CL27">
        <v>466</v>
      </c>
      <c r="CM27">
        <v>150</v>
      </c>
      <c r="CN27">
        <v>395</v>
      </c>
      <c r="CO27">
        <v>16.229265690160354</v>
      </c>
      <c r="CP27">
        <v>0.16656000000000001</v>
      </c>
      <c r="CQ27">
        <v>0.58701314848494113</v>
      </c>
      <c r="CR27">
        <v>6.5270674291193025</v>
      </c>
      <c r="CS27" s="107">
        <f>INDEX(Pipes_result_save_V1!$K$2:$K$206,MATCH(CH27,Pipes_result_save_V1!$I$2:$I$206,0)) *POWER(10,-3)</f>
        <v>-4.1470172882080082E-2</v>
      </c>
      <c r="CT27" s="78">
        <v>5.4823274001327433E-3</v>
      </c>
      <c r="CU27" s="78">
        <f t="shared" si="4"/>
        <v>-3.5987845481947341E-2</v>
      </c>
      <c r="CY27">
        <v>0</v>
      </c>
      <c r="CZ27">
        <v>20</v>
      </c>
      <c r="DA27" t="s">
        <v>539</v>
      </c>
      <c r="DB27" t="s">
        <v>139</v>
      </c>
      <c r="DC27" s="106" t="str">
        <f>INDEX(Pipes_result_save_V1!$G$2:$G$206,MATCH(DB27,Pipes_result_save_V1!$I$2:$I$206,0))</f>
        <v>N31</v>
      </c>
      <c r="DD27" s="106" t="str">
        <f>INDEX(Pipes_result_save_V1!$H$2:$H$206,MATCH(DB27,Pipes_result_save_V1!$I$2:$I$206,0))</f>
        <v>N30</v>
      </c>
      <c r="DE27">
        <v>0.16656000000000001</v>
      </c>
      <c r="DF27">
        <v>466</v>
      </c>
      <c r="DG27">
        <v>150</v>
      </c>
      <c r="DH27">
        <v>251</v>
      </c>
      <c r="DI27">
        <v>10.312773894253795</v>
      </c>
      <c r="DJ27">
        <v>0.16656000000000001</v>
      </c>
      <c r="DK27">
        <v>0.37301341840435503</v>
      </c>
      <c r="DL27">
        <v>4.1475795562251774</v>
      </c>
      <c r="DM27" s="107">
        <f>INDEX(Pipes_result_save_V1!$K$2:$K$206,MATCH(DB27,Pipes_result_save_V1!$I$2:$I$206,0)) *POWER(10,-3)</f>
        <v>-0.19499050903320311</v>
      </c>
      <c r="DN27" s="78">
        <v>5.7945520514642189E-3</v>
      </c>
      <c r="DO27" s="78">
        <f t="shared" si="5"/>
        <v>-0.18919595698173888</v>
      </c>
      <c r="DT27">
        <v>7</v>
      </c>
      <c r="DU27">
        <v>20</v>
      </c>
      <c r="DV27" t="s">
        <v>540</v>
      </c>
      <c r="DW27" t="s">
        <v>151</v>
      </c>
      <c r="DX27" s="106" t="str">
        <f>INDEX(Pipes_result_save_V1!$G$2:$G$206,MATCH(DW27,Pipes_result_save_V1!$I$2:$I$206,0))</f>
        <v>N19</v>
      </c>
      <c r="DY27" s="106" t="str">
        <f>INDEX(Pipes_result_save_V1!$H$2:$H$206,MATCH(DW27,Pipes_result_save_V1!$I$2:$I$206,0))</f>
        <v>N18</v>
      </c>
      <c r="DZ27">
        <v>0.16656000000000001</v>
      </c>
      <c r="EA27">
        <v>466</v>
      </c>
      <c r="EB27">
        <v>150</v>
      </c>
      <c r="EC27">
        <v>56</v>
      </c>
      <c r="ED27">
        <v>2.3008579206303286</v>
      </c>
      <c r="EE27">
        <v>-9.4864356265488253E-2</v>
      </c>
      <c r="EF27">
        <v>-2.9341659712503444E-2</v>
      </c>
      <c r="EG27">
        <v>0.57282583181693481</v>
      </c>
      <c r="EH27" s="107">
        <f>INDEX(Pipes_result_save_V1!$K$2:$K$206,MATCH(DW27,Pipes_result_save_V1!$I$2:$I$206,0)) *POWER(10,-3)</f>
        <v>-0.20831297302246091</v>
      </c>
      <c r="EI27" s="78">
        <v>6.5037300181306525E-3</v>
      </c>
      <c r="EJ27" s="78">
        <f t="shared" si="6"/>
        <v>-0.20180924300433026</v>
      </c>
    </row>
    <row r="28" spans="2:140" ht="30" x14ac:dyDescent="0.25">
      <c r="B28" s="106">
        <v>21</v>
      </c>
      <c r="C28" s="106" t="s">
        <v>539</v>
      </c>
      <c r="D28" s="106" t="s">
        <v>208</v>
      </c>
      <c r="E28" s="106" t="str">
        <f>INDEX(Pipes_result_save_V1!$G$2:$G$206,MATCH(D28,Pipes_result_save_V1!$I$2:$I$206,0))</f>
        <v>N103</v>
      </c>
      <c r="F28" s="106" t="str">
        <f>INDEX(Pipes_result_save_V1!$H$2:$H$206,MATCH(D28,Pipes_result_save_V1!$I$2:$I$206,0))</f>
        <v>N102</v>
      </c>
      <c r="G28" s="106">
        <v>5.6000000000000001E-2</v>
      </c>
      <c r="H28" s="107">
        <v>300</v>
      </c>
      <c r="I28" s="107">
        <v>150</v>
      </c>
      <c r="J28" s="107">
        <v>56</v>
      </c>
      <c r="K28" s="107">
        <v>19.658028936312054</v>
      </c>
      <c r="L28" s="107">
        <v>5.6000000000000001E-2</v>
      </c>
      <c r="M28" s="107">
        <v>9.4446136293034055E-2</v>
      </c>
      <c r="N28" s="107">
        <v>3.1234686502624811</v>
      </c>
      <c r="O28" s="107">
        <f>INDEX(Pipes_result_save_V1!$K$2:$K$206,MATCH(D28,Pipes_result_save_V1!$I$2:$I$206,0)) *POWER(10,-3)</f>
        <v>-1.529109477996826E-3</v>
      </c>
      <c r="P28" s="78">
        <v>5.6469291829771987E-3</v>
      </c>
      <c r="Q28" s="78">
        <f t="shared" si="0"/>
        <v>4.1178197049803727E-3</v>
      </c>
      <c r="R28" s="78"/>
      <c r="S28" s="78"/>
      <c r="T28" s="78">
        <v>0</v>
      </c>
      <c r="U28" s="78">
        <v>21</v>
      </c>
      <c r="V28" s="78" t="s">
        <v>540</v>
      </c>
      <c r="W28" s="78" t="s">
        <v>207</v>
      </c>
      <c r="X28" s="106" t="str">
        <f>INDEX(Pipes_result_save_V1!$G$2:$G$206,MATCH(W28,Pipes_result_save_V1!$I$2:$I$206,0))</f>
        <v>N142</v>
      </c>
      <c r="Y28" s="106" t="str">
        <f>INDEX(Pipes_result_save_V1!$H$2:$H$206,MATCH(W28,Pipes_result_save_V1!$I$2:$I$206,0))</f>
        <v>N143</v>
      </c>
      <c r="Z28" s="78">
        <v>5.8057999999999998E-2</v>
      </c>
      <c r="AA28" s="78">
        <v>300</v>
      </c>
      <c r="AB28" s="78">
        <v>150</v>
      </c>
      <c r="AC28" s="78">
        <v>427</v>
      </c>
      <c r="AD28" s="78">
        <v>149.89247063937941</v>
      </c>
      <c r="AE28" s="78">
        <v>-5.8057999999999998E-2</v>
      </c>
      <c r="AF28" s="78">
        <v>0</v>
      </c>
      <c r="AG28" s="78">
        <v>0</v>
      </c>
      <c r="AH28" s="78">
        <v>-0.76993200602067557</v>
      </c>
      <c r="AI28">
        <v>24.560165268357366</v>
      </c>
      <c r="AJ28" s="107">
        <f>INDEX(Pipes_result_save_V1!$K$2:$K$206,MATCH(W28,Pipes_result_save_V1!$I$2:$I$206,0)) *POWER(10,-3)</f>
        <v>1.1898232460021972E-2</v>
      </c>
      <c r="AK28" s="78">
        <v>2.2711077312536948E-3</v>
      </c>
      <c r="AL28" s="78">
        <f t="shared" si="1"/>
        <v>9.6271247287682774E-3</v>
      </c>
      <c r="AP28">
        <v>0</v>
      </c>
      <c r="AQ28">
        <v>21</v>
      </c>
      <c r="AR28" t="s">
        <v>540</v>
      </c>
      <c r="AS28" t="s">
        <v>309</v>
      </c>
      <c r="AT28" s="106" t="str">
        <f>INDEX(Pipes_result_save_V1!$G$2:$G$206,MATCH(AS28,Pipes_result_save_V1!$I$2:$I$206,0))</f>
        <v>N119</v>
      </c>
      <c r="AU28" s="106" t="str">
        <f>INDEX(Pipes_result_save_V1!$H$2:$H$206,MATCH(AS28,Pipes_result_save_V1!$I$2:$I$206,0))</f>
        <v>N118</v>
      </c>
      <c r="AV28">
        <v>3.2837000000000005E-2</v>
      </c>
      <c r="AW28">
        <v>250</v>
      </c>
      <c r="AX28">
        <v>150</v>
      </c>
      <c r="AY28">
        <v>118</v>
      </c>
      <c r="AZ28">
        <v>100.6759646992795</v>
      </c>
      <c r="BA28">
        <v>-3.2837000000000005E-2</v>
      </c>
      <c r="BB28">
        <v>-0.17998277839161003</v>
      </c>
      <c r="BC28">
        <v>10.150991429827991</v>
      </c>
      <c r="BD28" s="107">
        <f>INDEX(Pipes_result_save_V1!$K$2:$K$206,MATCH(AS28,Pipes_result_save_V1!$I$2:$I$206,0)) *POWER(10,-3)</f>
        <v>5.4757027626037595E-3</v>
      </c>
      <c r="BE28" s="78">
        <v>5.4062193935375024E-3</v>
      </c>
      <c r="BF28" s="78">
        <f t="shared" si="2"/>
        <v>6.9483369066257114E-5</v>
      </c>
      <c r="BJ28">
        <v>0</v>
      </c>
      <c r="BK28">
        <v>21</v>
      </c>
      <c r="BL28" t="s">
        <v>539</v>
      </c>
      <c r="BM28" t="s">
        <v>424</v>
      </c>
      <c r="BN28" s="106" t="str">
        <f>INDEX(Pipes_result_save_V1!$G$2:$G$206,MATCH(BM28,Pipes_result_save_V1!$I$2:$I$206,0))</f>
        <v>N71</v>
      </c>
      <c r="BO28" s="106" t="str">
        <f>INDEX(Pipes_result_save_V1!$H$2:$H$206,MATCH(BM28,Pipes_result_save_V1!$I$2:$I$206,0))</f>
        <v>N70</v>
      </c>
      <c r="BP28">
        <v>0.19939599999999999</v>
      </c>
      <c r="BQ28">
        <v>565</v>
      </c>
      <c r="BR28">
        <v>150</v>
      </c>
      <c r="BS28">
        <v>584</v>
      </c>
      <c r="BT28">
        <v>9.3884615617600762</v>
      </c>
      <c r="BU28">
        <v>0.19939599999999999</v>
      </c>
      <c r="BV28">
        <v>0.4738809853842898</v>
      </c>
      <c r="BW28">
        <v>4.4014302439953905</v>
      </c>
      <c r="BX28" s="107">
        <f>INDEX(Pipes_result_save_V1!$K$2:$K$206,MATCH(BM28,Pipes_result_save_V1!$I$2:$I$206,0)) *POWER(10,-3)</f>
        <v>-4.2576553344726563E-2</v>
      </c>
      <c r="BY28" s="78">
        <v>6.2289717613895172E-3</v>
      </c>
      <c r="BZ28" s="78">
        <f t="shared" si="3"/>
        <v>-3.6347581583337049E-2</v>
      </c>
      <c r="CE28">
        <v>0</v>
      </c>
      <c r="CF28">
        <v>21</v>
      </c>
      <c r="CG28" t="s">
        <v>539</v>
      </c>
      <c r="CH28" t="s">
        <v>162</v>
      </c>
      <c r="CI28" s="106" t="str">
        <f>INDEX(Pipes_result_save_V1!$G$2:$G$206,MATCH(CH28,Pipes_result_save_V1!$I$2:$I$206,0))</f>
        <v>N50</v>
      </c>
      <c r="CJ28" s="106" t="str">
        <f>INDEX(Pipes_result_save_V1!$H$2:$H$206,MATCH(CH28,Pipes_result_save_V1!$I$2:$I$206,0))</f>
        <v>N49</v>
      </c>
      <c r="CK28">
        <v>0.16656000000000001</v>
      </c>
      <c r="CL28">
        <v>466</v>
      </c>
      <c r="CM28">
        <v>150</v>
      </c>
      <c r="CN28">
        <v>151</v>
      </c>
      <c r="CO28">
        <v>6.204099035985351</v>
      </c>
      <c r="CP28">
        <v>0.16656000000000001</v>
      </c>
      <c r="CQ28">
        <v>0.22440249473728133</v>
      </c>
      <c r="CR28">
        <v>2.4951574222709234</v>
      </c>
      <c r="CS28" s="107">
        <f>INDEX(Pipes_result_save_V1!$K$2:$K$206,MATCH(CH28,Pipes_result_save_V1!$I$2:$I$206,0)) *POWER(10,-3)</f>
        <v>-3.8354942321777337E-2</v>
      </c>
      <c r="CT28" s="78">
        <v>6.1182236357745726E-3</v>
      </c>
      <c r="CU28" s="78">
        <f t="shared" si="4"/>
        <v>-3.2236718686002766E-2</v>
      </c>
      <c r="CY28">
        <v>3</v>
      </c>
      <c r="CZ28">
        <v>21</v>
      </c>
      <c r="DA28" t="s">
        <v>539</v>
      </c>
      <c r="DB28" t="s">
        <v>138</v>
      </c>
      <c r="DC28" s="106" t="str">
        <f>INDEX(Pipes_result_save_V1!$G$2:$G$206,MATCH(DB28,Pipes_result_save_V1!$I$2:$I$206,0))</f>
        <v>N32</v>
      </c>
      <c r="DD28" s="106" t="str">
        <f>INDEX(Pipes_result_save_V1!$H$2:$H$206,MATCH(DB28,Pipes_result_save_V1!$I$2:$I$206,0))</f>
        <v>N31</v>
      </c>
      <c r="DE28">
        <v>8.3280000000000007E-2</v>
      </c>
      <c r="DF28">
        <v>350</v>
      </c>
      <c r="DG28">
        <v>150</v>
      </c>
      <c r="DH28">
        <v>129</v>
      </c>
      <c r="DI28">
        <v>21.371934820251475</v>
      </c>
      <c r="DJ28">
        <v>-9.4864356265488253E-2</v>
      </c>
      <c r="DK28">
        <v>-0.27254531158613615</v>
      </c>
      <c r="DL28">
        <v>5.3207963130526608</v>
      </c>
      <c r="DM28" s="107">
        <f>INDEX(Pipes_result_save_V1!$K$2:$K$206,MATCH(DB28,Pipes_result_save_V1!$I$2:$I$206,0)) *POWER(10,-3)</f>
        <v>-0.11996421051025391</v>
      </c>
      <c r="DN28" s="78">
        <v>5.036829583133345E-3</v>
      </c>
      <c r="DO28" s="78">
        <f t="shared" si="5"/>
        <v>-0.11492738092712057</v>
      </c>
      <c r="DT28">
        <v>8</v>
      </c>
      <c r="DU28">
        <v>21</v>
      </c>
      <c r="DV28" t="s">
        <v>540</v>
      </c>
      <c r="DW28" t="s">
        <v>150</v>
      </c>
      <c r="DX28" s="106" t="str">
        <f>INDEX(Pipes_result_save_V1!$G$2:$G$206,MATCH(DW28,Pipes_result_save_V1!$I$2:$I$206,0))</f>
        <v>N20</v>
      </c>
      <c r="DY28" s="106" t="str">
        <f>INDEX(Pipes_result_save_V1!$H$2:$H$206,MATCH(DW28,Pipes_result_save_V1!$I$2:$I$206,0))</f>
        <v>N19</v>
      </c>
      <c r="DZ28">
        <v>0.16656000000000001</v>
      </c>
      <c r="EA28">
        <v>466</v>
      </c>
      <c r="EB28">
        <v>150</v>
      </c>
      <c r="EC28">
        <v>60</v>
      </c>
      <c r="ED28">
        <v>2.4652049149610664</v>
      </c>
      <c r="EE28">
        <v>-9.4864356265488253E-2</v>
      </c>
      <c r="EF28">
        <v>-3.1437492549110831E-2</v>
      </c>
      <c r="EG28">
        <v>0.61374196266100156</v>
      </c>
      <c r="EH28" s="107">
        <f>INDEX(Pipes_result_save_V1!$K$2:$K$206,MATCH(DW28,Pipes_result_save_V1!$I$2:$I$206,0)) *POWER(10,-3)</f>
        <v>-0.207651123046875</v>
      </c>
      <c r="EI28" s="78">
        <v>5.2568459135372853E-3</v>
      </c>
      <c r="EJ28" s="78">
        <f t="shared" si="6"/>
        <v>-0.20239427713333771</v>
      </c>
    </row>
    <row r="29" spans="2:140" ht="30" x14ac:dyDescent="0.25">
      <c r="B29" s="106">
        <v>22</v>
      </c>
      <c r="C29" s="106" t="s">
        <v>539</v>
      </c>
      <c r="D29" s="106" t="s">
        <v>229</v>
      </c>
      <c r="E29" s="106" t="str">
        <f>INDEX(Pipes_result_save_V1!$G$2:$G$206,MATCH(D29,Pipes_result_save_V1!$I$2:$I$206,0))</f>
        <v>N104</v>
      </c>
      <c r="F29" s="106" t="str">
        <f>INDEX(Pipes_result_save_V1!$H$2:$H$206,MATCH(D29,Pipes_result_save_V1!$I$2:$I$206,0))</f>
        <v>N103</v>
      </c>
      <c r="G29" s="106">
        <v>2.1999999999999999E-2</v>
      </c>
      <c r="H29" s="107">
        <v>200</v>
      </c>
      <c r="I29" s="107">
        <v>150</v>
      </c>
      <c r="J29" s="107">
        <v>22</v>
      </c>
      <c r="K29" s="107">
        <v>55.656404494062755</v>
      </c>
      <c r="L29" s="107">
        <v>2.1999999999999999E-2</v>
      </c>
      <c r="M29" s="107">
        <v>4.7389480906776568E-2</v>
      </c>
      <c r="N29" s="107">
        <v>3.989332665425009</v>
      </c>
      <c r="O29" s="107">
        <f>INDEX(Pipes_result_save_V1!$K$2:$K$206,MATCH(D29,Pipes_result_save_V1!$I$2:$I$206,0)) *POWER(10,-3)</f>
        <v>-1.0840767621994021E-3</v>
      </c>
      <c r="P29" s="78">
        <v>5.9833790741995064E-3</v>
      </c>
      <c r="Q29" s="78">
        <f t="shared" si="0"/>
        <v>4.899302312000104E-3</v>
      </c>
      <c r="R29" s="78"/>
      <c r="S29" s="78"/>
      <c r="T29" s="78">
        <v>0</v>
      </c>
      <c r="U29" s="78">
        <v>22</v>
      </c>
      <c r="V29" s="78" t="s">
        <v>540</v>
      </c>
      <c r="W29" s="78" t="s">
        <v>206</v>
      </c>
      <c r="X29" s="106" t="str">
        <f>INDEX(Pipes_result_save_V1!$G$2:$G$206,MATCH(W29,Pipes_result_save_V1!$I$2:$I$206,0))</f>
        <v>N143</v>
      </c>
      <c r="Y29" s="106" t="str">
        <f>INDEX(Pipes_result_save_V1!$H$2:$H$206,MATCH(W29,Pipes_result_save_V1!$I$2:$I$206,0))</f>
        <v>N144</v>
      </c>
      <c r="Z29" s="78">
        <v>5.8057999999999998E-2</v>
      </c>
      <c r="AA29" s="78">
        <v>300</v>
      </c>
      <c r="AB29" s="78">
        <v>150</v>
      </c>
      <c r="AC29" s="78">
        <v>87</v>
      </c>
      <c r="AD29" s="78">
        <v>30.540152097484796</v>
      </c>
      <c r="AE29" s="78">
        <v>-5.8057999999999998E-2</v>
      </c>
      <c r="AF29" s="78">
        <v>0</v>
      </c>
      <c r="AG29" s="78">
        <v>0</v>
      </c>
      <c r="AH29" s="78">
        <v>-0.15687139232739758</v>
      </c>
      <c r="AI29">
        <v>5.004061775988502</v>
      </c>
      <c r="AJ29" s="107">
        <f>INDEX(Pipes_result_save_V1!$K$2:$K$206,MATCH(W29,Pipes_result_save_V1!$I$2:$I$206,0)) *POWER(10,-3)</f>
        <v>8.9655799865722662E-3</v>
      </c>
      <c r="AK29" s="78">
        <v>5.0495861250672309E-4</v>
      </c>
      <c r="AL29" s="78">
        <f t="shared" si="1"/>
        <v>8.4606213740655439E-3</v>
      </c>
      <c r="AP29">
        <v>0</v>
      </c>
      <c r="AQ29">
        <v>22</v>
      </c>
      <c r="AR29" t="s">
        <v>540</v>
      </c>
      <c r="AS29" t="s">
        <v>310</v>
      </c>
      <c r="AT29" s="106" t="str">
        <f>INDEX(Pipes_result_save_V1!$G$2:$G$206,MATCH(AS29,Pipes_result_save_V1!$I$2:$I$206,0))</f>
        <v>N120</v>
      </c>
      <c r="AU29" s="106" t="str">
        <f>INDEX(Pipes_result_save_V1!$H$2:$H$206,MATCH(AS29,Pipes_result_save_V1!$I$2:$I$206,0))</f>
        <v>N119</v>
      </c>
      <c r="AV29">
        <v>3.2837000000000005E-2</v>
      </c>
      <c r="AW29">
        <v>250</v>
      </c>
      <c r="AX29">
        <v>150</v>
      </c>
      <c r="AY29">
        <v>119</v>
      </c>
      <c r="AZ29">
        <v>101.52915084079882</v>
      </c>
      <c r="BA29">
        <v>-3.2837000000000005E-2</v>
      </c>
      <c r="BB29">
        <v>-0.18150805617458979</v>
      </c>
      <c r="BC29">
        <v>10.237016780928229</v>
      </c>
      <c r="BD29" s="107">
        <f>INDEX(Pipes_result_save_V1!$K$2:$K$206,MATCH(AS29,Pipes_result_save_V1!$I$2:$I$206,0)) *POWER(10,-3)</f>
        <v>7.6723389625549315E-3</v>
      </c>
      <c r="BE29" s="78">
        <v>6.2339393377526019E-3</v>
      </c>
      <c r="BF29" s="78">
        <f t="shared" si="2"/>
        <v>1.4383996248023296E-3</v>
      </c>
      <c r="BJ29">
        <v>0</v>
      </c>
      <c r="BK29">
        <v>22</v>
      </c>
      <c r="BL29" t="s">
        <v>539</v>
      </c>
      <c r="BM29" t="s">
        <v>428</v>
      </c>
      <c r="BN29" s="106" t="str">
        <f>INDEX(Pipes_result_save_V1!$G$2:$G$206,MATCH(BM29,Pipes_result_save_V1!$I$2:$I$206,0))</f>
        <v>N192</v>
      </c>
      <c r="BO29" s="106" t="str">
        <f>INDEX(Pipes_result_save_V1!$H$2:$H$206,MATCH(BM29,Pipes_result_save_V1!$I$2:$I$206,0))</f>
        <v>N71</v>
      </c>
      <c r="BP29">
        <v>0.19939599999999999</v>
      </c>
      <c r="BQ29">
        <v>565</v>
      </c>
      <c r="BR29">
        <v>150</v>
      </c>
      <c r="BS29">
        <v>211</v>
      </c>
      <c r="BT29">
        <v>3.3920640231701644</v>
      </c>
      <c r="BU29">
        <v>0.19939599999999999</v>
      </c>
      <c r="BV29">
        <v>0.17121384917137866</v>
      </c>
      <c r="BW29">
        <v>1.5902427765120331</v>
      </c>
      <c r="BX29" s="107">
        <f>INDEX(Pipes_result_save_V1!$K$2:$K$206,MATCH(BM29,Pipes_result_save_V1!$I$2:$I$206,0)) *POWER(10,-3)</f>
        <v>-3.804064178466797E-2</v>
      </c>
      <c r="BY29" s="78">
        <v>6.5144624464881533E-3</v>
      </c>
      <c r="BZ29" s="78">
        <f t="shared" si="3"/>
        <v>-3.1526179338179819E-2</v>
      </c>
      <c r="CE29">
        <v>0</v>
      </c>
      <c r="CF29">
        <v>22</v>
      </c>
      <c r="CG29" t="s">
        <v>539</v>
      </c>
      <c r="CH29" t="s">
        <v>161</v>
      </c>
      <c r="CI29" s="106" t="str">
        <f>INDEX(Pipes_result_save_V1!$G$2:$G$206,MATCH(CH29,Pipes_result_save_V1!$I$2:$I$206,0))</f>
        <v>N51</v>
      </c>
      <c r="CJ29" s="106" t="str">
        <f>INDEX(Pipes_result_save_V1!$H$2:$H$206,MATCH(CH29,Pipes_result_save_V1!$I$2:$I$206,0))</f>
        <v>N50</v>
      </c>
      <c r="CK29">
        <v>0.16656000000000001</v>
      </c>
      <c r="CL29">
        <v>466</v>
      </c>
      <c r="CM29">
        <v>150</v>
      </c>
      <c r="CN29">
        <v>186</v>
      </c>
      <c r="CO29">
        <v>7.642135236379306</v>
      </c>
      <c r="CP29">
        <v>0.16656000000000001</v>
      </c>
      <c r="CQ29">
        <v>0.27641631802075711</v>
      </c>
      <c r="CR29">
        <v>3.0735051691549122</v>
      </c>
      <c r="CS29" s="107">
        <f>INDEX(Pipes_result_save_V1!$K$2:$K$206,MATCH(CH29,Pipes_result_save_V1!$I$2:$I$206,0)) *POWER(10,-3)</f>
        <v>-3.6432170867919923E-2</v>
      </c>
      <c r="CT29" s="78">
        <v>6.3711449404504558E-3</v>
      </c>
      <c r="CU29" s="78">
        <f t="shared" si="4"/>
        <v>-3.0061025927469467E-2</v>
      </c>
      <c r="CY29">
        <v>4</v>
      </c>
      <c r="CZ29">
        <v>22</v>
      </c>
      <c r="DA29" t="s">
        <v>539</v>
      </c>
      <c r="DB29" t="s">
        <v>137</v>
      </c>
      <c r="DC29" s="106" t="str">
        <f>INDEX(Pipes_result_save_V1!$G$2:$G$206,MATCH(DB29,Pipes_result_save_V1!$I$2:$I$206,0))</f>
        <v>N33</v>
      </c>
      <c r="DD29" s="106" t="str">
        <f>INDEX(Pipes_result_save_V1!$H$2:$H$206,MATCH(DB29,Pipes_result_save_V1!$I$2:$I$206,0))</f>
        <v>N32</v>
      </c>
      <c r="DE29">
        <v>8.3280000000000007E-2</v>
      </c>
      <c r="DF29">
        <v>350</v>
      </c>
      <c r="DG29">
        <v>150</v>
      </c>
      <c r="DH29">
        <v>157</v>
      </c>
      <c r="DI29">
        <v>26.01080439363939</v>
      </c>
      <c r="DJ29">
        <v>-9.4864356265488253E-2</v>
      </c>
      <c r="DK29">
        <v>-0.33170243348080136</v>
      </c>
      <c r="DL29">
        <v>6.4756978383664165</v>
      </c>
      <c r="DM29" s="107">
        <f>INDEX(Pipes_result_save_V1!$K$2:$K$206,MATCH(DB29,Pipes_result_save_V1!$I$2:$I$206,0)) *POWER(10,-3)</f>
        <v>-0.1183324203491211</v>
      </c>
      <c r="DN29" s="78">
        <v>5.6735385612267479E-3</v>
      </c>
      <c r="DO29" s="78">
        <f t="shared" si="5"/>
        <v>-0.11265888178789435</v>
      </c>
      <c r="DT29">
        <v>9</v>
      </c>
      <c r="DU29">
        <v>22</v>
      </c>
      <c r="DV29" t="s">
        <v>540</v>
      </c>
      <c r="DW29" t="s">
        <v>149</v>
      </c>
      <c r="DX29" s="106" t="str">
        <f>INDEX(Pipes_result_save_V1!$G$2:$G$206,MATCH(DW29,Pipes_result_save_V1!$I$2:$I$206,0))</f>
        <v>N21</v>
      </c>
      <c r="DY29" s="106" t="str">
        <f>INDEX(Pipes_result_save_V1!$H$2:$H$206,MATCH(DW29,Pipes_result_save_V1!$I$2:$I$206,0))</f>
        <v>N20</v>
      </c>
      <c r="DZ29">
        <v>0.16656000000000001</v>
      </c>
      <c r="EA29">
        <v>466</v>
      </c>
      <c r="EB29">
        <v>150</v>
      </c>
      <c r="EC29">
        <v>67</v>
      </c>
      <c r="ED29">
        <v>2.7528121550398579</v>
      </c>
      <c r="EE29">
        <v>-9.4864356265488253E-2</v>
      </c>
      <c r="EF29">
        <v>-3.5105200013173771E-2</v>
      </c>
      <c r="EG29">
        <v>0.68534519163811858</v>
      </c>
      <c r="EH29" s="107">
        <f>INDEX(Pipes_result_save_V1!$K$2:$K$206,MATCH(DW29,Pipes_result_save_V1!$I$2:$I$206,0)) *POWER(10,-3)</f>
        <v>-0.20692651367187501</v>
      </c>
      <c r="EI29" s="78">
        <v>5.3009735387532127E-3</v>
      </c>
      <c r="EJ29" s="78">
        <f t="shared" si="6"/>
        <v>-0.20162554013312178</v>
      </c>
    </row>
    <row r="30" spans="2:140" ht="30" x14ac:dyDescent="0.25">
      <c r="B30" s="106">
        <v>23</v>
      </c>
      <c r="C30" s="106" t="s">
        <v>539</v>
      </c>
      <c r="D30" s="106" t="s">
        <v>265</v>
      </c>
      <c r="E30" s="106" t="str">
        <f>INDEX(Pipes_result_save_V1!$G$2:$G$206,MATCH(D30,Pipes_result_save_V1!$I$2:$I$206,0))</f>
        <v>N105</v>
      </c>
      <c r="F30" s="106" t="str">
        <f>INDEX(Pipes_result_save_V1!$H$2:$H$206,MATCH(D30,Pipes_result_save_V1!$I$2:$I$206,0))</f>
        <v>N104</v>
      </c>
      <c r="G30" s="106">
        <v>5.3999999999999999E-2</v>
      </c>
      <c r="H30" s="107">
        <v>300</v>
      </c>
      <c r="I30" s="107">
        <v>150</v>
      </c>
      <c r="J30" s="107">
        <v>54</v>
      </c>
      <c r="K30" s="107">
        <v>18.955956474300912</v>
      </c>
      <c r="L30" s="107">
        <v>5.3999999999999999E-2</v>
      </c>
      <c r="M30" s="107">
        <v>8.5141039063695509E-2</v>
      </c>
      <c r="N30" s="107">
        <v>2.9200223027030376</v>
      </c>
      <c r="O30" s="107">
        <f>INDEX(Pipes_result_save_V1!$K$2:$K$206,MATCH(D30,Pipes_result_save_V1!$I$2:$I$206,0)) *POWER(10,-3)</f>
        <v>-6.5045499801635745E-4</v>
      </c>
      <c r="P30" s="78">
        <v>5.8343797197853882E-3</v>
      </c>
      <c r="Q30" s="78">
        <f t="shared" si="0"/>
        <v>5.1839247217690312E-3</v>
      </c>
      <c r="R30" s="78"/>
      <c r="S30" s="78"/>
      <c r="T30" s="78">
        <v>0</v>
      </c>
      <c r="U30" s="78">
        <v>23</v>
      </c>
      <c r="V30" s="78" t="s">
        <v>540</v>
      </c>
      <c r="W30" s="78" t="s">
        <v>205</v>
      </c>
      <c r="X30" s="106" t="str">
        <f>INDEX(Pipes_result_save_V1!$G$2:$G$206,MATCH(W30,Pipes_result_save_V1!$I$2:$I$206,0))</f>
        <v>N144</v>
      </c>
      <c r="Y30" s="106" t="str">
        <f>INDEX(Pipes_result_save_V1!$H$2:$H$206,MATCH(W30,Pipes_result_save_V1!$I$2:$I$206,0))</f>
        <v>N145</v>
      </c>
      <c r="Z30" s="78">
        <v>5.8057999999999998E-2</v>
      </c>
      <c r="AA30" s="78">
        <v>300</v>
      </c>
      <c r="AB30" s="78">
        <v>150</v>
      </c>
      <c r="AC30" s="78">
        <v>115</v>
      </c>
      <c r="AD30" s="78">
        <v>40.369166565640825</v>
      </c>
      <c r="AE30" s="78">
        <v>-5.8057999999999998E-2</v>
      </c>
      <c r="AF30" s="78">
        <v>0</v>
      </c>
      <c r="AG30" s="78">
        <v>0</v>
      </c>
      <c r="AH30" s="78">
        <v>-0.20735873698449106</v>
      </c>
      <c r="AI30">
        <v>6.6145644165365267</v>
      </c>
      <c r="AJ30" s="107">
        <f>INDEX(Pipes_result_save_V1!$K$2:$K$206,MATCH(W30,Pipes_result_save_V1!$I$2:$I$206,0)) *POWER(10,-3)</f>
        <v>7.81305980682373E-3</v>
      </c>
      <c r="AK30" s="78">
        <v>1.096624649170189E-4</v>
      </c>
      <c r="AL30" s="78">
        <f t="shared" si="1"/>
        <v>7.7033973419067111E-3</v>
      </c>
      <c r="AP30">
        <v>0</v>
      </c>
      <c r="AQ30">
        <v>23</v>
      </c>
      <c r="AR30" t="s">
        <v>540</v>
      </c>
      <c r="AS30" t="s">
        <v>312</v>
      </c>
      <c r="AT30" s="106" t="str">
        <f>INDEX(Pipes_result_save_V1!$G$2:$G$206,MATCH(AS30,Pipes_result_save_V1!$I$2:$I$206,0))</f>
        <v>N121</v>
      </c>
      <c r="AU30" s="106" t="str">
        <f>INDEX(Pipes_result_save_V1!$H$2:$H$206,MATCH(AS30,Pipes_result_save_V1!$I$2:$I$206,0))</f>
        <v>N120</v>
      </c>
      <c r="AV30">
        <v>3.2835999999999997E-2</v>
      </c>
      <c r="AW30">
        <v>250</v>
      </c>
      <c r="AX30">
        <v>150</v>
      </c>
      <c r="AY30">
        <v>120</v>
      </c>
      <c r="AZ30">
        <v>102.38233698231814</v>
      </c>
      <c r="BA30">
        <v>-3.2835999999999997E-2</v>
      </c>
      <c r="BB30">
        <v>-0.1830230110493602</v>
      </c>
      <c r="BC30">
        <v>10.322774286253356</v>
      </c>
      <c r="BD30" s="107">
        <f>INDEX(Pipes_result_save_V1!$K$2:$K$206,MATCH(AS30,Pipes_result_save_V1!$I$2:$I$206,0)) *POWER(10,-3)</f>
        <v>9.4182367324829111E-3</v>
      </c>
      <c r="BE30" s="78">
        <v>6.0309927401435781E-3</v>
      </c>
      <c r="BF30" s="78">
        <f t="shared" si="2"/>
        <v>3.387243992339333E-3</v>
      </c>
      <c r="BJ30">
        <v>3</v>
      </c>
      <c r="BK30">
        <v>23</v>
      </c>
      <c r="BL30" t="s">
        <v>540</v>
      </c>
      <c r="BM30" t="s">
        <v>181</v>
      </c>
      <c r="BN30" s="106" t="str">
        <f>INDEX(Pipes_result_save_V1!$G$2:$G$206,MATCH(BM30,Pipes_result_save_V1!$I$2:$I$206,0))</f>
        <v>N72</v>
      </c>
      <c r="BO30" s="106" t="str">
        <f>INDEX(Pipes_result_save_V1!$H$2:$H$206,MATCH(BM30,Pipes_result_save_V1!$I$2:$I$206,0))</f>
        <v>N73</v>
      </c>
      <c r="BP30">
        <v>3.2837000000000005E-2</v>
      </c>
      <c r="BQ30">
        <v>250</v>
      </c>
      <c r="BR30">
        <v>150</v>
      </c>
      <c r="BS30">
        <v>80</v>
      </c>
      <c r="BT30">
        <v>68.254891321545429</v>
      </c>
      <c r="BU30">
        <v>3.8250255700015404E-2</v>
      </c>
      <c r="BV30">
        <v>0.16187231665420129</v>
      </c>
      <c r="BW30">
        <v>7.8375301016212582</v>
      </c>
      <c r="BX30" s="107">
        <f>INDEX(Pipes_result_save_V1!$K$2:$K$206,MATCH(BM30,Pipes_result_save_V1!$I$2:$I$206,0)) *POWER(10,-3)</f>
        <v>6.3329761505126952E-2</v>
      </c>
      <c r="BY30" s="78">
        <v>6.4036250195098083E-3</v>
      </c>
      <c r="BZ30" s="78">
        <f t="shared" si="3"/>
        <v>5.6926136485617146E-2</v>
      </c>
      <c r="CE30">
        <v>0</v>
      </c>
      <c r="CF30">
        <v>23</v>
      </c>
      <c r="CG30" t="s">
        <v>539</v>
      </c>
      <c r="CH30" t="s">
        <v>415</v>
      </c>
      <c r="CI30" s="106" t="str">
        <f>INDEX(Pipes_result_save_V1!$G$2:$G$206,MATCH(CH30,Pipes_result_save_V1!$I$2:$I$206,0))</f>
        <v>N69</v>
      </c>
      <c r="CJ30" s="106" t="str">
        <f>INDEX(Pipes_result_save_V1!$H$2:$H$206,MATCH(CH30,Pipes_result_save_V1!$I$2:$I$206,0))</f>
        <v>N51</v>
      </c>
      <c r="CK30">
        <v>0.16656000000000001</v>
      </c>
      <c r="CL30">
        <v>466</v>
      </c>
      <c r="CM30">
        <v>150</v>
      </c>
      <c r="CN30">
        <v>191</v>
      </c>
      <c r="CO30">
        <v>7.8475689792927286</v>
      </c>
      <c r="CP30">
        <v>0.16656000000000001</v>
      </c>
      <c r="CQ30">
        <v>0.28384686420411082</v>
      </c>
      <c r="CR30">
        <v>3.1561262758526247</v>
      </c>
      <c r="CS30" s="107">
        <f>INDEX(Pipes_result_save_V1!$K$2:$K$206,MATCH(CH30,Pipes_result_save_V1!$I$2:$I$206,0)) *POWER(10,-3)</f>
        <v>-3.4281181335449218E-2</v>
      </c>
      <c r="CT30" s="78">
        <v>5.3125067333407985E-3</v>
      </c>
      <c r="CU30" s="78">
        <f t="shared" si="4"/>
        <v>-2.8968674602108418E-2</v>
      </c>
      <c r="CY30">
        <v>5</v>
      </c>
      <c r="CZ30">
        <v>23</v>
      </c>
      <c r="DA30" t="s">
        <v>539</v>
      </c>
      <c r="DB30" t="s">
        <v>136</v>
      </c>
      <c r="DC30" s="106" t="str">
        <f>INDEX(Pipes_result_save_V1!$G$2:$G$206,MATCH(DB30,Pipes_result_save_V1!$I$2:$I$206,0))</f>
        <v>N34</v>
      </c>
      <c r="DD30" s="106" t="str">
        <f>INDEX(Pipes_result_save_V1!$H$2:$H$206,MATCH(DB30,Pipes_result_save_V1!$I$2:$I$206,0))</f>
        <v>N33</v>
      </c>
      <c r="DE30">
        <v>8.3280000000000007E-2</v>
      </c>
      <c r="DF30">
        <v>350</v>
      </c>
      <c r="DG30">
        <v>150</v>
      </c>
      <c r="DH30">
        <v>82</v>
      </c>
      <c r="DI30">
        <v>13.585260893493183</v>
      </c>
      <c r="DJ30">
        <v>-9.4864356265488253E-2</v>
      </c>
      <c r="DK30">
        <v>-0.1732458569772338</v>
      </c>
      <c r="DL30">
        <v>3.3822116098474271</v>
      </c>
      <c r="DM30" s="107">
        <f>INDEX(Pipes_result_save_V1!$K$2:$K$206,MATCH(DB30,Pipes_result_save_V1!$I$2:$I$206,0)) *POWER(10,-3)</f>
        <v>-0.11696879577636721</v>
      </c>
      <c r="DN30" s="78">
        <v>6.2447120673577794E-3</v>
      </c>
      <c r="DO30" s="78">
        <f t="shared" si="5"/>
        <v>-0.11072408370900942</v>
      </c>
      <c r="DT30">
        <v>10</v>
      </c>
      <c r="DU30">
        <v>23</v>
      </c>
      <c r="DV30" t="s">
        <v>540</v>
      </c>
      <c r="DW30" t="s">
        <v>148</v>
      </c>
      <c r="DX30" s="106" t="str">
        <f>INDEX(Pipes_result_save_V1!$G$2:$G$206,MATCH(DW30,Pipes_result_save_V1!$I$2:$I$206,0))</f>
        <v>N22</v>
      </c>
      <c r="DY30" s="106" t="str">
        <f>INDEX(Pipes_result_save_V1!$H$2:$H$206,MATCH(DW30,Pipes_result_save_V1!$I$2:$I$206,0))</f>
        <v>N21</v>
      </c>
      <c r="DZ30">
        <v>0.16656000000000001</v>
      </c>
      <c r="EA30">
        <v>466</v>
      </c>
      <c r="EB30">
        <v>150</v>
      </c>
      <c r="EC30">
        <v>194</v>
      </c>
      <c r="ED30">
        <v>7.9708292250407817</v>
      </c>
      <c r="EE30">
        <v>-9.4864356265488253E-2</v>
      </c>
      <c r="EF30">
        <v>-0.10164789257545837</v>
      </c>
      <c r="EG30">
        <v>1.9844323459372384</v>
      </c>
      <c r="EH30" s="107">
        <f>INDEX(Pipes_result_save_V1!$K$2:$K$206,MATCH(DW30,Pipes_result_save_V1!$I$2:$I$206,0)) *POWER(10,-3)</f>
        <v>-0.2054373626708984</v>
      </c>
      <c r="EI30" s="78">
        <v>5.0405793361785693E-3</v>
      </c>
      <c r="EJ30" s="78">
        <f t="shared" si="6"/>
        <v>-0.20039678333471983</v>
      </c>
    </row>
    <row r="31" spans="2:140" ht="30" x14ac:dyDescent="0.25">
      <c r="B31" s="106">
        <v>24</v>
      </c>
      <c r="C31" s="106" t="s">
        <v>539</v>
      </c>
      <c r="D31" s="106" t="s">
        <v>434</v>
      </c>
      <c r="E31" s="106" t="str">
        <f>INDEX(Pipes_result_save_V1!$G$2:$G$206,MATCH(D31,Pipes_result_save_V1!$I$2:$I$206,0))</f>
        <v>R1</v>
      </c>
      <c r="F31" s="106" t="str">
        <f>INDEX(Pipes_result_save_V1!$H$2:$H$206,MATCH(D31,Pipes_result_save_V1!$I$2:$I$206,0))</f>
        <v>N105</v>
      </c>
      <c r="G31" s="106">
        <v>0.03</v>
      </c>
      <c r="H31" s="107">
        <v>200</v>
      </c>
      <c r="I31" s="107">
        <v>150</v>
      </c>
      <c r="J31" s="107">
        <v>30</v>
      </c>
      <c r="K31" s="107">
        <v>75.895097037358298</v>
      </c>
      <c r="L31" s="107">
        <v>0.03</v>
      </c>
      <c r="M31" s="107">
        <v>0.11477367408807007</v>
      </c>
      <c r="N31" s="107">
        <v>7.0853614803701932</v>
      </c>
      <c r="O31" s="107">
        <f>INDEX(Pipes_result_save_V1!$K$2:$K$206,MATCH(D31,Pipes_result_save_V1!$I$2:$I$206,0)) *POWER(10,-3)</f>
        <v>0</v>
      </c>
      <c r="P31" s="78">
        <v>5.4514441579846269E-3</v>
      </c>
      <c r="Q31" s="78">
        <f t="shared" si="0"/>
        <v>0</v>
      </c>
      <c r="R31" s="78"/>
      <c r="S31" s="78"/>
      <c r="T31" s="78">
        <v>0</v>
      </c>
      <c r="U31" s="78">
        <v>24</v>
      </c>
      <c r="V31" s="78" t="s">
        <v>540</v>
      </c>
      <c r="W31" s="78" t="s">
        <v>204</v>
      </c>
      <c r="X31" s="106" t="str">
        <f>INDEX(Pipes_result_save_V1!$G$2:$G$206,MATCH(W31,Pipes_result_save_V1!$I$2:$I$206,0))</f>
        <v>N145</v>
      </c>
      <c r="Y31" s="106" t="str">
        <f>INDEX(Pipes_result_save_V1!$H$2:$H$206,MATCH(W31,Pipes_result_save_V1!$I$2:$I$206,0))</f>
        <v>N146</v>
      </c>
      <c r="Z31" s="78">
        <v>5.8057999999999998E-2</v>
      </c>
      <c r="AA31" s="78">
        <v>300</v>
      </c>
      <c r="AB31" s="78">
        <v>150</v>
      </c>
      <c r="AC31" s="78">
        <v>168</v>
      </c>
      <c r="AD31" s="78">
        <v>58.974086808936164</v>
      </c>
      <c r="AE31" s="78">
        <v>-5.8057999999999998E-2</v>
      </c>
      <c r="AF31" s="78">
        <v>0</v>
      </c>
      <c r="AG31" s="78">
        <v>0</v>
      </c>
      <c r="AH31" s="78">
        <v>-0.30292406794256088</v>
      </c>
      <c r="AI31">
        <v>9.663015843288143</v>
      </c>
      <c r="AJ31" s="107">
        <f>INDEX(Pipes_result_save_V1!$K$2:$K$206,MATCH(W31,Pipes_result_save_V1!$I$2:$I$206,0)) *POWER(10,-3)</f>
        <v>6.1983890533447265E-3</v>
      </c>
      <c r="AK31" s="78">
        <v>3.7382600759116426E-3</v>
      </c>
      <c r="AL31" s="78">
        <f t="shared" si="1"/>
        <v>2.4601289774330839E-3</v>
      </c>
      <c r="AP31">
        <v>0</v>
      </c>
      <c r="AQ31">
        <v>24</v>
      </c>
      <c r="AR31" t="s">
        <v>540</v>
      </c>
      <c r="AS31" t="s">
        <v>311</v>
      </c>
      <c r="AT31" s="106" t="str">
        <f>INDEX(Pipes_result_save_V1!$G$2:$G$206,MATCH(AS31,Pipes_result_save_V1!$I$2:$I$206,0))</f>
        <v>N121</v>
      </c>
      <c r="AU31" s="106" t="str">
        <f>INDEX(Pipes_result_save_V1!$H$2:$H$206,MATCH(AS31,Pipes_result_save_V1!$I$2:$I$206,0))</f>
        <v>N122</v>
      </c>
      <c r="AV31">
        <v>0.116116</v>
      </c>
      <c r="AW31">
        <v>400</v>
      </c>
      <c r="AX31">
        <v>150</v>
      </c>
      <c r="AY31">
        <v>121</v>
      </c>
      <c r="AZ31">
        <v>10.460699519593918</v>
      </c>
      <c r="BA31">
        <v>-0.116116</v>
      </c>
      <c r="BB31">
        <v>-0.19397279997750211</v>
      </c>
      <c r="BC31">
        <v>3.0937823000993316</v>
      </c>
      <c r="BD31" s="107">
        <f>INDEX(Pipes_result_save_V1!$K$2:$K$206,MATCH(AS31,Pipes_result_save_V1!$I$2:$I$206,0)) *POWER(10,-3)</f>
        <v>5.762615203857422E-2</v>
      </c>
      <c r="BE31" s="78">
        <v>5.4222826737883928E-3</v>
      </c>
      <c r="BF31" s="78">
        <f t="shared" si="2"/>
        <v>5.2203869364785827E-2</v>
      </c>
      <c r="BJ31">
        <v>4</v>
      </c>
      <c r="BK31">
        <v>24</v>
      </c>
      <c r="BL31" t="s">
        <v>540</v>
      </c>
      <c r="BM31" t="s">
        <v>179</v>
      </c>
      <c r="BN31" s="106" t="str">
        <f>INDEX(Pipes_result_save_V1!$G$2:$G$206,MATCH(BM31,Pipes_result_save_V1!$I$2:$I$206,0))</f>
        <v>N73</v>
      </c>
      <c r="BO31" s="106" t="str">
        <f>INDEX(Pipes_result_save_V1!$H$2:$H$206,MATCH(BM31,Pipes_result_save_V1!$I$2:$I$206,0))</f>
        <v>N74</v>
      </c>
      <c r="BP31">
        <v>3.2837000000000005E-2</v>
      </c>
      <c r="BQ31">
        <v>250</v>
      </c>
      <c r="BR31">
        <v>150</v>
      </c>
      <c r="BS31">
        <v>87</v>
      </c>
      <c r="BT31">
        <v>74.227194312180643</v>
      </c>
      <c r="BU31">
        <v>3.8250255700015404E-2</v>
      </c>
      <c r="BV31">
        <v>0.17603614436144388</v>
      </c>
      <c r="BW31">
        <v>8.5233139855131181</v>
      </c>
      <c r="BX31" s="107">
        <f>INDEX(Pipes_result_save_V1!$K$2:$K$206,MATCH(BM31,Pipes_result_save_V1!$I$2:$I$206,0)) *POWER(10,-3)</f>
        <v>6.2376930236816418E-2</v>
      </c>
      <c r="BY31" s="78">
        <v>5.3001981870944882E-3</v>
      </c>
      <c r="BZ31" s="78">
        <f t="shared" si="3"/>
        <v>5.7076732049721926E-2</v>
      </c>
      <c r="CE31">
        <v>3</v>
      </c>
      <c r="CF31">
        <v>24</v>
      </c>
      <c r="CG31" t="s">
        <v>539</v>
      </c>
      <c r="CH31" t="s">
        <v>159</v>
      </c>
      <c r="CI31" s="106" t="str">
        <f>INDEX(Pipes_result_save_V1!$G$2:$G$206,MATCH(CH31,Pipes_result_save_V1!$I$2:$I$206,0))</f>
        <v>N53</v>
      </c>
      <c r="CJ31" s="106" t="str">
        <f>INDEX(Pipes_result_save_V1!$H$2:$H$206,MATCH(CH31,Pipes_result_save_V1!$I$2:$I$206,0))</f>
        <v>N52</v>
      </c>
      <c r="CK31">
        <v>3.2837000000000005E-2</v>
      </c>
      <c r="CL31">
        <v>250</v>
      </c>
      <c r="CM31">
        <v>150</v>
      </c>
      <c r="CN31">
        <v>94</v>
      </c>
      <c r="CO31">
        <v>80.199497302815871</v>
      </c>
      <c r="CP31">
        <v>2.3580796114934299E-2</v>
      </c>
      <c r="CQ31">
        <v>7.7651512635117478E-2</v>
      </c>
      <c r="CR31">
        <v>6.0986321538634876</v>
      </c>
      <c r="CS31" s="107">
        <f>INDEX(Pipes_result_save_V1!$K$2:$K$206,MATCH(CH31,Pipes_result_save_V1!$I$2:$I$206,0)) *POWER(10,-3)</f>
        <v>-3.1705240249633788E-2</v>
      </c>
      <c r="CT31" s="78">
        <v>6.0291395850206372E-3</v>
      </c>
      <c r="CU31" s="78">
        <f t="shared" si="4"/>
        <v>-2.567610066461315E-2</v>
      </c>
      <c r="CY31">
        <v>6</v>
      </c>
      <c r="CZ31">
        <v>24</v>
      </c>
      <c r="DA31" t="s">
        <v>539</v>
      </c>
      <c r="DB31" t="s">
        <v>134</v>
      </c>
      <c r="DC31" s="106" t="str">
        <f>INDEX(Pipes_result_save_V1!$G$2:$G$206,MATCH(DB31,Pipes_result_save_V1!$I$2:$I$206,0))</f>
        <v>N35</v>
      </c>
      <c r="DD31" s="106" t="str">
        <f>INDEX(Pipes_result_save_V1!$H$2:$H$206,MATCH(DB31,Pipes_result_save_V1!$I$2:$I$206,0))</f>
        <v>N34</v>
      </c>
      <c r="DE31">
        <v>8.3280000000000007E-2</v>
      </c>
      <c r="DF31">
        <v>350</v>
      </c>
      <c r="DG31">
        <v>150</v>
      </c>
      <c r="DH31">
        <v>69</v>
      </c>
      <c r="DI31">
        <v>11.431500020134509</v>
      </c>
      <c r="DJ31">
        <v>-9.4864356265488253E-2</v>
      </c>
      <c r="DK31">
        <v>-0.14578005038328212</v>
      </c>
      <c r="DL31">
        <v>2.8460073302374695</v>
      </c>
      <c r="DM31" s="107">
        <f>INDEX(Pipes_result_save_V1!$K$2:$K$206,MATCH(DB31,Pipes_result_save_V1!$I$2:$I$206,0)) *POWER(10,-3)</f>
        <v>-0.1161072616577148</v>
      </c>
      <c r="DN31" s="78">
        <v>6.359427932995646E-3</v>
      </c>
      <c r="DO31" s="78">
        <f t="shared" si="5"/>
        <v>-0.10974783372471916</v>
      </c>
      <c r="DT31">
        <v>11</v>
      </c>
      <c r="DU31">
        <v>24</v>
      </c>
      <c r="DV31" t="s">
        <v>540</v>
      </c>
      <c r="DW31" t="s">
        <v>147</v>
      </c>
      <c r="DX31" s="106" t="str">
        <f>INDEX(Pipes_result_save_V1!$G$2:$G$206,MATCH(DW31,Pipes_result_save_V1!$I$2:$I$206,0))</f>
        <v>N23</v>
      </c>
      <c r="DY31" s="106" t="str">
        <f>INDEX(Pipes_result_save_V1!$H$2:$H$206,MATCH(DW31,Pipes_result_save_V1!$I$2:$I$206,0))</f>
        <v>N22</v>
      </c>
      <c r="DZ31">
        <v>0.16656000000000001</v>
      </c>
      <c r="EA31">
        <v>466</v>
      </c>
      <c r="EB31">
        <v>150</v>
      </c>
      <c r="EC31">
        <v>74</v>
      </c>
      <c r="ED31">
        <v>3.0404193951186484</v>
      </c>
      <c r="EE31">
        <v>-9.4864356265488253E-2</v>
      </c>
      <c r="EF31">
        <v>-3.877290747723669E-2</v>
      </c>
      <c r="EG31">
        <v>0.75694842061523515</v>
      </c>
      <c r="EH31" s="107">
        <f>INDEX(Pipes_result_save_V1!$K$2:$K$206,MATCH(DW31,Pipes_result_save_V1!$I$2:$I$206,0)) *POWER(10,-3)</f>
        <v>-0.20390827941894532</v>
      </c>
      <c r="EI31" s="78">
        <v>6.2628404215481952E-3</v>
      </c>
      <c r="EJ31" s="78">
        <f t="shared" si="6"/>
        <v>-0.19764543899739712</v>
      </c>
    </row>
    <row r="32" spans="2:140" ht="30" x14ac:dyDescent="0.25">
      <c r="B32" s="106">
        <v>25</v>
      </c>
      <c r="C32" s="106" t="s">
        <v>539</v>
      </c>
      <c r="D32" s="106" t="s">
        <v>220</v>
      </c>
      <c r="E32" s="106" t="str">
        <f>INDEX(Pipes_result_save_V1!$G$2:$G$206,MATCH(D32,Pipes_result_save_V1!$I$2:$I$206,0))</f>
        <v>N148</v>
      </c>
      <c r="F32" s="106" t="str">
        <f>INDEX(Pipes_result_save_V1!$H$2:$H$206,MATCH(D32,Pipes_result_save_V1!$I$2:$I$206,0))</f>
        <v>N149</v>
      </c>
      <c r="G32" s="106">
        <v>9.0999999999999998E-2</v>
      </c>
      <c r="H32" s="107">
        <v>350</v>
      </c>
      <c r="I32" s="107">
        <v>150</v>
      </c>
      <c r="J32" s="107">
        <v>91</v>
      </c>
      <c r="K32" s="107">
        <v>15.076326113510728</v>
      </c>
      <c r="L32" s="107">
        <v>9.0999999999999998E-2</v>
      </c>
      <c r="M32" s="107">
        <v>0.17800827088336596</v>
      </c>
      <c r="N32" s="107">
        <v>3.6227617327032307</v>
      </c>
      <c r="O32" s="107">
        <f>INDEX(Pipes_result_save_V1!$K$2:$K$206,MATCH(D32,Pipes_result_save_V1!$I$2:$I$206,0)) *POWER(10,-3)</f>
        <v>-1.2776296615600589E-2</v>
      </c>
      <c r="P32" s="78">
        <v>6.2005539232598845E-3</v>
      </c>
      <c r="Q32" s="78">
        <f t="shared" si="0"/>
        <v>-6.5757426923407046E-3</v>
      </c>
      <c r="R32" s="78"/>
      <c r="S32" s="78"/>
      <c r="T32" s="78">
        <v>0</v>
      </c>
      <c r="U32" s="78">
        <v>25</v>
      </c>
      <c r="V32" s="78" t="s">
        <v>540</v>
      </c>
      <c r="W32" s="78" t="s">
        <v>218</v>
      </c>
      <c r="X32" s="106" t="str">
        <f>INDEX(Pipes_result_save_V1!$G$2:$G$206,MATCH(W32,Pipes_result_save_V1!$I$2:$I$206,0))</f>
        <v>N146</v>
      </c>
      <c r="Y32" s="106" t="str">
        <f>INDEX(Pipes_result_save_V1!$H$2:$H$206,MATCH(W32,Pipes_result_save_V1!$I$2:$I$206,0))</f>
        <v>N147</v>
      </c>
      <c r="Z32" s="78">
        <v>5.8057999999999998E-2</v>
      </c>
      <c r="AA32" s="78">
        <v>300</v>
      </c>
      <c r="AB32" s="78">
        <v>150</v>
      </c>
      <c r="AC32" s="78">
        <v>214</v>
      </c>
      <c r="AD32" s="78">
        <v>75.121753435192488</v>
      </c>
      <c r="AE32" s="78">
        <v>-5.8057999999999998E-2</v>
      </c>
      <c r="AF32" s="78">
        <v>0</v>
      </c>
      <c r="AG32" s="78">
        <v>0</v>
      </c>
      <c r="AH32" s="78">
        <v>-0.38586756273635725</v>
      </c>
      <c r="AI32">
        <v>12.308841609902753</v>
      </c>
      <c r="AJ32" s="107">
        <f>INDEX(Pipes_result_save_V1!$K$2:$K$206,MATCH(W32,Pipes_result_save_V1!$I$2:$I$206,0)) *POWER(10,-3)</f>
        <v>4.0188694000244142E-3</v>
      </c>
      <c r="AK32" s="78">
        <v>2.0891597055770774E-3</v>
      </c>
      <c r="AL32" s="78">
        <f t="shared" si="1"/>
        <v>1.9297096944473368E-3</v>
      </c>
      <c r="AP32">
        <v>0</v>
      </c>
      <c r="AQ32">
        <v>25</v>
      </c>
      <c r="AR32" t="s">
        <v>540</v>
      </c>
      <c r="AS32" t="s">
        <v>313</v>
      </c>
      <c r="AT32" s="106" t="str">
        <f>INDEX(Pipes_result_save_V1!$G$2:$G$206,MATCH(AS32,Pipes_result_save_V1!$I$2:$I$206,0))</f>
        <v>N122</v>
      </c>
      <c r="AU32" s="106" t="str">
        <f>INDEX(Pipes_result_save_V1!$H$2:$H$206,MATCH(AS32,Pipes_result_save_V1!$I$2:$I$206,0))</f>
        <v>N123</v>
      </c>
      <c r="AV32">
        <v>0.116116</v>
      </c>
      <c r="AW32">
        <v>400</v>
      </c>
      <c r="AX32">
        <v>150</v>
      </c>
      <c r="AY32">
        <v>122</v>
      </c>
      <c r="AZ32">
        <v>10.547151581739321</v>
      </c>
      <c r="BA32">
        <v>-0.116116</v>
      </c>
      <c r="BB32">
        <v>-0.19557588096905171</v>
      </c>
      <c r="BC32">
        <v>3.1193507488604828</v>
      </c>
      <c r="BD32" s="107">
        <f>INDEX(Pipes_result_save_V1!$K$2:$K$206,MATCH(AS32,Pipes_result_save_V1!$I$2:$I$206,0)) *POWER(10,-3)</f>
        <v>5.6114177703857425E-2</v>
      </c>
      <c r="BE32" s="78">
        <v>5.8321580512820433E-3</v>
      </c>
      <c r="BF32" s="78">
        <f t="shared" si="2"/>
        <v>5.028201965257538E-2</v>
      </c>
      <c r="BJ32">
        <v>5</v>
      </c>
      <c r="BK32">
        <v>25</v>
      </c>
      <c r="BL32" t="s">
        <v>540</v>
      </c>
      <c r="BM32" t="s">
        <v>180</v>
      </c>
      <c r="BN32" s="106" t="str">
        <f>INDEX(Pipes_result_save_V1!$G$2:$G$206,MATCH(BM32,Pipes_result_save_V1!$I$2:$I$206,0))</f>
        <v>N74</v>
      </c>
      <c r="BO32" s="106" t="str">
        <f>INDEX(Pipes_result_save_V1!$H$2:$H$206,MATCH(BM32,Pipes_result_save_V1!$I$2:$I$206,0))</f>
        <v>N75</v>
      </c>
      <c r="BP32">
        <v>3.2837000000000005E-2</v>
      </c>
      <c r="BQ32">
        <v>250</v>
      </c>
      <c r="BR32">
        <v>150</v>
      </c>
      <c r="BS32">
        <v>89</v>
      </c>
      <c r="BT32">
        <v>75.93356659521929</v>
      </c>
      <c r="BU32">
        <v>3.8250255700015404E-2</v>
      </c>
      <c r="BV32">
        <v>0.18008295227779894</v>
      </c>
      <c r="BW32">
        <v>8.7192522380536506</v>
      </c>
      <c r="BX32" s="107">
        <f>INDEX(Pipes_result_save_V1!$K$2:$K$206,MATCH(BM32,Pipes_result_save_V1!$I$2:$I$206,0)) *POWER(10,-3)</f>
        <v>6.1372756958007813E-2</v>
      </c>
      <c r="BY32" s="78">
        <v>5.3829466780226098E-3</v>
      </c>
      <c r="BZ32" s="78">
        <f t="shared" si="3"/>
        <v>5.5989810279985203E-2</v>
      </c>
      <c r="CE32">
        <v>4</v>
      </c>
      <c r="CF32">
        <v>25</v>
      </c>
      <c r="CG32" t="s">
        <v>540</v>
      </c>
      <c r="CH32" t="s">
        <v>158</v>
      </c>
      <c r="CI32" s="106" t="str">
        <f>INDEX(Pipes_result_save_V1!$G$2:$G$206,MATCH(CH32,Pipes_result_save_V1!$I$2:$I$206,0))</f>
        <v>N54</v>
      </c>
      <c r="CJ32" s="106" t="str">
        <f>INDEX(Pipes_result_save_V1!$H$2:$H$206,MATCH(CH32,Pipes_result_save_V1!$I$2:$I$206,0))</f>
        <v>N53</v>
      </c>
      <c r="CK32">
        <v>3.2837000000000005E-2</v>
      </c>
      <c r="CL32">
        <v>250</v>
      </c>
      <c r="CM32">
        <v>150</v>
      </c>
      <c r="CN32">
        <v>191</v>
      </c>
      <c r="CO32">
        <v>162.95855303018971</v>
      </c>
      <c r="CP32">
        <v>2.3580796114934299E-2</v>
      </c>
      <c r="CQ32">
        <v>0.15778126503518553</v>
      </c>
      <c r="CR32">
        <v>12.391901504126874</v>
      </c>
      <c r="CS32" s="107">
        <f>INDEX(Pipes_result_save_V1!$K$2:$K$206,MATCH(CH32,Pipes_result_save_V1!$I$2:$I$206,0)) *POWER(10,-3)</f>
        <v>-3.0079156875610351E-2</v>
      </c>
      <c r="CT32" s="78">
        <v>5.8805783208500896E-3</v>
      </c>
      <c r="CU32" s="78">
        <f t="shared" si="4"/>
        <v>-2.419857855476026E-2</v>
      </c>
      <c r="CY32">
        <v>7</v>
      </c>
      <c r="CZ32">
        <v>25</v>
      </c>
      <c r="DA32" t="s">
        <v>539</v>
      </c>
      <c r="DB32" t="s">
        <v>135</v>
      </c>
      <c r="DC32" s="106" t="str">
        <f>INDEX(Pipes_result_save_V1!$G$2:$G$206,MATCH(DB32,Pipes_result_save_V1!$I$2:$I$206,0))</f>
        <v>N36</v>
      </c>
      <c r="DD32" s="106" t="str">
        <f>INDEX(Pipes_result_save_V1!$H$2:$H$206,MATCH(DB32,Pipes_result_save_V1!$I$2:$I$206,0))</f>
        <v>N35</v>
      </c>
      <c r="DE32">
        <v>8.3280000000000007E-2</v>
      </c>
      <c r="DF32">
        <v>350</v>
      </c>
      <c r="DG32">
        <v>150</v>
      </c>
      <c r="DH32">
        <v>73</v>
      </c>
      <c r="DI32">
        <v>12.094195673475639</v>
      </c>
      <c r="DJ32">
        <v>-9.4864356265488253E-2</v>
      </c>
      <c r="DK32">
        <v>-0.1542310677968057</v>
      </c>
      <c r="DL32">
        <v>3.0109932624251488</v>
      </c>
      <c r="DM32" s="107">
        <f>INDEX(Pipes_result_save_V1!$K$2:$K$206,MATCH(DB32,Pipes_result_save_V1!$I$2:$I$206,0)) *POWER(10,-3)</f>
        <v>-0.1152970657348633</v>
      </c>
      <c r="DN32" s="78">
        <v>5.9580460369928643E-3</v>
      </c>
      <c r="DO32" s="78">
        <f t="shared" si="5"/>
        <v>-0.10933901969787044</v>
      </c>
      <c r="DT32">
        <v>12</v>
      </c>
      <c r="DU32">
        <v>25</v>
      </c>
      <c r="DV32" t="s">
        <v>540</v>
      </c>
      <c r="DW32" t="s">
        <v>146</v>
      </c>
      <c r="DX32" s="106" t="str">
        <f>INDEX(Pipes_result_save_V1!$G$2:$G$206,MATCH(DW32,Pipes_result_save_V1!$I$2:$I$206,0))</f>
        <v>N24</v>
      </c>
      <c r="DY32" s="106" t="str">
        <f>INDEX(Pipes_result_save_V1!$H$2:$H$206,MATCH(DW32,Pipes_result_save_V1!$I$2:$I$206,0))</f>
        <v>N23</v>
      </c>
      <c r="DZ32">
        <v>0.16656000000000001</v>
      </c>
      <c r="EA32">
        <v>466</v>
      </c>
      <c r="EB32">
        <v>150</v>
      </c>
      <c r="EC32">
        <v>92</v>
      </c>
      <c r="ED32">
        <v>3.7799808696069688</v>
      </c>
      <c r="EE32">
        <v>-9.4864356265488253E-2</v>
      </c>
      <c r="EF32">
        <v>-4.820415524196995E-2</v>
      </c>
      <c r="EG32">
        <v>0.94107100941353583</v>
      </c>
      <c r="EH32" s="107">
        <f>INDEX(Pipes_result_save_V1!$K$2:$K$206,MATCH(DW32,Pipes_result_save_V1!$I$2:$I$206,0)) *POWER(10,-3)</f>
        <v>-0.20296116638183592</v>
      </c>
      <c r="EI32" s="78">
        <v>5.1063428122639486E-3</v>
      </c>
      <c r="EJ32" s="78">
        <f t="shared" si="6"/>
        <v>-0.19785482356957199</v>
      </c>
    </row>
    <row r="33" spans="2:140" ht="30" x14ac:dyDescent="0.25">
      <c r="B33" s="106">
        <v>26</v>
      </c>
      <c r="C33" s="106" t="s">
        <v>540</v>
      </c>
      <c r="D33" s="106" t="s">
        <v>431</v>
      </c>
      <c r="E33" s="106" t="str">
        <f>INDEX(Pipes_result_save_V1!$G$2:$G$206,MATCH(D33,Pipes_result_save_V1!$I$2:$I$206,0))</f>
        <v>N148</v>
      </c>
      <c r="F33" s="106" t="str">
        <f>INDEX(Pipes_result_save_V1!$H$2:$H$206,MATCH(D33,Pipes_result_save_V1!$I$2:$I$206,0))</f>
        <v>N166</v>
      </c>
      <c r="G33" s="106">
        <v>0.10100000000000001</v>
      </c>
      <c r="H33" s="107">
        <v>400</v>
      </c>
      <c r="I33" s="107">
        <v>150</v>
      </c>
      <c r="J33" s="107">
        <v>101</v>
      </c>
      <c r="K33" s="107">
        <v>8.7316582766858311</v>
      </c>
      <c r="L33" s="107">
        <v>-0.10100000000000001</v>
      </c>
      <c r="M33" s="107">
        <v>-0.12505467014160557</v>
      </c>
      <c r="N33" s="107">
        <v>2.2930816742797377</v>
      </c>
      <c r="O33" s="107">
        <f>INDEX(Pipes_result_save_V1!$K$2:$K$206,MATCH(D33,Pipes_result_save_V1!$I$2:$I$206,0)) *POWER(10,-3)</f>
        <v>1.367993545532227E-2</v>
      </c>
      <c r="P33" s="78">
        <v>5.7612622064551729E-3</v>
      </c>
      <c r="Q33" s="78">
        <f t="shared" si="0"/>
        <v>7.9186732488670981E-3</v>
      </c>
      <c r="R33" s="78"/>
      <c r="S33" s="78"/>
      <c r="T33" s="78">
        <v>0</v>
      </c>
      <c r="U33" s="78">
        <v>26</v>
      </c>
      <c r="V33" s="78" t="s">
        <v>540</v>
      </c>
      <c r="W33" s="78" t="s">
        <v>216</v>
      </c>
      <c r="X33" s="106" t="str">
        <f>INDEX(Pipes_result_save_V1!$G$2:$G$206,MATCH(W33,Pipes_result_save_V1!$I$2:$I$206,0))</f>
        <v>N147</v>
      </c>
      <c r="Y33" s="106" t="str">
        <f>INDEX(Pipes_result_save_V1!$H$2:$H$206,MATCH(W33,Pipes_result_save_V1!$I$2:$I$206,0))</f>
        <v>N148</v>
      </c>
      <c r="Z33" s="78">
        <v>5.8057999999999998E-2</v>
      </c>
      <c r="AA33" s="78">
        <v>300</v>
      </c>
      <c r="AB33" s="78">
        <v>150</v>
      </c>
      <c r="AC33" s="78">
        <v>70</v>
      </c>
      <c r="AD33" s="78">
        <v>24.572536170390066</v>
      </c>
      <c r="AE33" s="78">
        <v>-5.8057999999999998E-2</v>
      </c>
      <c r="AF33" s="78">
        <v>0</v>
      </c>
      <c r="AG33" s="78">
        <v>0</v>
      </c>
      <c r="AH33" s="78">
        <v>-0.12621836164273367</v>
      </c>
      <c r="AI33">
        <v>4.0262566013700587</v>
      </c>
      <c r="AJ33" s="107">
        <f>INDEX(Pipes_result_save_V1!$K$2:$K$206,MATCH(W33,Pipes_result_save_V1!$I$2:$I$206,0)) *POWER(10,-3)</f>
        <v>2.398493528366089E-3</v>
      </c>
      <c r="AK33" s="78">
        <v>3.5218557640316313E-3</v>
      </c>
      <c r="AL33" s="78">
        <f t="shared" si="1"/>
        <v>-1.1233622356655423E-3</v>
      </c>
      <c r="AP33">
        <v>0</v>
      </c>
      <c r="AQ33">
        <v>26</v>
      </c>
      <c r="AR33" t="s">
        <v>540</v>
      </c>
      <c r="AS33" t="s">
        <v>314</v>
      </c>
      <c r="AT33" s="106" t="str">
        <f>INDEX(Pipes_result_save_V1!$G$2:$G$206,MATCH(AS33,Pipes_result_save_V1!$I$2:$I$206,0))</f>
        <v>N123</v>
      </c>
      <c r="AU33" s="106" t="str">
        <f>INDEX(Pipes_result_save_V1!$H$2:$H$206,MATCH(AS33,Pipes_result_save_V1!$I$2:$I$206,0))</f>
        <v>N124</v>
      </c>
      <c r="AV33">
        <v>0.116116</v>
      </c>
      <c r="AW33">
        <v>400</v>
      </c>
      <c r="AX33">
        <v>150</v>
      </c>
      <c r="AY33">
        <v>123</v>
      </c>
      <c r="AZ33">
        <v>10.633603643884726</v>
      </c>
      <c r="BA33">
        <v>-0.116116</v>
      </c>
      <c r="BB33">
        <v>-0.19717896196060131</v>
      </c>
      <c r="BC33">
        <v>3.1449191976216344</v>
      </c>
      <c r="BD33" s="107">
        <f>INDEX(Pipes_result_save_V1!$K$2:$K$206,MATCH(AS33,Pipes_result_save_V1!$I$2:$I$206,0)) *POWER(10,-3)</f>
        <v>5.3786315917968751E-2</v>
      </c>
      <c r="BE33" s="78">
        <v>6.0988140748011324E-3</v>
      </c>
      <c r="BF33" s="78">
        <f t="shared" si="2"/>
        <v>4.7687501843167619E-2</v>
      </c>
      <c r="BJ33">
        <v>6</v>
      </c>
      <c r="BK33">
        <v>26</v>
      </c>
      <c r="BL33" t="s">
        <v>540</v>
      </c>
      <c r="BM33" t="s">
        <v>178</v>
      </c>
      <c r="BN33" s="106" t="str">
        <f>INDEX(Pipes_result_save_V1!$G$2:$G$206,MATCH(BM33,Pipes_result_save_V1!$I$2:$I$206,0))</f>
        <v>N75</v>
      </c>
      <c r="BO33" s="106" t="str">
        <f>INDEX(Pipes_result_save_V1!$H$2:$H$206,MATCH(BM33,Pipes_result_save_V1!$I$2:$I$206,0))</f>
        <v>N76</v>
      </c>
      <c r="BP33">
        <v>3.2837000000000005E-2</v>
      </c>
      <c r="BQ33">
        <v>250</v>
      </c>
      <c r="BR33">
        <v>150</v>
      </c>
      <c r="BS33">
        <v>88</v>
      </c>
      <c r="BT33">
        <v>75.080380453699973</v>
      </c>
      <c r="BU33">
        <v>3.8250255700015404E-2</v>
      </c>
      <c r="BV33">
        <v>0.17805954831962142</v>
      </c>
      <c r="BW33">
        <v>8.6212831117833844</v>
      </c>
      <c r="BX33" s="107">
        <f>INDEX(Pipes_result_save_V1!$K$2:$K$206,MATCH(BM33,Pipes_result_save_V1!$I$2:$I$206,0)) *POWER(10,-3)</f>
        <v>6.0362876892089835E-2</v>
      </c>
      <c r="BY33" s="78">
        <v>5.0370317120216196E-3</v>
      </c>
      <c r="BZ33" s="78">
        <f t="shared" si="3"/>
        <v>5.5325845180068216E-2</v>
      </c>
      <c r="CE33">
        <v>5</v>
      </c>
      <c r="CF33">
        <v>26</v>
      </c>
      <c r="CG33" t="s">
        <v>540</v>
      </c>
      <c r="CH33" t="s">
        <v>130</v>
      </c>
      <c r="CI33" s="106" t="str">
        <f>INDEX(Pipes_result_save_V1!$G$2:$G$206,MATCH(CH33,Pipes_result_save_V1!$I$2:$I$206,0))</f>
        <v>N55</v>
      </c>
      <c r="CJ33" s="106" t="str">
        <f>INDEX(Pipes_result_save_V1!$H$2:$H$206,MATCH(CH33,Pipes_result_save_V1!$I$2:$I$206,0))</f>
        <v>N54</v>
      </c>
      <c r="CK33">
        <v>3.2837000000000005E-2</v>
      </c>
      <c r="CL33">
        <v>250</v>
      </c>
      <c r="CM33">
        <v>150</v>
      </c>
      <c r="CN33">
        <v>77</v>
      </c>
      <c r="CO33">
        <v>65.695332896987466</v>
      </c>
      <c r="CP33">
        <v>2.3580796114934299E-2</v>
      </c>
      <c r="CQ33">
        <v>6.3608153967064318E-2</v>
      </c>
      <c r="CR33">
        <v>4.9956880409307294</v>
      </c>
      <c r="CS33" s="107">
        <f>INDEX(Pipes_result_save_V1!$K$2:$K$206,MATCH(CH33,Pipes_result_save_V1!$I$2:$I$206,0)) *POWER(10,-3)</f>
        <v>-2.8550071716308592E-2</v>
      </c>
      <c r="CT33" s="78">
        <v>5.931736364790087E-3</v>
      </c>
      <c r="CU33" s="78">
        <f t="shared" si="4"/>
        <v>-2.2618335351518505E-2</v>
      </c>
      <c r="CY33">
        <v>8</v>
      </c>
      <c r="CZ33">
        <v>26</v>
      </c>
      <c r="DA33" t="s">
        <v>539</v>
      </c>
      <c r="DB33" t="s">
        <v>133</v>
      </c>
      <c r="DC33" s="106" t="str">
        <f>INDEX(Pipes_result_save_V1!$G$2:$G$206,MATCH(DB33,Pipes_result_save_V1!$I$2:$I$206,0))</f>
        <v>N37</v>
      </c>
      <c r="DD33" s="106" t="str">
        <f>INDEX(Pipes_result_save_V1!$H$2:$H$206,MATCH(DB33,Pipes_result_save_V1!$I$2:$I$206,0))</f>
        <v>N36</v>
      </c>
      <c r="DE33">
        <v>8.3280000000000007E-2</v>
      </c>
      <c r="DF33">
        <v>350</v>
      </c>
      <c r="DG33">
        <v>150</v>
      </c>
      <c r="DH33">
        <v>81</v>
      </c>
      <c r="DI33">
        <v>13.419586980157902</v>
      </c>
      <c r="DJ33">
        <v>-9.4864356265488253E-2</v>
      </c>
      <c r="DK33">
        <v>-0.17113310262385292</v>
      </c>
      <c r="DL33">
        <v>3.3409651268005076</v>
      </c>
      <c r="DM33" s="107">
        <f>INDEX(Pipes_result_save_V1!$K$2:$K$206,MATCH(DB33,Pipes_result_save_V1!$I$2:$I$206,0)) *POWER(10,-3)</f>
        <v>-0.11441841125488281</v>
      </c>
      <c r="DN33" s="78">
        <v>5.6421909364428383E-3</v>
      </c>
      <c r="DO33" s="78">
        <f t="shared" si="5"/>
        <v>-0.10877622031843998</v>
      </c>
      <c r="DT33">
        <v>13</v>
      </c>
      <c r="DU33">
        <v>26</v>
      </c>
      <c r="DV33" t="s">
        <v>540</v>
      </c>
      <c r="DW33" t="s">
        <v>145</v>
      </c>
      <c r="DX33" s="106" t="str">
        <f>INDEX(Pipes_result_save_V1!$G$2:$G$206,MATCH(DW33,Pipes_result_save_V1!$I$2:$I$206,0))</f>
        <v>N25</v>
      </c>
      <c r="DY33" s="106" t="str">
        <f>INDEX(Pipes_result_save_V1!$H$2:$H$206,MATCH(DW33,Pipes_result_save_V1!$I$2:$I$206,0))</f>
        <v>N24</v>
      </c>
      <c r="DZ33">
        <v>0.16656000000000001</v>
      </c>
      <c r="EA33">
        <v>466</v>
      </c>
      <c r="EB33">
        <v>150</v>
      </c>
      <c r="EC33">
        <v>75</v>
      </c>
      <c r="ED33">
        <v>3.0815061437013331</v>
      </c>
      <c r="EE33">
        <v>-0.11009435626548825</v>
      </c>
      <c r="EF33">
        <v>-5.1774024209395142E-2</v>
      </c>
      <c r="EG33">
        <v>0.87093922057708129</v>
      </c>
      <c r="EH33" s="107">
        <f>INDEX(Pipes_result_save_V1!$K$2:$K$206,MATCH(DW33,Pipes_result_save_V1!$I$2:$I$206,0)) *POWER(10,-3)</f>
        <v>-0.20200834655761718</v>
      </c>
      <c r="EI33" s="78">
        <v>5.3541484551490031E-3</v>
      </c>
      <c r="EJ33" s="78">
        <f t="shared" si="6"/>
        <v>-0.19665419810246818</v>
      </c>
    </row>
    <row r="34" spans="2:140" ht="30" x14ac:dyDescent="0.25">
      <c r="B34" s="106">
        <v>27</v>
      </c>
      <c r="C34" s="106" t="s">
        <v>539</v>
      </c>
      <c r="D34" s="106" t="s">
        <v>219</v>
      </c>
      <c r="E34" s="106" t="str">
        <f>INDEX(Pipes_result_save_V1!$G$2:$G$206,MATCH(D34,Pipes_result_save_V1!$I$2:$I$206,0))</f>
        <v>N149</v>
      </c>
      <c r="F34" s="106" t="str">
        <f>INDEX(Pipes_result_save_V1!$H$2:$H$206,MATCH(D34,Pipes_result_save_V1!$I$2:$I$206,0))</f>
        <v>N150</v>
      </c>
      <c r="G34" s="106">
        <v>0.03</v>
      </c>
      <c r="H34" s="107">
        <v>200</v>
      </c>
      <c r="I34" s="107">
        <v>150</v>
      </c>
      <c r="J34" s="107">
        <v>30</v>
      </c>
      <c r="K34" s="107">
        <v>75.895097037358298</v>
      </c>
      <c r="L34" s="107">
        <v>0.03</v>
      </c>
      <c r="M34" s="107">
        <v>0.11477367408807007</v>
      </c>
      <c r="N34" s="107">
        <v>7.0853614803701932</v>
      </c>
      <c r="O34" s="107">
        <f>INDEX(Pipes_result_save_V1!$K$2:$K$206,MATCH(D34,Pipes_result_save_V1!$I$2:$I$206,0)) *POWER(10,-3)</f>
        <v>-1.3466668128967291E-2</v>
      </c>
      <c r="P34" s="78">
        <v>5.2595888376986517E-3</v>
      </c>
      <c r="Q34" s="78">
        <f t="shared" si="0"/>
        <v>-8.2070792912686402E-3</v>
      </c>
      <c r="R34" s="78"/>
      <c r="S34" s="78"/>
      <c r="T34" s="78">
        <v>25</v>
      </c>
      <c r="U34" s="78">
        <v>27</v>
      </c>
      <c r="V34" s="78" t="s">
        <v>540</v>
      </c>
      <c r="W34" s="78" t="s">
        <v>220</v>
      </c>
      <c r="X34" s="106" t="str">
        <f>INDEX(Pipes_result_save_V1!$G$2:$G$206,MATCH(W34,Pipes_result_save_V1!$I$2:$I$206,0))</f>
        <v>N148</v>
      </c>
      <c r="Y34" s="106" t="str">
        <f>INDEX(Pipes_result_save_V1!$H$2:$H$206,MATCH(W34,Pipes_result_save_V1!$I$2:$I$206,0))</f>
        <v>N149</v>
      </c>
      <c r="Z34" s="78">
        <v>2.9028999999999999E-2</v>
      </c>
      <c r="AA34" s="78">
        <v>200</v>
      </c>
      <c r="AB34" s="78">
        <v>150</v>
      </c>
      <c r="AC34" s="78">
        <v>91</v>
      </c>
      <c r="AD34" s="78">
        <v>230.21512767998681</v>
      </c>
      <c r="AE34" s="78">
        <v>9.7596935076183555E-2</v>
      </c>
      <c r="AF34" s="78">
        <v>1</v>
      </c>
      <c r="AG34" s="78">
        <v>-1</v>
      </c>
      <c r="AH34" s="78">
        <v>3.0943516202637942</v>
      </c>
      <c r="AI34">
        <v>58.718434100980403</v>
      </c>
      <c r="AJ34" s="107">
        <f>INDEX(Pipes_result_save_V1!$K$2:$K$206,MATCH(W34,Pipes_result_save_V1!$I$2:$I$206,0)) *POWER(10,-3)</f>
        <v>-1.2776296615600589E-2</v>
      </c>
      <c r="AK34" s="78">
        <v>4.6413242317751551E-3</v>
      </c>
      <c r="AL34" s="78">
        <f t="shared" si="1"/>
        <v>-8.134972383825434E-3</v>
      </c>
      <c r="AP34">
        <v>0</v>
      </c>
      <c r="AQ34">
        <v>27</v>
      </c>
      <c r="AR34" t="s">
        <v>540</v>
      </c>
      <c r="AS34" t="s">
        <v>420</v>
      </c>
      <c r="AT34" s="106" t="str">
        <f>INDEX(Pipes_result_save_V1!$G$2:$G$206,MATCH(AS34,Pipes_result_save_V1!$I$2:$I$206,0))</f>
        <v>N124</v>
      </c>
      <c r="AU34" s="106" t="str">
        <f>INDEX(Pipes_result_save_V1!$H$2:$H$206,MATCH(AS34,Pipes_result_save_V1!$I$2:$I$206,0))</f>
        <v>N125</v>
      </c>
      <c r="AV34">
        <v>0.116116</v>
      </c>
      <c r="AW34">
        <v>400</v>
      </c>
      <c r="AX34">
        <v>150</v>
      </c>
      <c r="AY34">
        <v>124</v>
      </c>
      <c r="AZ34">
        <v>10.720055706030131</v>
      </c>
      <c r="BA34">
        <v>-0.116116</v>
      </c>
      <c r="BB34">
        <v>-0.19878204295215093</v>
      </c>
      <c r="BC34">
        <v>3.170487646382786</v>
      </c>
      <c r="BD34" s="107">
        <f>INDEX(Pipes_result_save_V1!$K$2:$K$206,MATCH(AS34,Pipes_result_save_V1!$I$2:$I$206,0)) *POWER(10,-3)</f>
        <v>5.1424217224121091E-2</v>
      </c>
      <c r="BE34" s="78">
        <v>6.0980594748508751E-3</v>
      </c>
      <c r="BF34" s="78">
        <f t="shared" si="2"/>
        <v>4.5326157749270214E-2</v>
      </c>
      <c r="BJ34">
        <v>7</v>
      </c>
      <c r="BK34">
        <v>27</v>
      </c>
      <c r="BL34" t="s">
        <v>540</v>
      </c>
      <c r="BM34" t="s">
        <v>189</v>
      </c>
      <c r="BN34" s="106" t="str">
        <f>INDEX(Pipes_result_save_V1!$G$2:$G$206,MATCH(BM34,Pipes_result_save_V1!$I$2:$I$206,0))</f>
        <v>N76</v>
      </c>
      <c r="BO34" s="106" t="str">
        <f>INDEX(Pipes_result_save_V1!$H$2:$H$206,MATCH(BM34,Pipes_result_save_V1!$I$2:$I$206,0))</f>
        <v>N77</v>
      </c>
      <c r="BP34">
        <v>3.2837000000000005E-2</v>
      </c>
      <c r="BQ34">
        <v>250</v>
      </c>
      <c r="BR34">
        <v>150</v>
      </c>
      <c r="BS34">
        <v>76</v>
      </c>
      <c r="BT34">
        <v>64.84214675546815</v>
      </c>
      <c r="BU34">
        <v>3.8250255700015404E-2</v>
      </c>
      <c r="BV34">
        <v>0.1537787008214912</v>
      </c>
      <c r="BW34">
        <v>7.4456535965401951</v>
      </c>
      <c r="BX34" s="107">
        <f>INDEX(Pipes_result_save_V1!$K$2:$K$206,MATCH(BM34,Pipes_result_save_V1!$I$2:$I$206,0)) *POWER(10,-3)</f>
        <v>5.9427165985107423E-2</v>
      </c>
      <c r="BY34" s="78">
        <v>5.2836406684327718E-3</v>
      </c>
      <c r="BZ34" s="78">
        <f t="shared" si="3"/>
        <v>5.414352531667465E-2</v>
      </c>
      <c r="CE34">
        <v>6</v>
      </c>
      <c r="CF34">
        <v>27</v>
      </c>
      <c r="CG34" t="s">
        <v>540</v>
      </c>
      <c r="CH34" t="s">
        <v>129</v>
      </c>
      <c r="CI34" s="106" t="str">
        <f>INDEX(Pipes_result_save_V1!$G$2:$G$206,MATCH(CH34,Pipes_result_save_V1!$I$2:$I$206,0))</f>
        <v>N56</v>
      </c>
      <c r="CJ34" s="106" t="str">
        <f>INDEX(Pipes_result_save_V1!$H$2:$H$206,MATCH(CH34,Pipes_result_save_V1!$I$2:$I$206,0))</f>
        <v>N55</v>
      </c>
      <c r="CK34">
        <v>3.2837000000000005E-2</v>
      </c>
      <c r="CL34">
        <v>250</v>
      </c>
      <c r="CM34">
        <v>150</v>
      </c>
      <c r="CN34">
        <v>77</v>
      </c>
      <c r="CO34">
        <v>65.695332896987466</v>
      </c>
      <c r="CP34">
        <v>2.3580796114934299E-2</v>
      </c>
      <c r="CQ34">
        <v>6.3608153967064318E-2</v>
      </c>
      <c r="CR34">
        <v>4.9956880409307294</v>
      </c>
      <c r="CS34" s="107">
        <f>INDEX(Pipes_result_save_V1!$K$2:$K$206,MATCH(CH34,Pipes_result_save_V1!$I$2:$I$206,0)) *POWER(10,-3)</f>
        <v>-2.7671417236328121E-2</v>
      </c>
      <c r="CT34" s="78">
        <v>5.062299104412759E-3</v>
      </c>
      <c r="CU34" s="78">
        <f t="shared" si="4"/>
        <v>-2.2609118131915362E-2</v>
      </c>
      <c r="CY34">
        <v>9</v>
      </c>
      <c r="CZ34">
        <v>27</v>
      </c>
      <c r="DA34" t="s">
        <v>539</v>
      </c>
      <c r="DB34" t="s">
        <v>132</v>
      </c>
      <c r="DC34" s="106" t="str">
        <f>INDEX(Pipes_result_save_V1!$G$2:$G$206,MATCH(DB34,Pipes_result_save_V1!$I$2:$I$206,0))</f>
        <v>N38</v>
      </c>
      <c r="DD34" s="106" t="str">
        <f>INDEX(Pipes_result_save_V1!$H$2:$H$206,MATCH(DB34,Pipes_result_save_V1!$I$2:$I$206,0))</f>
        <v>N37</v>
      </c>
      <c r="DE34">
        <v>8.3280000000000007E-2</v>
      </c>
      <c r="DF34">
        <v>350</v>
      </c>
      <c r="DG34">
        <v>150</v>
      </c>
      <c r="DH34">
        <v>101</v>
      </c>
      <c r="DI34">
        <v>16.733065246863553</v>
      </c>
      <c r="DJ34">
        <v>-9.4864356265488253E-2</v>
      </c>
      <c r="DK34">
        <v>-0.21338818969147089</v>
      </c>
      <c r="DL34">
        <v>4.1658947877389041</v>
      </c>
      <c r="DM34" s="107">
        <f>INDEX(Pipes_result_save_V1!$K$2:$K$206,MATCH(DB34,Pipes_result_save_V1!$I$2:$I$206,0)) *POWER(10,-3)</f>
        <v>-0.1133800048828125</v>
      </c>
      <c r="DN34" s="78">
        <v>6.4922119596177389E-3</v>
      </c>
      <c r="DO34" s="78">
        <f t="shared" si="5"/>
        <v>-0.10688779292319475</v>
      </c>
      <c r="DT34">
        <v>14</v>
      </c>
      <c r="DU34">
        <v>27</v>
      </c>
      <c r="DV34" t="s">
        <v>540</v>
      </c>
      <c r="DW34" t="s">
        <v>144</v>
      </c>
      <c r="DX34" s="106" t="str">
        <f>INDEX(Pipes_result_save_V1!$G$2:$G$206,MATCH(DW34,Pipes_result_save_V1!$I$2:$I$206,0))</f>
        <v>N26</v>
      </c>
      <c r="DY34" s="106" t="str">
        <f>INDEX(Pipes_result_save_V1!$H$2:$H$206,MATCH(DW34,Pipes_result_save_V1!$I$2:$I$206,0))</f>
        <v>N25</v>
      </c>
      <c r="DZ34">
        <v>0.16656000000000001</v>
      </c>
      <c r="EA34">
        <v>466</v>
      </c>
      <c r="EB34">
        <v>150</v>
      </c>
      <c r="EC34">
        <v>76</v>
      </c>
      <c r="ED34">
        <v>3.1225928922840178</v>
      </c>
      <c r="EE34">
        <v>1.1995439849446052E-2</v>
      </c>
      <c r="EF34">
        <v>8.6467584549903057E-4</v>
      </c>
      <c r="EG34">
        <v>0.13349903679756739</v>
      </c>
      <c r="EH34" s="107">
        <f>INDEX(Pipes_result_save_V1!$K$2:$K$206,MATCH(DW34,Pipes_result_save_V1!$I$2:$I$206,0)) *POWER(10,-3)</f>
        <v>-0.20114678955078119</v>
      </c>
      <c r="EI34" s="78">
        <v>5.4945029180460039E-3</v>
      </c>
      <c r="EJ34" s="78">
        <f t="shared" si="6"/>
        <v>-0.19565228663273518</v>
      </c>
    </row>
    <row r="35" spans="2:140" ht="30" x14ac:dyDescent="0.25">
      <c r="B35" s="106">
        <v>28</v>
      </c>
      <c r="C35" s="106" t="s">
        <v>539</v>
      </c>
      <c r="D35" s="106" t="s">
        <v>221</v>
      </c>
      <c r="E35" s="106" t="str">
        <f>INDEX(Pipes_result_save_V1!$G$2:$G$206,MATCH(D35,Pipes_result_save_V1!$I$2:$I$206,0))</f>
        <v>N150</v>
      </c>
      <c r="F35" s="106" t="str">
        <f>INDEX(Pipes_result_save_V1!$H$2:$H$206,MATCH(D35,Pipes_result_save_V1!$I$2:$I$206,0))</f>
        <v>N151</v>
      </c>
      <c r="G35" s="106">
        <v>3.5000000000000003E-2</v>
      </c>
      <c r="H35" s="107">
        <v>250</v>
      </c>
      <c r="I35" s="107">
        <v>150</v>
      </c>
      <c r="J35" s="107">
        <v>35</v>
      </c>
      <c r="K35" s="107">
        <v>29.861514953176123</v>
      </c>
      <c r="L35" s="107">
        <v>3.5000000000000003E-2</v>
      </c>
      <c r="M35" s="107">
        <v>6.0079437098534257E-2</v>
      </c>
      <c r="N35" s="107">
        <v>3.1790605001852987</v>
      </c>
      <c r="O35" s="107">
        <f>INDEX(Pipes_result_save_V1!$K$2:$K$206,MATCH(D35,Pipes_result_save_V1!$I$2:$I$206,0)) *POWER(10,-3)</f>
        <v>-1.3837529182434081E-2</v>
      </c>
      <c r="P35" s="78">
        <v>6.2636550694442038E-3</v>
      </c>
      <c r="Q35" s="78">
        <f t="shared" si="0"/>
        <v>-7.5738741129898774E-3</v>
      </c>
      <c r="R35" s="78"/>
      <c r="S35" s="78"/>
      <c r="T35" s="78">
        <v>27</v>
      </c>
      <c r="U35" s="78">
        <v>28</v>
      </c>
      <c r="V35" s="78" t="s">
        <v>540</v>
      </c>
      <c r="W35" s="78" t="s">
        <v>219</v>
      </c>
      <c r="X35" s="106" t="str">
        <f>INDEX(Pipes_result_save_V1!$G$2:$G$206,MATCH(W35,Pipes_result_save_V1!$I$2:$I$206,0))</f>
        <v>N149</v>
      </c>
      <c r="Y35" s="106" t="str">
        <f>INDEX(Pipes_result_save_V1!$H$2:$H$206,MATCH(W35,Pipes_result_save_V1!$I$2:$I$206,0))</f>
        <v>N150</v>
      </c>
      <c r="Z35" s="78">
        <v>2.9028999999999999E-2</v>
      </c>
      <c r="AA35" s="78">
        <v>200</v>
      </c>
      <c r="AB35" s="78">
        <v>150</v>
      </c>
      <c r="AC35" s="78">
        <v>30</v>
      </c>
      <c r="AD35" s="78">
        <v>75.895097037358298</v>
      </c>
      <c r="AE35" s="78">
        <v>3.6596935076183557E-2</v>
      </c>
      <c r="AF35" s="78">
        <v>1</v>
      </c>
      <c r="AG35" s="78">
        <v>-1</v>
      </c>
      <c r="AH35" s="78">
        <v>0.16584918199856438</v>
      </c>
      <c r="AI35">
        <v>8.392852691678792</v>
      </c>
      <c r="AJ35" s="107">
        <f>INDEX(Pipes_result_save_V1!$K$2:$K$206,MATCH(W35,Pipes_result_save_V1!$I$2:$I$206,0)) *POWER(10,-3)</f>
        <v>-1.3466668128967291E-2</v>
      </c>
      <c r="AK35" s="78">
        <v>1.8270960762708306E-3</v>
      </c>
      <c r="AL35" s="78">
        <f t="shared" si="1"/>
        <v>-1.1639572052696461E-2</v>
      </c>
      <c r="AP35">
        <v>0</v>
      </c>
      <c r="AQ35">
        <v>28</v>
      </c>
      <c r="AR35" t="s">
        <v>540</v>
      </c>
      <c r="AS35" t="s">
        <v>288</v>
      </c>
      <c r="AT35" s="106" t="str">
        <f>INDEX(Pipes_result_save_V1!$G$2:$G$206,MATCH(AS35,Pipes_result_save_V1!$I$2:$I$206,0))</f>
        <v>N125</v>
      </c>
      <c r="AU35" s="106" t="str">
        <f>INDEX(Pipes_result_save_V1!$H$2:$H$206,MATCH(AS35,Pipes_result_save_V1!$I$2:$I$206,0))</f>
        <v>N126</v>
      </c>
      <c r="AV35">
        <v>0.116116</v>
      </c>
      <c r="AW35">
        <v>400</v>
      </c>
      <c r="AX35">
        <v>150</v>
      </c>
      <c r="AY35">
        <v>125</v>
      </c>
      <c r="AZ35">
        <v>10.806507768175534</v>
      </c>
      <c r="BA35">
        <v>-0.116116</v>
      </c>
      <c r="BB35">
        <v>-0.2003851239437005</v>
      </c>
      <c r="BC35">
        <v>3.1960560951439372</v>
      </c>
      <c r="BD35" s="107">
        <f>INDEX(Pipes_result_save_V1!$K$2:$K$206,MATCH(AS35,Pipes_result_save_V1!$I$2:$I$206,0)) *POWER(10,-3)</f>
        <v>4.8223403930664065E-2</v>
      </c>
      <c r="BE35" s="78">
        <v>6.2050964582661267E-3</v>
      </c>
      <c r="BF35" s="78">
        <f t="shared" si="2"/>
        <v>4.2018307472397938E-2</v>
      </c>
      <c r="BJ35">
        <v>8</v>
      </c>
      <c r="BK35">
        <v>28</v>
      </c>
      <c r="BL35" t="s">
        <v>540</v>
      </c>
      <c r="BM35" t="s">
        <v>188</v>
      </c>
      <c r="BN35" s="106" t="str">
        <f>INDEX(Pipes_result_save_V1!$G$2:$G$206,MATCH(BM35,Pipes_result_save_V1!$I$2:$I$206,0))</f>
        <v>N77</v>
      </c>
      <c r="BO35" s="106" t="str">
        <f>INDEX(Pipes_result_save_V1!$H$2:$H$206,MATCH(BM35,Pipes_result_save_V1!$I$2:$I$206,0))</f>
        <v>N78</v>
      </c>
      <c r="BP35">
        <v>3.2837000000000005E-2</v>
      </c>
      <c r="BQ35">
        <v>250</v>
      </c>
      <c r="BR35">
        <v>150</v>
      </c>
      <c r="BS35">
        <v>80</v>
      </c>
      <c r="BT35">
        <v>68.254891321545429</v>
      </c>
      <c r="BU35">
        <v>3.8250255700015404E-2</v>
      </c>
      <c r="BV35">
        <v>0.16187231665420129</v>
      </c>
      <c r="BW35">
        <v>7.8375301016212582</v>
      </c>
      <c r="BX35" s="107">
        <f>INDEX(Pipes_result_save_V1!$K$2:$K$206,MATCH(BM35,Pipes_result_save_V1!$I$2:$I$206,0)) *POWER(10,-3)</f>
        <v>5.8537097930908201E-2</v>
      </c>
      <c r="BY35" s="78">
        <v>5.2488735653697808E-3</v>
      </c>
      <c r="BZ35" s="78">
        <f t="shared" si="3"/>
        <v>5.3288224365538421E-2</v>
      </c>
      <c r="CE35">
        <v>7</v>
      </c>
      <c r="CF35">
        <v>28</v>
      </c>
      <c r="CG35" t="s">
        <v>540</v>
      </c>
      <c r="CH35" t="s">
        <v>128</v>
      </c>
      <c r="CI35" s="106" t="str">
        <f>INDEX(Pipes_result_save_V1!$G$2:$G$206,MATCH(CH35,Pipes_result_save_V1!$I$2:$I$206,0))</f>
        <v>N57</v>
      </c>
      <c r="CJ35" s="106" t="str">
        <f>INDEX(Pipes_result_save_V1!$H$2:$H$206,MATCH(CH35,Pipes_result_save_V1!$I$2:$I$206,0))</f>
        <v>N56</v>
      </c>
      <c r="CK35">
        <v>3.2837000000000005E-2</v>
      </c>
      <c r="CL35">
        <v>250</v>
      </c>
      <c r="CM35">
        <v>150</v>
      </c>
      <c r="CN35">
        <v>76</v>
      </c>
      <c r="CO35">
        <v>64.84214675546815</v>
      </c>
      <c r="CP35">
        <v>2.3580796114934299E-2</v>
      </c>
      <c r="CQ35">
        <v>6.2782074045414138E-2</v>
      </c>
      <c r="CR35">
        <v>4.930808975464096</v>
      </c>
      <c r="CS35" s="107">
        <f>INDEX(Pipes_result_save_V1!$K$2:$K$206,MATCH(CH35,Pipes_result_save_V1!$I$2:$I$206,0)) *POWER(10,-3)</f>
        <v>-2.6798467636108398E-2</v>
      </c>
      <c r="CT35" s="78">
        <v>5.3714062733476991E-3</v>
      </c>
      <c r="CU35" s="78">
        <f t="shared" si="4"/>
        <v>-2.1427061362760701E-2</v>
      </c>
      <c r="CY35">
        <v>10</v>
      </c>
      <c r="CZ35">
        <v>28</v>
      </c>
      <c r="DA35" t="s">
        <v>539</v>
      </c>
      <c r="DB35" t="s">
        <v>408</v>
      </c>
      <c r="DC35" s="106" t="str">
        <f>INDEX(Pipes_result_save_V1!$G$2:$G$206,MATCH(DB35,Pipes_result_save_V1!$I$2:$I$206,0))</f>
        <v>N39</v>
      </c>
      <c r="DD35" s="106" t="str">
        <f>INDEX(Pipes_result_save_V1!$H$2:$H$206,MATCH(DB35,Pipes_result_save_V1!$I$2:$I$206,0))</f>
        <v>N38</v>
      </c>
      <c r="DE35">
        <v>8.3280000000000007E-2</v>
      </c>
      <c r="DF35">
        <v>350</v>
      </c>
      <c r="DG35">
        <v>150</v>
      </c>
      <c r="DH35">
        <v>91</v>
      </c>
      <c r="DI35">
        <v>15.076326113510728</v>
      </c>
      <c r="DJ35">
        <v>-9.4864356265488253E-2</v>
      </c>
      <c r="DK35">
        <v>-0.19226064615766192</v>
      </c>
      <c r="DL35">
        <v>3.7534299572697059</v>
      </c>
      <c r="DM35" s="107">
        <f>INDEX(Pipes_result_save_V1!$K$2:$K$206,MATCH(DB35,Pipes_result_save_V1!$I$2:$I$206,0)) *POWER(10,-3)</f>
        <v>-0.112284538269043</v>
      </c>
      <c r="DN35" s="78">
        <v>5.4277349348454363E-3</v>
      </c>
      <c r="DO35" s="78">
        <f t="shared" si="5"/>
        <v>-0.10685680333419756</v>
      </c>
      <c r="DT35">
        <v>15</v>
      </c>
      <c r="DU35">
        <v>28</v>
      </c>
      <c r="DV35" t="s">
        <v>540</v>
      </c>
      <c r="DW35" t="s">
        <v>142</v>
      </c>
      <c r="DX35" s="106" t="str">
        <f>INDEX(Pipes_result_save_V1!$G$2:$G$206,MATCH(DW35,Pipes_result_save_V1!$I$2:$I$206,0))</f>
        <v>N27</v>
      </c>
      <c r="DY35" s="106" t="str">
        <f>INDEX(Pipes_result_save_V1!$H$2:$H$206,MATCH(DW35,Pipes_result_save_V1!$I$2:$I$206,0))</f>
        <v>N26</v>
      </c>
      <c r="DZ35">
        <v>0.16656000000000001</v>
      </c>
      <c r="EA35">
        <v>466</v>
      </c>
      <c r="EB35">
        <v>150</v>
      </c>
      <c r="EC35">
        <v>76</v>
      </c>
      <c r="ED35">
        <v>3.1225928922840178</v>
      </c>
      <c r="EE35">
        <v>-0.17814435626548825</v>
      </c>
      <c r="EF35">
        <v>-0.1279219989031645</v>
      </c>
      <c r="EG35">
        <v>1.3298851949909192</v>
      </c>
      <c r="EH35" s="107">
        <f>INDEX(Pipes_result_save_V1!$K$2:$K$206,MATCH(DW35,Pipes_result_save_V1!$I$2:$I$206,0)) *POWER(10,-3)</f>
        <v>-0.2002795562744141</v>
      </c>
      <c r="EI35" s="78">
        <v>6.0250912181511705E-3</v>
      </c>
      <c r="EJ35" s="78">
        <f t="shared" si="6"/>
        <v>-0.19425446505626293</v>
      </c>
    </row>
    <row r="36" spans="2:140" ht="30" x14ac:dyDescent="0.25">
      <c r="B36" s="106">
        <v>29</v>
      </c>
      <c r="C36" s="106" t="s">
        <v>539</v>
      </c>
      <c r="D36" s="106" t="s">
        <v>222</v>
      </c>
      <c r="E36" s="106" t="str">
        <f>INDEX(Pipes_result_save_V1!$G$2:$G$206,MATCH(D36,Pipes_result_save_V1!$I$2:$I$206,0))</f>
        <v>N151</v>
      </c>
      <c r="F36" s="106" t="str">
        <f>INDEX(Pipes_result_save_V1!$H$2:$H$206,MATCH(D36,Pipes_result_save_V1!$I$2:$I$206,0))</f>
        <v>N152</v>
      </c>
      <c r="G36" s="106">
        <v>4.9000000000000002E-2</v>
      </c>
      <c r="H36" s="107">
        <v>250</v>
      </c>
      <c r="I36" s="107">
        <v>150</v>
      </c>
      <c r="J36" s="107">
        <v>49</v>
      </c>
      <c r="K36" s="107">
        <v>41.806120934446568</v>
      </c>
      <c r="L36" s="107">
        <v>4.9000000000000002E-2</v>
      </c>
      <c r="M36" s="107">
        <v>0.15684945454255206</v>
      </c>
      <c r="N36" s="107">
        <v>5.9282691798531921</v>
      </c>
      <c r="O36" s="107">
        <f>INDEX(Pipes_result_save_V1!$K$2:$K$206,MATCH(D36,Pipes_result_save_V1!$I$2:$I$206,0)) *POWER(10,-3)</f>
        <v>-1.431679439544678E-2</v>
      </c>
      <c r="P36" s="78">
        <v>6.3015075509666851E-3</v>
      </c>
      <c r="Q36" s="78">
        <f t="shared" si="0"/>
        <v>-8.0152868444800952E-3</v>
      </c>
      <c r="R36" s="78"/>
      <c r="S36" s="78"/>
      <c r="T36" s="78">
        <v>28</v>
      </c>
      <c r="U36" s="78">
        <v>29</v>
      </c>
      <c r="V36" s="78" t="s">
        <v>540</v>
      </c>
      <c r="W36" s="78" t="s">
        <v>221</v>
      </c>
      <c r="X36" s="106" t="str">
        <f>INDEX(Pipes_result_save_V1!$G$2:$G$206,MATCH(W36,Pipes_result_save_V1!$I$2:$I$206,0))</f>
        <v>N150</v>
      </c>
      <c r="Y36" s="106" t="str">
        <f>INDEX(Pipes_result_save_V1!$H$2:$H$206,MATCH(W36,Pipes_result_save_V1!$I$2:$I$206,0))</f>
        <v>N151</v>
      </c>
      <c r="Z36" s="78">
        <v>2.9028999999999999E-2</v>
      </c>
      <c r="AA36" s="78">
        <v>200</v>
      </c>
      <c r="AB36" s="78">
        <v>150</v>
      </c>
      <c r="AC36" s="78">
        <v>35</v>
      </c>
      <c r="AD36" s="78">
        <v>88.544279876918011</v>
      </c>
      <c r="AE36" s="78">
        <v>4.1596935076183561E-2</v>
      </c>
      <c r="AF36" s="78">
        <v>1</v>
      </c>
      <c r="AG36" s="78">
        <v>-1</v>
      </c>
      <c r="AH36" s="78">
        <v>0.24527997752358771</v>
      </c>
      <c r="AI36">
        <v>10.920480500347525</v>
      </c>
      <c r="AJ36" s="107">
        <f>INDEX(Pipes_result_save_V1!$K$2:$K$206,MATCH(W36,Pipes_result_save_V1!$I$2:$I$206,0)) *POWER(10,-3)</f>
        <v>-1.3837529182434081E-2</v>
      </c>
      <c r="AK36" s="78">
        <v>2.3840699958634017E-3</v>
      </c>
      <c r="AL36" s="78">
        <f t="shared" si="1"/>
        <v>-1.145345918657068E-2</v>
      </c>
      <c r="AP36">
        <v>0</v>
      </c>
      <c r="AQ36">
        <v>29</v>
      </c>
      <c r="AR36" t="s">
        <v>540</v>
      </c>
      <c r="AS36" t="s">
        <v>423</v>
      </c>
      <c r="AT36" s="106" t="str">
        <f>INDEX(Pipes_result_save_V1!$G$2:$G$206,MATCH(AS36,Pipes_result_save_V1!$I$2:$I$206,0))</f>
        <v>N126</v>
      </c>
      <c r="AU36" s="106" t="str">
        <f>INDEX(Pipes_result_save_V1!$H$2:$H$206,MATCH(AS36,Pipes_result_save_V1!$I$2:$I$206,0))</f>
        <v>N127</v>
      </c>
      <c r="AV36">
        <v>0.116116</v>
      </c>
      <c r="AW36">
        <v>400</v>
      </c>
      <c r="AX36">
        <v>150</v>
      </c>
      <c r="AY36">
        <v>126</v>
      </c>
      <c r="AZ36">
        <v>10.892959830320939</v>
      </c>
      <c r="BA36">
        <v>-0.116116</v>
      </c>
      <c r="BB36">
        <v>-0.20198820493525013</v>
      </c>
      <c r="BC36">
        <v>3.2216245439050888</v>
      </c>
      <c r="BD36" s="107">
        <f>INDEX(Pipes_result_save_V1!$K$2:$K$206,MATCH(AS36,Pipes_result_save_V1!$I$2:$I$206,0)) *POWER(10,-3)</f>
        <v>4.4782958984375003E-2</v>
      </c>
      <c r="BE36" s="78">
        <v>6.0282994137934916E-3</v>
      </c>
      <c r="BF36" s="78">
        <f t="shared" si="2"/>
        <v>3.8754659570581509E-2</v>
      </c>
      <c r="BJ36">
        <v>9</v>
      </c>
      <c r="BK36">
        <v>29</v>
      </c>
      <c r="BL36" t="s">
        <v>540</v>
      </c>
      <c r="BM36" t="s">
        <v>186</v>
      </c>
      <c r="BN36" s="106" t="str">
        <f>INDEX(Pipes_result_save_V1!$G$2:$G$206,MATCH(BM36,Pipes_result_save_V1!$I$2:$I$206,0))</f>
        <v>N78</v>
      </c>
      <c r="BO36" s="106" t="str">
        <f>INDEX(Pipes_result_save_V1!$H$2:$H$206,MATCH(BM36,Pipes_result_save_V1!$I$2:$I$206,0))</f>
        <v>N79</v>
      </c>
      <c r="BP36">
        <v>3.2837000000000005E-2</v>
      </c>
      <c r="BQ36">
        <v>250</v>
      </c>
      <c r="BR36">
        <v>150</v>
      </c>
      <c r="BS36">
        <v>158</v>
      </c>
      <c r="BT36">
        <v>134.80341036005223</v>
      </c>
      <c r="BU36">
        <v>3.8250255700015404E-2</v>
      </c>
      <c r="BV36">
        <v>0.31969782539204755</v>
      </c>
      <c r="BW36">
        <v>15.479121950701986</v>
      </c>
      <c r="BX36" s="107">
        <f>INDEX(Pipes_result_save_V1!$K$2:$K$206,MATCH(BM36,Pipes_result_save_V1!$I$2:$I$206,0)) *POWER(10,-3)</f>
        <v>5.7179180145263672E-2</v>
      </c>
      <c r="BY36" s="78">
        <v>5.6124939788949543E-3</v>
      </c>
      <c r="BZ36" s="78">
        <f t="shared" si="3"/>
        <v>5.1566686166368718E-2</v>
      </c>
      <c r="CE36">
        <v>8</v>
      </c>
      <c r="CF36">
        <v>29</v>
      </c>
      <c r="CG36" t="s">
        <v>540</v>
      </c>
      <c r="CH36" t="s">
        <v>127</v>
      </c>
      <c r="CI36" s="106" t="str">
        <f>INDEX(Pipes_result_save_V1!$G$2:$G$206,MATCH(CH36,Pipes_result_save_V1!$I$2:$I$206,0))</f>
        <v>N58</v>
      </c>
      <c r="CJ36" s="106" t="str">
        <f>INDEX(Pipes_result_save_V1!$H$2:$H$206,MATCH(CH36,Pipes_result_save_V1!$I$2:$I$206,0))</f>
        <v>N57</v>
      </c>
      <c r="CK36">
        <v>3.2837000000000005E-2</v>
      </c>
      <c r="CL36">
        <v>250</v>
      </c>
      <c r="CM36">
        <v>150</v>
      </c>
      <c r="CN36">
        <v>36</v>
      </c>
      <c r="CO36">
        <v>30.714701094695442</v>
      </c>
      <c r="CP36">
        <v>2.3580796114934299E-2</v>
      </c>
      <c r="CQ36">
        <v>2.9738877179406698E-2</v>
      </c>
      <c r="CR36">
        <v>2.3356463567987826</v>
      </c>
      <c r="CS36" s="107">
        <f>INDEX(Pipes_result_save_V1!$K$2:$K$206,MATCH(CH36,Pipes_result_save_V1!$I$2:$I$206,0)) *POWER(10,-3)</f>
        <v>-2.6159444808959962E-2</v>
      </c>
      <c r="CT36" s="78">
        <v>5.7711082707646308E-3</v>
      </c>
      <c r="CU36" s="78">
        <f t="shared" si="4"/>
        <v>-2.0388336538195332E-2</v>
      </c>
      <c r="CY36">
        <v>11</v>
      </c>
      <c r="CZ36">
        <v>29</v>
      </c>
      <c r="DA36" t="s">
        <v>539</v>
      </c>
      <c r="DB36" t="s">
        <v>172</v>
      </c>
      <c r="DC36" s="106" t="str">
        <f>INDEX(Pipes_result_save_V1!$G$2:$G$206,MATCH(DB36,Pipes_result_save_V1!$I$2:$I$206,0))</f>
        <v>N40</v>
      </c>
      <c r="DD36" s="106" t="str">
        <f>INDEX(Pipes_result_save_V1!$H$2:$H$206,MATCH(DB36,Pipes_result_save_V1!$I$2:$I$206,0))</f>
        <v>N39</v>
      </c>
      <c r="DE36">
        <v>8.3280000000000007E-2</v>
      </c>
      <c r="DF36">
        <v>350</v>
      </c>
      <c r="DG36">
        <v>150</v>
      </c>
      <c r="DH36">
        <v>87</v>
      </c>
      <c r="DI36">
        <v>14.413630460169598</v>
      </c>
      <c r="DJ36">
        <v>-9.4864356265488253E-2</v>
      </c>
      <c r="DK36">
        <v>-0.18380962874413831</v>
      </c>
      <c r="DL36">
        <v>3.5884440250820266</v>
      </c>
      <c r="DM36" s="107">
        <f>INDEX(Pipes_result_save_V1!$K$2:$K$206,MATCH(DB36,Pipes_result_save_V1!$I$2:$I$206,0)) *POWER(10,-3)</f>
        <v>-0.1112689437866211</v>
      </c>
      <c r="DN36" s="78">
        <v>5.8751203523214196E-3</v>
      </c>
      <c r="DO36" s="78">
        <f t="shared" si="5"/>
        <v>-0.10539382343429968</v>
      </c>
      <c r="DT36">
        <v>16</v>
      </c>
      <c r="DU36">
        <v>29</v>
      </c>
      <c r="DV36" t="s">
        <v>540</v>
      </c>
      <c r="DW36" t="s">
        <v>143</v>
      </c>
      <c r="DX36" s="106" t="str">
        <f>INDEX(Pipes_result_save_V1!$G$2:$G$206,MATCH(DW36,Pipes_result_save_V1!$I$2:$I$206,0))</f>
        <v>N28</v>
      </c>
      <c r="DY36" s="106" t="str">
        <f>INDEX(Pipes_result_save_V1!$H$2:$H$206,MATCH(DW36,Pipes_result_save_V1!$I$2:$I$206,0))</f>
        <v>N27</v>
      </c>
      <c r="DZ36">
        <v>0.16656000000000001</v>
      </c>
      <c r="EA36">
        <v>466</v>
      </c>
      <c r="EB36">
        <v>150</v>
      </c>
      <c r="EC36">
        <v>80</v>
      </c>
      <c r="ED36">
        <v>3.2869398866147552</v>
      </c>
      <c r="EE36">
        <v>0.15497564373451178</v>
      </c>
      <c r="EF36">
        <v>0.1040302564442831</v>
      </c>
      <c r="EG36">
        <v>1.2431891250270548</v>
      </c>
      <c r="EH36" s="107">
        <f>INDEX(Pipes_result_save_V1!$K$2:$K$206,MATCH(DW36,Pipes_result_save_V1!$I$2:$I$206,0)) *POWER(10,-3)</f>
        <v>-0.19938948059082032</v>
      </c>
      <c r="EI36" s="78">
        <v>6.4190839034113153E-3</v>
      </c>
      <c r="EJ36" s="78">
        <f t="shared" si="6"/>
        <v>-0.19297039668740901</v>
      </c>
    </row>
    <row r="37" spans="2:140" ht="30" x14ac:dyDescent="0.25">
      <c r="B37" s="106">
        <v>30</v>
      </c>
      <c r="C37" s="106" t="s">
        <v>539</v>
      </c>
      <c r="D37" s="106" t="s">
        <v>223</v>
      </c>
      <c r="E37" s="106" t="str">
        <f>INDEX(Pipes_result_save_V1!$G$2:$G$206,MATCH(D37,Pipes_result_save_V1!$I$2:$I$206,0))</f>
        <v>N152</v>
      </c>
      <c r="F37" s="106" t="str">
        <f>INDEX(Pipes_result_save_V1!$H$2:$H$206,MATCH(D37,Pipes_result_save_V1!$I$2:$I$206,0))</f>
        <v>N153</v>
      </c>
      <c r="G37" s="106">
        <v>8.8999999999999996E-2</v>
      </c>
      <c r="H37" s="107">
        <v>350</v>
      </c>
      <c r="I37" s="107">
        <v>150</v>
      </c>
      <c r="J37" s="107">
        <v>89</v>
      </c>
      <c r="K37" s="107">
        <v>14.744978286840164</v>
      </c>
      <c r="L37" s="107">
        <v>8.8999999999999996E-2</v>
      </c>
      <c r="M37" s="107">
        <v>0.16707613867720356</v>
      </c>
      <c r="N37" s="107">
        <v>3.4766854924739459</v>
      </c>
      <c r="O37" s="107">
        <f>INDEX(Pipes_result_save_V1!$K$2:$K$206,MATCH(D37,Pipes_result_save_V1!$I$2:$I$206,0)) *POWER(10,-3)</f>
        <v>-1.5104161262512211E-2</v>
      </c>
      <c r="P37" s="78">
        <v>5.2604005576389985E-3</v>
      </c>
      <c r="Q37" s="78">
        <f t="shared" si="0"/>
        <v>-9.8437607048732119E-3</v>
      </c>
      <c r="R37" s="78"/>
      <c r="S37" s="78"/>
      <c r="T37" s="78">
        <v>29</v>
      </c>
      <c r="U37" s="78">
        <v>30</v>
      </c>
      <c r="V37" s="78" t="s">
        <v>540</v>
      </c>
      <c r="W37" s="78" t="s">
        <v>222</v>
      </c>
      <c r="X37" s="106" t="str">
        <f>INDEX(Pipes_result_save_V1!$G$2:$G$206,MATCH(W37,Pipes_result_save_V1!$I$2:$I$206,0))</f>
        <v>N151</v>
      </c>
      <c r="Y37" s="106" t="str">
        <f>INDEX(Pipes_result_save_V1!$H$2:$H$206,MATCH(W37,Pipes_result_save_V1!$I$2:$I$206,0))</f>
        <v>N152</v>
      </c>
      <c r="Z37" s="78">
        <v>2.9028999999999999E-2</v>
      </c>
      <c r="AA37" s="78">
        <v>200</v>
      </c>
      <c r="AB37" s="78">
        <v>150</v>
      </c>
      <c r="AC37" s="78">
        <v>49</v>
      </c>
      <c r="AD37" s="78">
        <v>123.9619918276852</v>
      </c>
      <c r="AE37" s="78">
        <v>5.559693507618356E-2</v>
      </c>
      <c r="AF37" s="78">
        <v>1</v>
      </c>
      <c r="AG37" s="78">
        <v>-1</v>
      </c>
      <c r="AH37" s="78">
        <v>0.5876553864915437</v>
      </c>
      <c r="AI37">
        <v>19.575499517932183</v>
      </c>
      <c r="AJ37" s="107">
        <f>INDEX(Pipes_result_save_V1!$K$2:$K$206,MATCH(W37,Pipes_result_save_V1!$I$2:$I$206,0)) *POWER(10,-3)</f>
        <v>-1.431679439544678E-2</v>
      </c>
      <c r="AK37" s="78">
        <v>3.2517551055962412E-3</v>
      </c>
      <c r="AL37" s="78">
        <f t="shared" si="1"/>
        <v>-1.1065039289850538E-2</v>
      </c>
      <c r="AP37">
        <v>7</v>
      </c>
      <c r="AQ37">
        <v>30</v>
      </c>
      <c r="AR37" t="s">
        <v>540</v>
      </c>
      <c r="AS37" t="s">
        <v>292</v>
      </c>
      <c r="AT37" s="106" t="str">
        <f>INDEX(Pipes_result_save_V1!$G$2:$G$206,MATCH(AS37,Pipes_result_save_V1!$I$2:$I$206,0))</f>
        <v>N128</v>
      </c>
      <c r="AU37" s="106" t="str">
        <f>INDEX(Pipes_result_save_V1!$H$2:$H$206,MATCH(AS37,Pipes_result_save_V1!$I$2:$I$206,0))</f>
        <v>N127</v>
      </c>
      <c r="AV37">
        <v>5.8057999999999998E-2</v>
      </c>
      <c r="AW37">
        <v>300</v>
      </c>
      <c r="AX37">
        <v>150</v>
      </c>
      <c r="AY37">
        <v>127</v>
      </c>
      <c r="AZ37">
        <v>44.581601337707689</v>
      </c>
      <c r="BA37">
        <v>3.5211178482065772E-2</v>
      </c>
      <c r="BB37">
        <v>9.0700161921813224E-2</v>
      </c>
      <c r="BC37">
        <v>4.7705503513537426</v>
      </c>
      <c r="BD37" s="107">
        <f>INDEX(Pipes_result_save_V1!$K$2:$K$206,MATCH(AS37,Pipes_result_save_V1!$I$2:$I$206,0)) *POWER(10,-3)</f>
        <v>-9.0811767578125001E-3</v>
      </c>
      <c r="BE37" s="78">
        <v>5.9779408338353681E-3</v>
      </c>
      <c r="BF37" s="78">
        <f t="shared" si="2"/>
        <v>-3.103235923977132E-3</v>
      </c>
      <c r="BJ37">
        <v>10</v>
      </c>
      <c r="BK37">
        <v>30</v>
      </c>
      <c r="BL37" t="s">
        <v>540</v>
      </c>
      <c r="BM37" t="s">
        <v>187</v>
      </c>
      <c r="BN37" s="106" t="str">
        <f>INDEX(Pipes_result_save_V1!$G$2:$G$206,MATCH(BM37,Pipes_result_save_V1!$I$2:$I$206,0))</f>
        <v>N80</v>
      </c>
      <c r="BO37" s="106" t="str">
        <f>INDEX(Pipes_result_save_V1!$H$2:$H$206,MATCH(BM37,Pipes_result_save_V1!$I$2:$I$206,0))</f>
        <v>N79</v>
      </c>
      <c r="BP37">
        <v>3.2837000000000005E-2</v>
      </c>
      <c r="BQ37">
        <v>250</v>
      </c>
      <c r="BR37">
        <v>150</v>
      </c>
      <c r="BS37">
        <v>70</v>
      </c>
      <c r="BT37">
        <v>59.723029906352245</v>
      </c>
      <c r="BU37">
        <v>3.8250255700015404E-2</v>
      </c>
      <c r="BV37">
        <v>0.1416382770724261</v>
      </c>
      <c r="BW37">
        <v>6.8578388389186014</v>
      </c>
      <c r="BX37" s="107">
        <f>INDEX(Pipes_result_save_V1!$K$2:$K$206,MATCH(BM37,Pipes_result_save_V1!$I$2:$I$206,0)) *POWER(10,-3)</f>
        <v>-5.5878314971923831E-2</v>
      </c>
      <c r="BY37" s="78">
        <v>5.1138449131267567E-3</v>
      </c>
      <c r="BZ37" s="78">
        <f t="shared" si="3"/>
        <v>-5.0764470058797077E-2</v>
      </c>
      <c r="CE37">
        <v>9</v>
      </c>
      <c r="CF37">
        <v>30</v>
      </c>
      <c r="CG37" t="s">
        <v>540</v>
      </c>
      <c r="CH37" t="s">
        <v>126</v>
      </c>
      <c r="CI37" s="106" t="str">
        <f>INDEX(Pipes_result_save_V1!$G$2:$G$206,MATCH(CH37,Pipes_result_save_V1!$I$2:$I$206,0))</f>
        <v>N59</v>
      </c>
      <c r="CJ37" s="106" t="str">
        <f>INDEX(Pipes_result_save_V1!$H$2:$H$206,MATCH(CH37,Pipes_result_save_V1!$I$2:$I$206,0))</f>
        <v>N58</v>
      </c>
      <c r="CK37">
        <v>3.2837000000000005E-2</v>
      </c>
      <c r="CL37">
        <v>250</v>
      </c>
      <c r="CM37">
        <v>150</v>
      </c>
      <c r="CN37">
        <v>32</v>
      </c>
      <c r="CO37">
        <v>27.30195652861817</v>
      </c>
      <c r="CP37">
        <v>2.3580796114934299E-2</v>
      </c>
      <c r="CQ37">
        <v>2.6434557492805953E-2</v>
      </c>
      <c r="CR37">
        <v>2.076130094932251</v>
      </c>
      <c r="CS37" s="107">
        <f>INDEX(Pipes_result_save_V1!$K$2:$K$206,MATCH(CH37,Pipes_result_save_V1!$I$2:$I$206,0)) *POWER(10,-3)</f>
        <v>-2.5771469116210942E-2</v>
      </c>
      <c r="CT37" s="78">
        <v>6.1748074876278054E-3</v>
      </c>
      <c r="CU37" s="78">
        <f t="shared" si="4"/>
        <v>-1.9596661628583138E-2</v>
      </c>
      <c r="CY37">
        <v>12</v>
      </c>
      <c r="CZ37">
        <v>30</v>
      </c>
      <c r="DA37" t="s">
        <v>539</v>
      </c>
      <c r="DB37" t="s">
        <v>170</v>
      </c>
      <c r="DC37" s="106" t="str">
        <f>INDEX(Pipes_result_save_V1!$G$2:$G$206,MATCH(DB37,Pipes_result_save_V1!$I$2:$I$206,0))</f>
        <v>N41</v>
      </c>
      <c r="DD37" s="106" t="str">
        <f>INDEX(Pipes_result_save_V1!$H$2:$H$206,MATCH(DB37,Pipes_result_save_V1!$I$2:$I$206,0))</f>
        <v>N40</v>
      </c>
      <c r="DE37">
        <v>8.3280000000000007E-2</v>
      </c>
      <c r="DF37">
        <v>350</v>
      </c>
      <c r="DG37">
        <v>150</v>
      </c>
      <c r="DH37">
        <v>94</v>
      </c>
      <c r="DI37">
        <v>15.573347853516577</v>
      </c>
      <c r="DJ37">
        <v>-9.4864356265488253E-2</v>
      </c>
      <c r="DK37">
        <v>-0.19859890921780463</v>
      </c>
      <c r="DL37">
        <v>3.8771694064104656</v>
      </c>
      <c r="DM37" s="107">
        <f>INDEX(Pipes_result_save_V1!$K$2:$K$206,MATCH(DB37,Pipes_result_save_V1!$I$2:$I$206,0)) *POWER(10,-3)</f>
        <v>-0.10984255981445309</v>
      </c>
      <c r="DN37" s="78">
        <v>5.9665416982164149E-3</v>
      </c>
      <c r="DO37" s="78">
        <f t="shared" si="5"/>
        <v>-0.10387601811623667</v>
      </c>
      <c r="DT37">
        <v>17</v>
      </c>
      <c r="DU37">
        <v>30</v>
      </c>
      <c r="DV37" t="s">
        <v>540</v>
      </c>
      <c r="DW37" t="s">
        <v>398</v>
      </c>
      <c r="DX37" s="106" t="str">
        <f>INDEX(Pipes_result_save_V1!$G$2:$G$206,MATCH(DW37,Pipes_result_save_V1!$I$2:$I$206,0))</f>
        <v>N196</v>
      </c>
      <c r="DY37" s="106" t="str">
        <f>INDEX(Pipes_result_save_V1!$H$2:$H$206,MATCH(DW37,Pipes_result_save_V1!$I$2:$I$206,0))</f>
        <v>N28</v>
      </c>
      <c r="DZ37">
        <v>0.16656000000000001</v>
      </c>
      <c r="EA37">
        <v>466</v>
      </c>
      <c r="EB37">
        <v>150</v>
      </c>
      <c r="EC37">
        <v>75</v>
      </c>
      <c r="ED37">
        <v>3.0815061437013331</v>
      </c>
      <c r="EE37">
        <v>0.15497564373451178</v>
      </c>
      <c r="EF37">
        <v>9.7528365416515397E-2</v>
      </c>
      <c r="EG37">
        <v>1.1654898047128639</v>
      </c>
      <c r="EH37" s="107">
        <f>INDEX(Pipes_result_save_V1!$K$2:$K$206,MATCH(DW37,Pipes_result_save_V1!$I$2:$I$206,0)) *POWER(10,-3)</f>
        <v>-0.198505126953125</v>
      </c>
      <c r="EI37" s="78">
        <v>5.1566542572117607E-3</v>
      </c>
      <c r="EJ37" s="78">
        <f t="shared" si="6"/>
        <v>-0.19334847269591324</v>
      </c>
    </row>
    <row r="38" spans="2:140" ht="30" x14ac:dyDescent="0.25">
      <c r="B38" s="106">
        <v>31</v>
      </c>
      <c r="C38" s="106" t="s">
        <v>539</v>
      </c>
      <c r="D38" s="106" t="s">
        <v>224</v>
      </c>
      <c r="E38" s="106" t="str">
        <f>INDEX(Pipes_result_save_V1!$G$2:$G$206,MATCH(D38,Pipes_result_save_V1!$I$2:$I$206,0))</f>
        <v>N153</v>
      </c>
      <c r="F38" s="106" t="str">
        <f>INDEX(Pipes_result_save_V1!$H$2:$H$206,MATCH(D38,Pipes_result_save_V1!$I$2:$I$206,0))</f>
        <v>N154</v>
      </c>
      <c r="G38" s="106">
        <v>7.6999999999999999E-2</v>
      </c>
      <c r="H38" s="107">
        <v>350</v>
      </c>
      <c r="I38" s="107">
        <v>150</v>
      </c>
      <c r="J38" s="107">
        <v>77</v>
      </c>
      <c r="K38" s="107">
        <v>12.756891326816771</v>
      </c>
      <c r="L38" s="107">
        <v>7.6999999999999999E-2</v>
      </c>
      <c r="M38" s="107">
        <v>0.11054158283193545</v>
      </c>
      <c r="N38" s="107">
        <v>2.6587404078538244</v>
      </c>
      <c r="O38" s="107">
        <f>INDEX(Pipes_result_save_V1!$K$2:$K$206,MATCH(D38,Pipes_result_save_V1!$I$2:$I$206,0)) *POWER(10,-3)</f>
        <v>-1.6051282882690431E-2</v>
      </c>
      <c r="P38" s="78">
        <v>5.6065416861803604E-3</v>
      </c>
      <c r="Q38" s="78">
        <f t="shared" si="0"/>
        <v>-1.0444741196510071E-2</v>
      </c>
      <c r="R38" s="78"/>
      <c r="S38" s="78"/>
      <c r="T38" s="78">
        <v>30</v>
      </c>
      <c r="U38" s="78">
        <v>31</v>
      </c>
      <c r="V38" s="78" t="s">
        <v>540</v>
      </c>
      <c r="W38" s="78" t="s">
        <v>223</v>
      </c>
      <c r="X38" s="106" t="str">
        <f>INDEX(Pipes_result_save_V1!$G$2:$G$206,MATCH(W38,Pipes_result_save_V1!$I$2:$I$206,0))</f>
        <v>N152</v>
      </c>
      <c r="Y38" s="106" t="str">
        <f>INDEX(Pipes_result_save_V1!$H$2:$H$206,MATCH(W38,Pipes_result_save_V1!$I$2:$I$206,0))</f>
        <v>N153</v>
      </c>
      <c r="Z38" s="78">
        <v>2.9028999999999999E-2</v>
      </c>
      <c r="AA38" s="78">
        <v>200</v>
      </c>
      <c r="AB38" s="78">
        <v>150</v>
      </c>
      <c r="AC38" s="78">
        <v>89</v>
      </c>
      <c r="AD38" s="78">
        <v>225.15545454416295</v>
      </c>
      <c r="AE38" s="78">
        <v>9.5596935076183553E-2</v>
      </c>
      <c r="AF38" s="78">
        <v>1</v>
      </c>
      <c r="AG38" s="78">
        <v>-1</v>
      </c>
      <c r="AH38" s="78">
        <v>2.912491740352483</v>
      </c>
      <c r="AI38">
        <v>56.423720057910209</v>
      </c>
      <c r="AJ38" s="107">
        <f>INDEX(Pipes_result_save_V1!$K$2:$K$206,MATCH(W38,Pipes_result_save_V1!$I$2:$I$206,0)) *POWER(10,-3)</f>
        <v>-1.5104161262512211E-2</v>
      </c>
      <c r="AK38" s="78">
        <v>1.4341748582684982E-3</v>
      </c>
      <c r="AL38" s="78">
        <f t="shared" si="1"/>
        <v>-1.3669986404243713E-2</v>
      </c>
      <c r="AP38">
        <v>8</v>
      </c>
      <c r="AQ38">
        <v>31</v>
      </c>
      <c r="AR38" t="s">
        <v>540</v>
      </c>
      <c r="AS38" t="s">
        <v>291</v>
      </c>
      <c r="AT38" s="106" t="str">
        <f>INDEX(Pipes_result_save_V1!$G$2:$G$206,MATCH(AS38,Pipes_result_save_V1!$I$2:$I$206,0))</f>
        <v>N129</v>
      </c>
      <c r="AU38" s="106" t="str">
        <f>INDEX(Pipes_result_save_V1!$H$2:$H$206,MATCH(AS38,Pipes_result_save_V1!$I$2:$I$206,0))</f>
        <v>N128</v>
      </c>
      <c r="AV38">
        <v>5.8057999999999998E-2</v>
      </c>
      <c r="AW38">
        <v>300</v>
      </c>
      <c r="AX38">
        <v>150</v>
      </c>
      <c r="AY38">
        <v>128</v>
      </c>
      <c r="AZ38">
        <v>44.932637568713268</v>
      </c>
      <c r="BA38">
        <v>3.5211178482065772E-2</v>
      </c>
      <c r="BB38">
        <v>9.1414336425134607E-2</v>
      </c>
      <c r="BC38">
        <v>4.8081137399470801</v>
      </c>
      <c r="BD38" s="107">
        <f>INDEX(Pipes_result_save_V1!$K$2:$K$206,MATCH(AS38,Pipes_result_save_V1!$I$2:$I$206,0)) *POWER(10,-3)</f>
        <v>-6.3425126075744628E-3</v>
      </c>
      <c r="BE38" s="78">
        <v>5.7627212719798737E-3</v>
      </c>
      <c r="BF38" s="78">
        <f t="shared" si="2"/>
        <v>-5.7979133559458908E-4</v>
      </c>
      <c r="BJ38">
        <v>11</v>
      </c>
      <c r="BK38">
        <v>31</v>
      </c>
      <c r="BL38" t="s">
        <v>540</v>
      </c>
      <c r="BM38" t="s">
        <v>185</v>
      </c>
      <c r="BN38" s="106" t="str">
        <f>INDEX(Pipes_result_save_V1!$G$2:$G$206,MATCH(BM38,Pipes_result_save_V1!$I$2:$I$206,0))</f>
        <v>N81</v>
      </c>
      <c r="BO38" s="106" t="str">
        <f>INDEX(Pipes_result_save_V1!$H$2:$H$206,MATCH(BM38,Pipes_result_save_V1!$I$2:$I$206,0))</f>
        <v>N80</v>
      </c>
      <c r="BP38">
        <v>3.2835999999999997E-2</v>
      </c>
      <c r="BQ38">
        <v>250</v>
      </c>
      <c r="BR38">
        <v>150</v>
      </c>
      <c r="BS38">
        <v>80</v>
      </c>
      <c r="BT38">
        <v>68.254891321545429</v>
      </c>
      <c r="BU38">
        <v>3.8249255700015396E-2</v>
      </c>
      <c r="BV38">
        <v>0.16186447921138786</v>
      </c>
      <c r="BW38">
        <v>7.8373555253094676</v>
      </c>
      <c r="BX38" s="107">
        <f>INDEX(Pipes_result_save_V1!$K$2:$K$206,MATCH(BM38,Pipes_result_save_V1!$I$2:$I$206,0)) *POWER(10,-3)</f>
        <v>-5.5022480010986329E-2</v>
      </c>
      <c r="BY38" s="78">
        <v>6.4456821577140409E-3</v>
      </c>
      <c r="BZ38" s="78">
        <f t="shared" si="3"/>
        <v>-4.8576797853272291E-2</v>
      </c>
      <c r="CE38">
        <v>10</v>
      </c>
      <c r="CF38">
        <v>31</v>
      </c>
      <c r="CG38" t="s">
        <v>540</v>
      </c>
      <c r="CH38" t="s">
        <v>125</v>
      </c>
      <c r="CI38" s="106" t="str">
        <f>INDEX(Pipes_result_save_V1!$G$2:$G$206,MATCH(CH38,Pipes_result_save_V1!$I$2:$I$206,0))</f>
        <v>N60</v>
      </c>
      <c r="CJ38" s="106" t="str">
        <f>INDEX(Pipes_result_save_V1!$H$2:$H$206,MATCH(CH38,Pipes_result_save_V1!$I$2:$I$206,0))</f>
        <v>N59</v>
      </c>
      <c r="CK38">
        <v>3.2837000000000005E-2</v>
      </c>
      <c r="CL38">
        <v>250</v>
      </c>
      <c r="CM38">
        <v>150</v>
      </c>
      <c r="CN38">
        <v>79</v>
      </c>
      <c r="CO38">
        <v>67.401705180026113</v>
      </c>
      <c r="CP38">
        <v>2.3580796114934299E-2</v>
      </c>
      <c r="CQ38">
        <v>6.5260313810364706E-2</v>
      </c>
      <c r="CR38">
        <v>5.1254461718639952</v>
      </c>
      <c r="CS38" s="107">
        <f>INDEX(Pipes_result_save_V1!$K$2:$K$206,MATCH(CH38,Pipes_result_save_V1!$I$2:$I$206,0)) *POWER(10,-3)</f>
        <v>-2.5138153076171878E-2</v>
      </c>
      <c r="CT38" s="78">
        <v>5.5245864041679861E-3</v>
      </c>
      <c r="CU38" s="78">
        <f t="shared" si="4"/>
        <v>-1.9613566672003892E-2</v>
      </c>
      <c r="CY38">
        <v>13</v>
      </c>
      <c r="CZ38">
        <v>31</v>
      </c>
      <c r="DA38" t="s">
        <v>539</v>
      </c>
      <c r="DB38" t="s">
        <v>171</v>
      </c>
      <c r="DC38" s="106" t="str">
        <f>INDEX(Pipes_result_save_V1!$G$2:$G$206,MATCH(DB38,Pipes_result_save_V1!$I$2:$I$206,0))</f>
        <v>N41</v>
      </c>
      <c r="DD38" s="106" t="str">
        <f>INDEX(Pipes_result_save_V1!$H$2:$H$206,MATCH(DB38,Pipes_result_save_V1!$I$2:$I$206,0))</f>
        <v>N42</v>
      </c>
      <c r="DE38">
        <v>9.851E-2</v>
      </c>
      <c r="DF38">
        <v>400</v>
      </c>
      <c r="DG38">
        <v>150</v>
      </c>
      <c r="DH38">
        <v>70</v>
      </c>
      <c r="DI38">
        <v>6.0516443501782993</v>
      </c>
      <c r="DJ38">
        <v>-0.11009435626548825</v>
      </c>
      <c r="DK38">
        <v>-0.10167689645312228</v>
      </c>
      <c r="DL38">
        <v>1.7104020461965455</v>
      </c>
      <c r="DM38" s="107">
        <f>INDEX(Pipes_result_save_V1!$K$2:$K$206,MATCH(DB38,Pipes_result_save_V1!$I$2:$I$206,0)) *POWER(10,-3)</f>
        <v>0.1084104309082031</v>
      </c>
      <c r="DN38" s="78">
        <v>6.4962339336872461E-3</v>
      </c>
      <c r="DO38" s="78">
        <f t="shared" si="5"/>
        <v>0.10191419697451586</v>
      </c>
      <c r="DT38">
        <v>18</v>
      </c>
      <c r="DU38">
        <v>31</v>
      </c>
      <c r="DV38" t="s">
        <v>540</v>
      </c>
      <c r="DW38" t="s">
        <v>140</v>
      </c>
      <c r="DX38" s="106" t="str">
        <f>INDEX(Pipes_result_save_V1!$G$2:$G$206,MATCH(DW38,Pipes_result_save_V1!$I$2:$I$206,0))</f>
        <v>N30</v>
      </c>
      <c r="DY38" s="106" t="str">
        <f>INDEX(Pipes_result_save_V1!$H$2:$H$206,MATCH(DW38,Pipes_result_save_V1!$I$2:$I$206,0))</f>
        <v>N29</v>
      </c>
      <c r="DZ38">
        <v>0.16656000000000001</v>
      </c>
      <c r="EA38">
        <v>466</v>
      </c>
      <c r="EB38">
        <v>150</v>
      </c>
      <c r="EC38">
        <v>76</v>
      </c>
      <c r="ED38">
        <v>3.1225928922840178</v>
      </c>
      <c r="EE38">
        <v>0.15497564373451178</v>
      </c>
      <c r="EF38">
        <v>9.8828743622068949E-2</v>
      </c>
      <c r="EG38">
        <v>1.1810296687757023</v>
      </c>
      <c r="EH38" s="107">
        <f>INDEX(Pipes_result_save_V1!$K$2:$K$206,MATCH(DW38,Pipes_result_save_V1!$I$2:$I$206,0)) *POWER(10,-3)</f>
        <v>-0.19685621643066409</v>
      </c>
      <c r="EI38" s="78">
        <v>5.2115748229951296E-3</v>
      </c>
      <c r="EJ38" s="78">
        <f t="shared" si="6"/>
        <v>-0.19164464160766895</v>
      </c>
    </row>
    <row r="39" spans="2:140" ht="30" x14ac:dyDescent="0.25">
      <c r="B39" s="106">
        <v>32</v>
      </c>
      <c r="C39" s="106" t="s">
        <v>539</v>
      </c>
      <c r="D39" s="106" t="s">
        <v>225</v>
      </c>
      <c r="E39" s="106" t="str">
        <f>INDEX(Pipes_result_save_V1!$G$2:$G$206,MATCH(D39,Pipes_result_save_V1!$I$2:$I$206,0))</f>
        <v>N154</v>
      </c>
      <c r="F39" s="106" t="str">
        <f>INDEX(Pipes_result_save_V1!$H$2:$H$206,MATCH(D39,Pipes_result_save_V1!$I$2:$I$206,0))</f>
        <v>N155</v>
      </c>
      <c r="G39" s="106">
        <v>3.6999999999999998E-2</v>
      </c>
      <c r="H39" s="107">
        <v>250</v>
      </c>
      <c r="I39" s="107">
        <v>150</v>
      </c>
      <c r="J39" s="107">
        <v>37</v>
      </c>
      <c r="K39" s="107">
        <v>31.567887236214759</v>
      </c>
      <c r="L39" s="107">
        <v>3.6999999999999998E-2</v>
      </c>
      <c r="M39" s="107">
        <v>7.0397155231682926E-2</v>
      </c>
      <c r="N39" s="107">
        <v>3.5236630132182909</v>
      </c>
      <c r="O39" s="107">
        <f>INDEX(Pipes_result_save_V1!$K$2:$K$206,MATCH(D39,Pipes_result_save_V1!$I$2:$I$206,0)) *POWER(10,-3)</f>
        <v>-1.6701713562011718E-2</v>
      </c>
      <c r="P39" s="78">
        <v>5.1311064243581162E-3</v>
      </c>
      <c r="Q39" s="78">
        <f t="shared" si="0"/>
        <v>-1.1570607137653602E-2</v>
      </c>
      <c r="R39" s="78"/>
      <c r="S39" s="78"/>
      <c r="T39" s="78">
        <v>31</v>
      </c>
      <c r="U39" s="78">
        <v>32</v>
      </c>
      <c r="V39" s="78" t="s">
        <v>540</v>
      </c>
      <c r="W39" s="78" t="s">
        <v>224</v>
      </c>
      <c r="X39" s="106" t="str">
        <f>INDEX(Pipes_result_save_V1!$G$2:$G$206,MATCH(W39,Pipes_result_save_V1!$I$2:$I$206,0))</f>
        <v>N153</v>
      </c>
      <c r="Y39" s="106" t="str">
        <f>INDEX(Pipes_result_save_V1!$H$2:$H$206,MATCH(W39,Pipes_result_save_V1!$I$2:$I$206,0))</f>
        <v>N154</v>
      </c>
      <c r="Z39" s="78">
        <v>2.9028999999999999E-2</v>
      </c>
      <c r="AA39" s="78">
        <v>200</v>
      </c>
      <c r="AB39" s="78">
        <v>150</v>
      </c>
      <c r="AC39" s="78">
        <v>77</v>
      </c>
      <c r="AD39" s="78">
        <v>194.79741572921961</v>
      </c>
      <c r="AE39" s="78">
        <v>8.3596935076183557E-2</v>
      </c>
      <c r="AF39" s="78">
        <v>1</v>
      </c>
      <c r="AG39" s="78">
        <v>-1</v>
      </c>
      <c r="AH39" s="78">
        <v>1.9655302348454322</v>
      </c>
      <c r="AI39">
        <v>43.544204002412165</v>
      </c>
      <c r="AJ39" s="107">
        <f>INDEX(Pipes_result_save_V1!$K$2:$K$206,MATCH(W39,Pipes_result_save_V1!$I$2:$I$206,0)) *POWER(10,-3)</f>
        <v>-1.6051282882690431E-2</v>
      </c>
      <c r="AK39" s="78">
        <v>6.3091178139753311E-5</v>
      </c>
      <c r="AL39" s="78">
        <f t="shared" si="1"/>
        <v>-1.5988191704550677E-2</v>
      </c>
      <c r="AP39">
        <v>9</v>
      </c>
      <c r="AQ39">
        <v>32</v>
      </c>
      <c r="AR39" t="s">
        <v>540</v>
      </c>
      <c r="AS39" t="s">
        <v>293</v>
      </c>
      <c r="AT39" s="106" t="str">
        <f>INDEX(Pipes_result_save_V1!$G$2:$G$206,MATCH(AS39,Pipes_result_save_V1!$I$2:$I$206,0))</f>
        <v>N130</v>
      </c>
      <c r="AU39" s="106" t="str">
        <f>INDEX(Pipes_result_save_V1!$H$2:$H$206,MATCH(AS39,Pipes_result_save_V1!$I$2:$I$206,0))</f>
        <v>N129</v>
      </c>
      <c r="AV39">
        <v>5.8057999999999998E-2</v>
      </c>
      <c r="AW39">
        <v>300</v>
      </c>
      <c r="AX39">
        <v>150</v>
      </c>
      <c r="AY39">
        <v>129</v>
      </c>
      <c r="AZ39">
        <v>45.283673799718841</v>
      </c>
      <c r="BA39">
        <v>3.5211178482065772E-2</v>
      </c>
      <c r="BB39">
        <v>9.2128510928455962E-2</v>
      </c>
      <c r="BC39">
        <v>4.8456771285404168</v>
      </c>
      <c r="BD39" s="107">
        <f>INDEX(Pipes_result_save_V1!$K$2:$K$206,MATCH(AS39,Pipes_result_save_V1!$I$2:$I$206,0)) *POWER(10,-3)</f>
        <v>-4.2200489044189457E-3</v>
      </c>
      <c r="BE39" s="78">
        <v>5.2374224709856761E-3</v>
      </c>
      <c r="BF39" s="78">
        <f t="shared" si="2"/>
        <v>1.0173735665667304E-3</v>
      </c>
      <c r="BJ39">
        <v>0</v>
      </c>
      <c r="BK39">
        <v>32</v>
      </c>
      <c r="BL39" t="s">
        <v>540</v>
      </c>
      <c r="BM39" t="s">
        <v>184</v>
      </c>
      <c r="BN39" s="106" t="str">
        <f>INDEX(Pipes_result_save_V1!$G$2:$G$206,MATCH(BM39,Pipes_result_save_V1!$I$2:$I$206,0))</f>
        <v>N82</v>
      </c>
      <c r="BO39" s="106" t="str">
        <f>INDEX(Pipes_result_save_V1!$H$2:$H$206,MATCH(BM39,Pipes_result_save_V1!$I$2:$I$206,0))</f>
        <v>N81</v>
      </c>
      <c r="BP39">
        <v>9.0894000000000003E-2</v>
      </c>
      <c r="BQ39">
        <v>350</v>
      </c>
      <c r="BR39">
        <v>150</v>
      </c>
      <c r="BS39">
        <v>68</v>
      </c>
      <c r="BT39">
        <v>11.265826106799226</v>
      </c>
      <c r="BU39">
        <v>-9.0894000000000003E-2</v>
      </c>
      <c r="BV39">
        <v>-0.13273035727434446</v>
      </c>
      <c r="BW39">
        <v>2.7044317740674404</v>
      </c>
      <c r="BX39" s="107">
        <f>INDEX(Pipes_result_save_V1!$K$2:$K$206,MATCH(BM39,Pipes_result_save_V1!$I$2:$I$206,0)) *POWER(10,-3)</f>
        <v>-5.1448749542236327E-2</v>
      </c>
      <c r="BY39" s="78">
        <v>6.2245582518286255E-3</v>
      </c>
      <c r="BZ39" s="78">
        <f t="shared" si="3"/>
        <v>-4.5224191290407702E-2</v>
      </c>
      <c r="CE39">
        <v>11</v>
      </c>
      <c r="CF39">
        <v>32</v>
      </c>
      <c r="CG39" t="s">
        <v>540</v>
      </c>
      <c r="CH39" t="s">
        <v>124</v>
      </c>
      <c r="CI39" s="106" t="str">
        <f>INDEX(Pipes_result_save_V1!$G$2:$G$206,MATCH(CH39,Pipes_result_save_V1!$I$2:$I$206,0))</f>
        <v>N61</v>
      </c>
      <c r="CJ39" s="106" t="str">
        <f>INDEX(Pipes_result_save_V1!$H$2:$H$206,MATCH(CH39,Pipes_result_save_V1!$I$2:$I$206,0))</f>
        <v>N60</v>
      </c>
      <c r="CK39">
        <v>3.2837000000000005E-2</v>
      </c>
      <c r="CL39">
        <v>250</v>
      </c>
      <c r="CM39">
        <v>150</v>
      </c>
      <c r="CN39">
        <v>51</v>
      </c>
      <c r="CO39">
        <v>43.512493217485208</v>
      </c>
      <c r="CP39">
        <v>2.3580796114934299E-2</v>
      </c>
      <c r="CQ39">
        <v>4.2130076004159488E-2</v>
      </c>
      <c r="CR39">
        <v>3.3088323387982754</v>
      </c>
      <c r="CS39" s="107">
        <f>INDEX(Pipes_result_save_V1!$K$2:$K$206,MATCH(CH39,Pipes_result_save_V1!$I$2:$I$206,0)) *POWER(10,-3)</f>
        <v>-2.439643096923828E-2</v>
      </c>
      <c r="CT39" s="78">
        <v>5.0495888253203908E-3</v>
      </c>
      <c r="CU39" s="78">
        <f t="shared" si="4"/>
        <v>-1.9346842143917888E-2</v>
      </c>
      <c r="CY39">
        <v>0</v>
      </c>
      <c r="CZ39">
        <v>32</v>
      </c>
      <c r="DA39" t="s">
        <v>539</v>
      </c>
      <c r="DB39" t="s">
        <v>413</v>
      </c>
      <c r="DC39" s="106" t="str">
        <f>INDEX(Pipes_result_save_V1!$G$2:$G$206,MATCH(DB39,Pipes_result_save_V1!$I$2:$I$206,0))</f>
        <v>N111</v>
      </c>
      <c r="DD39" s="106" t="str">
        <f>INDEX(Pipes_result_save_V1!$H$2:$H$206,MATCH(DB39,Pipes_result_save_V1!$I$2:$I$206,0))</f>
        <v>N42</v>
      </c>
      <c r="DE39">
        <v>3.2835999999999997E-2</v>
      </c>
      <c r="DF39">
        <v>250</v>
      </c>
      <c r="DG39">
        <v>150</v>
      </c>
      <c r="DH39">
        <v>59</v>
      </c>
      <c r="DI39">
        <v>50.337982349639752</v>
      </c>
      <c r="DJ39">
        <v>3.2835999999999997E-2</v>
      </c>
      <c r="DK39">
        <v>8.9986313765935425E-2</v>
      </c>
      <c r="DL39">
        <v>5.0753640240745668</v>
      </c>
      <c r="DM39" s="107">
        <f>INDEX(Pipes_result_save_V1!$K$2:$K$206,MATCH(DB39,Pipes_result_save_V1!$I$2:$I$206,0)) *POWER(10,-3)</f>
        <v>-8.0635652542114262E-3</v>
      </c>
      <c r="DN39" s="78">
        <v>6.0840025087572185E-3</v>
      </c>
      <c r="DO39" s="78">
        <f t="shared" si="5"/>
        <v>-1.9795627454542077E-3</v>
      </c>
      <c r="DT39">
        <v>19</v>
      </c>
      <c r="DU39">
        <v>32</v>
      </c>
      <c r="DV39" t="s">
        <v>540</v>
      </c>
      <c r="DW39" t="s">
        <v>909</v>
      </c>
      <c r="DX39" s="106" t="str">
        <f>INDEX(Pipes_result_save_V1!$G$2:$G$206,MATCH(DW39,Pipes_result_save_V1!$I$2:$I$206,0))</f>
        <v>N29</v>
      </c>
      <c r="DY39" s="106" t="str">
        <f>INDEX(Pipes_result_save_V1!$H$2:$H$206,MATCH(DW39,Pipes_result_save_V1!$I$2:$I$206,0))</f>
        <v>N196</v>
      </c>
      <c r="DZ39">
        <v>0.16656000000000001</v>
      </c>
      <c r="EA39">
        <v>466</v>
      </c>
      <c r="EB39">
        <v>150</v>
      </c>
      <c r="EC39">
        <v>69</v>
      </c>
      <c r="ED39">
        <v>2.8349856522052264</v>
      </c>
      <c r="EE39">
        <v>0.15497564373451178</v>
      </c>
      <c r="EF39">
        <v>8.9726096183194159E-2</v>
      </c>
      <c r="EG39">
        <v>1.0722506203358348</v>
      </c>
      <c r="EH39" s="107">
        <f>INDEX(Pipes_result_save_V1!$K$2:$K$206,MATCH(DW39,Pipes_result_save_V1!$I$2:$I$206,0)) *POWER(10,-3)</f>
        <v>-0.19768353271484382</v>
      </c>
      <c r="EI39" s="78">
        <v>5.7368121714550975E-3</v>
      </c>
      <c r="EJ39" s="78">
        <f t="shared" si="6"/>
        <v>-0.19194672054338871</v>
      </c>
    </row>
    <row r="40" spans="2:140" ht="30" x14ac:dyDescent="0.25">
      <c r="B40" s="106">
        <v>33</v>
      </c>
      <c r="C40" s="106" t="s">
        <v>539</v>
      </c>
      <c r="D40" s="106" t="s">
        <v>226</v>
      </c>
      <c r="E40" s="106" t="str">
        <f>INDEX(Pipes_result_save_V1!$G$2:$G$206,MATCH(D40,Pipes_result_save_V1!$I$2:$I$206,0))</f>
        <v>N155</v>
      </c>
      <c r="F40" s="106" t="str">
        <f>INDEX(Pipes_result_save_V1!$H$2:$H$206,MATCH(D40,Pipes_result_save_V1!$I$2:$I$206,0))</f>
        <v>N156</v>
      </c>
      <c r="G40" s="106">
        <v>0.129</v>
      </c>
      <c r="H40" s="107">
        <v>421</v>
      </c>
      <c r="I40" s="107">
        <v>150</v>
      </c>
      <c r="J40" s="107">
        <v>129</v>
      </c>
      <c r="K40" s="107">
        <v>8.6920295923619637</v>
      </c>
      <c r="L40" s="107">
        <v>0.129</v>
      </c>
      <c r="M40" s="107">
        <v>0.19585440315176539</v>
      </c>
      <c r="N40" s="107">
        <v>2.8118011987369731</v>
      </c>
      <c r="O40" s="107">
        <f>INDEX(Pipes_result_save_V1!$K$2:$K$206,MATCH(D40,Pipes_result_save_V1!$I$2:$I$206,0)) *POWER(10,-3)</f>
        <v>-1.7648836135864262E-2</v>
      </c>
      <c r="P40" s="78">
        <v>5.5686394034904756E-3</v>
      </c>
      <c r="Q40" s="78">
        <f t="shared" si="0"/>
        <v>-1.2080196732373786E-2</v>
      </c>
      <c r="R40" s="78"/>
      <c r="S40" s="78"/>
      <c r="T40" s="78">
        <v>32</v>
      </c>
      <c r="U40" s="78">
        <v>33</v>
      </c>
      <c r="V40" s="78" t="s">
        <v>540</v>
      </c>
      <c r="W40" s="78" t="s">
        <v>225</v>
      </c>
      <c r="X40" s="106" t="str">
        <f>INDEX(Pipes_result_save_V1!$G$2:$G$206,MATCH(W40,Pipes_result_save_V1!$I$2:$I$206,0))</f>
        <v>N154</v>
      </c>
      <c r="Y40" s="106" t="str">
        <f>INDEX(Pipes_result_save_V1!$H$2:$H$206,MATCH(W40,Pipes_result_save_V1!$I$2:$I$206,0))</f>
        <v>N155</v>
      </c>
      <c r="Z40" s="78">
        <v>2.9028999999999999E-2</v>
      </c>
      <c r="AA40" s="78">
        <v>200</v>
      </c>
      <c r="AB40" s="78">
        <v>150</v>
      </c>
      <c r="AC40" s="78">
        <v>37</v>
      </c>
      <c r="AD40" s="78">
        <v>93.603953012741897</v>
      </c>
      <c r="AE40" s="78">
        <v>4.3596935076183549E-2</v>
      </c>
      <c r="AF40" s="78">
        <v>1</v>
      </c>
      <c r="AG40" s="78">
        <v>-1</v>
      </c>
      <c r="AH40" s="78">
        <v>0.28285680122909845</v>
      </c>
      <c r="AI40">
        <v>12.015771176595017</v>
      </c>
      <c r="AJ40" s="107">
        <f>INDEX(Pipes_result_save_V1!$K$2:$K$206,MATCH(W40,Pipes_result_save_V1!$I$2:$I$206,0)) *POWER(10,-3)</f>
        <v>-1.6701713562011718E-2</v>
      </c>
      <c r="AK40" s="78">
        <v>3.1214282543314542E-3</v>
      </c>
      <c r="AL40" s="78">
        <f t="shared" si="1"/>
        <v>-1.3580285307680264E-2</v>
      </c>
      <c r="AP40">
        <v>10</v>
      </c>
      <c r="AQ40">
        <v>33</v>
      </c>
      <c r="AR40" t="s">
        <v>540</v>
      </c>
      <c r="AS40" t="s">
        <v>294</v>
      </c>
      <c r="AT40" s="106" t="str">
        <f>INDEX(Pipes_result_save_V1!$G$2:$G$206,MATCH(AS40,Pipes_result_save_V1!$I$2:$I$206,0))</f>
        <v>N131</v>
      </c>
      <c r="AU40" s="106" t="str">
        <f>INDEX(Pipes_result_save_V1!$H$2:$H$206,MATCH(AS40,Pipes_result_save_V1!$I$2:$I$206,0))</f>
        <v>N130</v>
      </c>
      <c r="AV40">
        <v>5.8057999999999998E-2</v>
      </c>
      <c r="AW40">
        <v>300</v>
      </c>
      <c r="AX40">
        <v>150</v>
      </c>
      <c r="AY40">
        <v>130</v>
      </c>
      <c r="AZ40">
        <v>45.634710030724406</v>
      </c>
      <c r="BA40">
        <v>3.5211178482065772E-2</v>
      </c>
      <c r="BB40">
        <v>9.2842685431777316E-2</v>
      </c>
      <c r="BC40">
        <v>4.8832405171337525</v>
      </c>
      <c r="BD40" s="107">
        <f>INDEX(Pipes_result_save_V1!$K$2:$K$206,MATCH(AS40,Pipes_result_save_V1!$I$2:$I$206,0)) *POWER(10,-3)</f>
        <v>-3.3242774009704591E-3</v>
      </c>
      <c r="BE40" s="78">
        <v>5.0974508447499747E-3</v>
      </c>
      <c r="BF40" s="78">
        <f t="shared" si="2"/>
        <v>1.7731734437795156E-3</v>
      </c>
      <c r="BJ40">
        <v>0</v>
      </c>
      <c r="BK40">
        <v>33</v>
      </c>
      <c r="BL40" t="s">
        <v>540</v>
      </c>
      <c r="BM40" t="s">
        <v>200</v>
      </c>
      <c r="BN40" s="106" t="str">
        <f>INDEX(Pipes_result_save_V1!$G$2:$G$206,MATCH(BM40,Pipes_result_save_V1!$I$2:$I$206,0))</f>
        <v>N83</v>
      </c>
      <c r="BO40" s="106" t="str">
        <f>INDEX(Pipes_result_save_V1!$H$2:$H$206,MATCH(BM40,Pipes_result_save_V1!$I$2:$I$206,0))</f>
        <v>N82</v>
      </c>
      <c r="BP40">
        <v>9.0894000000000003E-2</v>
      </c>
      <c r="BQ40">
        <v>350</v>
      </c>
      <c r="BR40">
        <v>150</v>
      </c>
      <c r="BS40">
        <v>152</v>
      </c>
      <c r="BT40">
        <v>25.182434826962975</v>
      </c>
      <c r="BU40">
        <v>-9.0894000000000003E-2</v>
      </c>
      <c r="BV40">
        <v>-0.29669138684853463</v>
      </c>
      <c r="BW40">
        <v>6.0452004361507479</v>
      </c>
      <c r="BX40" s="107">
        <f>INDEX(Pipes_result_save_V1!$K$2:$K$206,MATCH(BM40,Pipes_result_save_V1!$I$2:$I$206,0)) *POWER(10,-3)</f>
        <v>-5.0193531036376957E-2</v>
      </c>
      <c r="BY40" s="78">
        <v>5.7179486826130169E-3</v>
      </c>
      <c r="BZ40" s="78">
        <f t="shared" si="3"/>
        <v>-4.4475582353763941E-2</v>
      </c>
      <c r="CE40">
        <v>12</v>
      </c>
      <c r="CF40">
        <v>33</v>
      </c>
      <c r="CG40" t="s">
        <v>540</v>
      </c>
      <c r="CH40" t="s">
        <v>123</v>
      </c>
      <c r="CI40" s="106" t="str">
        <f>INDEX(Pipes_result_save_V1!$G$2:$G$206,MATCH(CH40,Pipes_result_save_V1!$I$2:$I$206,0))</f>
        <v>N62</v>
      </c>
      <c r="CJ40" s="106" t="str">
        <f>INDEX(Pipes_result_save_V1!$H$2:$H$206,MATCH(CH40,Pipes_result_save_V1!$I$2:$I$206,0))</f>
        <v>N61</v>
      </c>
      <c r="CK40">
        <v>3.2837000000000005E-2</v>
      </c>
      <c r="CL40">
        <v>250</v>
      </c>
      <c r="CM40">
        <v>150</v>
      </c>
      <c r="CN40">
        <v>73</v>
      </c>
      <c r="CO40">
        <v>62.282588330910201</v>
      </c>
      <c r="CP40">
        <v>2.3580796114934299E-2</v>
      </c>
      <c r="CQ40">
        <v>6.0303834280463577E-2</v>
      </c>
      <c r="CR40">
        <v>4.7361717790641977</v>
      </c>
      <c r="CS40" s="107">
        <f>INDEX(Pipes_result_save_V1!$K$2:$K$206,MATCH(CH40,Pipes_result_save_V1!$I$2:$I$206,0)) *POWER(10,-3)</f>
        <v>-2.3688943862915039E-2</v>
      </c>
      <c r="CT40" s="78">
        <v>5.7345845707195949E-3</v>
      </c>
      <c r="CU40" s="78">
        <f t="shared" si="4"/>
        <v>-1.7954359292195445E-2</v>
      </c>
      <c r="CY40">
        <v>0</v>
      </c>
      <c r="CZ40">
        <v>33</v>
      </c>
      <c r="DA40" t="s">
        <v>540</v>
      </c>
      <c r="DB40" t="s">
        <v>258</v>
      </c>
      <c r="DC40" s="106" t="str">
        <f>INDEX(Pipes_result_save_V1!$G$2:$G$206,MATCH(DB40,Pipes_result_save_V1!$I$2:$I$206,0))</f>
        <v>N106</v>
      </c>
      <c r="DD40" s="106" t="str">
        <f>INDEX(Pipes_result_save_V1!$H$2:$H$206,MATCH(DB40,Pipes_result_save_V1!$I$2:$I$206,0))</f>
        <v>N107</v>
      </c>
      <c r="DE40">
        <v>8.3280000000000007E-2</v>
      </c>
      <c r="DF40">
        <v>350</v>
      </c>
      <c r="DG40">
        <v>150</v>
      </c>
      <c r="DH40">
        <v>218</v>
      </c>
      <c r="DI40">
        <v>36.116913107091634</v>
      </c>
      <c r="DJ40">
        <v>-8.3280000000000007E-2</v>
      </c>
      <c r="DK40">
        <v>-0.36186954243828162</v>
      </c>
      <c r="DL40">
        <v>8.0473390081135623</v>
      </c>
      <c r="DM40" s="107">
        <f>INDEX(Pipes_result_save_V1!$K$2:$K$206,MATCH(DB40,Pipes_result_save_V1!$I$2:$I$206,0)) *POWER(10,-3)</f>
        <v>7.6201789855957033E-2</v>
      </c>
      <c r="DN40" s="78">
        <v>6.0680267644292844E-3</v>
      </c>
      <c r="DO40" s="78">
        <f t="shared" si="5"/>
        <v>7.0133763091527745E-2</v>
      </c>
      <c r="DT40">
        <v>20</v>
      </c>
      <c r="DU40">
        <v>33</v>
      </c>
      <c r="DV40" t="s">
        <v>540</v>
      </c>
      <c r="DW40" t="s">
        <v>139</v>
      </c>
      <c r="DX40" s="106" t="str">
        <f>INDEX(Pipes_result_save_V1!$G$2:$G$206,MATCH(DW40,Pipes_result_save_V1!$I$2:$I$206,0))</f>
        <v>N31</v>
      </c>
      <c r="DY40" s="106" t="str">
        <f>INDEX(Pipes_result_save_V1!$H$2:$H$206,MATCH(DW40,Pipes_result_save_V1!$I$2:$I$206,0))</f>
        <v>N30</v>
      </c>
      <c r="DZ40">
        <v>0.16656000000000001</v>
      </c>
      <c r="EA40">
        <v>466</v>
      </c>
      <c r="EB40">
        <v>150</v>
      </c>
      <c r="EC40">
        <v>251</v>
      </c>
      <c r="ED40">
        <v>10.312773894253795</v>
      </c>
      <c r="EE40">
        <v>0.15497564373451178</v>
      </c>
      <c r="EF40">
        <v>0.32639492959393818</v>
      </c>
      <c r="EG40">
        <v>3.9005058797723851</v>
      </c>
      <c r="EH40" s="107">
        <f>INDEX(Pipes_result_save_V1!$K$2:$K$206,MATCH(DW40,Pipes_result_save_V1!$I$2:$I$206,0)) *POWER(10,-3)</f>
        <v>-0.19499050903320311</v>
      </c>
      <c r="EI40" s="78">
        <v>5.7979094211488783E-3</v>
      </c>
      <c r="EJ40" s="78">
        <f t="shared" si="6"/>
        <v>-0.18919259961205423</v>
      </c>
    </row>
    <row r="41" spans="2:140" ht="30" x14ac:dyDescent="0.25">
      <c r="B41" s="106">
        <v>34</v>
      </c>
      <c r="C41" s="106" t="s">
        <v>539</v>
      </c>
      <c r="D41" s="106" t="s">
        <v>228</v>
      </c>
      <c r="E41" s="106" t="str">
        <f>INDEX(Pipes_result_save_V1!$G$2:$G$206,MATCH(D41,Pipes_result_save_V1!$I$2:$I$206,0))</f>
        <v>N156</v>
      </c>
      <c r="F41" s="106" t="str">
        <f>INDEX(Pipes_result_save_V1!$H$2:$H$206,MATCH(D41,Pipes_result_save_V1!$I$2:$I$206,0))</f>
        <v>N157</v>
      </c>
      <c r="G41" s="106">
        <v>8.5000000000000006E-2</v>
      </c>
      <c r="H41" s="107">
        <v>350</v>
      </c>
      <c r="I41" s="107">
        <v>150</v>
      </c>
      <c r="J41" s="107">
        <v>85</v>
      </c>
      <c r="K41" s="107">
        <v>14.082282633499032</v>
      </c>
      <c r="L41" s="107">
        <v>8.5000000000000006E-2</v>
      </c>
      <c r="M41" s="107">
        <v>0.14654024282313405</v>
      </c>
      <c r="N41" s="107">
        <v>3.1928532906875779</v>
      </c>
      <c r="O41" s="107">
        <f>INDEX(Pipes_result_save_V1!$K$2:$K$206,MATCH(D41,Pipes_result_save_V1!$I$2:$I$206,0)) *POWER(10,-3)</f>
        <v>-1.886982345581055E-2</v>
      </c>
      <c r="P41" s="78">
        <v>5.4293279142659211E-3</v>
      </c>
      <c r="Q41" s="78">
        <f t="shared" si="0"/>
        <v>-1.3440495541544629E-2</v>
      </c>
      <c r="R41" s="78"/>
      <c r="S41" s="78"/>
      <c r="T41" s="78">
        <v>33</v>
      </c>
      <c r="U41" s="78">
        <v>34</v>
      </c>
      <c r="V41" s="78" t="s">
        <v>540</v>
      </c>
      <c r="W41" s="78" t="s">
        <v>226</v>
      </c>
      <c r="X41" s="106" t="str">
        <f>INDEX(Pipes_result_save_V1!$G$2:$G$206,MATCH(W41,Pipes_result_save_V1!$I$2:$I$206,0))</f>
        <v>N155</v>
      </c>
      <c r="Y41" s="106" t="str">
        <f>INDEX(Pipes_result_save_V1!$H$2:$H$206,MATCH(W41,Pipes_result_save_V1!$I$2:$I$206,0))</f>
        <v>N156</v>
      </c>
      <c r="Z41" s="78">
        <v>2.9028999999999999E-2</v>
      </c>
      <c r="AA41" s="78">
        <v>200</v>
      </c>
      <c r="AB41" s="78">
        <v>150</v>
      </c>
      <c r="AC41" s="78">
        <v>129</v>
      </c>
      <c r="AD41" s="78">
        <v>326.34891726064069</v>
      </c>
      <c r="AE41" s="78">
        <v>0.13559693507618356</v>
      </c>
      <c r="AF41" s="78">
        <v>1</v>
      </c>
      <c r="AG41" s="78">
        <v>-1</v>
      </c>
      <c r="AH41" s="78">
        <v>8.0650848595285289</v>
      </c>
      <c r="AI41">
        <v>110.15394375584465</v>
      </c>
      <c r="AJ41" s="107">
        <f>INDEX(Pipes_result_save_V1!$K$2:$K$206,MATCH(W41,Pipes_result_save_V1!$I$2:$I$206,0)) *POWER(10,-3)</f>
        <v>-1.7648836135864262E-2</v>
      </c>
      <c r="AK41" s="78">
        <v>3.0377401053966386E-3</v>
      </c>
      <c r="AL41" s="78">
        <f t="shared" si="1"/>
        <v>-1.4611096030467624E-2</v>
      </c>
      <c r="AP41">
        <v>11</v>
      </c>
      <c r="AQ41">
        <v>34</v>
      </c>
      <c r="AR41" t="s">
        <v>540</v>
      </c>
      <c r="AS41" t="s">
        <v>295</v>
      </c>
      <c r="AT41" s="106" t="str">
        <f>INDEX(Pipes_result_save_V1!$G$2:$G$206,MATCH(AS41,Pipes_result_save_V1!$I$2:$I$206,0))</f>
        <v>N132</v>
      </c>
      <c r="AU41" s="106" t="str">
        <f>INDEX(Pipes_result_save_V1!$H$2:$H$206,MATCH(AS41,Pipes_result_save_V1!$I$2:$I$206,0))</f>
        <v>N131</v>
      </c>
      <c r="AV41">
        <v>5.8057999999999998E-2</v>
      </c>
      <c r="AW41">
        <v>300</v>
      </c>
      <c r="AX41">
        <v>150</v>
      </c>
      <c r="AY41">
        <v>131</v>
      </c>
      <c r="AZ41">
        <v>45.985746261729986</v>
      </c>
      <c r="BA41">
        <v>3.5211178482065772E-2</v>
      </c>
      <c r="BB41">
        <v>9.3556859935098699E-2</v>
      </c>
      <c r="BC41">
        <v>4.92080390572709</v>
      </c>
      <c r="BD41" s="107">
        <f>INDEX(Pipes_result_save_V1!$K$2:$K$206,MATCH(AS41,Pipes_result_save_V1!$I$2:$I$206,0)) *POWER(10,-3)</f>
        <v>-2.2801618576049803E-3</v>
      </c>
      <c r="BE41" s="78">
        <v>6.4665696020147385E-3</v>
      </c>
      <c r="BF41" s="78">
        <f t="shared" si="2"/>
        <v>4.1864077444097583E-3</v>
      </c>
      <c r="BJ41">
        <v>0</v>
      </c>
      <c r="BK41">
        <v>34</v>
      </c>
      <c r="BL41" t="s">
        <v>540</v>
      </c>
      <c r="BM41" t="s">
        <v>202</v>
      </c>
      <c r="BN41" s="106" t="str">
        <f>INDEX(Pipes_result_save_V1!$G$2:$G$206,MATCH(BM41,Pipes_result_save_V1!$I$2:$I$206,0))</f>
        <v>N84</v>
      </c>
      <c r="BO41" s="106" t="str">
        <f>INDEX(Pipes_result_save_V1!$H$2:$H$206,MATCH(BM41,Pipes_result_save_V1!$I$2:$I$206,0))</f>
        <v>N83</v>
      </c>
      <c r="BP41">
        <v>9.0894000000000003E-2</v>
      </c>
      <c r="BQ41">
        <v>350</v>
      </c>
      <c r="BR41">
        <v>150</v>
      </c>
      <c r="BS41">
        <v>75</v>
      </c>
      <c r="BT41">
        <v>12.425543500146206</v>
      </c>
      <c r="BU41">
        <v>-9.0894000000000003E-2</v>
      </c>
      <c r="BV41">
        <v>-0.14639377640552698</v>
      </c>
      <c r="BW41">
        <v>2.982829162574383</v>
      </c>
      <c r="BX41" s="107">
        <f>INDEX(Pipes_result_save_V1!$K$2:$K$206,MATCH(BM41,Pipes_result_save_V1!$I$2:$I$206,0)) *POWER(10,-3)</f>
        <v>-4.8898372650146481E-2</v>
      </c>
      <c r="BY41" s="78">
        <v>5.1004257933387814E-3</v>
      </c>
      <c r="BZ41" s="78">
        <f t="shared" si="3"/>
        <v>-4.3797946856807699E-2</v>
      </c>
      <c r="CE41">
        <v>13</v>
      </c>
      <c r="CF41">
        <v>34</v>
      </c>
      <c r="CG41" t="s">
        <v>540</v>
      </c>
      <c r="CH41" t="s">
        <v>122</v>
      </c>
      <c r="CI41" s="106" t="str">
        <f>INDEX(Pipes_result_save_V1!$G$2:$G$206,MATCH(CH41,Pipes_result_save_V1!$I$2:$I$206,0))</f>
        <v>N63</v>
      </c>
      <c r="CJ41" s="106" t="str">
        <f>INDEX(Pipes_result_save_V1!$H$2:$H$206,MATCH(CH41,Pipes_result_save_V1!$I$2:$I$206,0))</f>
        <v>N62</v>
      </c>
      <c r="CK41">
        <v>3.2837000000000005E-2</v>
      </c>
      <c r="CL41">
        <v>250</v>
      </c>
      <c r="CM41">
        <v>150</v>
      </c>
      <c r="CN41">
        <v>58</v>
      </c>
      <c r="CO41">
        <v>49.484796208120436</v>
      </c>
      <c r="CP41">
        <v>2.3580796114934299E-2</v>
      </c>
      <c r="CQ41">
        <v>4.7912635455710791E-2</v>
      </c>
      <c r="CR41">
        <v>3.7629857970647054</v>
      </c>
      <c r="CS41" s="107">
        <f>INDEX(Pipes_result_save_V1!$K$2:$K$206,MATCH(CH41,Pipes_result_save_V1!$I$2:$I$206,0)) *POWER(10,-3)</f>
        <v>-2.2941516876220699E-2</v>
      </c>
      <c r="CT41" s="78">
        <v>5.1233106297051663E-3</v>
      </c>
      <c r="CU41" s="78">
        <f t="shared" si="4"/>
        <v>-1.7818206246515533E-2</v>
      </c>
      <c r="CY41">
        <v>0</v>
      </c>
      <c r="CZ41">
        <v>34</v>
      </c>
      <c r="DA41" t="s">
        <v>540</v>
      </c>
      <c r="DB41" t="s">
        <v>259</v>
      </c>
      <c r="DC41" s="106" t="str">
        <f>INDEX(Pipes_result_save_V1!$G$2:$G$206,MATCH(DB41,Pipes_result_save_V1!$I$2:$I$206,0))</f>
        <v>N107</v>
      </c>
      <c r="DD41" s="106" t="str">
        <f>INDEX(Pipes_result_save_V1!$H$2:$H$206,MATCH(DB41,Pipes_result_save_V1!$I$2:$I$206,0))</f>
        <v>N108</v>
      </c>
      <c r="DE41">
        <v>8.3280000000000007E-2</v>
      </c>
      <c r="DF41">
        <v>350</v>
      </c>
      <c r="DG41">
        <v>150</v>
      </c>
      <c r="DH41">
        <v>101</v>
      </c>
      <c r="DI41">
        <v>16.733065246863553</v>
      </c>
      <c r="DJ41">
        <v>-8.3280000000000007E-2</v>
      </c>
      <c r="DK41">
        <v>-0.16765515498287359</v>
      </c>
      <c r="DL41">
        <v>3.7283543110984856</v>
      </c>
      <c r="DM41" s="107">
        <f>INDEX(Pipes_result_save_V1!$K$2:$K$206,MATCH(DB41,Pipes_result_save_V1!$I$2:$I$206,0)) *POWER(10,-3)</f>
        <v>7.4381721496582037E-2</v>
      </c>
      <c r="DN41" s="78">
        <v>6.5728772994273228E-3</v>
      </c>
      <c r="DO41" s="78">
        <f t="shared" si="5"/>
        <v>6.7808844197154716E-2</v>
      </c>
      <c r="DW41" t="s">
        <v>380</v>
      </c>
      <c r="EF41">
        <v>5.9017424167719028</v>
      </c>
      <c r="EG41">
        <v>157.76590768049459</v>
      </c>
    </row>
    <row r="42" spans="2:140" ht="30" x14ac:dyDescent="0.25">
      <c r="B42" s="106">
        <v>35</v>
      </c>
      <c r="C42" s="106" t="s">
        <v>539</v>
      </c>
      <c r="D42" s="106" t="s">
        <v>227</v>
      </c>
      <c r="E42" s="106" t="str">
        <f>INDEX(Pipes_result_save_V1!$G$2:$G$206,MATCH(D42,Pipes_result_save_V1!$I$2:$I$206,0))</f>
        <v>N157</v>
      </c>
      <c r="F42" s="106" t="str">
        <f>INDEX(Pipes_result_save_V1!$H$2:$H$206,MATCH(D42,Pipes_result_save_V1!$I$2:$I$206,0))</f>
        <v>N158</v>
      </c>
      <c r="G42" s="106">
        <v>7.4999999999999997E-2</v>
      </c>
      <c r="H42" s="107">
        <v>350</v>
      </c>
      <c r="I42" s="107">
        <v>150</v>
      </c>
      <c r="J42" s="107">
        <v>75</v>
      </c>
      <c r="K42" s="107">
        <v>12.425543500146206</v>
      </c>
      <c r="L42" s="107">
        <v>7.4999999999999997E-2</v>
      </c>
      <c r="M42" s="107">
        <v>0.10254839177742346</v>
      </c>
      <c r="N42" s="107">
        <v>2.5322616209571787</v>
      </c>
      <c r="O42" s="107">
        <f>INDEX(Pipes_result_save_V1!$K$2:$K$206,MATCH(D42,Pipes_result_save_V1!$I$2:$I$206,0)) *POWER(10,-3)</f>
        <v>-1.9782709121704101E-2</v>
      </c>
      <c r="P42" s="78">
        <v>6.2309036161130888E-3</v>
      </c>
      <c r="Q42" s="78">
        <f t="shared" si="0"/>
        <v>-1.3551805505591012E-2</v>
      </c>
      <c r="R42" s="78"/>
      <c r="S42" s="78"/>
      <c r="T42" s="78">
        <v>34</v>
      </c>
      <c r="U42" s="78">
        <v>35</v>
      </c>
      <c r="V42" s="78" t="s">
        <v>540</v>
      </c>
      <c r="W42" s="78" t="s">
        <v>228</v>
      </c>
      <c r="X42" s="106" t="str">
        <f>INDEX(Pipes_result_save_V1!$G$2:$G$206,MATCH(W42,Pipes_result_save_V1!$I$2:$I$206,0))</f>
        <v>N156</v>
      </c>
      <c r="Y42" s="106" t="str">
        <f>INDEX(Pipes_result_save_V1!$H$2:$H$206,MATCH(W42,Pipes_result_save_V1!$I$2:$I$206,0))</f>
        <v>N157</v>
      </c>
      <c r="Z42" s="78">
        <v>2.9028999999999999E-2</v>
      </c>
      <c r="AA42" s="78">
        <v>200</v>
      </c>
      <c r="AB42" s="78">
        <v>150</v>
      </c>
      <c r="AC42" s="78">
        <v>85</v>
      </c>
      <c r="AD42" s="78">
        <v>215.03610827251518</v>
      </c>
      <c r="AE42" s="78">
        <v>9.1596935076183564E-2</v>
      </c>
      <c r="AF42" s="78">
        <v>1</v>
      </c>
      <c r="AG42" s="78">
        <v>-1</v>
      </c>
      <c r="AH42" s="78">
        <v>2.5698921402347308</v>
      </c>
      <c r="AI42">
        <v>51.960693223590631</v>
      </c>
      <c r="AJ42" s="107">
        <f>INDEX(Pipes_result_save_V1!$K$2:$K$206,MATCH(W42,Pipes_result_save_V1!$I$2:$I$206,0)) *POWER(10,-3)</f>
        <v>-1.886982345581055E-2</v>
      </c>
      <c r="AK42" s="78">
        <v>1.7063509188828007E-3</v>
      </c>
      <c r="AL42" s="78">
        <f t="shared" si="1"/>
        <v>-1.7163472536927748E-2</v>
      </c>
      <c r="AP42">
        <v>12</v>
      </c>
      <c r="AQ42">
        <v>35</v>
      </c>
      <c r="AR42" t="s">
        <v>540</v>
      </c>
      <c r="AS42" t="s">
        <v>296</v>
      </c>
      <c r="AT42" s="106" t="str">
        <f>INDEX(Pipes_result_save_V1!$G$2:$G$206,MATCH(AS42,Pipes_result_save_V1!$I$2:$I$206,0))</f>
        <v>N133</v>
      </c>
      <c r="AU42" s="106" t="str">
        <f>INDEX(Pipes_result_save_V1!$H$2:$H$206,MATCH(AS42,Pipes_result_save_V1!$I$2:$I$206,0))</f>
        <v>N132</v>
      </c>
      <c r="AV42">
        <v>5.8057999999999998E-2</v>
      </c>
      <c r="AW42">
        <v>300</v>
      </c>
      <c r="AX42">
        <v>150</v>
      </c>
      <c r="AY42">
        <v>132</v>
      </c>
      <c r="AZ42">
        <v>46.336782492735551</v>
      </c>
      <c r="BA42">
        <v>3.5211178482065772E-2</v>
      </c>
      <c r="BB42">
        <v>9.4271034438420054E-2</v>
      </c>
      <c r="BC42">
        <v>4.9583672943204258</v>
      </c>
      <c r="BD42" s="107">
        <f>INDEX(Pipes_result_save_V1!$K$2:$K$206,MATCH(AS42,Pipes_result_save_V1!$I$2:$I$206,0)) *POWER(10,-3)</f>
        <v>-8.0813032388687132E-4</v>
      </c>
      <c r="BE42" s="78">
        <v>5.7369006507098433E-3</v>
      </c>
      <c r="BF42" s="78">
        <f t="shared" si="2"/>
        <v>4.9287703268229722E-3</v>
      </c>
      <c r="BJ42">
        <v>0</v>
      </c>
      <c r="BK42">
        <v>35</v>
      </c>
      <c r="BL42" t="s">
        <v>540</v>
      </c>
      <c r="BM42" t="s">
        <v>201</v>
      </c>
      <c r="BN42" s="106" t="str">
        <f>INDEX(Pipes_result_save_V1!$G$2:$G$206,MATCH(BM42,Pipes_result_save_V1!$I$2:$I$206,0))</f>
        <v>N84</v>
      </c>
      <c r="BO42" s="106" t="str">
        <f>INDEX(Pipes_result_save_V1!$H$2:$H$206,MATCH(BM42,Pipes_result_save_V1!$I$2:$I$206,0))</f>
        <v>N85</v>
      </c>
      <c r="BP42">
        <v>0.119923</v>
      </c>
      <c r="BQ42">
        <v>400</v>
      </c>
      <c r="BR42">
        <v>150</v>
      </c>
      <c r="BS42">
        <v>95</v>
      </c>
      <c r="BT42">
        <v>8.2129459038134058</v>
      </c>
      <c r="BU42">
        <v>-0.119923</v>
      </c>
      <c r="BV42">
        <v>-0.16166885526910485</v>
      </c>
      <c r="BW42">
        <v>2.4966913766198493</v>
      </c>
      <c r="BX42" s="107">
        <f>INDEX(Pipes_result_save_V1!$K$2:$K$206,MATCH(BM42,Pipes_result_save_V1!$I$2:$I$206,0)) *POWER(10,-3)</f>
        <v>2.0083776473999022E-2</v>
      </c>
      <c r="BY42" s="78">
        <v>5.0835109302906677E-3</v>
      </c>
      <c r="BZ42" s="78">
        <f t="shared" si="3"/>
        <v>1.5000265543708355E-2</v>
      </c>
      <c r="CE42">
        <v>14</v>
      </c>
      <c r="CF42">
        <v>35</v>
      </c>
      <c r="CG42" t="s">
        <v>540</v>
      </c>
      <c r="CH42" t="s">
        <v>121</v>
      </c>
      <c r="CI42" s="106" t="str">
        <f>INDEX(Pipes_result_save_V1!$G$2:$G$206,MATCH(CH42,Pipes_result_save_V1!$I$2:$I$206,0))</f>
        <v>N64</v>
      </c>
      <c r="CJ42" s="106" t="str">
        <f>INDEX(Pipes_result_save_V1!$H$2:$H$206,MATCH(CH42,Pipes_result_save_V1!$I$2:$I$206,0))</f>
        <v>N63</v>
      </c>
      <c r="CK42">
        <v>3.2837000000000005E-2</v>
      </c>
      <c r="CL42">
        <v>250</v>
      </c>
      <c r="CM42">
        <v>150</v>
      </c>
      <c r="CN42">
        <v>216</v>
      </c>
      <c r="CO42">
        <v>184.28820656817265</v>
      </c>
      <c r="CP42">
        <v>2.3580796114934299E-2</v>
      </c>
      <c r="CQ42">
        <v>0.1784332630764402</v>
      </c>
      <c r="CR42">
        <v>14.013878140792695</v>
      </c>
      <c r="CS42" s="107">
        <f>INDEX(Pipes_result_save_V1!$K$2:$K$206,MATCH(CH42,Pipes_result_save_V1!$I$2:$I$206,0)) *POWER(10,-3)</f>
        <v>-2.1378194808959961E-2</v>
      </c>
      <c r="CT42" s="78">
        <v>5.6284866141425791E-3</v>
      </c>
      <c r="CU42" s="78">
        <f t="shared" si="4"/>
        <v>-1.5749708194817382E-2</v>
      </c>
      <c r="CY42">
        <v>0</v>
      </c>
      <c r="CZ42">
        <v>35</v>
      </c>
      <c r="DA42" t="s">
        <v>540</v>
      </c>
      <c r="DB42" t="s">
        <v>261</v>
      </c>
      <c r="DC42" s="106" t="str">
        <f>INDEX(Pipes_result_save_V1!$G$2:$G$206,MATCH(DB42,Pipes_result_save_V1!$I$2:$I$206,0))</f>
        <v>N108</v>
      </c>
      <c r="DD42" s="106" t="str">
        <f>INDEX(Pipes_result_save_V1!$H$2:$H$206,MATCH(DB42,Pipes_result_save_V1!$I$2:$I$206,0))</f>
        <v>N109</v>
      </c>
      <c r="DE42">
        <v>8.3280000000000007E-2</v>
      </c>
      <c r="DF42">
        <v>350</v>
      </c>
      <c r="DG42">
        <v>150</v>
      </c>
      <c r="DH42">
        <v>149</v>
      </c>
      <c r="DI42">
        <v>24.685413086957126</v>
      </c>
      <c r="DJ42">
        <v>-8.3280000000000007E-2</v>
      </c>
      <c r="DK42">
        <v>-0.24733285240047689</v>
      </c>
      <c r="DL42">
        <v>5.5002454688482612</v>
      </c>
      <c r="DM42" s="107">
        <f>INDEX(Pipes_result_save_V1!$K$2:$K$206,MATCH(DB42,Pipes_result_save_V1!$I$2:$I$206,0)) *POWER(10,-3)</f>
        <v>7.295532989501953E-2</v>
      </c>
      <c r="DN42" s="78">
        <v>6.2694249887128095E-3</v>
      </c>
      <c r="DO42" s="78">
        <f t="shared" si="5"/>
        <v>6.6685904906306714E-2</v>
      </c>
      <c r="DW42" t="s">
        <v>381</v>
      </c>
      <c r="DZ42">
        <v>-3.7408224017092671E-2</v>
      </c>
    </row>
    <row r="43" spans="2:140" ht="30" x14ac:dyDescent="0.25">
      <c r="B43" s="106">
        <v>36</v>
      </c>
      <c r="C43" s="106" t="s">
        <v>539</v>
      </c>
      <c r="D43" s="106" t="s">
        <v>429</v>
      </c>
      <c r="E43" s="106" t="str">
        <f>INDEX(Pipes_result_save_V1!$G$2:$G$206,MATCH(D43,Pipes_result_save_V1!$I$2:$I$206,0))</f>
        <v>N158</v>
      </c>
      <c r="F43" s="106" t="str">
        <f>INDEX(Pipes_result_save_V1!$H$2:$H$206,MATCH(D43,Pipes_result_save_V1!$I$2:$I$206,0))</f>
        <v>N159</v>
      </c>
      <c r="G43" s="106">
        <v>8.3000000000000004E-2</v>
      </c>
      <c r="H43" s="107">
        <v>350</v>
      </c>
      <c r="I43" s="107">
        <v>150</v>
      </c>
      <c r="J43" s="107">
        <v>83</v>
      </c>
      <c r="K43" s="107">
        <v>13.750934806828466</v>
      </c>
      <c r="L43" s="107">
        <v>8.3000000000000004E-2</v>
      </c>
      <c r="M43" s="107">
        <v>0.13691935675646288</v>
      </c>
      <c r="N43" s="107">
        <v>3.0551162495538478</v>
      </c>
      <c r="O43" s="107">
        <f>INDEX(Pipes_result_save_V1!$K$2:$K$206,MATCH(D43,Pipes_result_save_V1!$I$2:$I$206,0)) *POWER(10,-3)</f>
        <v>-2.06841869354248E-2</v>
      </c>
      <c r="P43" s="78">
        <v>5.5030844016331062E-3</v>
      </c>
      <c r="Q43" s="78">
        <f t="shared" si="0"/>
        <v>-1.5181102533791693E-2</v>
      </c>
      <c r="R43" s="78"/>
      <c r="S43" s="78"/>
      <c r="T43" s="78">
        <v>35</v>
      </c>
      <c r="U43" s="78">
        <v>36</v>
      </c>
      <c r="V43" s="78" t="s">
        <v>540</v>
      </c>
      <c r="W43" s="78" t="s">
        <v>227</v>
      </c>
      <c r="X43" s="106" t="str">
        <f>INDEX(Pipes_result_save_V1!$G$2:$G$206,MATCH(W43,Pipes_result_save_V1!$I$2:$I$206,0))</f>
        <v>N157</v>
      </c>
      <c r="Y43" s="106" t="str">
        <f>INDEX(Pipes_result_save_V1!$H$2:$H$206,MATCH(W43,Pipes_result_save_V1!$I$2:$I$206,0))</f>
        <v>N158</v>
      </c>
      <c r="Z43" s="78">
        <v>2.9028999999999999E-2</v>
      </c>
      <c r="AA43" s="78">
        <v>200</v>
      </c>
      <c r="AB43" s="78">
        <v>150</v>
      </c>
      <c r="AC43" s="78">
        <v>75</v>
      </c>
      <c r="AD43" s="78">
        <v>189.73774259339575</v>
      </c>
      <c r="AE43" s="78">
        <v>8.1596935076183555E-2</v>
      </c>
      <c r="AF43" s="78">
        <v>1</v>
      </c>
      <c r="AG43" s="78">
        <v>-1</v>
      </c>
      <c r="AH43" s="78">
        <v>1.8305166876164278</v>
      </c>
      <c r="AI43">
        <v>41.547110835724631</v>
      </c>
      <c r="AJ43" s="107">
        <f>INDEX(Pipes_result_save_V1!$K$2:$K$206,MATCH(W43,Pipes_result_save_V1!$I$2:$I$206,0)) *POWER(10,-3)</f>
        <v>-1.9782709121704101E-2</v>
      </c>
      <c r="AK43" s="78">
        <v>4.0315823443348416E-3</v>
      </c>
      <c r="AL43" s="78">
        <f t="shared" si="1"/>
        <v>-1.575112677736926E-2</v>
      </c>
      <c r="AP43">
        <v>13</v>
      </c>
      <c r="AQ43">
        <v>36</v>
      </c>
      <c r="AR43" t="s">
        <v>540</v>
      </c>
      <c r="AS43" t="s">
        <v>297</v>
      </c>
      <c r="AT43" s="106" t="str">
        <f>INDEX(Pipes_result_save_V1!$G$2:$G$206,MATCH(AS43,Pipes_result_save_V1!$I$2:$I$206,0))</f>
        <v>N134</v>
      </c>
      <c r="AU43" s="106" t="str">
        <f>INDEX(Pipes_result_save_V1!$H$2:$H$206,MATCH(AS43,Pipes_result_save_V1!$I$2:$I$206,0))</f>
        <v>N133</v>
      </c>
      <c r="AV43">
        <v>5.8057999999999998E-2</v>
      </c>
      <c r="AW43">
        <v>300</v>
      </c>
      <c r="AX43">
        <v>150</v>
      </c>
      <c r="AY43">
        <v>133</v>
      </c>
      <c r="AZ43">
        <v>46.687818723741124</v>
      </c>
      <c r="BA43">
        <v>3.5211178482065772E-2</v>
      </c>
      <c r="BB43">
        <v>9.4985208941741409E-2</v>
      </c>
      <c r="BC43">
        <v>4.9959306829137624</v>
      </c>
      <c r="BD43" s="107">
        <f>INDEX(Pipes_result_save_V1!$K$2:$K$206,MATCH(AS43,Pipes_result_save_V1!$I$2:$I$206,0)) *POWER(10,-3)</f>
        <v>3.558016419410706E-4</v>
      </c>
      <c r="BE43" s="78">
        <v>5.8762851799060364E-3</v>
      </c>
      <c r="BF43" s="78">
        <f t="shared" si="2"/>
        <v>-5.5204835379649656E-3</v>
      </c>
      <c r="BJ43">
        <v>0</v>
      </c>
      <c r="BK43">
        <v>36</v>
      </c>
      <c r="BL43" t="s">
        <v>540</v>
      </c>
      <c r="BM43" t="s">
        <v>199</v>
      </c>
      <c r="BN43" s="106" t="str">
        <f>INDEX(Pipes_result_save_V1!$G$2:$G$206,MATCH(BM43,Pipes_result_save_V1!$I$2:$I$206,0))</f>
        <v>N85</v>
      </c>
      <c r="BO43" s="106" t="str">
        <f>INDEX(Pipes_result_save_V1!$H$2:$H$206,MATCH(BM43,Pipes_result_save_V1!$I$2:$I$206,0))</f>
        <v>N86</v>
      </c>
      <c r="BP43">
        <v>0.119923</v>
      </c>
      <c r="BQ43">
        <v>400</v>
      </c>
      <c r="BR43">
        <v>150</v>
      </c>
      <c r="BS43">
        <v>73</v>
      </c>
      <c r="BT43">
        <v>6.3110005366145119</v>
      </c>
      <c r="BU43">
        <v>-0.119923</v>
      </c>
      <c r="BV43">
        <v>-0.12422975194362795</v>
      </c>
      <c r="BW43">
        <v>1.9185102157184104</v>
      </c>
      <c r="BX43" s="107">
        <f>INDEX(Pipes_result_save_V1!$K$2:$K$206,MATCH(BM43,Pipes_result_save_V1!$I$2:$I$206,0)) *POWER(10,-3)</f>
        <v>1.9125244140625001E-2</v>
      </c>
      <c r="BY43" s="78">
        <v>6.12665318303862E-3</v>
      </c>
      <c r="BZ43" s="78">
        <f t="shared" si="3"/>
        <v>1.2998590957586381E-2</v>
      </c>
      <c r="CE43">
        <v>15</v>
      </c>
      <c r="CF43">
        <v>36</v>
      </c>
      <c r="CG43" t="s">
        <v>540</v>
      </c>
      <c r="CH43" t="s">
        <v>119</v>
      </c>
      <c r="CI43" s="106" t="str">
        <f>INDEX(Pipes_result_save_V1!$G$2:$G$206,MATCH(CH43,Pipes_result_save_V1!$I$2:$I$206,0))</f>
        <v>N65</v>
      </c>
      <c r="CJ43" s="106" t="str">
        <f>INDEX(Pipes_result_save_V1!$H$2:$H$206,MATCH(CH43,Pipes_result_save_V1!$I$2:$I$206,0))</f>
        <v>N64</v>
      </c>
      <c r="CK43">
        <v>3.2837000000000005E-2</v>
      </c>
      <c r="CL43">
        <v>250</v>
      </c>
      <c r="CM43">
        <v>150</v>
      </c>
      <c r="CN43">
        <v>73</v>
      </c>
      <c r="CO43">
        <v>62.282588330910201</v>
      </c>
      <c r="CP43">
        <v>2.3580796114934299E-2</v>
      </c>
      <c r="CQ43">
        <v>6.0303834280463577E-2</v>
      </c>
      <c r="CR43">
        <v>4.7361717790641977</v>
      </c>
      <c r="CS43" s="107">
        <f>INDEX(Pipes_result_save_V1!$K$2:$K$206,MATCH(CH43,Pipes_result_save_V1!$I$2:$I$206,0)) *POWER(10,-3)</f>
        <v>-1.9729291915893551E-2</v>
      </c>
      <c r="CT43" s="78">
        <v>5.4144210163477183E-3</v>
      </c>
      <c r="CU43" s="78">
        <f t="shared" si="4"/>
        <v>-1.4314870899545834E-2</v>
      </c>
      <c r="CY43">
        <v>0</v>
      </c>
      <c r="CZ43">
        <v>36</v>
      </c>
      <c r="DA43" t="s">
        <v>540</v>
      </c>
      <c r="DB43" t="s">
        <v>260</v>
      </c>
      <c r="DC43" s="106" t="str">
        <f>INDEX(Pipes_result_save_V1!$G$2:$G$206,MATCH(DB43,Pipes_result_save_V1!$I$2:$I$206,0))</f>
        <v>N109</v>
      </c>
      <c r="DD43" s="106" t="str">
        <f>INDEX(Pipes_result_save_V1!$H$2:$H$206,MATCH(DB43,Pipes_result_save_V1!$I$2:$I$206,0))</f>
        <v>N110</v>
      </c>
      <c r="DE43">
        <v>8.3280000000000007E-2</v>
      </c>
      <c r="DF43">
        <v>350</v>
      </c>
      <c r="DG43">
        <v>150</v>
      </c>
      <c r="DH43">
        <v>260</v>
      </c>
      <c r="DI43">
        <v>43.075217467173509</v>
      </c>
      <c r="DJ43">
        <v>-8.3280000000000007E-2</v>
      </c>
      <c r="DK43">
        <v>-0.43158752767868452</v>
      </c>
      <c r="DL43">
        <v>9.5977437711446161</v>
      </c>
      <c r="DM43" s="107">
        <f>INDEX(Pipes_result_save_V1!$K$2:$K$206,MATCH(DB43,Pipes_result_save_V1!$I$2:$I$206,0)) *POWER(10,-3)</f>
        <v>7.062176513671875E-2</v>
      </c>
      <c r="DN43" s="78">
        <v>6.4094585841618628E-3</v>
      </c>
      <c r="DO43" s="78">
        <f t="shared" si="5"/>
        <v>6.4212306552556886E-2</v>
      </c>
    </row>
    <row r="44" spans="2:140" ht="30" x14ac:dyDescent="0.25">
      <c r="B44" s="106">
        <v>37</v>
      </c>
      <c r="C44" s="106" t="s">
        <v>539</v>
      </c>
      <c r="D44" s="106" t="s">
        <v>285</v>
      </c>
      <c r="E44" s="106" t="str">
        <f>INDEX(Pipes_result_save_V1!$G$2:$G$206,MATCH(D44,Pipes_result_save_V1!$I$2:$I$206,0))</f>
        <v>N159</v>
      </c>
      <c r="F44" s="106" t="str">
        <f>INDEX(Pipes_result_save_V1!$H$2:$H$206,MATCH(D44,Pipes_result_save_V1!$I$2:$I$206,0))</f>
        <v>N160</v>
      </c>
      <c r="G44" s="106">
        <v>8.4000000000000005E-2</v>
      </c>
      <c r="H44" s="107">
        <v>350</v>
      </c>
      <c r="I44" s="107">
        <v>150</v>
      </c>
      <c r="J44" s="107">
        <v>84</v>
      </c>
      <c r="K44" s="107">
        <v>13.916608720163751</v>
      </c>
      <c r="L44" s="107">
        <v>8.4000000000000005E-2</v>
      </c>
      <c r="M44" s="107">
        <v>0.14167677243743118</v>
      </c>
      <c r="N44" s="107">
        <v>3.1236355065966972</v>
      </c>
      <c r="O44" s="107">
        <f>INDEX(Pipes_result_save_V1!$K$2:$K$206,MATCH(D44,Pipes_result_save_V1!$I$2:$I$206,0)) *POWER(10,-3)</f>
        <v>-2.1637012481689449E-2</v>
      </c>
      <c r="P44" s="78">
        <v>5.9838715727968542E-3</v>
      </c>
      <c r="Q44" s="78">
        <f t="shared" si="0"/>
        <v>-1.5653140908892596E-2</v>
      </c>
      <c r="R44" s="78"/>
      <c r="S44" s="78"/>
      <c r="T44" s="78">
        <v>36</v>
      </c>
      <c r="U44" s="78">
        <v>37</v>
      </c>
      <c r="V44" s="78" t="s">
        <v>540</v>
      </c>
      <c r="W44" s="78" t="s">
        <v>429</v>
      </c>
      <c r="X44" s="106" t="str">
        <f>INDEX(Pipes_result_save_V1!$G$2:$G$206,MATCH(W44,Pipes_result_save_V1!$I$2:$I$206,0))</f>
        <v>N158</v>
      </c>
      <c r="Y44" s="106" t="str">
        <f>INDEX(Pipes_result_save_V1!$H$2:$H$206,MATCH(W44,Pipes_result_save_V1!$I$2:$I$206,0))</f>
        <v>N159</v>
      </c>
      <c r="Z44" s="78">
        <v>2.9028999999999999E-2</v>
      </c>
      <c r="AA44" s="78">
        <v>200</v>
      </c>
      <c r="AB44" s="78">
        <v>150</v>
      </c>
      <c r="AC44" s="78">
        <v>83</v>
      </c>
      <c r="AD44" s="78">
        <v>209.97643513669126</v>
      </c>
      <c r="AE44" s="78">
        <v>8.9596935076183562E-2</v>
      </c>
      <c r="AF44" s="78">
        <v>1</v>
      </c>
      <c r="AG44" s="78">
        <v>-1</v>
      </c>
      <c r="AH44" s="78">
        <v>2.4088928286696114</v>
      </c>
      <c r="AI44">
        <v>49.792657694180491</v>
      </c>
      <c r="AJ44" s="107">
        <f>INDEX(Pipes_result_save_V1!$K$2:$K$206,MATCH(W44,Pipes_result_save_V1!$I$2:$I$206,0)) *POWER(10,-3)</f>
        <v>-2.06841869354248E-2</v>
      </c>
      <c r="AK44" s="78">
        <v>2.814923854076108E-3</v>
      </c>
      <c r="AL44" s="78">
        <f t="shared" si="1"/>
        <v>-1.7869263081348691E-2</v>
      </c>
      <c r="AP44">
        <v>14</v>
      </c>
      <c r="AQ44">
        <v>37</v>
      </c>
      <c r="AR44" t="s">
        <v>540</v>
      </c>
      <c r="AS44" t="s">
        <v>298</v>
      </c>
      <c r="AT44" s="106" t="str">
        <f>INDEX(Pipes_result_save_V1!$G$2:$G$206,MATCH(AS44,Pipes_result_save_V1!$I$2:$I$206,0))</f>
        <v>N135</v>
      </c>
      <c r="AU44" s="106" t="str">
        <f>INDEX(Pipes_result_save_V1!$H$2:$H$206,MATCH(AS44,Pipes_result_save_V1!$I$2:$I$206,0))</f>
        <v>N134</v>
      </c>
      <c r="AV44">
        <v>5.8057999999999998E-2</v>
      </c>
      <c r="AW44">
        <v>300</v>
      </c>
      <c r="AX44">
        <v>150</v>
      </c>
      <c r="AY44">
        <v>134</v>
      </c>
      <c r="AZ44">
        <v>47.038854954746704</v>
      </c>
      <c r="BA44">
        <v>3.5211178482065772E-2</v>
      </c>
      <c r="BB44">
        <v>9.5699383445062791E-2</v>
      </c>
      <c r="BC44">
        <v>5.0334940715070999</v>
      </c>
      <c r="BD44" s="107">
        <f>INDEX(Pipes_result_save_V1!$K$2:$K$206,MATCH(AS44,Pipes_result_save_V1!$I$2:$I$206,0)) *POWER(10,-3)</f>
        <v>1.194517374038696E-3</v>
      </c>
      <c r="BE44" s="78">
        <v>5.8390557936610311E-3</v>
      </c>
      <c r="BF44" s="78">
        <f t="shared" si="2"/>
        <v>-4.6445384196223353E-3</v>
      </c>
      <c r="BJ44">
        <v>0</v>
      </c>
      <c r="BK44">
        <v>37</v>
      </c>
      <c r="BL44" t="s">
        <v>540</v>
      </c>
      <c r="BM44" t="s">
        <v>198</v>
      </c>
      <c r="BN44" s="106" t="str">
        <f>INDEX(Pipes_result_save_V1!$G$2:$G$206,MATCH(BM44,Pipes_result_save_V1!$I$2:$I$206,0))</f>
        <v>N86</v>
      </c>
      <c r="BO44" s="106" t="str">
        <f>INDEX(Pipes_result_save_V1!$H$2:$H$206,MATCH(BM44,Pipes_result_save_V1!$I$2:$I$206,0))</f>
        <v>N87</v>
      </c>
      <c r="BP44">
        <v>0.119923</v>
      </c>
      <c r="BQ44">
        <v>400</v>
      </c>
      <c r="BR44">
        <v>150</v>
      </c>
      <c r="BS44">
        <v>77</v>
      </c>
      <c r="BT44">
        <v>6.6568087851961293</v>
      </c>
      <c r="BU44">
        <v>-0.119923</v>
      </c>
      <c r="BV44">
        <v>-0.13103686163916922</v>
      </c>
      <c r="BW44">
        <v>2.0236340631550358</v>
      </c>
      <c r="BX44" s="107">
        <f>INDEX(Pipes_result_save_V1!$K$2:$K$206,MATCH(BM44,Pipes_result_save_V1!$I$2:$I$206,0)) *POWER(10,-3)</f>
        <v>1.8269411087036131E-2</v>
      </c>
      <c r="BY44" s="78">
        <v>5.4780433752761645E-3</v>
      </c>
      <c r="BZ44" s="78">
        <f t="shared" si="3"/>
        <v>1.2791367711759967E-2</v>
      </c>
      <c r="CE44">
        <v>16</v>
      </c>
      <c r="CF44">
        <v>37</v>
      </c>
      <c r="CG44" t="s">
        <v>540</v>
      </c>
      <c r="CH44" t="s">
        <v>120</v>
      </c>
      <c r="CI44" s="106" t="str">
        <f>INDEX(Pipes_result_save_V1!$G$2:$G$206,MATCH(CH44,Pipes_result_save_V1!$I$2:$I$206,0))</f>
        <v>N66</v>
      </c>
      <c r="CJ44" s="106" t="str">
        <f>INDEX(Pipes_result_save_V1!$H$2:$H$206,MATCH(CH44,Pipes_result_save_V1!$I$2:$I$206,0))</f>
        <v>N65</v>
      </c>
      <c r="CK44">
        <v>3.2837000000000005E-2</v>
      </c>
      <c r="CL44">
        <v>250</v>
      </c>
      <c r="CM44">
        <v>150</v>
      </c>
      <c r="CN44">
        <v>65</v>
      </c>
      <c r="CO44">
        <v>55.457099198755657</v>
      </c>
      <c r="CP44">
        <v>2.3580796114934299E-2</v>
      </c>
      <c r="CQ44">
        <v>5.3695194907262093E-2</v>
      </c>
      <c r="CR44">
        <v>4.2171392553311353</v>
      </c>
      <c r="CS44" s="107">
        <f>INDEX(Pipes_result_save_V1!$K$2:$K$206,MATCH(CH44,Pipes_result_save_V1!$I$2:$I$206,0)) *POWER(10,-3)</f>
        <v>-1.8941926956176761E-2</v>
      </c>
      <c r="CT44" s="78">
        <v>5.8905627993842656E-3</v>
      </c>
      <c r="CU44" s="78">
        <f t="shared" si="4"/>
        <v>-1.3051364156792495E-2</v>
      </c>
      <c r="CY44">
        <v>0</v>
      </c>
      <c r="CZ44">
        <v>37</v>
      </c>
      <c r="DA44" t="s">
        <v>540</v>
      </c>
      <c r="DB44" t="s">
        <v>410</v>
      </c>
      <c r="DC44" s="106" t="str">
        <f>INDEX(Pipes_result_save_V1!$G$2:$G$206,MATCH(DB44,Pipes_result_save_V1!$I$2:$I$206,0))</f>
        <v>N110</v>
      </c>
      <c r="DD44" s="106" t="str">
        <f>INDEX(Pipes_result_save_V1!$H$2:$H$206,MATCH(DB44,Pipes_result_save_V1!$I$2:$I$206,0))</f>
        <v>N121</v>
      </c>
      <c r="DE44">
        <v>8.3280000000000007E-2</v>
      </c>
      <c r="DF44">
        <v>350</v>
      </c>
      <c r="DG44">
        <v>150</v>
      </c>
      <c r="DH44">
        <v>81</v>
      </c>
      <c r="DI44">
        <v>13.419586980157902</v>
      </c>
      <c r="DJ44">
        <v>-8.3280000000000007E-2</v>
      </c>
      <c r="DK44">
        <v>-0.13445611439220556</v>
      </c>
      <c r="DL44">
        <v>2.9900663287027465</v>
      </c>
      <c r="DM44" s="107">
        <f>INDEX(Pipes_result_save_V1!$K$2:$K$206,MATCH(DB44,Pipes_result_save_V1!$I$2:$I$206,0)) *POWER(10,-3)</f>
        <v>6.8676170349121102E-2</v>
      </c>
      <c r="DN44" s="78">
        <v>6.5900998131799863E-3</v>
      </c>
      <c r="DO44" s="78">
        <f t="shared" si="5"/>
        <v>6.2086070535941118E-2</v>
      </c>
    </row>
    <row r="45" spans="2:140" ht="30" x14ac:dyDescent="0.25">
      <c r="B45" s="106">
        <v>38</v>
      </c>
      <c r="C45" s="106" t="s">
        <v>539</v>
      </c>
      <c r="D45" s="106" t="s">
        <v>284</v>
      </c>
      <c r="E45" s="106" t="str">
        <f>INDEX(Pipes_result_save_V1!$G$2:$G$206,MATCH(D45,Pipes_result_save_V1!$I$2:$I$206,0))</f>
        <v>N160</v>
      </c>
      <c r="F45" s="106" t="str">
        <f>INDEX(Pipes_result_save_V1!$H$2:$H$206,MATCH(D45,Pipes_result_save_V1!$I$2:$I$206,0))</f>
        <v>N161</v>
      </c>
      <c r="G45" s="106">
        <v>7.8E-2</v>
      </c>
      <c r="H45" s="107">
        <v>350</v>
      </c>
      <c r="I45" s="107">
        <v>150</v>
      </c>
      <c r="J45" s="107">
        <v>78</v>
      </c>
      <c r="K45" s="107">
        <v>12.922565240152053</v>
      </c>
      <c r="L45" s="107">
        <v>7.8E-2</v>
      </c>
      <c r="M45" s="107">
        <v>0.11468534822271816</v>
      </c>
      <c r="N45" s="107">
        <v>2.7230418578009496</v>
      </c>
      <c r="O45" s="107">
        <f>INDEX(Pipes_result_save_V1!$K$2:$K$206,MATCH(D45,Pipes_result_save_V1!$I$2:$I$206,0)) *POWER(10,-3)</f>
        <v>-2.2561313629150391E-2</v>
      </c>
      <c r="P45" s="78">
        <v>6.1283395102213912E-3</v>
      </c>
      <c r="Q45" s="78">
        <f t="shared" si="0"/>
        <v>-1.6432974118929002E-2</v>
      </c>
      <c r="R45" s="78"/>
      <c r="S45" s="78"/>
      <c r="T45" s="78">
        <v>37</v>
      </c>
      <c r="U45" s="78">
        <v>38</v>
      </c>
      <c r="V45" s="78" t="s">
        <v>540</v>
      </c>
      <c r="W45" s="78" t="s">
        <v>285</v>
      </c>
      <c r="X45" s="106" t="str">
        <f>INDEX(Pipes_result_save_V1!$G$2:$G$206,MATCH(W45,Pipes_result_save_V1!$I$2:$I$206,0))</f>
        <v>N159</v>
      </c>
      <c r="Y45" s="106" t="str">
        <f>INDEX(Pipes_result_save_V1!$H$2:$H$206,MATCH(W45,Pipes_result_save_V1!$I$2:$I$206,0))</f>
        <v>N160</v>
      </c>
      <c r="Z45" s="78">
        <v>2.9028999999999999E-2</v>
      </c>
      <c r="AA45" s="78">
        <v>200</v>
      </c>
      <c r="AB45" s="78">
        <v>150</v>
      </c>
      <c r="AC45" s="78">
        <v>84</v>
      </c>
      <c r="AD45" s="78">
        <v>212.50627170460322</v>
      </c>
      <c r="AE45" s="78">
        <v>9.0596935076183563E-2</v>
      </c>
      <c r="AF45" s="78">
        <v>1</v>
      </c>
      <c r="AG45" s="78">
        <v>-1</v>
      </c>
      <c r="AH45" s="78">
        <v>2.4885476694281339</v>
      </c>
      <c r="AI45">
        <v>50.871370868179383</v>
      </c>
      <c r="AJ45" s="107">
        <f>INDEX(Pipes_result_save_V1!$K$2:$K$206,MATCH(W45,Pipes_result_save_V1!$I$2:$I$206,0)) *POWER(10,-3)</f>
        <v>-2.1637012481689449E-2</v>
      </c>
      <c r="AK45" s="78">
        <v>4.1937443302070467E-3</v>
      </c>
      <c r="AL45" s="78">
        <f t="shared" si="1"/>
        <v>-1.7443268151482401E-2</v>
      </c>
      <c r="AP45">
        <v>9</v>
      </c>
      <c r="AS45" t="s">
        <v>380</v>
      </c>
      <c r="AT45" s="233"/>
      <c r="AU45" s="233"/>
      <c r="AV45" s="233"/>
      <c r="AW45" s="233"/>
      <c r="AX45" s="233"/>
      <c r="AY45" s="233"/>
      <c r="AZ45" s="233"/>
      <c r="BA45" s="233"/>
      <c r="BB45">
        <v>-1.2812965939244099</v>
      </c>
      <c r="BC45">
        <v>236.69611504233305</v>
      </c>
      <c r="BJ45">
        <v>0</v>
      </c>
      <c r="BK45">
        <v>38</v>
      </c>
      <c r="BL45" t="s">
        <v>540</v>
      </c>
      <c r="BM45" t="s">
        <v>197</v>
      </c>
      <c r="BN45" s="106" t="str">
        <f>INDEX(Pipes_result_save_V1!$G$2:$G$206,MATCH(BM45,Pipes_result_save_V1!$I$2:$I$206,0))</f>
        <v>N87</v>
      </c>
      <c r="BO45" s="106" t="str">
        <f>INDEX(Pipes_result_save_V1!$H$2:$H$206,MATCH(BM45,Pipes_result_save_V1!$I$2:$I$206,0))</f>
        <v>N88</v>
      </c>
      <c r="BP45">
        <v>0.119923</v>
      </c>
      <c r="BQ45">
        <v>400</v>
      </c>
      <c r="BR45">
        <v>150</v>
      </c>
      <c r="BS45">
        <v>250</v>
      </c>
      <c r="BT45">
        <v>21.613015536351067</v>
      </c>
      <c r="BU45">
        <v>-0.119923</v>
      </c>
      <c r="BV45">
        <v>-0.42544435597132857</v>
      </c>
      <c r="BW45">
        <v>6.5702404647890766</v>
      </c>
      <c r="BX45" s="107">
        <f>INDEX(Pipes_result_save_V1!$K$2:$K$206,MATCH(BM45,Pipes_result_save_V1!$I$2:$I$206,0)) *POWER(10,-3)</f>
        <v>1.6403696060180661E-2</v>
      </c>
      <c r="BY45" s="78">
        <v>6.0888720627317316E-3</v>
      </c>
      <c r="BZ45" s="78">
        <f t="shared" si="3"/>
        <v>1.031482399744893E-2</v>
      </c>
      <c r="CE45">
        <v>17</v>
      </c>
      <c r="CF45">
        <v>38</v>
      </c>
      <c r="CG45" t="s">
        <v>540</v>
      </c>
      <c r="CH45" t="s">
        <v>118</v>
      </c>
      <c r="CI45" s="106" t="str">
        <f>INDEX(Pipes_result_save_V1!$G$2:$G$206,MATCH(CH45,Pipes_result_save_V1!$I$2:$I$206,0))</f>
        <v>N67</v>
      </c>
      <c r="CJ45" s="106" t="str">
        <f>INDEX(Pipes_result_save_V1!$H$2:$H$206,MATCH(CH45,Pipes_result_save_V1!$I$2:$I$206,0))</f>
        <v>N66</v>
      </c>
      <c r="CK45">
        <v>3.2837000000000005E-2</v>
      </c>
      <c r="CL45">
        <v>250</v>
      </c>
      <c r="CM45">
        <v>150</v>
      </c>
      <c r="CN45">
        <v>45</v>
      </c>
      <c r="CO45">
        <v>38.393376368369303</v>
      </c>
      <c r="CP45">
        <v>2.3580796114934299E-2</v>
      </c>
      <c r="CQ45">
        <v>3.7173596474258372E-2</v>
      </c>
      <c r="CR45">
        <v>2.9195579459984784</v>
      </c>
      <c r="CS45" s="107">
        <f>INDEX(Pipes_result_save_V1!$K$2:$K$206,MATCH(CH45,Pipes_result_save_V1!$I$2:$I$206,0)) *POWER(10,-3)</f>
        <v>-1.8314315795898442E-2</v>
      </c>
      <c r="CT45" s="78">
        <v>6.5811502898759523E-3</v>
      </c>
      <c r="CU45" s="78">
        <f t="shared" si="4"/>
        <v>-1.173316550602249E-2</v>
      </c>
      <c r="CY45">
        <v>0</v>
      </c>
      <c r="CZ45">
        <v>38</v>
      </c>
      <c r="DA45" t="s">
        <v>539</v>
      </c>
      <c r="DB45" t="s">
        <v>263</v>
      </c>
      <c r="DC45" s="106" t="str">
        <f>INDEX(Pipes_result_save_V1!$G$2:$G$206,MATCH(DB45,Pipes_result_save_V1!$I$2:$I$206,0))</f>
        <v>N112</v>
      </c>
      <c r="DD45" s="106" t="str">
        <f>INDEX(Pipes_result_save_V1!$H$2:$H$206,MATCH(DB45,Pipes_result_save_V1!$I$2:$I$206,0))</f>
        <v>N111</v>
      </c>
      <c r="DE45">
        <v>3.2837000000000005E-2</v>
      </c>
      <c r="DF45">
        <v>250</v>
      </c>
      <c r="DG45">
        <v>150</v>
      </c>
      <c r="DH45">
        <v>234</v>
      </c>
      <c r="DI45">
        <v>199.64555711552038</v>
      </c>
      <c r="DJ45">
        <v>3.2837000000000005E-2</v>
      </c>
      <c r="DK45">
        <v>0.35691500121726061</v>
      </c>
      <c r="DL45">
        <v>20.12993215745551</v>
      </c>
      <c r="DM45" s="107">
        <f>INDEX(Pipes_result_save_V1!$K$2:$K$206,MATCH(DB45,Pipes_result_save_V1!$I$2:$I$206,0)) *POWER(10,-3)</f>
        <v>-6.3918390274047849E-3</v>
      </c>
      <c r="DN45" s="78">
        <v>5.6339332133300106E-3</v>
      </c>
      <c r="DO45" s="78">
        <f t="shared" si="5"/>
        <v>-7.5790581407477429E-4</v>
      </c>
    </row>
    <row r="46" spans="2:140" ht="30" x14ac:dyDescent="0.25">
      <c r="B46" s="106">
        <v>39</v>
      </c>
      <c r="C46" s="106" t="s">
        <v>539</v>
      </c>
      <c r="D46" s="106" t="s">
        <v>283</v>
      </c>
      <c r="E46" s="106" t="str">
        <f>INDEX(Pipes_result_save_V1!$G$2:$G$206,MATCH(D46,Pipes_result_save_V1!$I$2:$I$206,0))</f>
        <v>N161</v>
      </c>
      <c r="F46" s="106" t="str">
        <f>INDEX(Pipes_result_save_V1!$H$2:$H$206,MATCH(D46,Pipes_result_save_V1!$I$2:$I$206,0))</f>
        <v>N162</v>
      </c>
      <c r="G46" s="106">
        <v>0.151</v>
      </c>
      <c r="H46" s="107">
        <v>466</v>
      </c>
      <c r="I46" s="107">
        <v>150</v>
      </c>
      <c r="J46" s="107">
        <v>151</v>
      </c>
      <c r="K46" s="107">
        <v>6.204099035985351</v>
      </c>
      <c r="L46" s="107">
        <v>0.151</v>
      </c>
      <c r="M46" s="107">
        <v>0.18713026311110245</v>
      </c>
      <c r="N46" s="107">
        <v>2.2951340879586879</v>
      </c>
      <c r="O46" s="107">
        <f>INDEX(Pipes_result_save_V1!$K$2:$K$206,MATCH(D46,Pipes_result_save_V1!$I$2:$I$206,0)) *POWER(10,-3)</f>
        <v>-2.3867883682250981E-2</v>
      </c>
      <c r="P46" s="78">
        <v>6.5314458135635354E-3</v>
      </c>
      <c r="Q46" s="78">
        <f t="shared" si="0"/>
        <v>-1.7336437868687445E-2</v>
      </c>
      <c r="R46" s="78"/>
      <c r="S46" s="78"/>
      <c r="T46" s="78">
        <v>38</v>
      </c>
      <c r="U46" s="78">
        <v>39</v>
      </c>
      <c r="V46" s="78" t="s">
        <v>540</v>
      </c>
      <c r="W46" s="78" t="s">
        <v>284</v>
      </c>
      <c r="X46" s="106" t="str">
        <f>INDEX(Pipes_result_save_V1!$G$2:$G$206,MATCH(W46,Pipes_result_save_V1!$I$2:$I$206,0))</f>
        <v>N160</v>
      </c>
      <c r="Y46" s="106" t="str">
        <f>INDEX(Pipes_result_save_V1!$H$2:$H$206,MATCH(W46,Pipes_result_save_V1!$I$2:$I$206,0))</f>
        <v>N161</v>
      </c>
      <c r="Z46" s="78">
        <v>2.9028999999999999E-2</v>
      </c>
      <c r="AA46" s="78">
        <v>200</v>
      </c>
      <c r="AB46" s="78">
        <v>150</v>
      </c>
      <c r="AC46" s="78">
        <v>78</v>
      </c>
      <c r="AD46" s="78">
        <v>197.32725229713157</v>
      </c>
      <c r="AE46" s="78">
        <v>8.4596935076183558E-2</v>
      </c>
      <c r="AF46" s="78">
        <v>1</v>
      </c>
      <c r="AG46" s="78">
        <v>-1</v>
      </c>
      <c r="AH46" s="78">
        <v>2.0353909603128959</v>
      </c>
      <c r="AI46">
        <v>44.558872671980723</v>
      </c>
      <c r="AJ46" s="107">
        <f>INDEX(Pipes_result_save_V1!$K$2:$K$206,MATCH(W46,Pipes_result_save_V1!$I$2:$I$206,0)) *POWER(10,-3)</f>
        <v>-2.2561313629150391E-2</v>
      </c>
      <c r="AK46" s="78">
        <v>5.5915740305501321E-4</v>
      </c>
      <c r="AL46" s="78">
        <f t="shared" si="1"/>
        <v>-2.2002156226095377E-2</v>
      </c>
      <c r="AS46" t="s">
        <v>381</v>
      </c>
      <c r="AT46" s="233">
        <v>5.4132557000153986E-3</v>
      </c>
      <c r="AU46" s="233"/>
      <c r="AV46" s="233"/>
      <c r="AW46" s="233"/>
      <c r="AX46" s="233"/>
      <c r="AY46" s="233"/>
      <c r="AZ46" s="233"/>
      <c r="BA46" s="233"/>
      <c r="BB46" s="233"/>
      <c r="BC46" s="233"/>
      <c r="BJ46">
        <v>0</v>
      </c>
      <c r="BK46">
        <v>39</v>
      </c>
      <c r="BL46" t="s">
        <v>540</v>
      </c>
      <c r="BM46" t="s">
        <v>196</v>
      </c>
      <c r="BN46" s="106" t="str">
        <f>INDEX(Pipes_result_save_V1!$G$2:$G$206,MATCH(BM46,Pipes_result_save_V1!$I$2:$I$206,0))</f>
        <v>N88</v>
      </c>
      <c r="BO46" s="106" t="str">
        <f>INDEX(Pipes_result_save_V1!$H$2:$H$206,MATCH(BM46,Pipes_result_save_V1!$I$2:$I$206,0))</f>
        <v>N89</v>
      </c>
      <c r="BP46">
        <v>0.119923</v>
      </c>
      <c r="BQ46">
        <v>400</v>
      </c>
      <c r="BR46">
        <v>150</v>
      </c>
      <c r="BS46">
        <v>63</v>
      </c>
      <c r="BT46">
        <v>5.4464799151604693</v>
      </c>
      <c r="BU46">
        <v>-0.119923</v>
      </c>
      <c r="BV46">
        <v>-0.10721197770477481</v>
      </c>
      <c r="BW46">
        <v>1.6557005971268473</v>
      </c>
      <c r="BX46" s="107">
        <f>INDEX(Pipes_result_save_V1!$K$2:$K$206,MATCH(BM46,Pipes_result_save_V1!$I$2:$I$206,0)) *POWER(10,-3)</f>
        <v>1.461785984039307E-2</v>
      </c>
      <c r="BY46" s="78">
        <v>5.6274837406080575E-3</v>
      </c>
      <c r="BZ46" s="78">
        <f t="shared" si="3"/>
        <v>8.9903760997850114E-3</v>
      </c>
      <c r="CE46">
        <v>18</v>
      </c>
      <c r="CF46">
        <v>39</v>
      </c>
      <c r="CG46" t="s">
        <v>540</v>
      </c>
      <c r="CH46" t="s">
        <v>117</v>
      </c>
      <c r="CI46" s="106" t="str">
        <f>INDEX(Pipes_result_save_V1!$G$2:$G$206,MATCH(CH46,Pipes_result_save_V1!$I$2:$I$206,0))</f>
        <v>N68</v>
      </c>
      <c r="CJ46" s="106" t="str">
        <f>INDEX(Pipes_result_save_V1!$H$2:$H$206,MATCH(CH46,Pipes_result_save_V1!$I$2:$I$206,0))</f>
        <v>N67</v>
      </c>
      <c r="CK46">
        <v>3.2837000000000005E-2</v>
      </c>
      <c r="CL46">
        <v>250</v>
      </c>
      <c r="CM46">
        <v>150</v>
      </c>
      <c r="CN46">
        <v>100</v>
      </c>
      <c r="CO46">
        <v>85.318614151931783</v>
      </c>
      <c r="CP46">
        <v>2.3580796114934299E-2</v>
      </c>
      <c r="CQ46">
        <v>8.2607992165018601E-2</v>
      </c>
      <c r="CR46">
        <v>6.487906546663285</v>
      </c>
      <c r="CS46" s="107">
        <f>INDEX(Pipes_result_save_V1!$K$2:$K$206,MATCH(CH46,Pipes_result_save_V1!$I$2:$I$206,0)) *POWER(10,-3)</f>
        <v>-1.748701095581055E-2</v>
      </c>
      <c r="CT46" s="78">
        <v>6.1188648398937239E-3</v>
      </c>
      <c r="CU46" s="78">
        <f t="shared" si="4"/>
        <v>-1.1368146115916826E-2</v>
      </c>
      <c r="CY46">
        <v>0</v>
      </c>
      <c r="CZ46">
        <v>39</v>
      </c>
      <c r="DA46" t="s">
        <v>539</v>
      </c>
      <c r="DB46" t="s">
        <v>264</v>
      </c>
      <c r="DC46" s="106" t="str">
        <f>INDEX(Pipes_result_save_V1!$G$2:$G$206,MATCH(DB46,Pipes_result_save_V1!$I$2:$I$206,0))</f>
        <v>N113</v>
      </c>
      <c r="DD46" s="106" t="str">
        <f>INDEX(Pipes_result_save_V1!$H$2:$H$206,MATCH(DB46,Pipes_result_save_V1!$I$2:$I$206,0))</f>
        <v>N112</v>
      </c>
      <c r="DE46">
        <v>3.2837000000000005E-2</v>
      </c>
      <c r="DF46">
        <v>250</v>
      </c>
      <c r="DG46">
        <v>150</v>
      </c>
      <c r="DH46">
        <v>74</v>
      </c>
      <c r="DI46">
        <v>63.135774472429517</v>
      </c>
      <c r="DJ46">
        <v>3.2837000000000005E-2</v>
      </c>
      <c r="DK46">
        <v>0.1128705559405012</v>
      </c>
      <c r="DL46">
        <v>6.3658759814175534</v>
      </c>
      <c r="DM46" s="107">
        <f>INDEX(Pipes_result_save_V1!$K$2:$K$206,MATCH(DB46,Pipes_result_save_V1!$I$2:$I$206,0)) *POWER(10,-3)</f>
        <v>-4.6345300674438478E-3</v>
      </c>
      <c r="DN46" s="78">
        <v>6.322056607243034E-3</v>
      </c>
      <c r="DO46" s="78">
        <f t="shared" si="5"/>
        <v>1.6875265397991862E-3</v>
      </c>
    </row>
    <row r="47" spans="2:140" ht="30" x14ac:dyDescent="0.25">
      <c r="B47" s="106">
        <v>40</v>
      </c>
      <c r="C47" s="106" t="s">
        <v>539</v>
      </c>
      <c r="D47" s="106" t="s">
        <v>280</v>
      </c>
      <c r="E47" s="106" t="str">
        <f>INDEX(Pipes_result_save_V1!$G$2:$G$206,MATCH(D47,Pipes_result_save_V1!$I$2:$I$206,0))</f>
        <v>N162</v>
      </c>
      <c r="F47" s="106" t="str">
        <f>INDEX(Pipes_result_save_V1!$H$2:$H$206,MATCH(D47,Pipes_result_save_V1!$I$2:$I$206,0))</f>
        <v>N163</v>
      </c>
      <c r="G47" s="106">
        <v>5.3999999999999999E-2</v>
      </c>
      <c r="H47" s="107">
        <v>300</v>
      </c>
      <c r="I47" s="107">
        <v>150</v>
      </c>
      <c r="J47" s="107">
        <v>54</v>
      </c>
      <c r="K47" s="107">
        <v>18.955956474300912</v>
      </c>
      <c r="L47" s="107">
        <v>5.3999999999999999E-2</v>
      </c>
      <c r="M47" s="107">
        <v>8.5141039063695509E-2</v>
      </c>
      <c r="N47" s="107">
        <v>2.9200223027030376</v>
      </c>
      <c r="O47" s="107">
        <f>INDEX(Pipes_result_save_V1!$K$2:$K$206,MATCH(D47,Pipes_result_save_V1!$I$2:$I$206,0)) *POWER(10,-3)</f>
        <v>-2.5037521362304693E-2</v>
      </c>
      <c r="P47" s="78">
        <v>5.4713251562226988E-3</v>
      </c>
      <c r="Q47" s="78">
        <f t="shared" si="0"/>
        <v>-1.9566196206081993E-2</v>
      </c>
      <c r="R47" s="78"/>
      <c r="S47" s="78"/>
      <c r="T47" s="78">
        <v>39</v>
      </c>
      <c r="U47" s="78">
        <v>40</v>
      </c>
      <c r="V47" s="78" t="s">
        <v>540</v>
      </c>
      <c r="W47" s="78" t="s">
        <v>283</v>
      </c>
      <c r="X47" s="106" t="str">
        <f>INDEX(Pipes_result_save_V1!$G$2:$G$206,MATCH(W47,Pipes_result_save_V1!$I$2:$I$206,0))</f>
        <v>N161</v>
      </c>
      <c r="Y47" s="106" t="str">
        <f>INDEX(Pipes_result_save_V1!$H$2:$H$206,MATCH(W47,Pipes_result_save_V1!$I$2:$I$206,0))</f>
        <v>N162</v>
      </c>
      <c r="Z47" s="78">
        <v>2.9028999999999999E-2</v>
      </c>
      <c r="AA47" s="78">
        <v>200</v>
      </c>
      <c r="AB47" s="78">
        <v>150</v>
      </c>
      <c r="AC47" s="78">
        <v>151</v>
      </c>
      <c r="AD47" s="78">
        <v>382.0053217547034</v>
      </c>
      <c r="AE47" s="78">
        <v>0.15759693507618355</v>
      </c>
      <c r="AF47" s="78">
        <v>1</v>
      </c>
      <c r="AG47" s="78">
        <v>-1</v>
      </c>
      <c r="AH47" s="78">
        <v>12.471763818331654</v>
      </c>
      <c r="AI47">
        <v>146.56190223740467</v>
      </c>
      <c r="AJ47" s="107">
        <f>INDEX(Pipes_result_save_V1!$K$2:$K$206,MATCH(W47,Pipes_result_save_V1!$I$2:$I$206,0)) *POWER(10,-3)</f>
        <v>-2.3867883682250981E-2</v>
      </c>
      <c r="AK47" s="78">
        <v>2.4399633518748689E-3</v>
      </c>
      <c r="AL47" s="78">
        <f t="shared" si="1"/>
        <v>-2.1427920330376111E-2</v>
      </c>
      <c r="BJ47">
        <v>0</v>
      </c>
      <c r="BK47">
        <v>40</v>
      </c>
      <c r="BL47" t="s">
        <v>540</v>
      </c>
      <c r="BM47" t="s">
        <v>195</v>
      </c>
      <c r="BN47" s="106" t="str">
        <f>INDEX(Pipes_result_save_V1!$G$2:$G$206,MATCH(BM47,Pipes_result_save_V1!$I$2:$I$206,0))</f>
        <v>N89</v>
      </c>
      <c r="BO47" s="106" t="str">
        <f>INDEX(Pipes_result_save_V1!$H$2:$H$206,MATCH(BM47,Pipes_result_save_V1!$I$2:$I$206,0))</f>
        <v>N90</v>
      </c>
      <c r="BP47">
        <v>0.119923</v>
      </c>
      <c r="BQ47">
        <v>400</v>
      </c>
      <c r="BR47">
        <v>150</v>
      </c>
      <c r="BS47">
        <v>41</v>
      </c>
      <c r="BT47">
        <v>3.5445345479615753</v>
      </c>
      <c r="BU47">
        <v>-0.119923</v>
      </c>
      <c r="BV47">
        <v>-6.9772874379297897E-2</v>
      </c>
      <c r="BW47">
        <v>1.0775194362254086</v>
      </c>
      <c r="BX47" s="107">
        <f>INDEX(Pipes_result_save_V1!$K$2:$K$206,MATCH(BM47,Pipes_result_save_V1!$I$2:$I$206,0)) *POWER(10,-3)</f>
        <v>1.402448272705078E-2</v>
      </c>
      <c r="BY47" s="78">
        <v>5.8155244189792895E-3</v>
      </c>
      <c r="BZ47" s="78">
        <f t="shared" si="3"/>
        <v>8.2089583080714908E-3</v>
      </c>
      <c r="CE47">
        <v>19</v>
      </c>
      <c r="CF47">
        <v>40</v>
      </c>
      <c r="CG47" t="s">
        <v>540</v>
      </c>
      <c r="CH47" t="s">
        <v>116</v>
      </c>
      <c r="CI47" s="106" t="str">
        <f>INDEX(Pipes_result_save_V1!$G$2:$G$206,MATCH(CH47,Pipes_result_save_V1!$I$2:$I$206,0))</f>
        <v>N69</v>
      </c>
      <c r="CJ47" s="106" t="str">
        <f>INDEX(Pipes_result_save_V1!$H$2:$H$206,MATCH(CH47,Pipes_result_save_V1!$I$2:$I$206,0))</f>
        <v>N68</v>
      </c>
      <c r="CK47">
        <v>3.2835999999999997E-2</v>
      </c>
      <c r="CL47">
        <v>250</v>
      </c>
      <c r="CM47">
        <v>150</v>
      </c>
      <c r="CN47">
        <v>202</v>
      </c>
      <c r="CO47">
        <v>172.3436005869022</v>
      </c>
      <c r="CP47">
        <v>2.3579796114934291E-2</v>
      </c>
      <c r="CQ47">
        <v>0.1668550388388729</v>
      </c>
      <c r="CR47">
        <v>13.105097704126349</v>
      </c>
      <c r="CS47" s="107">
        <f>INDEX(Pipes_result_save_V1!$K$2:$K$206,MATCH(CH47,Pipes_result_save_V1!$I$2:$I$206,0)) *POWER(10,-3)</f>
        <v>-1.5763935089111329E-2</v>
      </c>
      <c r="CT47" s="78">
        <v>6.1704841590305539E-3</v>
      </c>
      <c r="CU47" s="78">
        <f t="shared" si="4"/>
        <v>-9.5934509300807762E-3</v>
      </c>
      <c r="CY47">
        <v>0</v>
      </c>
      <c r="CZ47">
        <v>40</v>
      </c>
      <c r="DA47" t="s">
        <v>539</v>
      </c>
      <c r="DB47" t="s">
        <v>266</v>
      </c>
      <c r="DC47" s="106" t="str">
        <f>INDEX(Pipes_result_save_V1!$G$2:$G$206,MATCH(DB47,Pipes_result_save_V1!$I$2:$I$206,0))</f>
        <v>N114</v>
      </c>
      <c r="DD47" s="106" t="str">
        <f>INDEX(Pipes_result_save_V1!$H$2:$H$206,MATCH(DB47,Pipes_result_save_V1!$I$2:$I$206,0))</f>
        <v>N113</v>
      </c>
      <c r="DE47">
        <v>3.2837000000000005E-2</v>
      </c>
      <c r="DF47">
        <v>250</v>
      </c>
      <c r="DG47">
        <v>150</v>
      </c>
      <c r="DH47">
        <v>79</v>
      </c>
      <c r="DI47">
        <v>67.401705180026113</v>
      </c>
      <c r="DJ47">
        <v>3.2837000000000005E-2</v>
      </c>
      <c r="DK47">
        <v>0.12049694485539995</v>
      </c>
      <c r="DL47">
        <v>6.7960027369187399</v>
      </c>
      <c r="DM47" s="107">
        <f>INDEX(Pipes_result_save_V1!$K$2:$K$206,MATCH(DB47,Pipes_result_save_V1!$I$2:$I$206,0)) *POWER(10,-3)</f>
        <v>-3.761581182479858E-3</v>
      </c>
      <c r="DN47" s="78">
        <v>5.3573692531348055E-3</v>
      </c>
      <c r="DO47" s="78">
        <f t="shared" si="5"/>
        <v>1.5957880706549475E-3</v>
      </c>
    </row>
    <row r="48" spans="2:140" ht="30" x14ac:dyDescent="0.25">
      <c r="B48" s="106">
        <v>41</v>
      </c>
      <c r="C48" s="106" t="s">
        <v>539</v>
      </c>
      <c r="D48" s="106" t="s">
        <v>282</v>
      </c>
      <c r="E48" s="106" t="str">
        <f>INDEX(Pipes_result_save_V1!$G$2:$G$206,MATCH(D48,Pipes_result_save_V1!$I$2:$I$206,0))</f>
        <v>N163</v>
      </c>
      <c r="F48" s="106" t="str">
        <f>INDEX(Pipes_result_save_V1!$H$2:$H$206,MATCH(D48,Pipes_result_save_V1!$I$2:$I$206,0))</f>
        <v>N164</v>
      </c>
      <c r="G48" s="106">
        <v>3.5000000000000003E-2</v>
      </c>
      <c r="H48" s="107">
        <v>250</v>
      </c>
      <c r="I48" s="107">
        <v>150</v>
      </c>
      <c r="J48" s="107">
        <v>35</v>
      </c>
      <c r="K48" s="107">
        <v>29.861514953176123</v>
      </c>
      <c r="L48" s="107">
        <v>3.5000000000000003E-2</v>
      </c>
      <c r="M48" s="107">
        <v>6.0079437098534257E-2</v>
      </c>
      <c r="N48" s="107">
        <v>3.1790605001852987</v>
      </c>
      <c r="O48" s="107">
        <f>INDEX(Pipes_result_save_V1!$K$2:$K$206,MATCH(D48,Pipes_result_save_V1!$I$2:$I$206,0)) *POWER(10,-3)</f>
        <v>-2.5545314788818361E-2</v>
      </c>
      <c r="P48" s="78">
        <v>5.8142214698149782E-3</v>
      </c>
      <c r="Q48" s="78">
        <f t="shared" si="0"/>
        <v>-1.9731093319003384E-2</v>
      </c>
      <c r="R48" s="78"/>
      <c r="S48" s="78"/>
      <c r="T48" s="78">
        <v>40</v>
      </c>
      <c r="U48" s="78">
        <v>41</v>
      </c>
      <c r="V48" s="78" t="s">
        <v>540</v>
      </c>
      <c r="W48" s="78" t="s">
        <v>280</v>
      </c>
      <c r="X48" s="106" t="str">
        <f>INDEX(Pipes_result_save_V1!$G$2:$G$206,MATCH(W48,Pipes_result_save_V1!$I$2:$I$206,0))</f>
        <v>N162</v>
      </c>
      <c r="Y48" s="106" t="str">
        <f>INDEX(Pipes_result_save_V1!$H$2:$H$206,MATCH(W48,Pipes_result_save_V1!$I$2:$I$206,0))</f>
        <v>N163</v>
      </c>
      <c r="Z48" s="78">
        <v>2.9028999999999999E-2</v>
      </c>
      <c r="AA48" s="78">
        <v>200</v>
      </c>
      <c r="AB48" s="78">
        <v>150</v>
      </c>
      <c r="AC48" s="78">
        <v>54</v>
      </c>
      <c r="AD48" s="78">
        <v>136.61117466724494</v>
      </c>
      <c r="AE48" s="78">
        <v>6.059693507618355E-2</v>
      </c>
      <c r="AF48" s="78">
        <v>1</v>
      </c>
      <c r="AG48" s="78">
        <v>-1</v>
      </c>
      <c r="AH48" s="78">
        <v>0.75959980646985081</v>
      </c>
      <c r="AI48">
        <v>23.215346449676638</v>
      </c>
      <c r="AJ48" s="107">
        <f>INDEX(Pipes_result_save_V1!$K$2:$K$206,MATCH(W48,Pipes_result_save_V1!$I$2:$I$206,0)) *POWER(10,-3)</f>
        <v>-2.5037521362304693E-2</v>
      </c>
      <c r="AK48" s="78">
        <v>2.1572128217552228E-3</v>
      </c>
      <c r="AL48" s="78">
        <f t="shared" si="1"/>
        <v>-2.2880308540549472E-2</v>
      </c>
      <c r="BJ48">
        <v>0</v>
      </c>
      <c r="BK48">
        <v>41</v>
      </c>
      <c r="BL48" t="s">
        <v>540</v>
      </c>
      <c r="BM48" t="s">
        <v>194</v>
      </c>
      <c r="BN48" s="106" t="str">
        <f>INDEX(Pipes_result_save_V1!$G$2:$G$206,MATCH(BM48,Pipes_result_save_V1!$I$2:$I$206,0))</f>
        <v>N90</v>
      </c>
      <c r="BO48" s="106" t="str">
        <f>INDEX(Pipes_result_save_V1!$H$2:$H$206,MATCH(BM48,Pipes_result_save_V1!$I$2:$I$206,0))</f>
        <v>N91</v>
      </c>
      <c r="BP48">
        <v>0.119923</v>
      </c>
      <c r="BQ48">
        <v>400</v>
      </c>
      <c r="BR48">
        <v>150</v>
      </c>
      <c r="BS48">
        <v>201</v>
      </c>
      <c r="BT48">
        <v>17.376864491226261</v>
      </c>
      <c r="BU48">
        <v>-0.119923</v>
      </c>
      <c r="BV48">
        <v>-0.34205726220094823</v>
      </c>
      <c r="BW48">
        <v>5.2824733336904179</v>
      </c>
      <c r="BX48" s="107">
        <f>INDEX(Pipes_result_save_V1!$K$2:$K$206,MATCH(BM48,Pipes_result_save_V1!$I$2:$I$206,0)) *POWER(10,-3)</f>
        <v>1.264373970031738E-2</v>
      </c>
      <c r="BY48" s="78">
        <v>5.4720869442523943E-3</v>
      </c>
      <c r="BZ48" s="78">
        <f t="shared" si="3"/>
        <v>7.1716527560649855E-3</v>
      </c>
      <c r="CE48">
        <v>0</v>
      </c>
      <c r="CF48">
        <v>41</v>
      </c>
      <c r="CG48" t="s">
        <v>539</v>
      </c>
      <c r="CH48" t="s">
        <v>417</v>
      </c>
      <c r="CI48" s="106" t="str">
        <f>INDEX(Pipes_result_save_V1!$G$2:$G$206,MATCH(CH48,Pipes_result_save_V1!$I$2:$I$206,0))</f>
        <v>R2</v>
      </c>
      <c r="CJ48" s="106" t="str">
        <f>INDEX(Pipes_result_save_V1!$H$2:$H$206,MATCH(CH48,Pipes_result_save_V1!$I$2:$I$206,0))</f>
        <v>N41</v>
      </c>
      <c r="CK48">
        <v>9.851E-2</v>
      </c>
      <c r="CL48">
        <v>400</v>
      </c>
      <c r="CM48">
        <v>150</v>
      </c>
      <c r="CN48">
        <v>9</v>
      </c>
      <c r="CO48">
        <v>0.7780685593086385</v>
      </c>
      <c r="CP48">
        <v>9.851E-2</v>
      </c>
      <c r="CQ48">
        <v>1.0640043839006231E-2</v>
      </c>
      <c r="CR48">
        <v>0.20003412029072726</v>
      </c>
      <c r="CS48" s="107">
        <f>INDEX(Pipes_result_save_V1!$K$2:$K$206,MATCH(CH48,Pipes_result_save_V1!$I$2:$I$206,0)) *POWER(10,-3)</f>
        <v>0</v>
      </c>
      <c r="CT48" s="78">
        <v>6.5493759904765017E-3</v>
      </c>
      <c r="CU48" s="78">
        <f t="shared" si="4"/>
        <v>0</v>
      </c>
      <c r="CY48">
        <v>0</v>
      </c>
      <c r="CZ48">
        <v>41</v>
      </c>
      <c r="DA48" t="s">
        <v>539</v>
      </c>
      <c r="DB48" t="s">
        <v>276</v>
      </c>
      <c r="DC48" s="106" t="str">
        <f>INDEX(Pipes_result_save_V1!$G$2:$G$206,MATCH(DB48,Pipes_result_save_V1!$I$2:$I$206,0))</f>
        <v>N115</v>
      </c>
      <c r="DD48" s="106" t="str">
        <f>INDEX(Pipes_result_save_V1!$H$2:$H$206,MATCH(DB48,Pipes_result_save_V1!$I$2:$I$206,0))</f>
        <v>N114</v>
      </c>
      <c r="DE48">
        <v>3.2837000000000005E-2</v>
      </c>
      <c r="DF48">
        <v>250</v>
      </c>
      <c r="DG48">
        <v>150</v>
      </c>
      <c r="DH48">
        <v>241</v>
      </c>
      <c r="DI48">
        <v>205.6178601061556</v>
      </c>
      <c r="DJ48">
        <v>3.2837000000000005E-2</v>
      </c>
      <c r="DK48">
        <v>0.36759194569811882</v>
      </c>
      <c r="DL48">
        <v>20.732109615157171</v>
      </c>
      <c r="DM48" s="107">
        <f>INDEX(Pipes_result_save_V1!$K$2:$K$206,MATCH(DB48,Pipes_result_save_V1!$I$2:$I$206,0)) *POWER(10,-3)</f>
        <v>-1.935805678367615E-3</v>
      </c>
      <c r="DN48" s="78">
        <v>5.8139980983665986E-3</v>
      </c>
      <c r="DO48" s="78">
        <f t="shared" si="5"/>
        <v>3.8781924199989834E-3</v>
      </c>
    </row>
    <row r="49" spans="2:119" ht="30" x14ac:dyDescent="0.25">
      <c r="B49" s="106">
        <v>42</v>
      </c>
      <c r="C49" s="106" t="s">
        <v>539</v>
      </c>
      <c r="D49" s="106" t="s">
        <v>430</v>
      </c>
      <c r="E49" s="106" t="str">
        <f>INDEX(Pipes_result_save_V1!$G$2:$G$206,MATCH(D49,Pipes_result_save_V1!$I$2:$I$206,0))</f>
        <v>N164</v>
      </c>
      <c r="F49" s="106" t="str">
        <f>INDEX(Pipes_result_save_V1!$H$2:$H$206,MATCH(D49,Pipes_result_save_V1!$I$2:$I$206,0))</f>
        <v>N165</v>
      </c>
      <c r="G49" s="106">
        <v>8.7999999999999995E-2</v>
      </c>
      <c r="H49" s="107">
        <v>350</v>
      </c>
      <c r="I49" s="107">
        <v>150</v>
      </c>
      <c r="J49" s="107">
        <v>88</v>
      </c>
      <c r="K49" s="107">
        <v>14.579304373504881</v>
      </c>
      <c r="L49" s="107">
        <v>8.7999999999999995E-2</v>
      </c>
      <c r="M49" s="107">
        <v>0.16177772046556005</v>
      </c>
      <c r="N49" s="107">
        <v>3.4046856625251967</v>
      </c>
      <c r="O49" s="107">
        <f>INDEX(Pipes_result_save_V1!$K$2:$K$206,MATCH(D49,Pipes_result_save_V1!$I$2:$I$206,0)) *POWER(10,-3)</f>
        <v>-2.624709701538086E-2</v>
      </c>
      <c r="P49" s="78">
        <v>5.1295262473634706E-3</v>
      </c>
      <c r="Q49" s="78">
        <f t="shared" si="0"/>
        <v>-2.1117570768017388E-2</v>
      </c>
      <c r="R49" s="78"/>
      <c r="S49" s="78"/>
      <c r="T49" s="78">
        <v>41</v>
      </c>
      <c r="U49" s="78">
        <v>42</v>
      </c>
      <c r="V49" s="78" t="s">
        <v>540</v>
      </c>
      <c r="W49" s="78" t="s">
        <v>282</v>
      </c>
      <c r="X49" s="106" t="str">
        <f>INDEX(Pipes_result_save_V1!$G$2:$G$206,MATCH(W49,Pipes_result_save_V1!$I$2:$I$206,0))</f>
        <v>N163</v>
      </c>
      <c r="Y49" s="106" t="str">
        <f>INDEX(Pipes_result_save_V1!$H$2:$H$206,MATCH(W49,Pipes_result_save_V1!$I$2:$I$206,0))</f>
        <v>N164</v>
      </c>
      <c r="Z49" s="78">
        <v>2.9028999999999999E-2</v>
      </c>
      <c r="AA49" s="78">
        <v>200</v>
      </c>
      <c r="AB49" s="78">
        <v>150</v>
      </c>
      <c r="AC49" s="78">
        <v>35</v>
      </c>
      <c r="AD49" s="78">
        <v>88.544279876918011</v>
      </c>
      <c r="AE49" s="78">
        <v>4.1596935076183561E-2</v>
      </c>
      <c r="AF49" s="78">
        <v>1</v>
      </c>
      <c r="AG49" s="78">
        <v>-1</v>
      </c>
      <c r="AH49" s="78">
        <v>0.24527997752358771</v>
      </c>
      <c r="AI49">
        <v>10.920480500347525</v>
      </c>
      <c r="AJ49" s="107">
        <f>INDEX(Pipes_result_save_V1!$K$2:$K$206,MATCH(W49,Pipes_result_save_V1!$I$2:$I$206,0)) *POWER(10,-3)</f>
        <v>-2.5545314788818361E-2</v>
      </c>
      <c r="AK49" s="78">
        <v>4.4473267180016995E-3</v>
      </c>
      <c r="AL49" s="78">
        <f t="shared" si="1"/>
        <v>-2.1097988070816663E-2</v>
      </c>
      <c r="BJ49">
        <v>0</v>
      </c>
      <c r="BK49">
        <v>42</v>
      </c>
      <c r="BL49" t="s">
        <v>540</v>
      </c>
      <c r="BM49" t="s">
        <v>425</v>
      </c>
      <c r="BN49" s="106" t="str">
        <f>INDEX(Pipes_result_save_V1!$G$2:$G$206,MATCH(BM49,Pipes_result_save_V1!$I$2:$I$206,0))</f>
        <v>N91</v>
      </c>
      <c r="BO49" s="106" t="str">
        <f>INDEX(Pipes_result_save_V1!$H$2:$H$206,MATCH(BM49,Pipes_result_save_V1!$I$2:$I$206,0))</f>
        <v>N92</v>
      </c>
      <c r="BP49">
        <v>0.119923</v>
      </c>
      <c r="BQ49">
        <v>400</v>
      </c>
      <c r="BR49">
        <v>150</v>
      </c>
      <c r="BS49">
        <v>129</v>
      </c>
      <c r="BT49">
        <v>11.152316016757153</v>
      </c>
      <c r="BU49">
        <v>-0.119923</v>
      </c>
      <c r="BV49">
        <v>-0.21952928768120558</v>
      </c>
      <c r="BW49">
        <v>3.3902440798311639</v>
      </c>
      <c r="BX49" s="107">
        <f>INDEX(Pipes_result_save_V1!$K$2:$K$206,MATCH(BM49,Pipes_result_save_V1!$I$2:$I$206,0)) *POWER(10,-3)</f>
        <v>1.0760909080505369E-2</v>
      </c>
      <c r="BY49" s="78">
        <v>6.3134524301300537E-3</v>
      </c>
      <c r="BZ49" s="78">
        <f t="shared" si="3"/>
        <v>4.447456650375315E-3</v>
      </c>
      <c r="CH49" t="s">
        <v>380</v>
      </c>
      <c r="CQ49">
        <v>2.2952384014795748</v>
      </c>
      <c r="CR49">
        <v>198.13258060074335</v>
      </c>
      <c r="CY49">
        <v>0</v>
      </c>
      <c r="CZ49">
        <v>42</v>
      </c>
      <c r="DA49" t="s">
        <v>539</v>
      </c>
      <c r="DB49" t="s">
        <v>316</v>
      </c>
      <c r="DC49" s="106" t="str">
        <f>INDEX(Pipes_result_save_V1!$G$2:$G$206,MATCH(DB49,Pipes_result_save_V1!$I$2:$I$206,0))</f>
        <v>N116</v>
      </c>
      <c r="DD49" s="106" t="str">
        <f>INDEX(Pipes_result_save_V1!$H$2:$H$206,MATCH(DB49,Pipes_result_save_V1!$I$2:$I$206,0))</f>
        <v>N115</v>
      </c>
      <c r="DE49">
        <v>3.2837000000000005E-2</v>
      </c>
      <c r="DF49">
        <v>250</v>
      </c>
      <c r="DG49">
        <v>150</v>
      </c>
      <c r="DH49">
        <v>61</v>
      </c>
      <c r="DI49">
        <v>52.044354632678385</v>
      </c>
      <c r="DJ49">
        <v>3.2837000000000005E-2</v>
      </c>
      <c r="DK49">
        <v>9.30419447617645E-2</v>
      </c>
      <c r="DL49">
        <v>5.2475464171144699</v>
      </c>
      <c r="DM49" s="107">
        <f>INDEX(Pipes_result_save_V1!$K$2:$K$206,MATCH(DB49,Pipes_result_save_V1!$I$2:$I$206,0)) *POWER(10,-3)</f>
        <v>-2.1272979676723481E-4</v>
      </c>
      <c r="DN49" s="78">
        <v>6.5067774447843396E-3</v>
      </c>
      <c r="DO49" s="78">
        <f t="shared" si="5"/>
        <v>6.2940476480171049E-3</v>
      </c>
    </row>
    <row r="50" spans="2:119" ht="30" x14ac:dyDescent="0.25">
      <c r="B50" s="106">
        <v>43</v>
      </c>
      <c r="C50" s="106" t="s">
        <v>540</v>
      </c>
      <c r="D50" s="106" t="s">
        <v>252</v>
      </c>
      <c r="E50" s="106" t="str">
        <f>INDEX(Pipes_result_save_V1!$G$2:$G$206,MATCH(D50,Pipes_result_save_V1!$I$2:$I$206,0))</f>
        <v>N166</v>
      </c>
      <c r="F50" s="106" t="str">
        <f>INDEX(Pipes_result_save_V1!$H$2:$H$206,MATCH(D50,Pipes_result_save_V1!$I$2:$I$206,0))</f>
        <v>N167</v>
      </c>
      <c r="G50" s="106">
        <v>0.23</v>
      </c>
      <c r="H50" s="107">
        <v>565</v>
      </c>
      <c r="I50" s="107">
        <v>150</v>
      </c>
      <c r="J50" s="107">
        <v>230</v>
      </c>
      <c r="K50" s="107">
        <v>3.6975105465835916</v>
      </c>
      <c r="L50" s="107">
        <v>-0.23</v>
      </c>
      <c r="M50" s="107">
        <v>-0.24312486288101076</v>
      </c>
      <c r="N50" s="107">
        <v>1.9576836785027469</v>
      </c>
      <c r="O50" s="107">
        <f>INDEX(Pipes_result_save_V1!$K$2:$K$206,MATCH(D50,Pipes_result_save_V1!$I$2:$I$206,0)) *POWER(10,-3)</f>
        <v>1.17913990020752E-2</v>
      </c>
      <c r="P50" s="78">
        <v>6.070937579094801E-3</v>
      </c>
      <c r="Q50" s="78">
        <f t="shared" si="0"/>
        <v>5.7204614229803994E-3</v>
      </c>
      <c r="R50" s="78"/>
      <c r="S50" s="78"/>
      <c r="T50" s="78">
        <v>42</v>
      </c>
      <c r="U50" s="78">
        <v>43</v>
      </c>
      <c r="V50" s="78" t="s">
        <v>540</v>
      </c>
      <c r="W50" s="78" t="s">
        <v>430</v>
      </c>
      <c r="X50" s="106" t="str">
        <f>INDEX(Pipes_result_save_V1!$G$2:$G$206,MATCH(W50,Pipes_result_save_V1!$I$2:$I$206,0))</f>
        <v>N164</v>
      </c>
      <c r="Y50" s="106" t="str">
        <f>INDEX(Pipes_result_save_V1!$H$2:$H$206,MATCH(W50,Pipes_result_save_V1!$I$2:$I$206,0))</f>
        <v>N165</v>
      </c>
      <c r="Z50" s="78">
        <v>2.9028999999999999E-2</v>
      </c>
      <c r="AA50" s="78">
        <v>200</v>
      </c>
      <c r="AB50" s="78">
        <v>150</v>
      </c>
      <c r="AC50" s="78">
        <v>88</v>
      </c>
      <c r="AD50" s="78">
        <v>222.62561797625102</v>
      </c>
      <c r="AE50" s="78">
        <v>9.4596935076183553E-2</v>
      </c>
      <c r="AF50" s="78">
        <v>1</v>
      </c>
      <c r="AG50" s="78">
        <v>-1</v>
      </c>
      <c r="AH50" s="78">
        <v>2.8242261078771005</v>
      </c>
      <c r="AI50">
        <v>55.29213761075917</v>
      </c>
      <c r="AJ50" s="107">
        <f>INDEX(Pipes_result_save_V1!$K$2:$K$206,MATCH(W50,Pipes_result_save_V1!$I$2:$I$206,0)) *POWER(10,-3)</f>
        <v>-2.624709701538086E-2</v>
      </c>
      <c r="AK50" s="78">
        <v>2.9347842678458646E-3</v>
      </c>
      <c r="AL50" s="78">
        <f t="shared" si="1"/>
        <v>-2.3312312747534994E-2</v>
      </c>
      <c r="BJ50">
        <v>0</v>
      </c>
      <c r="BK50">
        <v>43</v>
      </c>
      <c r="BL50" t="s">
        <v>540</v>
      </c>
      <c r="BM50" t="s">
        <v>183</v>
      </c>
      <c r="BN50" s="106" t="str">
        <f>INDEX(Pipes_result_save_V1!$G$2:$G$206,MATCH(BM50,Pipes_result_save_V1!$I$2:$I$206,0))</f>
        <v>N92</v>
      </c>
      <c r="BO50" s="106" t="str">
        <f>INDEX(Pipes_result_save_V1!$H$2:$H$206,MATCH(BM50,Pipes_result_save_V1!$I$2:$I$206,0))</f>
        <v>N93</v>
      </c>
      <c r="BP50">
        <v>0.119923</v>
      </c>
      <c r="BQ50">
        <v>400</v>
      </c>
      <c r="BR50">
        <v>150</v>
      </c>
      <c r="BS50">
        <v>111</v>
      </c>
      <c r="BT50">
        <v>9.5961788981398755</v>
      </c>
      <c r="BU50">
        <v>-0.119923</v>
      </c>
      <c r="BV50">
        <v>-0.18889729405126993</v>
      </c>
      <c r="BW50">
        <v>2.9171867663663504</v>
      </c>
      <c r="BX50" s="107">
        <f>INDEX(Pipes_result_save_V1!$K$2:$K$206,MATCH(BM50,Pipes_result_save_V1!$I$2:$I$206,0)) *POWER(10,-3)</f>
        <v>9.3915777206420893E-3</v>
      </c>
      <c r="BY50" s="78">
        <v>5.1921217048708466E-3</v>
      </c>
      <c r="BZ50" s="78">
        <f t="shared" si="3"/>
        <v>4.1994560157712427E-3</v>
      </c>
      <c r="CH50" t="s">
        <v>381</v>
      </c>
      <c r="CK50">
        <v>-1.158435626548824E-2</v>
      </c>
      <c r="CY50">
        <v>0</v>
      </c>
      <c r="CZ50">
        <v>43</v>
      </c>
      <c r="DA50" t="s">
        <v>539</v>
      </c>
      <c r="DB50" t="s">
        <v>412</v>
      </c>
      <c r="DC50" s="106" t="str">
        <f>INDEX(Pipes_result_save_V1!$G$2:$G$206,MATCH(DB50,Pipes_result_save_V1!$I$2:$I$206,0))</f>
        <v>N195</v>
      </c>
      <c r="DD50" s="106" t="str">
        <f>INDEX(Pipes_result_save_V1!$H$2:$H$206,MATCH(DB50,Pipes_result_save_V1!$I$2:$I$206,0))</f>
        <v>N116</v>
      </c>
      <c r="DE50">
        <v>3.2837000000000005E-2</v>
      </c>
      <c r="DF50">
        <v>250</v>
      </c>
      <c r="DG50">
        <v>150</v>
      </c>
      <c r="DH50">
        <v>76</v>
      </c>
      <c r="DI50">
        <v>64.84214675546815</v>
      </c>
      <c r="DJ50">
        <v>3.2837000000000005E-2</v>
      </c>
      <c r="DK50">
        <v>0.1159211115064607</v>
      </c>
      <c r="DL50">
        <v>6.5379266836180276</v>
      </c>
      <c r="DM50" s="107">
        <f>INDEX(Pipes_result_save_V1!$K$2:$K$206,MATCH(DB50,Pipes_result_save_V1!$I$2:$I$206,0)) *POWER(10,-3)</f>
        <v>5.689303874969482E-4</v>
      </c>
      <c r="DN50" s="78">
        <v>5.3893487469222137E-3</v>
      </c>
      <c r="DO50" s="78">
        <f t="shared" si="5"/>
        <v>-4.8204183594252655E-3</v>
      </c>
    </row>
    <row r="51" spans="2:119" ht="30" x14ac:dyDescent="0.25">
      <c r="B51" s="106">
        <v>44</v>
      </c>
      <c r="C51" s="106" t="s">
        <v>540</v>
      </c>
      <c r="D51" s="106" t="s">
        <v>253</v>
      </c>
      <c r="E51" s="106" t="str">
        <f>INDEX(Pipes_result_save_V1!$G$2:$G$206,MATCH(D51,Pipes_result_save_V1!$I$2:$I$206,0))</f>
        <v>N167</v>
      </c>
      <c r="F51" s="106" t="str">
        <f>INDEX(Pipes_result_save_V1!$H$2:$H$206,MATCH(D51,Pipes_result_save_V1!$I$2:$I$206,0))</f>
        <v>N168</v>
      </c>
      <c r="G51" s="106">
        <v>2.9028999999999999E-2</v>
      </c>
      <c r="H51" s="107">
        <v>200</v>
      </c>
      <c r="I51" s="107">
        <v>150</v>
      </c>
      <c r="J51" s="107">
        <v>145</v>
      </c>
      <c r="K51" s="107">
        <v>366.82630234723172</v>
      </c>
      <c r="L51" s="107">
        <v>-2.9028999999999999E-2</v>
      </c>
      <c r="M51" s="107">
        <v>-0.52194587745420518</v>
      </c>
      <c r="N51" s="107">
        <v>33.299244377870004</v>
      </c>
      <c r="O51" s="107">
        <f>INDEX(Pipes_result_save_V1!$K$2:$K$206,MATCH(D51,Pipes_result_save_V1!$I$2:$I$206,0)) *POWER(10,-3)</f>
        <v>9.6518192291259776E-3</v>
      </c>
      <c r="P51" s="78">
        <v>6.235923230736783E-3</v>
      </c>
      <c r="Q51" s="78">
        <f t="shared" si="0"/>
        <v>3.4158959983891946E-3</v>
      </c>
      <c r="R51" s="78"/>
      <c r="S51" s="78"/>
      <c r="T51" s="78">
        <v>44</v>
      </c>
      <c r="U51" s="78">
        <v>44</v>
      </c>
      <c r="V51" s="78" t="s">
        <v>540</v>
      </c>
      <c r="W51" s="78" t="s">
        <v>253</v>
      </c>
      <c r="X51" s="106" t="str">
        <f>INDEX(Pipes_result_save_V1!$G$2:$G$206,MATCH(W51,Pipes_result_save_V1!$I$2:$I$206,0))</f>
        <v>N167</v>
      </c>
      <c r="Y51" s="106" t="str">
        <f>INDEX(Pipes_result_save_V1!$H$2:$H$206,MATCH(W51,Pipes_result_save_V1!$I$2:$I$206,0))</f>
        <v>N168</v>
      </c>
      <c r="Z51" s="78">
        <v>2.9028999999999999E-2</v>
      </c>
      <c r="AA51" s="78">
        <v>200</v>
      </c>
      <c r="AB51" s="78">
        <v>150</v>
      </c>
      <c r="AC51" s="78">
        <v>145</v>
      </c>
      <c r="AD51" s="78">
        <v>366.82630234723172</v>
      </c>
      <c r="AE51" s="78">
        <v>-2.2432064923816445E-2</v>
      </c>
      <c r="AF51" s="78">
        <v>-1</v>
      </c>
      <c r="AG51" s="78">
        <v>-1</v>
      </c>
      <c r="AH51" s="78">
        <v>-0.3237951393825354</v>
      </c>
      <c r="AI51">
        <v>26.732652574475175</v>
      </c>
      <c r="AJ51" s="107">
        <f>INDEX(Pipes_result_save_V1!$K$2:$K$206,MATCH(W51,Pipes_result_save_V1!$I$2:$I$206,0)) *POWER(10,-3)</f>
        <v>9.6518192291259776E-3</v>
      </c>
      <c r="AK51" s="78">
        <v>3.934008477086714E-3</v>
      </c>
      <c r="AL51" s="78">
        <f t="shared" si="1"/>
        <v>5.7178107520392636E-3</v>
      </c>
      <c r="BJ51">
        <v>0</v>
      </c>
      <c r="BK51">
        <v>44</v>
      </c>
      <c r="BL51" t="s">
        <v>540</v>
      </c>
      <c r="BM51" t="s">
        <v>192</v>
      </c>
      <c r="BN51" s="106" t="str">
        <f>INDEX(Pipes_result_save_V1!$G$2:$G$206,MATCH(BM51,Pipes_result_save_V1!$I$2:$I$206,0))</f>
        <v>N93</v>
      </c>
      <c r="BO51" s="106" t="str">
        <f>INDEX(Pipes_result_save_V1!$H$2:$H$206,MATCH(BM51,Pipes_result_save_V1!$I$2:$I$206,0))</f>
        <v>N94</v>
      </c>
      <c r="BP51">
        <v>0.14499999999999999</v>
      </c>
      <c r="BQ51">
        <v>466</v>
      </c>
      <c r="BR51">
        <v>150</v>
      </c>
      <c r="BS51">
        <v>88</v>
      </c>
      <c r="BT51">
        <v>3.6156338752762309</v>
      </c>
      <c r="BU51">
        <v>-0.14499999999999999</v>
      </c>
      <c r="BV51">
        <v>-0.10116679388747182</v>
      </c>
      <c r="BW51">
        <v>1.2921441536523988</v>
      </c>
      <c r="BX51" s="107">
        <f>INDEX(Pipes_result_save_V1!$K$2:$K$206,MATCH(BM51,Pipes_result_save_V1!$I$2:$I$206,0)) *POWER(10,-3)</f>
        <v>8.256173133850098E-3</v>
      </c>
      <c r="BY51" s="78">
        <v>5.8606262622185722E-3</v>
      </c>
      <c r="BZ51" s="78">
        <f t="shared" si="3"/>
        <v>2.3955468716315258E-3</v>
      </c>
      <c r="CY51">
        <v>0</v>
      </c>
      <c r="CZ51">
        <v>44</v>
      </c>
      <c r="DA51" t="s">
        <v>539</v>
      </c>
      <c r="DB51" t="s">
        <v>308</v>
      </c>
      <c r="DC51" s="106" t="str">
        <f>INDEX(Pipes_result_save_V1!$G$2:$G$206,MATCH(DB51,Pipes_result_save_V1!$I$2:$I$206,0))</f>
        <v>N118</v>
      </c>
      <c r="DD51" s="106" t="str">
        <f>INDEX(Pipes_result_save_V1!$H$2:$H$206,MATCH(DB51,Pipes_result_save_V1!$I$2:$I$206,0))</f>
        <v>N117</v>
      </c>
      <c r="DE51">
        <v>3.2837000000000005E-2</v>
      </c>
      <c r="DF51">
        <v>250</v>
      </c>
      <c r="DG51">
        <v>150</v>
      </c>
      <c r="DH51">
        <v>132</v>
      </c>
      <c r="DI51">
        <v>112.62057068054995</v>
      </c>
      <c r="DJ51">
        <v>3.2837000000000005E-2</v>
      </c>
      <c r="DK51">
        <v>0.20133666735332648</v>
      </c>
      <c r="DL51">
        <v>11.355346345231313</v>
      </c>
      <c r="DM51" s="107">
        <f>INDEX(Pipes_result_save_V1!$K$2:$K$206,MATCH(DB51,Pipes_result_save_V1!$I$2:$I$206,0)) *POWER(10,-3)</f>
        <v>3.5129935741424561E-3</v>
      </c>
      <c r="DN51" s="78">
        <v>6.3061611368338856E-3</v>
      </c>
      <c r="DO51" s="78">
        <f t="shared" si="5"/>
        <v>-2.7931675626914295E-3</v>
      </c>
    </row>
    <row r="52" spans="2:119" ht="30" x14ac:dyDescent="0.25">
      <c r="B52" s="106">
        <v>45</v>
      </c>
      <c r="C52" s="106" t="s">
        <v>540</v>
      </c>
      <c r="D52" s="106" t="s">
        <v>235</v>
      </c>
      <c r="E52" s="106" t="str">
        <f>INDEX(Pipes_result_save_V1!$G$2:$G$206,MATCH(D52,Pipes_result_save_V1!$I$2:$I$206,0))</f>
        <v>N168</v>
      </c>
      <c r="F52" s="106" t="str">
        <f>INDEX(Pipes_result_save_V1!$H$2:$H$206,MATCH(D52,Pipes_result_save_V1!$I$2:$I$206,0))</f>
        <v>N169</v>
      </c>
      <c r="G52" s="106">
        <v>2.9028999999999999E-2</v>
      </c>
      <c r="H52" s="107">
        <v>200</v>
      </c>
      <c r="I52" s="107">
        <v>150</v>
      </c>
      <c r="J52" s="107">
        <v>129</v>
      </c>
      <c r="K52" s="107">
        <v>326.34891726064069</v>
      </c>
      <c r="L52" s="107">
        <v>-2.9028999999999999E-2</v>
      </c>
      <c r="M52" s="107">
        <v>-0.46435184959718945</v>
      </c>
      <c r="N52" s="107">
        <v>29.624844998242978</v>
      </c>
      <c r="O52" s="107">
        <f>INDEX(Pipes_result_save_V1!$K$2:$K$206,MATCH(D52,Pipes_result_save_V1!$I$2:$I$206,0)) *POWER(10,-3)</f>
        <v>8.0884981155395514E-3</v>
      </c>
      <c r="P52" s="78">
        <v>5.240119024098237E-3</v>
      </c>
      <c r="Q52" s="78">
        <f t="shared" si="0"/>
        <v>2.8483790914413144E-3</v>
      </c>
      <c r="R52" s="78"/>
      <c r="S52" s="78"/>
      <c r="T52" s="78">
        <v>45</v>
      </c>
      <c r="U52" s="78">
        <v>45</v>
      </c>
      <c r="V52" s="78" t="s">
        <v>540</v>
      </c>
      <c r="W52" s="78" t="s">
        <v>235</v>
      </c>
      <c r="X52" s="106" t="str">
        <f>INDEX(Pipes_result_save_V1!$G$2:$G$206,MATCH(W52,Pipes_result_save_V1!$I$2:$I$206,0))</f>
        <v>N168</v>
      </c>
      <c r="Y52" s="106" t="str">
        <f>INDEX(Pipes_result_save_V1!$H$2:$H$206,MATCH(W52,Pipes_result_save_V1!$I$2:$I$206,0))</f>
        <v>N169</v>
      </c>
      <c r="Z52" s="78">
        <v>2.9028999999999999E-2</v>
      </c>
      <c r="AA52" s="78">
        <v>200</v>
      </c>
      <c r="AB52" s="78">
        <v>150</v>
      </c>
      <c r="AC52" s="78">
        <v>129</v>
      </c>
      <c r="AD52" s="78">
        <v>326.34891726064069</v>
      </c>
      <c r="AE52" s="78">
        <v>-2.2432064923816445E-2</v>
      </c>
      <c r="AF52" s="78">
        <v>-1</v>
      </c>
      <c r="AG52" s="78">
        <v>-1</v>
      </c>
      <c r="AH52" s="78">
        <v>-0.28806602055411779</v>
      </c>
      <c r="AI52">
        <v>23.782842635222746</v>
      </c>
      <c r="AJ52" s="107">
        <f>INDEX(Pipes_result_save_V1!$K$2:$K$206,MATCH(W52,Pipes_result_save_V1!$I$2:$I$206,0)) *POWER(10,-3)</f>
        <v>8.0884981155395514E-3</v>
      </c>
      <c r="AK52" s="78">
        <v>6.8805551372415254E-4</v>
      </c>
      <c r="AL52" s="78">
        <f t="shared" si="1"/>
        <v>7.4004426018153989E-3</v>
      </c>
      <c r="BJ52">
        <v>0</v>
      </c>
      <c r="BK52">
        <v>45</v>
      </c>
      <c r="BL52" t="s">
        <v>540</v>
      </c>
      <c r="BM52" t="s">
        <v>230</v>
      </c>
      <c r="BN52" s="106" t="str">
        <f>INDEX(Pipes_result_save_V1!$G$2:$G$206,MATCH(BM52,Pipes_result_save_V1!$I$2:$I$206,0))</f>
        <v>N94</v>
      </c>
      <c r="BO52" s="106" t="str">
        <f>INDEX(Pipes_result_save_V1!$H$2:$H$206,MATCH(BM52,Pipes_result_save_V1!$I$2:$I$206,0))</f>
        <v>N95</v>
      </c>
      <c r="BP52">
        <v>0.129</v>
      </c>
      <c r="BQ52">
        <v>421</v>
      </c>
      <c r="BR52">
        <v>150</v>
      </c>
      <c r="BS52">
        <v>74</v>
      </c>
      <c r="BT52">
        <v>4.9861255025952351</v>
      </c>
      <c r="BU52">
        <v>-0.129</v>
      </c>
      <c r="BV52">
        <v>-0.11235058785450108</v>
      </c>
      <c r="BW52">
        <v>1.6129712302832246</v>
      </c>
      <c r="BX52" s="107">
        <f>INDEX(Pipes_result_save_V1!$K$2:$K$206,MATCH(BM52,Pipes_result_save_V1!$I$2:$I$206,0)) *POWER(10,-3)</f>
        <v>7.3318743705749513E-3</v>
      </c>
      <c r="BY52" s="78">
        <v>5.8083044804732907E-3</v>
      </c>
      <c r="BZ52" s="78">
        <f t="shared" si="3"/>
        <v>1.5235698901016606E-3</v>
      </c>
      <c r="CY52">
        <v>0</v>
      </c>
      <c r="CZ52">
        <v>45</v>
      </c>
      <c r="DA52" t="s">
        <v>539</v>
      </c>
      <c r="DB52" t="s">
        <v>411</v>
      </c>
      <c r="DC52" s="106" t="str">
        <f>INDEX(Pipes_result_save_V1!$G$2:$G$206,MATCH(DB52,Pipes_result_save_V1!$I$2:$I$206,0))</f>
        <v>N117</v>
      </c>
      <c r="DD52" s="106" t="str">
        <f>INDEX(Pipes_result_save_V1!$H$2:$H$206,MATCH(DB52,Pipes_result_save_V1!$I$2:$I$206,0))</f>
        <v>N195</v>
      </c>
      <c r="DE52">
        <v>3.2837000000000005E-2</v>
      </c>
      <c r="DF52">
        <v>250</v>
      </c>
      <c r="DG52">
        <v>150</v>
      </c>
      <c r="DH52">
        <v>154</v>
      </c>
      <c r="DI52">
        <v>131.39066579397493</v>
      </c>
      <c r="DJ52">
        <v>3.2837000000000005E-2</v>
      </c>
      <c r="DK52">
        <v>0.23489277857888088</v>
      </c>
      <c r="DL52">
        <v>13.24790406943653</v>
      </c>
      <c r="DM52" s="107">
        <f>INDEX(Pipes_result_save_V1!$K$2:$K$206,MATCH(DB52,Pipes_result_save_V1!$I$2:$I$206,0)) *POWER(10,-3)</f>
        <v>1.881206631660461E-3</v>
      </c>
      <c r="DN52" s="78">
        <v>5.6025911367785083E-3</v>
      </c>
      <c r="DO52" s="78">
        <f t="shared" si="5"/>
        <v>-3.7213845051180475E-3</v>
      </c>
    </row>
    <row r="53" spans="2:119" ht="30" x14ac:dyDescent="0.25">
      <c r="B53" s="106">
        <v>46</v>
      </c>
      <c r="C53" s="106" t="s">
        <v>540</v>
      </c>
      <c r="D53" s="106" t="s">
        <v>236</v>
      </c>
      <c r="E53" s="106" t="str">
        <f>INDEX(Pipes_result_save_V1!$G$2:$G$206,MATCH(D53,Pipes_result_save_V1!$I$2:$I$206,0))</f>
        <v>N169</v>
      </c>
      <c r="F53" s="106" t="str">
        <f>INDEX(Pipes_result_save_V1!$H$2:$H$206,MATCH(D53,Pipes_result_save_V1!$I$2:$I$206,0))</f>
        <v>N170</v>
      </c>
      <c r="G53" s="106">
        <v>2.9028999999999999E-2</v>
      </c>
      <c r="H53" s="107">
        <v>200</v>
      </c>
      <c r="I53" s="107">
        <v>150</v>
      </c>
      <c r="J53" s="107">
        <v>104</v>
      </c>
      <c r="K53" s="107">
        <v>263.10300306284211</v>
      </c>
      <c r="L53" s="107">
        <v>-2.9028999999999999E-2</v>
      </c>
      <c r="M53" s="107">
        <v>-0.37436118107060234</v>
      </c>
      <c r="N53" s="107">
        <v>23.883595967575733</v>
      </c>
      <c r="O53" s="107">
        <f>INDEX(Pipes_result_save_V1!$K$2:$K$206,MATCH(D53,Pipes_result_save_V1!$I$2:$I$206,0)) *POWER(10,-3)</f>
        <v>6.7591056823730466E-3</v>
      </c>
      <c r="P53" s="78">
        <v>5.9338494150622065E-3</v>
      </c>
      <c r="Q53" s="78">
        <f t="shared" si="0"/>
        <v>8.2525626731084004E-4</v>
      </c>
      <c r="R53" s="78"/>
      <c r="S53" s="78"/>
      <c r="T53" s="78">
        <v>46</v>
      </c>
      <c r="U53" s="78">
        <v>46</v>
      </c>
      <c r="V53" s="78" t="s">
        <v>540</v>
      </c>
      <c r="W53" s="78" t="s">
        <v>236</v>
      </c>
      <c r="X53" s="106" t="str">
        <f>INDEX(Pipes_result_save_V1!$G$2:$G$206,MATCH(W53,Pipes_result_save_V1!$I$2:$I$206,0))</f>
        <v>N169</v>
      </c>
      <c r="Y53" s="106" t="str">
        <f>INDEX(Pipes_result_save_V1!$H$2:$H$206,MATCH(W53,Pipes_result_save_V1!$I$2:$I$206,0))</f>
        <v>N170</v>
      </c>
      <c r="Z53" s="78">
        <v>2.9028999999999999E-2</v>
      </c>
      <c r="AA53" s="78">
        <v>200</v>
      </c>
      <c r="AB53" s="78">
        <v>150</v>
      </c>
      <c r="AC53" s="78">
        <v>104</v>
      </c>
      <c r="AD53" s="78">
        <v>263.10300306284211</v>
      </c>
      <c r="AE53" s="78">
        <v>-2.2432064923816445E-2</v>
      </c>
      <c r="AF53" s="78">
        <v>-1</v>
      </c>
      <c r="AG53" s="78">
        <v>-1</v>
      </c>
      <c r="AH53" s="78">
        <v>-0.23223927238471509</v>
      </c>
      <c r="AI53">
        <v>19.173764605140818</v>
      </c>
      <c r="AJ53" s="107">
        <f>INDEX(Pipes_result_save_V1!$K$2:$K$206,MATCH(W53,Pipes_result_save_V1!$I$2:$I$206,0)) *POWER(10,-3)</f>
        <v>6.7591056823730466E-3</v>
      </c>
      <c r="AK53" s="78">
        <v>4.0140195111003389E-3</v>
      </c>
      <c r="AL53" s="78">
        <f t="shared" si="1"/>
        <v>2.7450861712727077E-3</v>
      </c>
      <c r="BJ53">
        <v>0</v>
      </c>
      <c r="BK53">
        <v>46</v>
      </c>
      <c r="BL53" t="s">
        <v>540</v>
      </c>
      <c r="BM53" t="s">
        <v>215</v>
      </c>
      <c r="BN53" s="106" t="str">
        <f>INDEX(Pipes_result_save_V1!$G$2:$G$206,MATCH(BM53,Pipes_result_save_V1!$I$2:$I$206,0))</f>
        <v>N95</v>
      </c>
      <c r="BO53" s="106" t="str">
        <f>INDEX(Pipes_result_save_V1!$H$2:$H$206,MATCH(BM53,Pipes_result_save_V1!$I$2:$I$206,0))</f>
        <v>N96</v>
      </c>
      <c r="BP53">
        <v>0.104</v>
      </c>
      <c r="BQ53">
        <v>400</v>
      </c>
      <c r="BR53">
        <v>150</v>
      </c>
      <c r="BS53">
        <v>248</v>
      </c>
      <c r="BT53">
        <v>21.440111412060261</v>
      </c>
      <c r="BU53">
        <v>-0.104</v>
      </c>
      <c r="BV53">
        <v>-0.32416997102445538</v>
      </c>
      <c r="BW53">
        <v>5.7727190993970323</v>
      </c>
      <c r="BX53" s="107">
        <f>INDEX(Pipes_result_save_V1!$K$2:$K$206,MATCH(BM53,Pipes_result_save_V1!$I$2:$I$206,0)) *POWER(10,-3)</f>
        <v>5.4946870803833005E-3</v>
      </c>
      <c r="BY53" s="78">
        <v>6.0099784626388474E-3</v>
      </c>
      <c r="BZ53" s="78">
        <f t="shared" si="3"/>
        <v>-5.1529138225554685E-4</v>
      </c>
      <c r="CY53">
        <v>0</v>
      </c>
      <c r="CZ53">
        <v>46</v>
      </c>
      <c r="DA53" t="s">
        <v>539</v>
      </c>
      <c r="DB53" t="s">
        <v>309</v>
      </c>
      <c r="DC53" s="106" t="str">
        <f>INDEX(Pipes_result_save_V1!$G$2:$G$206,MATCH(DB53,Pipes_result_save_V1!$I$2:$I$206,0))</f>
        <v>N119</v>
      </c>
      <c r="DD53" s="106" t="str">
        <f>INDEX(Pipes_result_save_V1!$H$2:$H$206,MATCH(DB53,Pipes_result_save_V1!$I$2:$I$206,0))</f>
        <v>N118</v>
      </c>
      <c r="DE53">
        <v>3.2837000000000005E-2</v>
      </c>
      <c r="DF53">
        <v>250</v>
      </c>
      <c r="DG53">
        <v>150</v>
      </c>
      <c r="DH53">
        <v>212</v>
      </c>
      <c r="DI53">
        <v>180.87546200209536</v>
      </c>
      <c r="DJ53">
        <v>3.2837000000000005E-2</v>
      </c>
      <c r="DK53">
        <v>0.32335888999170614</v>
      </c>
      <c r="DL53">
        <v>18.237374433250288</v>
      </c>
      <c r="DM53" s="107">
        <f>INDEX(Pipes_result_save_V1!$K$2:$K$206,MATCH(DB53,Pipes_result_save_V1!$I$2:$I$206,0)) *POWER(10,-3)</f>
        <v>5.4757027626037595E-3</v>
      </c>
      <c r="DN53" s="78">
        <v>5.4766907074032777E-3</v>
      </c>
      <c r="DO53" s="78">
        <f t="shared" si="5"/>
        <v>-9.8794479951817143E-7</v>
      </c>
    </row>
    <row r="54" spans="2:119" ht="30" x14ac:dyDescent="0.25">
      <c r="B54" s="106">
        <v>47</v>
      </c>
      <c r="C54" s="106" t="s">
        <v>540</v>
      </c>
      <c r="D54" s="106" t="s">
        <v>237</v>
      </c>
      <c r="E54" s="106" t="str">
        <f>INDEX(Pipes_result_save_V1!$G$2:$G$206,MATCH(D54,Pipes_result_save_V1!$I$2:$I$206,0))</f>
        <v>N170</v>
      </c>
      <c r="F54" s="106" t="str">
        <f>INDEX(Pipes_result_save_V1!$H$2:$H$206,MATCH(D54,Pipes_result_save_V1!$I$2:$I$206,0))</f>
        <v>N171</v>
      </c>
      <c r="G54" s="106">
        <v>2.9028999999999999E-2</v>
      </c>
      <c r="H54" s="107">
        <v>200</v>
      </c>
      <c r="I54" s="107">
        <v>150</v>
      </c>
      <c r="J54" s="107">
        <v>79</v>
      </c>
      <c r="K54" s="107">
        <v>199.85708886504352</v>
      </c>
      <c r="L54" s="107">
        <v>-2.9028999999999999E-2</v>
      </c>
      <c r="M54" s="107">
        <v>-0.28437051254401524</v>
      </c>
      <c r="N54" s="107">
        <v>18.142346936908488</v>
      </c>
      <c r="O54" s="107">
        <f>INDEX(Pipes_result_save_V1!$K$2:$K$206,MATCH(D54,Pipes_result_save_V1!$I$2:$I$206,0)) *POWER(10,-3)</f>
        <v>5.7149901390075681E-3</v>
      </c>
      <c r="P54" s="78">
        <v>5.1643131572267926E-3</v>
      </c>
      <c r="Q54" s="78">
        <f t="shared" si="0"/>
        <v>5.5067698178077554E-4</v>
      </c>
      <c r="R54" s="78"/>
      <c r="S54" s="78"/>
      <c r="T54" s="78">
        <v>47</v>
      </c>
      <c r="U54" s="78">
        <v>47</v>
      </c>
      <c r="V54" s="78" t="s">
        <v>540</v>
      </c>
      <c r="W54" s="78" t="s">
        <v>237</v>
      </c>
      <c r="X54" s="106" t="str">
        <f>INDEX(Pipes_result_save_V1!$G$2:$G$206,MATCH(W54,Pipes_result_save_V1!$I$2:$I$206,0))</f>
        <v>N170</v>
      </c>
      <c r="Y54" s="106" t="str">
        <f>INDEX(Pipes_result_save_V1!$H$2:$H$206,MATCH(W54,Pipes_result_save_V1!$I$2:$I$206,0))</f>
        <v>N171</v>
      </c>
      <c r="Z54" s="78">
        <v>2.9028999999999999E-2</v>
      </c>
      <c r="AA54" s="78">
        <v>200</v>
      </c>
      <c r="AB54" s="78">
        <v>150</v>
      </c>
      <c r="AC54" s="78">
        <v>79</v>
      </c>
      <c r="AD54" s="78">
        <v>199.85708886504352</v>
      </c>
      <c r="AE54" s="78">
        <v>-2.2432064923816445E-2</v>
      </c>
      <c r="AF54" s="78">
        <v>-1</v>
      </c>
      <c r="AG54" s="78">
        <v>-1</v>
      </c>
      <c r="AH54" s="78">
        <v>-0.17641252421531242</v>
      </c>
      <c r="AI54">
        <v>14.564686575058891</v>
      </c>
      <c r="AJ54" s="107">
        <f>INDEX(Pipes_result_save_V1!$K$2:$K$206,MATCH(W54,Pipes_result_save_V1!$I$2:$I$206,0)) *POWER(10,-3)</f>
        <v>5.7149901390075681E-3</v>
      </c>
      <c r="AK54" s="78">
        <v>1.2265447451526544E-3</v>
      </c>
      <c r="AL54" s="78">
        <f t="shared" si="1"/>
        <v>4.4884453938549137E-3</v>
      </c>
      <c r="BJ54">
        <v>0</v>
      </c>
      <c r="BK54">
        <v>47</v>
      </c>
      <c r="BL54" t="s">
        <v>540</v>
      </c>
      <c r="BM54" t="s">
        <v>214</v>
      </c>
      <c r="BN54" s="106" t="str">
        <f>INDEX(Pipes_result_save_V1!$G$2:$G$206,MATCH(BM54,Pipes_result_save_V1!$I$2:$I$206,0))</f>
        <v>N96</v>
      </c>
      <c r="BO54" s="106" t="str">
        <f>INDEX(Pipes_result_save_V1!$H$2:$H$206,MATCH(BM54,Pipes_result_save_V1!$I$2:$I$206,0))</f>
        <v>N97</v>
      </c>
      <c r="BP54">
        <v>7.9000000000000001E-2</v>
      </c>
      <c r="BQ54">
        <v>350</v>
      </c>
      <c r="BR54">
        <v>150</v>
      </c>
      <c r="BS54">
        <v>116</v>
      </c>
      <c r="BT54">
        <v>19.218173946892797</v>
      </c>
      <c r="BU54">
        <v>-7.9000000000000001E-2</v>
      </c>
      <c r="BV54">
        <v>-0.17462945274308583</v>
      </c>
      <c r="BW54">
        <v>4.0938448921543662</v>
      </c>
      <c r="BX54" s="107">
        <f>INDEX(Pipes_result_save_V1!$K$2:$K$206,MATCH(BM54,Pipes_result_save_V1!$I$2:$I$206,0)) *POWER(10,-3)</f>
        <v>3.417867422103882E-3</v>
      </c>
      <c r="BY54" s="78">
        <v>6.2132982275733047E-3</v>
      </c>
      <c r="BZ54" s="78">
        <f t="shared" si="3"/>
        <v>-2.7954308054694227E-3</v>
      </c>
      <c r="CY54">
        <v>0</v>
      </c>
      <c r="CZ54">
        <v>47</v>
      </c>
      <c r="DA54" t="s">
        <v>539</v>
      </c>
      <c r="DB54" t="s">
        <v>310</v>
      </c>
      <c r="DC54" s="106" t="str">
        <f>INDEX(Pipes_result_save_V1!$G$2:$G$206,MATCH(DB54,Pipes_result_save_V1!$I$2:$I$206,0))</f>
        <v>N120</v>
      </c>
      <c r="DD54" s="106" t="str">
        <f>INDEX(Pipes_result_save_V1!$H$2:$H$206,MATCH(DB54,Pipes_result_save_V1!$I$2:$I$206,0))</f>
        <v>N119</v>
      </c>
      <c r="DE54">
        <v>3.2837000000000005E-2</v>
      </c>
      <c r="DF54">
        <v>250</v>
      </c>
      <c r="DG54">
        <v>150</v>
      </c>
      <c r="DH54">
        <v>173</v>
      </c>
      <c r="DI54">
        <v>147.60120248284198</v>
      </c>
      <c r="DJ54">
        <v>3.2837000000000005E-2</v>
      </c>
      <c r="DK54">
        <v>0.26387305645549608</v>
      </c>
      <c r="DL54">
        <v>14.882385740341039</v>
      </c>
      <c r="DM54" s="107">
        <f>INDEX(Pipes_result_save_V1!$K$2:$K$206,MATCH(DB54,Pipes_result_save_V1!$I$2:$I$206,0)) *POWER(10,-3)</f>
        <v>7.6723389625549315E-3</v>
      </c>
      <c r="DN54" s="78">
        <v>5.3526500938305393E-3</v>
      </c>
      <c r="DO54" s="78">
        <f t="shared" si="5"/>
        <v>2.3196888687243922E-3</v>
      </c>
    </row>
    <row r="55" spans="2:119" ht="30" x14ac:dyDescent="0.25">
      <c r="B55" s="106">
        <v>48</v>
      </c>
      <c r="C55" s="106" t="s">
        <v>540</v>
      </c>
      <c r="D55" s="106" t="s">
        <v>238</v>
      </c>
      <c r="E55" s="106" t="str">
        <f>INDEX(Pipes_result_save_V1!$G$2:$G$206,MATCH(D55,Pipes_result_save_V1!$I$2:$I$206,0))</f>
        <v>N171</v>
      </c>
      <c r="F55" s="106" t="str">
        <f>INDEX(Pipes_result_save_V1!$H$2:$H$206,MATCH(D55,Pipes_result_save_V1!$I$2:$I$206,0))</f>
        <v>N172</v>
      </c>
      <c r="G55" s="106">
        <v>2.9028999999999999E-2</v>
      </c>
      <c r="H55" s="107">
        <v>200</v>
      </c>
      <c r="I55" s="107">
        <v>150</v>
      </c>
      <c r="J55" s="107">
        <v>89</v>
      </c>
      <c r="K55" s="107">
        <v>225.15545454416295</v>
      </c>
      <c r="L55" s="107">
        <v>-2.9028999999999999E-2</v>
      </c>
      <c r="M55" s="107">
        <v>-0.32036677995465007</v>
      </c>
      <c r="N55" s="107">
        <v>20.438846549175388</v>
      </c>
      <c r="O55" s="107">
        <f>INDEX(Pipes_result_save_V1!$K$2:$K$206,MATCH(D55,Pipes_result_save_V1!$I$2:$I$206,0)) *POWER(10,-3)</f>
        <v>4.7564578056335446E-3</v>
      </c>
      <c r="P55" s="78">
        <v>5.7854335335074678E-3</v>
      </c>
      <c r="Q55" s="78">
        <f t="shared" si="0"/>
        <v>-1.0289757278739231E-3</v>
      </c>
      <c r="R55" s="78"/>
      <c r="S55" s="78"/>
      <c r="T55" s="78">
        <v>48</v>
      </c>
      <c r="U55" s="78">
        <v>48</v>
      </c>
      <c r="V55" s="78" t="s">
        <v>540</v>
      </c>
      <c r="W55" s="78" t="s">
        <v>238</v>
      </c>
      <c r="X55" s="106" t="str">
        <f>INDEX(Pipes_result_save_V1!$G$2:$G$206,MATCH(W55,Pipes_result_save_V1!$I$2:$I$206,0))</f>
        <v>N171</v>
      </c>
      <c r="Y55" s="106" t="str">
        <f>INDEX(Pipes_result_save_V1!$H$2:$H$206,MATCH(W55,Pipes_result_save_V1!$I$2:$I$206,0))</f>
        <v>N172</v>
      </c>
      <c r="Z55" s="78">
        <v>2.9028999999999999E-2</v>
      </c>
      <c r="AA55" s="78">
        <v>200</v>
      </c>
      <c r="AB55" s="78">
        <v>150</v>
      </c>
      <c r="AC55" s="78">
        <v>89</v>
      </c>
      <c r="AD55" s="78">
        <v>225.15545454416295</v>
      </c>
      <c r="AE55" s="78">
        <v>-2.2432064923816445E-2</v>
      </c>
      <c r="AF55" s="78">
        <v>-1</v>
      </c>
      <c r="AG55" s="78">
        <v>-1</v>
      </c>
      <c r="AH55" s="78">
        <v>-0.19874322348307349</v>
      </c>
      <c r="AI55">
        <v>16.408317787091661</v>
      </c>
      <c r="AJ55" s="107">
        <f>INDEX(Pipes_result_save_V1!$K$2:$K$206,MATCH(W55,Pipes_result_save_V1!$I$2:$I$206,0)) *POWER(10,-3)</f>
        <v>4.7564578056335446E-3</v>
      </c>
      <c r="AK55" s="78">
        <v>2.3783616915485427E-3</v>
      </c>
      <c r="AL55" s="78">
        <f t="shared" si="1"/>
        <v>2.378096114085002E-3</v>
      </c>
      <c r="BJ55">
        <v>0</v>
      </c>
      <c r="BK55">
        <v>48</v>
      </c>
      <c r="BL55" t="s">
        <v>540</v>
      </c>
      <c r="BM55" t="s">
        <v>213</v>
      </c>
      <c r="BN55" s="106" t="str">
        <f>INDEX(Pipes_result_save_V1!$G$2:$G$206,MATCH(BM55,Pipes_result_save_V1!$I$2:$I$206,0))</f>
        <v>N97</v>
      </c>
      <c r="BO55" s="106" t="str">
        <f>INDEX(Pipes_result_save_V1!$H$2:$H$206,MATCH(BM55,Pipes_result_save_V1!$I$2:$I$206,0))</f>
        <v>N98</v>
      </c>
      <c r="BP55">
        <v>8.8999999999999996E-2</v>
      </c>
      <c r="BQ55">
        <v>350</v>
      </c>
      <c r="BR55">
        <v>150</v>
      </c>
      <c r="BS55">
        <v>128</v>
      </c>
      <c r="BT55">
        <v>21.206260906916189</v>
      </c>
      <c r="BU55">
        <v>-8.8999999999999996E-2</v>
      </c>
      <c r="BV55">
        <v>-0.24028927809755118</v>
      </c>
      <c r="BW55">
        <v>5.0001768880524162</v>
      </c>
      <c r="BX55" s="107">
        <f>INDEX(Pipes_result_save_V1!$K$2:$K$206,MATCH(BM55,Pipes_result_save_V1!$I$2:$I$206,0)) *POWER(10,-3)</f>
        <v>2.0257134437561041E-3</v>
      </c>
      <c r="BY55" s="78">
        <v>6.2974204989752151E-3</v>
      </c>
      <c r="BZ55" s="78">
        <f t="shared" si="3"/>
        <v>-4.271707055219111E-3</v>
      </c>
      <c r="CY55">
        <v>0</v>
      </c>
      <c r="CZ55">
        <v>48</v>
      </c>
      <c r="DA55" t="s">
        <v>539</v>
      </c>
      <c r="DB55" t="s">
        <v>312</v>
      </c>
      <c r="DC55" s="106" t="str">
        <f>INDEX(Pipes_result_save_V1!$G$2:$G$206,MATCH(DB55,Pipes_result_save_V1!$I$2:$I$206,0))</f>
        <v>N121</v>
      </c>
      <c r="DD55" s="106" t="str">
        <f>INDEX(Pipes_result_save_V1!$H$2:$H$206,MATCH(DB55,Pipes_result_save_V1!$I$2:$I$206,0))</f>
        <v>N120</v>
      </c>
      <c r="DE55">
        <v>3.2835999999999997E-2</v>
      </c>
      <c r="DF55">
        <v>250</v>
      </c>
      <c r="DG55">
        <v>150</v>
      </c>
      <c r="DH55">
        <v>133</v>
      </c>
      <c r="DI55">
        <v>113.47375682206928</v>
      </c>
      <c r="DJ55">
        <v>3.2835999999999997E-2</v>
      </c>
      <c r="DK55">
        <v>0.20285050391304088</v>
      </c>
      <c r="DL55">
        <v>11.441074833930802</v>
      </c>
      <c r="DM55" s="107">
        <f>INDEX(Pipes_result_save_V1!$K$2:$K$206,MATCH(DB55,Pipes_result_save_V1!$I$2:$I$206,0)) *POWER(10,-3)</f>
        <v>9.4182367324829111E-3</v>
      </c>
      <c r="DN55" s="78">
        <v>5.2040221950044206E-3</v>
      </c>
      <c r="DO55" s="78">
        <f t="shared" si="5"/>
        <v>4.2142145374784905E-3</v>
      </c>
    </row>
    <row r="56" spans="2:119" ht="30" x14ac:dyDescent="0.25">
      <c r="B56" s="106">
        <v>49</v>
      </c>
      <c r="C56" s="106" t="s">
        <v>540</v>
      </c>
      <c r="D56" s="106" t="s">
        <v>239</v>
      </c>
      <c r="E56" s="106" t="str">
        <f>INDEX(Pipes_result_save_V1!$G$2:$G$206,MATCH(D56,Pipes_result_save_V1!$I$2:$I$206,0))</f>
        <v>N172</v>
      </c>
      <c r="F56" s="106" t="str">
        <f>INDEX(Pipes_result_save_V1!$H$2:$H$206,MATCH(D56,Pipes_result_save_V1!$I$2:$I$206,0))</f>
        <v>N173</v>
      </c>
      <c r="G56" s="106">
        <v>2.9028999999999999E-2</v>
      </c>
      <c r="H56" s="107">
        <v>200</v>
      </c>
      <c r="I56" s="107">
        <v>150</v>
      </c>
      <c r="J56" s="107">
        <v>89</v>
      </c>
      <c r="K56" s="107">
        <v>225.15545454416295</v>
      </c>
      <c r="L56" s="107">
        <v>-2.9028999999999999E-2</v>
      </c>
      <c r="M56" s="107">
        <v>-0.32036677995465007</v>
      </c>
      <c r="N56" s="107">
        <v>20.438846549175388</v>
      </c>
      <c r="O56" s="107">
        <f>INDEX(Pipes_result_save_V1!$K$2:$K$206,MATCH(D56,Pipes_result_save_V1!$I$2:$I$206,0)) *POWER(10,-3)</f>
        <v>3.7408702373504638E-3</v>
      </c>
      <c r="P56" s="78">
        <v>5.5641596830456157E-3</v>
      </c>
      <c r="Q56" s="78">
        <f t="shared" si="0"/>
        <v>-1.8232894456951519E-3</v>
      </c>
      <c r="R56" s="78"/>
      <c r="S56" s="78"/>
      <c r="T56" s="78">
        <v>49</v>
      </c>
      <c r="U56" s="78">
        <v>49</v>
      </c>
      <c r="V56" s="78" t="s">
        <v>540</v>
      </c>
      <c r="W56" s="78" t="s">
        <v>239</v>
      </c>
      <c r="X56" s="106" t="str">
        <f>INDEX(Pipes_result_save_V1!$G$2:$G$206,MATCH(W56,Pipes_result_save_V1!$I$2:$I$206,0))</f>
        <v>N172</v>
      </c>
      <c r="Y56" s="106" t="str">
        <f>INDEX(Pipes_result_save_V1!$H$2:$H$206,MATCH(W56,Pipes_result_save_V1!$I$2:$I$206,0))</f>
        <v>N173</v>
      </c>
      <c r="Z56" s="78">
        <v>2.9028999999999999E-2</v>
      </c>
      <c r="AA56" s="78">
        <v>200</v>
      </c>
      <c r="AB56" s="78">
        <v>150</v>
      </c>
      <c r="AC56" s="78">
        <v>89</v>
      </c>
      <c r="AD56" s="78">
        <v>225.15545454416295</v>
      </c>
      <c r="AE56" s="78">
        <v>-2.2432064923816445E-2</v>
      </c>
      <c r="AF56" s="78">
        <v>-1</v>
      </c>
      <c r="AG56" s="78">
        <v>-1</v>
      </c>
      <c r="AH56" s="78">
        <v>-0.19874322348307349</v>
      </c>
      <c r="AI56">
        <v>16.408317787091661</v>
      </c>
      <c r="AJ56" s="107">
        <f>INDEX(Pipes_result_save_V1!$K$2:$K$206,MATCH(W56,Pipes_result_save_V1!$I$2:$I$206,0)) *POWER(10,-3)</f>
        <v>3.7408702373504638E-3</v>
      </c>
      <c r="AK56" s="78">
        <v>4.256461127399404E-3</v>
      </c>
      <c r="AL56" s="78">
        <f t="shared" si="1"/>
        <v>-5.1559089004894016E-4</v>
      </c>
      <c r="BJ56">
        <v>0</v>
      </c>
      <c r="BK56">
        <v>49</v>
      </c>
      <c r="BL56" t="s">
        <v>540</v>
      </c>
      <c r="BM56" t="s">
        <v>212</v>
      </c>
      <c r="BN56" s="106" t="str">
        <f>INDEX(Pipes_result_save_V1!$G$2:$G$206,MATCH(BM56,Pipes_result_save_V1!$I$2:$I$206,0))</f>
        <v>N98</v>
      </c>
      <c r="BO56" s="106" t="str">
        <f>INDEX(Pipes_result_save_V1!$H$2:$H$206,MATCH(BM56,Pipes_result_save_V1!$I$2:$I$206,0))</f>
        <v>N99</v>
      </c>
      <c r="BP56">
        <v>8.8999999999999996E-2</v>
      </c>
      <c r="BQ56">
        <v>350</v>
      </c>
      <c r="BR56">
        <v>150</v>
      </c>
      <c r="BS56">
        <v>138</v>
      </c>
      <c r="BT56">
        <v>22.863000040269018</v>
      </c>
      <c r="BU56">
        <v>-8.8999999999999996E-2</v>
      </c>
      <c r="BV56">
        <v>-0.25906187794892238</v>
      </c>
      <c r="BW56">
        <v>5.3908157074315115</v>
      </c>
      <c r="BX56" s="107">
        <f>INDEX(Pipes_result_save_V1!$K$2:$K$206,MATCH(BM56,Pipes_result_save_V1!$I$2:$I$206,0)) *POWER(10,-3)</f>
        <v>5.0803762674331667E-4</v>
      </c>
      <c r="BY56" s="78">
        <v>5.3655740583200611E-3</v>
      </c>
      <c r="BZ56" s="78">
        <f t="shared" si="3"/>
        <v>-4.8575364315767448E-3</v>
      </c>
      <c r="DB56" t="s">
        <v>380</v>
      </c>
      <c r="DC56" s="233"/>
      <c r="DD56" s="233"/>
      <c r="DE56" s="233"/>
      <c r="DF56" s="233"/>
      <c r="DG56" s="233"/>
      <c r="DH56" s="233"/>
      <c r="DI56" s="233"/>
      <c r="DJ56" s="233"/>
      <c r="DK56">
        <v>-0.1490744251362402</v>
      </c>
      <c r="DL56">
        <v>254.61748802696457</v>
      </c>
    </row>
    <row r="57" spans="2:119" ht="30" x14ac:dyDescent="0.25">
      <c r="B57" s="106">
        <v>50</v>
      </c>
      <c r="C57" s="106" t="s">
        <v>540</v>
      </c>
      <c r="D57" s="106" t="s">
        <v>240</v>
      </c>
      <c r="E57" s="106" t="str">
        <f>INDEX(Pipes_result_save_V1!$G$2:$G$206,MATCH(D57,Pipes_result_save_V1!$I$2:$I$206,0))</f>
        <v>N173</v>
      </c>
      <c r="F57" s="106" t="str">
        <f>INDEX(Pipes_result_save_V1!$H$2:$H$206,MATCH(D57,Pipes_result_save_V1!$I$2:$I$206,0))</f>
        <v>N174</v>
      </c>
      <c r="G57" s="106">
        <v>2.9028999999999999E-2</v>
      </c>
      <c r="H57" s="107">
        <v>200</v>
      </c>
      <c r="I57" s="107">
        <v>150</v>
      </c>
      <c r="J57" s="107">
        <v>45</v>
      </c>
      <c r="K57" s="107">
        <v>113.84264555603744</v>
      </c>
      <c r="L57" s="107">
        <v>-2.9028999999999999E-2</v>
      </c>
      <c r="M57" s="107">
        <v>-0.16198320334785676</v>
      </c>
      <c r="N57" s="107">
        <v>10.334248255201038</v>
      </c>
      <c r="O57" s="107">
        <f>INDEX(Pipes_result_save_V1!$K$2:$K$206,MATCH(D57,Pipes_result_save_V1!$I$2:$I$206,0)) *POWER(10,-3)</f>
        <v>2.9763264656066891E-3</v>
      </c>
      <c r="P57" s="78">
        <v>5.7300114287608473E-3</v>
      </c>
      <c r="Q57" s="78">
        <f t="shared" si="0"/>
        <v>-2.7536849631541582E-3</v>
      </c>
      <c r="R57" s="78"/>
      <c r="S57" s="78"/>
      <c r="T57" s="78">
        <v>50</v>
      </c>
      <c r="U57" s="78">
        <v>50</v>
      </c>
      <c r="V57" s="78" t="s">
        <v>540</v>
      </c>
      <c r="W57" s="78" t="s">
        <v>240</v>
      </c>
      <c r="X57" s="106" t="str">
        <f>INDEX(Pipes_result_save_V1!$G$2:$G$206,MATCH(W57,Pipes_result_save_V1!$I$2:$I$206,0))</f>
        <v>N173</v>
      </c>
      <c r="Y57" s="106" t="str">
        <f>INDEX(Pipes_result_save_V1!$H$2:$H$206,MATCH(W57,Pipes_result_save_V1!$I$2:$I$206,0))</f>
        <v>N174</v>
      </c>
      <c r="Z57" s="78">
        <v>2.9028999999999999E-2</v>
      </c>
      <c r="AA57" s="78">
        <v>200</v>
      </c>
      <c r="AB57" s="78">
        <v>150</v>
      </c>
      <c r="AC57" s="78">
        <v>45</v>
      </c>
      <c r="AD57" s="78">
        <v>113.84264555603744</v>
      </c>
      <c r="AE57" s="78">
        <v>-2.2432064923816445E-2</v>
      </c>
      <c r="AF57" s="78">
        <v>-1</v>
      </c>
      <c r="AG57" s="78">
        <v>-1</v>
      </c>
      <c r="AH57" s="78">
        <v>-0.10048814670492479</v>
      </c>
      <c r="AI57">
        <v>8.2963404541474688</v>
      </c>
      <c r="AJ57" s="107">
        <f>INDEX(Pipes_result_save_V1!$K$2:$K$206,MATCH(W57,Pipes_result_save_V1!$I$2:$I$206,0)) *POWER(10,-3)</f>
        <v>2.9763264656066891E-3</v>
      </c>
      <c r="AK57" s="78">
        <v>4.8710106639339645E-3</v>
      </c>
      <c r="AL57" s="78">
        <f t="shared" si="1"/>
        <v>-1.8946841983272754E-3</v>
      </c>
      <c r="BJ57">
        <v>0</v>
      </c>
      <c r="BK57">
        <v>50</v>
      </c>
      <c r="BL57" t="s">
        <v>539</v>
      </c>
      <c r="BM57" t="s">
        <v>426</v>
      </c>
      <c r="BN57" s="106" t="str">
        <f>INDEX(Pipes_result_save_V1!$G$2:$G$206,MATCH(BM57,Pipes_result_save_V1!$I$2:$I$206,0))</f>
        <v>N99</v>
      </c>
      <c r="BO57" s="106" t="str">
        <f>INDEX(Pipes_result_save_V1!$H$2:$H$206,MATCH(BM57,Pipes_result_save_V1!$I$2:$I$206,0))</f>
        <v>N194</v>
      </c>
      <c r="BP57">
        <v>4.4999999999999998E-2</v>
      </c>
      <c r="BQ57">
        <v>250</v>
      </c>
      <c r="BR57">
        <v>150</v>
      </c>
      <c r="BS57">
        <v>184</v>
      </c>
      <c r="BT57">
        <v>156.98625003955448</v>
      </c>
      <c r="BU57">
        <v>4.4999999999999998E-2</v>
      </c>
      <c r="BV57">
        <v>0.50305004365010741</v>
      </c>
      <c r="BW57">
        <v>20.703304018666632</v>
      </c>
      <c r="BX57" s="107">
        <f>INDEX(Pipes_result_save_V1!$K$2:$K$206,MATCH(BM57,Pipes_result_save_V1!$I$2:$I$206,0)) *POWER(10,-3)</f>
        <v>-9.0544853210449226E-3</v>
      </c>
      <c r="BY57" s="78">
        <v>5.081636239368993E-3</v>
      </c>
      <c r="BZ57" s="78">
        <f t="shared" si="3"/>
        <v>-3.9728490816759296E-3</v>
      </c>
      <c r="DB57" t="s">
        <v>381</v>
      </c>
      <c r="DC57" s="233">
        <v>5.8548384202287344E-4</v>
      </c>
      <c r="DD57" s="233"/>
      <c r="DE57" s="233"/>
      <c r="DF57" s="233"/>
      <c r="DG57" s="233"/>
      <c r="DH57" s="233"/>
      <c r="DI57" s="233"/>
      <c r="DJ57" s="233"/>
      <c r="DK57" s="233"/>
      <c r="DL57" s="233"/>
    </row>
    <row r="58" spans="2:119" ht="30" x14ac:dyDescent="0.25">
      <c r="B58" s="106">
        <v>51</v>
      </c>
      <c r="C58" s="106" t="s">
        <v>540</v>
      </c>
      <c r="D58" s="106" t="s">
        <v>241</v>
      </c>
      <c r="E58" s="106" t="str">
        <f>INDEX(Pipes_result_save_V1!$G$2:$G$206,MATCH(D58,Pipes_result_save_V1!$I$2:$I$206,0))</f>
        <v>N174</v>
      </c>
      <c r="F58" s="106" t="str">
        <f>INDEX(Pipes_result_save_V1!$H$2:$H$206,MATCH(D58,Pipes_result_save_V1!$I$2:$I$206,0))</f>
        <v>N175</v>
      </c>
      <c r="G58" s="106">
        <v>2.9028999999999999E-2</v>
      </c>
      <c r="H58" s="107">
        <v>200</v>
      </c>
      <c r="I58" s="107">
        <v>150</v>
      </c>
      <c r="J58" s="107">
        <v>43</v>
      </c>
      <c r="K58" s="107">
        <v>108.78297242021355</v>
      </c>
      <c r="L58" s="107">
        <v>-2.9028999999999999E-2</v>
      </c>
      <c r="M58" s="107">
        <v>-0.1547839498657298</v>
      </c>
      <c r="N58" s="107">
        <v>9.8749483327476586</v>
      </c>
      <c r="O58" s="107">
        <f>INDEX(Pipes_result_save_V1!$K$2:$K$206,MATCH(D58,Pipes_result_save_V1!$I$2:$I$206,0)) *POWER(10,-3)</f>
        <v>2.4742381572723389E-3</v>
      </c>
      <c r="P58" s="78">
        <v>5.1530817219391841E-3</v>
      </c>
      <c r="Q58" s="78">
        <f t="shared" si="0"/>
        <v>-2.6788435646668452E-3</v>
      </c>
      <c r="R58" s="78"/>
      <c r="S58" s="78"/>
      <c r="T58" s="78">
        <v>51</v>
      </c>
      <c r="U58" s="78">
        <v>51</v>
      </c>
      <c r="V58" s="78" t="s">
        <v>540</v>
      </c>
      <c r="W58" s="78" t="s">
        <v>241</v>
      </c>
      <c r="X58" s="106" t="str">
        <f>INDEX(Pipes_result_save_V1!$G$2:$G$206,MATCH(W58,Pipes_result_save_V1!$I$2:$I$206,0))</f>
        <v>N174</v>
      </c>
      <c r="Y58" s="106" t="str">
        <f>INDEX(Pipes_result_save_V1!$H$2:$H$206,MATCH(W58,Pipes_result_save_V1!$I$2:$I$206,0))</f>
        <v>N175</v>
      </c>
      <c r="Z58" s="78">
        <v>2.9028999999999999E-2</v>
      </c>
      <c r="AA58" s="78">
        <v>200</v>
      </c>
      <c r="AB58" s="78">
        <v>150</v>
      </c>
      <c r="AC58" s="78">
        <v>43</v>
      </c>
      <c r="AD58" s="78">
        <v>108.78297242021355</v>
      </c>
      <c r="AE58" s="78">
        <v>-2.2432064923816445E-2</v>
      </c>
      <c r="AF58" s="78">
        <v>-1</v>
      </c>
      <c r="AG58" s="78">
        <v>-1</v>
      </c>
      <c r="AH58" s="78">
        <v>-9.6022006851372577E-2</v>
      </c>
      <c r="AI58">
        <v>7.9276142117409147</v>
      </c>
      <c r="AJ58" s="107">
        <f>INDEX(Pipes_result_save_V1!$K$2:$K$206,MATCH(W58,Pipes_result_save_V1!$I$2:$I$206,0)) *POWER(10,-3)</f>
        <v>2.4742381572723389E-3</v>
      </c>
      <c r="AK58" s="78">
        <v>8.7321639315801267E-4</v>
      </c>
      <c r="AL58" s="78">
        <f t="shared" si="1"/>
        <v>1.6010217641143263E-3</v>
      </c>
      <c r="BJ58">
        <v>0</v>
      </c>
      <c r="BK58">
        <v>51</v>
      </c>
      <c r="BL58" t="s">
        <v>539</v>
      </c>
      <c r="BM58" t="s">
        <v>277</v>
      </c>
      <c r="BN58" s="106" t="str">
        <f>INDEX(Pipes_result_save_V1!$G$2:$G$206,MATCH(BM58,Pipes_result_save_V1!$I$2:$I$206,0))</f>
        <v>N193</v>
      </c>
      <c r="BO58" s="106" t="str">
        <f>INDEX(Pipes_result_save_V1!$H$2:$H$206,MATCH(BM58,Pipes_result_save_V1!$I$2:$I$206,0))</f>
        <v>N192</v>
      </c>
      <c r="BP58">
        <v>4.2999999999999997E-2</v>
      </c>
      <c r="BQ58">
        <v>250</v>
      </c>
      <c r="BR58">
        <v>150</v>
      </c>
      <c r="BS58">
        <v>351</v>
      </c>
      <c r="BT58">
        <v>299.46833567328059</v>
      </c>
      <c r="BU58">
        <v>4.2999999999999997E-2</v>
      </c>
      <c r="BV58">
        <v>0.8821338523934692</v>
      </c>
      <c r="BW58">
        <v>37.993299875179169</v>
      </c>
      <c r="BX58" s="107">
        <f>INDEX(Pipes_result_save_V1!$K$2:$K$206,MATCH(BM58,Pipes_result_save_V1!$I$2:$I$206,0)) *POWER(10,-3)</f>
        <v>-1.403542900085449E-2</v>
      </c>
      <c r="BY58" s="78">
        <v>5.0636829601094606E-3</v>
      </c>
      <c r="BZ58" s="78">
        <f t="shared" si="3"/>
        <v>-8.9717460407450298E-3</v>
      </c>
    </row>
    <row r="59" spans="2:119" ht="30" x14ac:dyDescent="0.25">
      <c r="B59" s="106">
        <v>52</v>
      </c>
      <c r="C59" s="106" t="s">
        <v>540</v>
      </c>
      <c r="D59" s="106" t="s">
        <v>243</v>
      </c>
      <c r="E59" s="106" t="str">
        <f>INDEX(Pipes_result_save_V1!$G$2:$G$206,MATCH(D59,Pipes_result_save_V1!$I$2:$I$206,0))</f>
        <v>N175</v>
      </c>
      <c r="F59" s="106" t="str">
        <f>INDEX(Pipes_result_save_V1!$H$2:$H$206,MATCH(D59,Pipes_result_save_V1!$I$2:$I$206,0))</f>
        <v>N176</v>
      </c>
      <c r="G59" s="106">
        <v>2.9028999999999999E-2</v>
      </c>
      <c r="H59" s="107">
        <v>200</v>
      </c>
      <c r="I59" s="107">
        <v>150</v>
      </c>
      <c r="J59" s="107">
        <v>66</v>
      </c>
      <c r="K59" s="107">
        <v>166.96921348218822</v>
      </c>
      <c r="L59" s="107">
        <v>-2.9028999999999999E-2</v>
      </c>
      <c r="M59" s="107">
        <v>-0.23757536491018991</v>
      </c>
      <c r="N59" s="107">
        <v>15.156897440961519</v>
      </c>
      <c r="O59" s="107">
        <f>INDEX(Pipes_result_save_V1!$K$2:$K$206,MATCH(D59,Pipes_result_save_V1!$I$2:$I$206,0)) *POWER(10,-3)</f>
        <v>1.8523334264755249E-3</v>
      </c>
      <c r="P59" s="78">
        <v>6.0043545941770591E-3</v>
      </c>
      <c r="Q59" s="78">
        <f t="shared" si="0"/>
        <v>-4.1520211677015337E-3</v>
      </c>
      <c r="R59" s="78"/>
      <c r="S59" s="78"/>
      <c r="T59" s="78">
        <v>52</v>
      </c>
      <c r="U59" s="78">
        <v>52</v>
      </c>
      <c r="V59" s="78" t="s">
        <v>540</v>
      </c>
      <c r="W59" s="78" t="s">
        <v>243</v>
      </c>
      <c r="X59" s="106" t="str">
        <f>INDEX(Pipes_result_save_V1!$G$2:$G$206,MATCH(W59,Pipes_result_save_V1!$I$2:$I$206,0))</f>
        <v>N175</v>
      </c>
      <c r="Y59" s="106" t="str">
        <f>INDEX(Pipes_result_save_V1!$H$2:$H$206,MATCH(W59,Pipes_result_save_V1!$I$2:$I$206,0))</f>
        <v>N176</v>
      </c>
      <c r="Z59" s="78">
        <v>2.9028999999999999E-2</v>
      </c>
      <c r="AA59" s="78">
        <v>200</v>
      </c>
      <c r="AB59" s="78">
        <v>150</v>
      </c>
      <c r="AC59" s="78">
        <v>66</v>
      </c>
      <c r="AD59" s="78">
        <v>166.96921348218822</v>
      </c>
      <c r="AE59" s="78">
        <v>-2.2432064923816445E-2</v>
      </c>
      <c r="AF59" s="78">
        <v>-1</v>
      </c>
      <c r="AG59" s="78">
        <v>-1</v>
      </c>
      <c r="AH59" s="78">
        <v>-0.14738261516722301</v>
      </c>
      <c r="AI59">
        <v>12.167965999416285</v>
      </c>
      <c r="AJ59" s="107">
        <f>INDEX(Pipes_result_save_V1!$K$2:$K$206,MATCH(W59,Pipes_result_save_V1!$I$2:$I$206,0)) *POWER(10,-3)</f>
        <v>1.8523334264755249E-3</v>
      </c>
      <c r="AK59" s="78">
        <v>3.265057225500943E-3</v>
      </c>
      <c r="AL59" s="78">
        <f t="shared" si="1"/>
        <v>-1.4127237990254182E-3</v>
      </c>
      <c r="BJ59">
        <v>0</v>
      </c>
      <c r="BK59">
        <v>52</v>
      </c>
      <c r="BL59" t="s">
        <v>539</v>
      </c>
      <c r="BM59" t="s">
        <v>427</v>
      </c>
      <c r="BN59" s="106" t="str">
        <f>INDEX(Pipes_result_save_V1!$G$2:$G$206,MATCH(BM59,Pipes_result_save_V1!$I$2:$I$206,0))</f>
        <v>N194</v>
      </c>
      <c r="BO59" s="106" t="str">
        <f>INDEX(Pipes_result_save_V1!$H$2:$H$206,MATCH(BM59,Pipes_result_save_V1!$I$2:$I$206,0))</f>
        <v>N193</v>
      </c>
      <c r="BP59">
        <v>6.6000000000000003E-2</v>
      </c>
      <c r="BQ59">
        <v>300</v>
      </c>
      <c r="BR59">
        <v>150</v>
      </c>
      <c r="BS59">
        <v>169</v>
      </c>
      <c r="BT59">
        <v>59.32512303994173</v>
      </c>
      <c r="BU59">
        <v>6.6000000000000003E-2</v>
      </c>
      <c r="BV59">
        <v>0.38639724054184493</v>
      </c>
      <c r="BW59">
        <v>10.84254074974996</v>
      </c>
      <c r="BX59" s="107">
        <f>INDEX(Pipes_result_save_V1!$K$2:$K$206,MATCH(BM59,Pipes_result_save_V1!$I$2:$I$206,0)) *POWER(10,-3)</f>
        <v>-1.1068543434143071E-2</v>
      </c>
      <c r="BY59" s="78">
        <v>5.4817377810355205E-3</v>
      </c>
      <c r="BZ59" s="78">
        <f t="shared" si="3"/>
        <v>-5.5868056531075501E-3</v>
      </c>
    </row>
    <row r="60" spans="2:119" ht="30" x14ac:dyDescent="0.25">
      <c r="B60" s="106">
        <v>53</v>
      </c>
      <c r="C60" s="106" t="s">
        <v>540</v>
      </c>
      <c r="D60" s="106" t="s">
        <v>242</v>
      </c>
      <c r="E60" s="106" t="str">
        <f>INDEX(Pipes_result_save_V1!$G$2:$G$206,MATCH(D60,Pipes_result_save_V1!$I$2:$I$206,0))</f>
        <v>N176</v>
      </c>
      <c r="F60" s="106" t="str">
        <f>INDEX(Pipes_result_save_V1!$H$2:$H$206,MATCH(D60,Pipes_result_save_V1!$I$2:$I$206,0))</f>
        <v>N177</v>
      </c>
      <c r="G60" s="106">
        <v>2.9028999999999999E-2</v>
      </c>
      <c r="H60" s="107">
        <v>200</v>
      </c>
      <c r="I60" s="107">
        <v>150</v>
      </c>
      <c r="J60" s="107">
        <v>48</v>
      </c>
      <c r="K60" s="107">
        <v>121.43215525977327</v>
      </c>
      <c r="L60" s="107">
        <v>-2.9028999999999999E-2</v>
      </c>
      <c r="M60" s="107">
        <v>-0.17278208357104724</v>
      </c>
      <c r="N60" s="107">
        <v>11.023198138881106</v>
      </c>
      <c r="O60" s="107">
        <f>INDEX(Pipes_result_save_V1!$K$2:$K$206,MATCH(D60,Pipes_result_save_V1!$I$2:$I$206,0)) *POWER(10,-3)</f>
        <v>1.201900839805603E-3</v>
      </c>
      <c r="P60" s="78">
        <v>5.8491628632978574E-3</v>
      </c>
      <c r="Q60" s="78">
        <f t="shared" si="0"/>
        <v>-4.6472620234922542E-3</v>
      </c>
      <c r="R60" s="78"/>
      <c r="S60" s="78"/>
      <c r="T60" s="78">
        <v>53</v>
      </c>
      <c r="U60" s="78">
        <v>53</v>
      </c>
      <c r="V60" s="78" t="s">
        <v>540</v>
      </c>
      <c r="W60" s="78" t="s">
        <v>242</v>
      </c>
      <c r="X60" s="106" t="str">
        <f>INDEX(Pipes_result_save_V1!$G$2:$G$206,MATCH(W60,Pipes_result_save_V1!$I$2:$I$206,0))</f>
        <v>N176</v>
      </c>
      <c r="Y60" s="106" t="str">
        <f>INDEX(Pipes_result_save_V1!$H$2:$H$206,MATCH(W60,Pipes_result_save_V1!$I$2:$I$206,0))</f>
        <v>N177</v>
      </c>
      <c r="Z60" s="78">
        <v>2.9028999999999999E-2</v>
      </c>
      <c r="AA60" s="78">
        <v>200</v>
      </c>
      <c r="AB60" s="78">
        <v>150</v>
      </c>
      <c r="AC60" s="78">
        <v>48</v>
      </c>
      <c r="AD60" s="78">
        <v>121.43215525977327</v>
      </c>
      <c r="AE60" s="78">
        <v>-2.2432064923816445E-2</v>
      </c>
      <c r="AF60" s="78">
        <v>-1</v>
      </c>
      <c r="AG60" s="78">
        <v>-1</v>
      </c>
      <c r="AH60" s="78">
        <v>-0.10718735648525311</v>
      </c>
      <c r="AI60">
        <v>8.8494298177573008</v>
      </c>
      <c r="AJ60" s="107">
        <f>INDEX(Pipes_result_save_V1!$K$2:$K$206,MATCH(W60,Pipes_result_save_V1!$I$2:$I$206,0)) *POWER(10,-3)</f>
        <v>1.201900839805603E-3</v>
      </c>
      <c r="AK60" s="78">
        <v>1.708222169463907E-5</v>
      </c>
      <c r="AL60" s="78">
        <f t="shared" si="1"/>
        <v>1.1848186181109639E-3</v>
      </c>
      <c r="BJ60">
        <v>10</v>
      </c>
      <c r="BM60" t="s">
        <v>380</v>
      </c>
      <c r="BV60">
        <v>3.5097209813072223</v>
      </c>
      <c r="BW60">
        <v>379.17498629972198</v>
      </c>
    </row>
    <row r="61" spans="2:119" ht="30" x14ac:dyDescent="0.25">
      <c r="B61" s="106">
        <v>54</v>
      </c>
      <c r="C61" s="106" t="s">
        <v>540</v>
      </c>
      <c r="D61" s="106" t="s">
        <v>244</v>
      </c>
      <c r="E61" s="106" t="str">
        <f>INDEX(Pipes_result_save_V1!$G$2:$G$206,MATCH(D61,Pipes_result_save_V1!$I$2:$I$206,0))</f>
        <v>N177</v>
      </c>
      <c r="F61" s="106" t="str">
        <f>INDEX(Pipes_result_save_V1!$H$2:$H$206,MATCH(D61,Pipes_result_save_V1!$I$2:$I$206,0))</f>
        <v>N178</v>
      </c>
      <c r="G61" s="106">
        <v>2.9028999999999999E-2</v>
      </c>
      <c r="H61" s="107">
        <v>200</v>
      </c>
      <c r="I61" s="107">
        <v>150</v>
      </c>
      <c r="J61" s="107">
        <v>19</v>
      </c>
      <c r="K61" s="107">
        <v>48.06689479032692</v>
      </c>
      <c r="L61" s="107">
        <v>-2.9028999999999999E-2</v>
      </c>
      <c r="M61" s="107">
        <v>-6.8392908080206191E-2</v>
      </c>
      <c r="N61" s="107">
        <v>4.3633492633071045</v>
      </c>
      <c r="O61" s="107">
        <f>INDEX(Pipes_result_save_V1!$K$2:$K$206,MATCH(D61,Pipes_result_save_V1!$I$2:$I$206,0)) *POWER(10,-3)</f>
        <v>8.1962907314300543E-4</v>
      </c>
      <c r="P61" s="78">
        <v>6.3476425359372778E-3</v>
      </c>
      <c r="Q61" s="78">
        <f t="shared" si="0"/>
        <v>-5.5280134627942725E-3</v>
      </c>
      <c r="R61" s="78"/>
      <c r="S61" s="78"/>
      <c r="T61" s="78">
        <v>54</v>
      </c>
      <c r="U61" s="78">
        <v>54</v>
      </c>
      <c r="V61" s="78" t="s">
        <v>540</v>
      </c>
      <c r="W61" s="78" t="s">
        <v>244</v>
      </c>
      <c r="X61" s="106" t="str">
        <f>INDEX(Pipes_result_save_V1!$G$2:$G$206,MATCH(W61,Pipes_result_save_V1!$I$2:$I$206,0))</f>
        <v>N177</v>
      </c>
      <c r="Y61" s="106" t="str">
        <f>INDEX(Pipes_result_save_V1!$H$2:$H$206,MATCH(W61,Pipes_result_save_V1!$I$2:$I$206,0))</f>
        <v>N178</v>
      </c>
      <c r="Z61" s="78">
        <v>2.9028999999999999E-2</v>
      </c>
      <c r="AA61" s="78">
        <v>200</v>
      </c>
      <c r="AB61" s="78">
        <v>150</v>
      </c>
      <c r="AC61" s="78">
        <v>19</v>
      </c>
      <c r="AD61" s="78">
        <v>48.06689479032692</v>
      </c>
      <c r="AE61" s="78">
        <v>-2.2432064923816445E-2</v>
      </c>
      <c r="AF61" s="78">
        <v>-1</v>
      </c>
      <c r="AG61" s="78">
        <v>-1</v>
      </c>
      <c r="AH61" s="78">
        <v>-4.2428328608746027E-2</v>
      </c>
      <c r="AI61">
        <v>3.5028993028622648</v>
      </c>
      <c r="AJ61" s="107">
        <f>INDEX(Pipes_result_save_V1!$K$2:$K$206,MATCH(W61,Pipes_result_save_V1!$I$2:$I$206,0)) *POWER(10,-3)</f>
        <v>8.1962907314300543E-4</v>
      </c>
      <c r="AK61" s="78">
        <v>8.4633980498589369E-4</v>
      </c>
      <c r="AL61" s="78">
        <f t="shared" si="1"/>
        <v>-2.6710731842888259E-5</v>
      </c>
      <c r="BM61" t="s">
        <v>381</v>
      </c>
      <c r="BP61">
        <v>-9.2562038850657058E-3</v>
      </c>
    </row>
    <row r="62" spans="2:119" ht="30" x14ac:dyDescent="0.25">
      <c r="B62" s="106">
        <v>55</v>
      </c>
      <c r="C62" s="106" t="s">
        <v>540</v>
      </c>
      <c r="D62" s="106" t="s">
        <v>245</v>
      </c>
      <c r="E62" s="106" t="str">
        <f>INDEX(Pipes_result_save_V1!$G$2:$G$206,MATCH(D62,Pipes_result_save_V1!$I$2:$I$206,0))</f>
        <v>N178</v>
      </c>
      <c r="F62" s="106" t="str">
        <f>INDEX(Pipes_result_save_V1!$H$2:$H$206,MATCH(D62,Pipes_result_save_V1!$I$2:$I$206,0))</f>
        <v>N179</v>
      </c>
      <c r="G62" s="106">
        <v>2.9028999999999999E-2</v>
      </c>
      <c r="H62" s="107">
        <v>200</v>
      </c>
      <c r="I62" s="107">
        <v>150</v>
      </c>
      <c r="J62" s="107">
        <v>58</v>
      </c>
      <c r="K62" s="107">
        <v>146.73052093889271</v>
      </c>
      <c r="L62" s="107">
        <v>-2.9028999999999999E-2</v>
      </c>
      <c r="M62" s="107">
        <v>-0.20877835098168207</v>
      </c>
      <c r="N62" s="107">
        <v>13.319697751148006</v>
      </c>
      <c r="O62" s="107">
        <f>INDEX(Pipes_result_save_V1!$K$2:$K$206,MATCH(D62,Pipes_result_save_V1!$I$2:$I$206,0)) *POWER(10,-3)</f>
        <v>3.803018033504486E-4</v>
      </c>
      <c r="P62" s="78">
        <v>5.8926216561321926E-3</v>
      </c>
      <c r="Q62" s="78">
        <f t="shared" si="0"/>
        <v>-5.5123198527817444E-3</v>
      </c>
      <c r="R62" s="78"/>
      <c r="S62" s="78"/>
      <c r="T62" s="78">
        <v>55</v>
      </c>
      <c r="U62" s="78">
        <v>55</v>
      </c>
      <c r="V62" s="78" t="s">
        <v>540</v>
      </c>
      <c r="W62" s="78" t="s">
        <v>245</v>
      </c>
      <c r="X62" s="106" t="str">
        <f>INDEX(Pipes_result_save_V1!$G$2:$G$206,MATCH(W62,Pipes_result_save_V1!$I$2:$I$206,0))</f>
        <v>N178</v>
      </c>
      <c r="Y62" s="106" t="str">
        <f>INDEX(Pipes_result_save_V1!$H$2:$H$206,MATCH(W62,Pipes_result_save_V1!$I$2:$I$206,0))</f>
        <v>N179</v>
      </c>
      <c r="Z62" s="78">
        <v>2.9028999999999999E-2</v>
      </c>
      <c r="AA62" s="78">
        <v>200</v>
      </c>
      <c r="AB62" s="78">
        <v>150</v>
      </c>
      <c r="AC62" s="78">
        <v>58</v>
      </c>
      <c r="AD62" s="78">
        <v>146.73052093889271</v>
      </c>
      <c r="AE62" s="78">
        <v>-2.2432064923816445E-2</v>
      </c>
      <c r="AF62" s="78">
        <v>-1</v>
      </c>
      <c r="AG62" s="78">
        <v>-1</v>
      </c>
      <c r="AH62" s="78">
        <v>-0.12951805575301417</v>
      </c>
      <c r="AI62">
        <v>10.693061029790073</v>
      </c>
      <c r="AJ62" s="107">
        <f>INDEX(Pipes_result_save_V1!$K$2:$K$206,MATCH(W62,Pipes_result_save_V1!$I$2:$I$206,0)) *POWER(10,-3)</f>
        <v>3.803018033504486E-4</v>
      </c>
      <c r="AK62" s="78">
        <v>3.6039700558807442E-3</v>
      </c>
      <c r="AL62" s="78">
        <f t="shared" si="1"/>
        <v>-3.2236682525302956E-3</v>
      </c>
    </row>
    <row r="63" spans="2:119" ht="30" x14ac:dyDescent="0.25">
      <c r="B63" s="106">
        <v>56</v>
      </c>
      <c r="C63" s="106" t="s">
        <v>540</v>
      </c>
      <c r="D63" s="106" t="s">
        <v>246</v>
      </c>
      <c r="E63" s="106" t="str">
        <f>INDEX(Pipes_result_save_V1!$G$2:$G$206,MATCH(D63,Pipes_result_save_V1!$I$2:$I$206,0))</f>
        <v>N179</v>
      </c>
      <c r="F63" s="106" t="str">
        <f>INDEX(Pipes_result_save_V1!$H$2:$H$206,MATCH(D63,Pipes_result_save_V1!$I$2:$I$206,0))</f>
        <v>N180</v>
      </c>
      <c r="G63" s="106">
        <v>2.9028999999999999E-2</v>
      </c>
      <c r="H63" s="107">
        <v>200</v>
      </c>
      <c r="I63" s="107">
        <v>150</v>
      </c>
      <c r="J63" s="107">
        <v>84</v>
      </c>
      <c r="K63" s="107">
        <v>212.50627170460322</v>
      </c>
      <c r="L63" s="107">
        <v>-2.9028999999999999E-2</v>
      </c>
      <c r="M63" s="107">
        <v>-0.30236864624933263</v>
      </c>
      <c r="N63" s="107">
        <v>19.290596743041935</v>
      </c>
      <c r="O63" s="107">
        <f>INDEX(Pipes_result_save_V1!$K$2:$K$206,MATCH(D63,Pipes_result_save_V1!$I$2:$I$206,0)) *POWER(10,-3)</f>
        <v>-4.2988613247871402E-4</v>
      </c>
      <c r="P63" s="78">
        <v>5.2392112794422485E-3</v>
      </c>
      <c r="Q63" s="78">
        <f t="shared" si="0"/>
        <v>4.8093251469635348E-3</v>
      </c>
      <c r="R63" s="78"/>
      <c r="S63" s="78"/>
      <c r="T63" s="78">
        <v>56</v>
      </c>
      <c r="U63" s="78">
        <v>56</v>
      </c>
      <c r="V63" s="78" t="s">
        <v>540</v>
      </c>
      <c r="W63" s="78" t="s">
        <v>246</v>
      </c>
      <c r="X63" s="106" t="str">
        <f>INDEX(Pipes_result_save_V1!$G$2:$G$206,MATCH(W63,Pipes_result_save_V1!$I$2:$I$206,0))</f>
        <v>N179</v>
      </c>
      <c r="Y63" s="106" t="str">
        <f>INDEX(Pipes_result_save_V1!$H$2:$H$206,MATCH(W63,Pipes_result_save_V1!$I$2:$I$206,0))</f>
        <v>N180</v>
      </c>
      <c r="Z63" s="78">
        <v>2.9028999999999999E-2</v>
      </c>
      <c r="AA63" s="78">
        <v>200</v>
      </c>
      <c r="AB63" s="78">
        <v>150</v>
      </c>
      <c r="AC63" s="78">
        <v>84</v>
      </c>
      <c r="AD63" s="78">
        <v>212.50627170460322</v>
      </c>
      <c r="AE63" s="78">
        <v>-2.2432064923816445E-2</v>
      </c>
      <c r="AF63" s="78">
        <v>-1</v>
      </c>
      <c r="AG63" s="78">
        <v>-1</v>
      </c>
      <c r="AH63" s="78">
        <v>-0.18757787384919294</v>
      </c>
      <c r="AI63">
        <v>15.486502181075274</v>
      </c>
      <c r="AJ63" s="107">
        <f>INDEX(Pipes_result_save_V1!$K$2:$K$206,MATCH(W63,Pipes_result_save_V1!$I$2:$I$206,0)) *POWER(10,-3)</f>
        <v>-4.2988613247871402E-4</v>
      </c>
      <c r="AK63" s="78">
        <v>3.4680174907045789E-3</v>
      </c>
      <c r="AL63" s="78">
        <f t="shared" si="1"/>
        <v>3.0381313582258647E-3</v>
      </c>
    </row>
    <row r="64" spans="2:119" ht="30" x14ac:dyDescent="0.25">
      <c r="B64" s="106">
        <v>57</v>
      </c>
      <c r="C64" s="106" t="s">
        <v>540</v>
      </c>
      <c r="D64" s="106" t="s">
        <v>247</v>
      </c>
      <c r="E64" s="106" t="str">
        <f>INDEX(Pipes_result_save_V1!$G$2:$G$206,MATCH(D64,Pipes_result_save_V1!$I$2:$I$206,0))</f>
        <v>N180</v>
      </c>
      <c r="F64" s="106" t="str">
        <f>INDEX(Pipes_result_save_V1!$H$2:$H$206,MATCH(D64,Pipes_result_save_V1!$I$2:$I$206,0))</f>
        <v>N181</v>
      </c>
      <c r="G64" s="106">
        <v>2.9028999999999999E-2</v>
      </c>
      <c r="H64" s="107">
        <v>200</v>
      </c>
      <c r="I64" s="107">
        <v>150</v>
      </c>
      <c r="J64" s="107">
        <v>105</v>
      </c>
      <c r="K64" s="107">
        <v>265.63283963075406</v>
      </c>
      <c r="L64" s="107">
        <v>-2.9028999999999999E-2</v>
      </c>
      <c r="M64" s="107">
        <v>-0.37796080781166586</v>
      </c>
      <c r="N64" s="107">
        <v>24.113245928802424</v>
      </c>
      <c r="O64" s="107">
        <f>INDEX(Pipes_result_save_V1!$K$2:$K$206,MATCH(D64,Pipes_result_save_V1!$I$2:$I$206,0)) *POWER(10,-3)</f>
        <v>-1.508234858512878E-3</v>
      </c>
      <c r="P64" s="78">
        <v>6.2975312084214384E-3</v>
      </c>
      <c r="Q64" s="78">
        <f t="shared" si="0"/>
        <v>4.7892963499085606E-3</v>
      </c>
      <c r="R64" s="78"/>
      <c r="S64" s="78"/>
      <c r="T64" s="78">
        <v>57</v>
      </c>
      <c r="U64" s="78">
        <v>57</v>
      </c>
      <c r="V64" s="78" t="s">
        <v>540</v>
      </c>
      <c r="W64" s="78" t="s">
        <v>247</v>
      </c>
      <c r="X64" s="106" t="str">
        <f>INDEX(Pipes_result_save_V1!$G$2:$G$206,MATCH(W64,Pipes_result_save_V1!$I$2:$I$206,0))</f>
        <v>N180</v>
      </c>
      <c r="Y64" s="106" t="str">
        <f>INDEX(Pipes_result_save_V1!$H$2:$H$206,MATCH(W64,Pipes_result_save_V1!$I$2:$I$206,0))</f>
        <v>N181</v>
      </c>
      <c r="Z64" s="78">
        <v>2.9028999999999999E-2</v>
      </c>
      <c r="AA64" s="78">
        <v>200</v>
      </c>
      <c r="AB64" s="78">
        <v>150</v>
      </c>
      <c r="AC64" s="78">
        <v>105</v>
      </c>
      <c r="AD64" s="78">
        <v>265.63283963075406</v>
      </c>
      <c r="AE64" s="78">
        <v>-2.2432064923816445E-2</v>
      </c>
      <c r="AF64" s="78">
        <v>-1</v>
      </c>
      <c r="AG64" s="78">
        <v>-1</v>
      </c>
      <c r="AH64" s="78">
        <v>-0.23447234231149122</v>
      </c>
      <c r="AI64">
        <v>19.358127726344097</v>
      </c>
      <c r="AJ64" s="107">
        <f>INDEX(Pipes_result_save_V1!$K$2:$K$206,MATCH(W64,Pipes_result_save_V1!$I$2:$I$206,0)) *POWER(10,-3)</f>
        <v>-1.508234858512878E-3</v>
      </c>
      <c r="AK64" s="78">
        <v>7.6235847886750672E-4</v>
      </c>
      <c r="AL64" s="78">
        <f t="shared" si="1"/>
        <v>-7.4587637964537126E-4</v>
      </c>
    </row>
    <row r="65" spans="2:38" ht="30" x14ac:dyDescent="0.25">
      <c r="B65" s="106">
        <v>58</v>
      </c>
      <c r="C65" s="106" t="s">
        <v>540</v>
      </c>
      <c r="D65" s="106" t="s">
        <v>248</v>
      </c>
      <c r="E65" s="106" t="str">
        <f>INDEX(Pipes_result_save_V1!$G$2:$G$206,MATCH(D65,Pipes_result_save_V1!$I$2:$I$206,0))</f>
        <v>N181</v>
      </c>
      <c r="F65" s="106" t="str">
        <f>INDEX(Pipes_result_save_V1!$H$2:$H$206,MATCH(D65,Pipes_result_save_V1!$I$2:$I$206,0))</f>
        <v>N182</v>
      </c>
      <c r="G65" s="106">
        <v>2.9028999999999999E-2</v>
      </c>
      <c r="H65" s="107">
        <v>200</v>
      </c>
      <c r="I65" s="107">
        <v>150</v>
      </c>
      <c r="J65" s="107">
        <v>90</v>
      </c>
      <c r="K65" s="107">
        <v>227.68529111207488</v>
      </c>
      <c r="L65" s="107">
        <v>-2.9028999999999999E-2</v>
      </c>
      <c r="M65" s="107">
        <v>-0.32396640669571353</v>
      </c>
      <c r="N65" s="107">
        <v>20.668496510402075</v>
      </c>
      <c r="O65" s="107">
        <f>INDEX(Pipes_result_save_V1!$K$2:$K$206,MATCH(D65,Pipes_result_save_V1!$I$2:$I$206,0)) *POWER(10,-3)</f>
        <v>-2.6208169460296632E-3</v>
      </c>
      <c r="P65" s="78">
        <v>5.1389322853683129E-3</v>
      </c>
      <c r="Q65" s="78">
        <f t="shared" si="0"/>
        <v>2.5181153393386497E-3</v>
      </c>
      <c r="R65" s="78"/>
      <c r="S65" s="78"/>
      <c r="T65" s="78">
        <v>58</v>
      </c>
      <c r="U65" s="78">
        <v>58</v>
      </c>
      <c r="V65" s="78" t="s">
        <v>540</v>
      </c>
      <c r="W65" s="78" t="s">
        <v>248</v>
      </c>
      <c r="X65" s="106" t="str">
        <f>INDEX(Pipes_result_save_V1!$G$2:$G$206,MATCH(W65,Pipes_result_save_V1!$I$2:$I$206,0))</f>
        <v>N181</v>
      </c>
      <c r="Y65" s="106" t="str">
        <f>INDEX(Pipes_result_save_V1!$H$2:$H$206,MATCH(W65,Pipes_result_save_V1!$I$2:$I$206,0))</f>
        <v>N182</v>
      </c>
      <c r="Z65" s="78">
        <v>2.9028999999999999E-2</v>
      </c>
      <c r="AA65" s="78">
        <v>200</v>
      </c>
      <c r="AB65" s="78">
        <v>150</v>
      </c>
      <c r="AC65" s="78">
        <v>90</v>
      </c>
      <c r="AD65" s="78">
        <v>227.68529111207488</v>
      </c>
      <c r="AE65" s="78">
        <v>-2.2432064923816445E-2</v>
      </c>
      <c r="AF65" s="78">
        <v>-1</v>
      </c>
      <c r="AG65" s="78">
        <v>-1</v>
      </c>
      <c r="AH65" s="78">
        <v>-0.20097629340984957</v>
      </c>
      <c r="AI65">
        <v>16.592680908294938</v>
      </c>
      <c r="AJ65" s="107">
        <f>INDEX(Pipes_result_save_V1!$K$2:$K$206,MATCH(W65,Pipes_result_save_V1!$I$2:$I$206,0)) *POWER(10,-3)</f>
        <v>-2.6208169460296632E-3</v>
      </c>
      <c r="AK65" s="78">
        <v>2.9165432198665188E-3</v>
      </c>
      <c r="AL65" s="78">
        <f t="shared" si="1"/>
        <v>2.957262738368556E-4</v>
      </c>
    </row>
    <row r="66" spans="2:38" ht="30" x14ac:dyDescent="0.25">
      <c r="B66" s="106">
        <v>59</v>
      </c>
      <c r="C66" s="106" t="s">
        <v>540</v>
      </c>
      <c r="D66" s="106" t="s">
        <v>249</v>
      </c>
      <c r="E66" s="106" t="str">
        <f>INDEX(Pipes_result_save_V1!$G$2:$G$206,MATCH(D66,Pipes_result_save_V1!$I$2:$I$206,0))</f>
        <v>N182</v>
      </c>
      <c r="F66" s="106" t="str">
        <f>INDEX(Pipes_result_save_V1!$H$2:$H$206,MATCH(D66,Pipes_result_save_V1!$I$2:$I$206,0))</f>
        <v>N183</v>
      </c>
      <c r="G66" s="106">
        <v>2.9028999999999999E-2</v>
      </c>
      <c r="H66" s="107">
        <v>200</v>
      </c>
      <c r="I66" s="107">
        <v>150</v>
      </c>
      <c r="J66" s="107">
        <v>78</v>
      </c>
      <c r="K66" s="107">
        <v>197.32725229713157</v>
      </c>
      <c r="L66" s="107">
        <v>-2.9028999999999999E-2</v>
      </c>
      <c r="M66" s="107">
        <v>-0.28077088580295173</v>
      </c>
      <c r="N66" s="107">
        <v>17.912696975681797</v>
      </c>
      <c r="O66" s="107">
        <f>INDEX(Pipes_result_save_V1!$K$2:$K$206,MATCH(D66,Pipes_result_save_V1!$I$2:$I$206,0)) *POWER(10,-3)</f>
        <v>-3.5793492794036872E-3</v>
      </c>
      <c r="P66" s="78">
        <v>6.2953095200519232E-3</v>
      </c>
      <c r="Q66" s="78">
        <f t="shared" si="0"/>
        <v>2.715960240648236E-3</v>
      </c>
      <c r="R66" s="78"/>
      <c r="S66" s="78"/>
      <c r="T66" s="78">
        <v>59</v>
      </c>
      <c r="U66" s="78">
        <v>59</v>
      </c>
      <c r="V66" s="78" t="s">
        <v>540</v>
      </c>
      <c r="W66" s="78" t="s">
        <v>249</v>
      </c>
      <c r="X66" s="106" t="str">
        <f>INDEX(Pipes_result_save_V1!$G$2:$G$206,MATCH(W66,Pipes_result_save_V1!$I$2:$I$206,0))</f>
        <v>N182</v>
      </c>
      <c r="Y66" s="106" t="str">
        <f>INDEX(Pipes_result_save_V1!$H$2:$H$206,MATCH(W66,Pipes_result_save_V1!$I$2:$I$206,0))</f>
        <v>N183</v>
      </c>
      <c r="Z66" s="78">
        <v>2.9028999999999999E-2</v>
      </c>
      <c r="AA66" s="78">
        <v>200</v>
      </c>
      <c r="AB66" s="78">
        <v>150</v>
      </c>
      <c r="AC66" s="78">
        <v>78</v>
      </c>
      <c r="AD66" s="78">
        <v>197.32725229713157</v>
      </c>
      <c r="AE66" s="78">
        <v>-2.2432064923816445E-2</v>
      </c>
      <c r="AF66" s="78">
        <v>-1</v>
      </c>
      <c r="AG66" s="78">
        <v>-1</v>
      </c>
      <c r="AH66" s="78">
        <v>-0.17417945428853632</v>
      </c>
      <c r="AI66">
        <v>14.380323453855612</v>
      </c>
      <c r="AJ66" s="107">
        <f>INDEX(Pipes_result_save_V1!$K$2:$K$206,MATCH(W66,Pipes_result_save_V1!$I$2:$I$206,0)) *POWER(10,-3)</f>
        <v>-3.5793492794036872E-3</v>
      </c>
      <c r="AK66" s="78">
        <v>6.3839606588319935E-5</v>
      </c>
      <c r="AL66" s="78">
        <f t="shared" si="1"/>
        <v>-3.5155096728153672E-3</v>
      </c>
    </row>
    <row r="67" spans="2:38" ht="30" x14ac:dyDescent="0.25">
      <c r="B67" s="106">
        <v>60</v>
      </c>
      <c r="C67" s="106" t="s">
        <v>540</v>
      </c>
      <c r="D67" s="106" t="s">
        <v>250</v>
      </c>
      <c r="E67" s="106" t="str">
        <f>INDEX(Pipes_result_save_V1!$G$2:$G$206,MATCH(D67,Pipes_result_save_V1!$I$2:$I$206,0))</f>
        <v>N183</v>
      </c>
      <c r="F67" s="106" t="str">
        <f>INDEX(Pipes_result_save_V1!$H$2:$H$206,MATCH(D67,Pipes_result_save_V1!$I$2:$I$206,0))</f>
        <v>N184</v>
      </c>
      <c r="G67" s="106">
        <v>2.9028999999999999E-2</v>
      </c>
      <c r="H67" s="107">
        <v>200</v>
      </c>
      <c r="I67" s="107">
        <v>150</v>
      </c>
      <c r="J67" s="107">
        <v>83</v>
      </c>
      <c r="K67" s="107">
        <v>209.97643513669126</v>
      </c>
      <c r="L67" s="107">
        <v>-2.9028999999999999E-2</v>
      </c>
      <c r="M67" s="107">
        <v>-0.29876901950826917</v>
      </c>
      <c r="N67" s="107">
        <v>19.060946781815247</v>
      </c>
      <c r="O67" s="107">
        <f>INDEX(Pipes_result_save_V1!$K$2:$K$206,MATCH(D67,Pipes_result_save_V1!$I$2:$I$206,0)) *POWER(10,-3)</f>
        <v>-4.4979424476623547E-3</v>
      </c>
      <c r="P67" s="78">
        <v>5.4572649696420011E-3</v>
      </c>
      <c r="Q67" s="78">
        <f t="shared" si="0"/>
        <v>9.5932252197964644E-4</v>
      </c>
      <c r="R67" s="78"/>
      <c r="S67" s="78"/>
      <c r="T67" s="78">
        <v>60</v>
      </c>
      <c r="U67" s="78">
        <v>60</v>
      </c>
      <c r="V67" s="78" t="s">
        <v>540</v>
      </c>
      <c r="W67" s="78" t="s">
        <v>250</v>
      </c>
      <c r="X67" s="106" t="str">
        <f>INDEX(Pipes_result_save_V1!$G$2:$G$206,MATCH(W67,Pipes_result_save_V1!$I$2:$I$206,0))</f>
        <v>N183</v>
      </c>
      <c r="Y67" s="106" t="str">
        <f>INDEX(Pipes_result_save_V1!$H$2:$H$206,MATCH(W67,Pipes_result_save_V1!$I$2:$I$206,0))</f>
        <v>N184</v>
      </c>
      <c r="Z67" s="78">
        <v>2.9028999999999999E-2</v>
      </c>
      <c r="AA67" s="78">
        <v>200</v>
      </c>
      <c r="AB67" s="78">
        <v>150</v>
      </c>
      <c r="AC67" s="78">
        <v>83</v>
      </c>
      <c r="AD67" s="78">
        <v>209.97643513669126</v>
      </c>
      <c r="AE67" s="78">
        <v>-2.2432064923816445E-2</v>
      </c>
      <c r="AF67" s="78">
        <v>-1</v>
      </c>
      <c r="AG67" s="78">
        <v>-1</v>
      </c>
      <c r="AH67" s="78">
        <v>-0.18534480392241684</v>
      </c>
      <c r="AI67">
        <v>15.302139059871998</v>
      </c>
      <c r="AJ67" s="107">
        <f>INDEX(Pipes_result_save_V1!$K$2:$K$206,MATCH(W67,Pipes_result_save_V1!$I$2:$I$206,0)) *POWER(10,-3)</f>
        <v>-4.4979424476623547E-3</v>
      </c>
      <c r="AK67" s="78">
        <v>2.6362514008356499E-3</v>
      </c>
      <c r="AL67" s="78">
        <f t="shared" si="1"/>
        <v>-1.8616910468267048E-3</v>
      </c>
    </row>
    <row r="68" spans="2:38" ht="30" x14ac:dyDescent="0.25">
      <c r="B68" s="106">
        <v>61</v>
      </c>
      <c r="C68" s="106" t="s">
        <v>540</v>
      </c>
      <c r="D68" s="106" t="s">
        <v>432</v>
      </c>
      <c r="E68" s="106" t="str">
        <f>INDEX(Pipes_result_save_V1!$G$2:$G$206,MATCH(D68,Pipes_result_save_V1!$I$2:$I$206,0))</f>
        <v>N184</v>
      </c>
      <c r="F68" s="106" t="str">
        <f>INDEX(Pipes_result_save_V1!$H$2:$H$206,MATCH(D68,Pipes_result_save_V1!$I$2:$I$206,0))</f>
        <v>N185</v>
      </c>
      <c r="G68" s="106">
        <v>2.9028999999999999E-2</v>
      </c>
      <c r="H68" s="107">
        <v>200</v>
      </c>
      <c r="I68" s="107">
        <v>150</v>
      </c>
      <c r="J68" s="107">
        <v>175</v>
      </c>
      <c r="K68" s="107">
        <v>442.72139938459003</v>
      </c>
      <c r="L68" s="107">
        <v>-2.9028999999999999E-2</v>
      </c>
      <c r="M68" s="107">
        <v>-0.62993467968610972</v>
      </c>
      <c r="N68" s="107">
        <v>40.188743214670701</v>
      </c>
      <c r="O68" s="107">
        <f>INDEX(Pipes_result_save_V1!$K$2:$K$206,MATCH(D68,Pipes_result_save_V1!$I$2:$I$206,0)) *POWER(10,-3)</f>
        <v>-5.969974040985108E-3</v>
      </c>
      <c r="P68" s="78">
        <v>6.4293583862618693E-3</v>
      </c>
      <c r="Q68" s="78">
        <f t="shared" si="0"/>
        <v>4.5938434527676136E-4</v>
      </c>
      <c r="R68" s="78"/>
      <c r="S68" s="78"/>
      <c r="T68" s="78">
        <v>61</v>
      </c>
      <c r="U68" s="78">
        <v>61</v>
      </c>
      <c r="V68" s="78" t="s">
        <v>540</v>
      </c>
      <c r="W68" s="78" t="s">
        <v>432</v>
      </c>
      <c r="X68" s="106" t="str">
        <f>INDEX(Pipes_result_save_V1!$G$2:$G$206,MATCH(W68,Pipes_result_save_V1!$I$2:$I$206,0))</f>
        <v>N184</v>
      </c>
      <c r="Y68" s="106" t="str">
        <f>INDEX(Pipes_result_save_V1!$H$2:$H$206,MATCH(W68,Pipes_result_save_V1!$I$2:$I$206,0))</f>
        <v>N185</v>
      </c>
      <c r="Z68" s="78">
        <v>2.9028999999999999E-2</v>
      </c>
      <c r="AA68" s="78">
        <v>200</v>
      </c>
      <c r="AB68" s="78">
        <v>150</v>
      </c>
      <c r="AC68" s="78">
        <v>175</v>
      </c>
      <c r="AD68" s="78">
        <v>442.72139938459003</v>
      </c>
      <c r="AE68" s="78">
        <v>-2.2432064923816445E-2</v>
      </c>
      <c r="AF68" s="78">
        <v>-1</v>
      </c>
      <c r="AG68" s="78">
        <v>-1</v>
      </c>
      <c r="AH68" s="78">
        <v>-0.39078723718581865</v>
      </c>
      <c r="AI68">
        <v>32.263546210573487</v>
      </c>
      <c r="AJ68" s="107">
        <f>INDEX(Pipes_result_save_V1!$K$2:$K$206,MATCH(W68,Pipes_result_save_V1!$I$2:$I$206,0)) *POWER(10,-3)</f>
        <v>-5.969974040985108E-3</v>
      </c>
      <c r="AK68" s="78">
        <v>1.1151632808153651E-3</v>
      </c>
      <c r="AL68" s="78">
        <f t="shared" si="1"/>
        <v>-4.8548107601697425E-3</v>
      </c>
    </row>
    <row r="69" spans="2:38" ht="30" x14ac:dyDescent="0.25">
      <c r="B69" s="106">
        <v>62</v>
      </c>
      <c r="C69" s="106" t="s">
        <v>540</v>
      </c>
      <c r="D69" s="106" t="s">
        <v>269</v>
      </c>
      <c r="E69" s="106" t="str">
        <f>INDEX(Pipes_result_save_V1!$G$2:$G$206,MATCH(D69,Pipes_result_save_V1!$I$2:$I$206,0))</f>
        <v>N185</v>
      </c>
      <c r="F69" s="106" t="str">
        <f>INDEX(Pipes_result_save_V1!$H$2:$H$206,MATCH(D69,Pipes_result_save_V1!$I$2:$I$206,0))</f>
        <v>N186</v>
      </c>
      <c r="G69" s="106">
        <v>2.9028999999999999E-2</v>
      </c>
      <c r="H69" s="107">
        <v>200</v>
      </c>
      <c r="I69" s="107">
        <v>150</v>
      </c>
      <c r="J69" s="107">
        <v>169</v>
      </c>
      <c r="K69" s="107">
        <v>427.5423799771184</v>
      </c>
      <c r="L69" s="107">
        <v>-2.9028999999999999E-2</v>
      </c>
      <c r="M69" s="107">
        <v>-0.60833691923972877</v>
      </c>
      <c r="N69" s="107">
        <v>38.81084344731056</v>
      </c>
      <c r="O69" s="107">
        <f>INDEX(Pipes_result_save_V1!$K$2:$K$206,MATCH(D69,Pipes_result_save_V1!$I$2:$I$206,0)) *POWER(10,-3)</f>
        <v>-7.9326825141906743E-3</v>
      </c>
      <c r="P69" s="78">
        <v>5.7088382822617165E-3</v>
      </c>
      <c r="Q69" s="78">
        <f t="shared" si="0"/>
        <v>-2.2238442319289578E-3</v>
      </c>
      <c r="R69" s="78"/>
      <c r="S69" s="78"/>
      <c r="T69" s="78">
        <v>62</v>
      </c>
      <c r="U69" s="78">
        <v>62</v>
      </c>
      <c r="V69" s="78" t="s">
        <v>540</v>
      </c>
      <c r="W69" s="78" t="s">
        <v>269</v>
      </c>
      <c r="X69" s="106" t="str">
        <f>INDEX(Pipes_result_save_V1!$G$2:$G$206,MATCH(W69,Pipes_result_save_V1!$I$2:$I$206,0))</f>
        <v>N185</v>
      </c>
      <c r="Y69" s="106" t="str">
        <f>INDEX(Pipes_result_save_V1!$H$2:$H$206,MATCH(W69,Pipes_result_save_V1!$I$2:$I$206,0))</f>
        <v>N186</v>
      </c>
      <c r="Z69" s="78">
        <v>2.9028999999999999E-2</v>
      </c>
      <c r="AA69" s="78">
        <v>200</v>
      </c>
      <c r="AB69" s="78">
        <v>150</v>
      </c>
      <c r="AC69" s="78">
        <v>169</v>
      </c>
      <c r="AD69" s="78">
        <v>427.5423799771184</v>
      </c>
      <c r="AE69" s="78">
        <v>-2.2432064923816445E-2</v>
      </c>
      <c r="AF69" s="78">
        <v>-1</v>
      </c>
      <c r="AG69" s="78">
        <v>-1</v>
      </c>
      <c r="AH69" s="78">
        <v>-0.37738881762516202</v>
      </c>
      <c r="AI69">
        <v>31.157367483353827</v>
      </c>
      <c r="AJ69" s="107">
        <f>INDEX(Pipes_result_save_V1!$K$2:$K$206,MATCH(W69,Pipes_result_save_V1!$I$2:$I$206,0)) *POWER(10,-3)</f>
        <v>-7.9326825141906743E-3</v>
      </c>
      <c r="AK69" s="78">
        <v>2.5347452125473059E-3</v>
      </c>
      <c r="AL69" s="78">
        <f t="shared" si="1"/>
        <v>-5.3979373016433685E-3</v>
      </c>
    </row>
    <row r="70" spans="2:38" ht="30" x14ac:dyDescent="0.25">
      <c r="B70" s="106">
        <v>63</v>
      </c>
      <c r="C70" s="106" t="s">
        <v>540</v>
      </c>
      <c r="D70" s="106" t="s">
        <v>270</v>
      </c>
      <c r="E70" s="106" t="str">
        <f>INDEX(Pipes_result_save_V1!$G$2:$G$206,MATCH(D70,Pipes_result_save_V1!$I$2:$I$206,0))</f>
        <v>N186</v>
      </c>
      <c r="F70" s="106" t="str">
        <f>INDEX(Pipes_result_save_V1!$H$2:$H$206,MATCH(D70,Pipes_result_save_V1!$I$2:$I$206,0))</f>
        <v>N187</v>
      </c>
      <c r="G70" s="106">
        <v>2.9028999999999999E-2</v>
      </c>
      <c r="H70" s="107">
        <v>200</v>
      </c>
      <c r="I70" s="107">
        <v>150</v>
      </c>
      <c r="J70" s="107">
        <v>169</v>
      </c>
      <c r="K70" s="107">
        <v>427.5423799771184</v>
      </c>
      <c r="L70" s="107">
        <v>-2.9028999999999999E-2</v>
      </c>
      <c r="M70" s="107">
        <v>-0.60833691923972877</v>
      </c>
      <c r="N70" s="107">
        <v>38.81084344731056</v>
      </c>
      <c r="O70" s="107">
        <f>INDEX(Pipes_result_save_V1!$K$2:$K$206,MATCH(D70,Pipes_result_save_V1!$I$2:$I$206,0)) *POWER(10,-3)</f>
        <v>-9.8611583709716805E-3</v>
      </c>
      <c r="P70" s="78">
        <v>5.9730648656926462E-3</v>
      </c>
      <c r="Q70" s="78">
        <f t="shared" si="0"/>
        <v>-3.8880935052790343E-3</v>
      </c>
      <c r="R70" s="78"/>
      <c r="S70" s="78"/>
      <c r="T70" s="78">
        <v>63</v>
      </c>
      <c r="U70" s="78">
        <v>63</v>
      </c>
      <c r="V70" s="78" t="s">
        <v>540</v>
      </c>
      <c r="W70" s="78" t="s">
        <v>270</v>
      </c>
      <c r="X70" s="106" t="str">
        <f>INDEX(Pipes_result_save_V1!$G$2:$G$206,MATCH(W70,Pipes_result_save_V1!$I$2:$I$206,0))</f>
        <v>N186</v>
      </c>
      <c r="Y70" s="106" t="str">
        <f>INDEX(Pipes_result_save_V1!$H$2:$H$206,MATCH(W70,Pipes_result_save_V1!$I$2:$I$206,0))</f>
        <v>N187</v>
      </c>
      <c r="Z70" s="78">
        <v>2.9028999999999999E-2</v>
      </c>
      <c r="AA70" s="78">
        <v>200</v>
      </c>
      <c r="AB70" s="78">
        <v>150</v>
      </c>
      <c r="AC70" s="78">
        <v>169</v>
      </c>
      <c r="AD70" s="78">
        <v>427.5423799771184</v>
      </c>
      <c r="AE70" s="78">
        <v>-2.2432064923816445E-2</v>
      </c>
      <c r="AF70" s="78">
        <v>-1</v>
      </c>
      <c r="AG70" s="78">
        <v>-1</v>
      </c>
      <c r="AH70" s="78">
        <v>-0.37738881762516202</v>
      </c>
      <c r="AI70">
        <v>31.157367483353827</v>
      </c>
      <c r="AJ70" s="107">
        <f>INDEX(Pipes_result_save_V1!$K$2:$K$206,MATCH(W70,Pipes_result_save_V1!$I$2:$I$206,0)) *POWER(10,-3)</f>
        <v>-9.8611583709716805E-3</v>
      </c>
      <c r="AK70" s="78">
        <v>4.6527855039262753E-3</v>
      </c>
      <c r="AL70" s="78">
        <f t="shared" si="1"/>
        <v>-5.2083728670454053E-3</v>
      </c>
    </row>
    <row r="71" spans="2:38" ht="30" x14ac:dyDescent="0.25">
      <c r="B71" s="106">
        <v>64</v>
      </c>
      <c r="C71" s="106" t="s">
        <v>540</v>
      </c>
      <c r="D71" s="106" t="s">
        <v>272</v>
      </c>
      <c r="E71" s="106" t="str">
        <f>INDEX(Pipes_result_save_V1!$G$2:$G$206,MATCH(D71,Pipes_result_save_V1!$I$2:$I$206,0))</f>
        <v>N187</v>
      </c>
      <c r="F71" s="106" t="str">
        <f>INDEX(Pipes_result_save_V1!$H$2:$H$206,MATCH(D71,Pipes_result_save_V1!$I$2:$I$206,0))</f>
        <v>N188</v>
      </c>
      <c r="G71" s="106">
        <v>2.9028999999999999E-2</v>
      </c>
      <c r="H71" s="107">
        <v>200</v>
      </c>
      <c r="I71" s="107">
        <v>150</v>
      </c>
      <c r="J71" s="107">
        <v>134</v>
      </c>
      <c r="K71" s="107">
        <v>338.99810010020042</v>
      </c>
      <c r="L71" s="107">
        <v>-2.9028999999999999E-2</v>
      </c>
      <c r="M71" s="107">
        <v>-0.48234998330250689</v>
      </c>
      <c r="N71" s="107">
        <v>30.773094804376424</v>
      </c>
      <c r="O71" s="107">
        <f>INDEX(Pipes_result_save_V1!$K$2:$K$206,MATCH(D71,Pipes_result_save_V1!$I$2:$I$206,0)) *POWER(10,-3)</f>
        <v>-1.1589940071105961E-2</v>
      </c>
      <c r="P71" s="78">
        <v>5.4140706158563104E-3</v>
      </c>
      <c r="Q71" s="78">
        <f t="shared" si="0"/>
        <v>-6.175869455249651E-3</v>
      </c>
      <c r="R71" s="78"/>
      <c r="S71" s="78"/>
      <c r="T71" s="78">
        <v>64</v>
      </c>
      <c r="U71" s="78">
        <v>64</v>
      </c>
      <c r="V71" s="78" t="s">
        <v>540</v>
      </c>
      <c r="W71" s="78" t="s">
        <v>272</v>
      </c>
      <c r="X71" s="106" t="str">
        <f>INDEX(Pipes_result_save_V1!$G$2:$G$206,MATCH(W71,Pipes_result_save_V1!$I$2:$I$206,0))</f>
        <v>N187</v>
      </c>
      <c r="Y71" s="106" t="str">
        <f>INDEX(Pipes_result_save_V1!$H$2:$H$206,MATCH(W71,Pipes_result_save_V1!$I$2:$I$206,0))</f>
        <v>N188</v>
      </c>
      <c r="Z71" s="78">
        <v>2.9028999999999999E-2</v>
      </c>
      <c r="AA71" s="78">
        <v>200</v>
      </c>
      <c r="AB71" s="78">
        <v>150</v>
      </c>
      <c r="AC71" s="78">
        <v>134</v>
      </c>
      <c r="AD71" s="78">
        <v>338.99810010020042</v>
      </c>
      <c r="AE71" s="78">
        <v>-2.2432064923816445E-2</v>
      </c>
      <c r="AF71" s="78">
        <v>-1</v>
      </c>
      <c r="AG71" s="78">
        <v>-1</v>
      </c>
      <c r="AH71" s="78">
        <v>-0.29923137018799828</v>
      </c>
      <c r="AI71">
        <v>24.70465824123913</v>
      </c>
      <c r="AJ71" s="107">
        <f>INDEX(Pipes_result_save_V1!$K$2:$K$206,MATCH(W71,Pipes_result_save_V1!$I$2:$I$206,0)) *POWER(10,-3)</f>
        <v>-1.1589940071105961E-2</v>
      </c>
      <c r="AK71" s="78">
        <v>1.0804693333157063E-3</v>
      </c>
      <c r="AL71" s="78">
        <f t="shared" si="1"/>
        <v>-1.0509470737790256E-2</v>
      </c>
    </row>
    <row r="72" spans="2:38" ht="30" x14ac:dyDescent="0.25">
      <c r="B72" s="106">
        <v>65</v>
      </c>
      <c r="C72" s="106" t="s">
        <v>540</v>
      </c>
      <c r="D72" s="106" t="s">
        <v>271</v>
      </c>
      <c r="E72" s="106" t="str">
        <f>INDEX(Pipes_result_save_V1!$G$2:$G$206,MATCH(D72,Pipes_result_save_V1!$I$2:$I$206,0))</f>
        <v>N188</v>
      </c>
      <c r="F72" s="106" t="str">
        <f>INDEX(Pipes_result_save_V1!$H$2:$H$206,MATCH(D72,Pipes_result_save_V1!$I$2:$I$206,0))</f>
        <v>N189</v>
      </c>
      <c r="G72" s="106">
        <v>2.9028999999999999E-2</v>
      </c>
      <c r="H72" s="107">
        <v>200</v>
      </c>
      <c r="I72" s="107">
        <v>150</v>
      </c>
      <c r="J72" s="107">
        <v>263</v>
      </c>
      <c r="K72" s="107">
        <v>665.34701736084105</v>
      </c>
      <c r="L72" s="107">
        <v>-2.9028999999999999E-2</v>
      </c>
      <c r="M72" s="107">
        <v>-0.94670183289969634</v>
      </c>
      <c r="N72" s="107">
        <v>60.397939802619398</v>
      </c>
      <c r="O72" s="107">
        <f>INDEX(Pipes_result_save_V1!$K$2:$K$206,MATCH(D72,Pipes_result_save_V1!$I$2:$I$206,0)) *POWER(10,-3)</f>
        <v>-1.385504245758057E-2</v>
      </c>
      <c r="P72" s="78">
        <v>5.2847983206110311E-3</v>
      </c>
      <c r="Q72" s="78">
        <f t="shared" si="0"/>
        <v>-8.5702441369695393E-3</v>
      </c>
      <c r="R72" s="78"/>
      <c r="S72" s="78"/>
      <c r="T72" s="78">
        <v>65</v>
      </c>
      <c r="U72" s="78">
        <v>65</v>
      </c>
      <c r="V72" s="78" t="s">
        <v>540</v>
      </c>
      <c r="W72" s="78" t="s">
        <v>271</v>
      </c>
      <c r="X72" s="106" t="str">
        <f>INDEX(Pipes_result_save_V1!$G$2:$G$206,MATCH(W72,Pipes_result_save_V1!$I$2:$I$206,0))</f>
        <v>N188</v>
      </c>
      <c r="Y72" s="106" t="str">
        <f>INDEX(Pipes_result_save_V1!$H$2:$H$206,MATCH(W72,Pipes_result_save_V1!$I$2:$I$206,0))</f>
        <v>N189</v>
      </c>
      <c r="Z72" s="78">
        <v>2.9028999999999999E-2</v>
      </c>
      <c r="AA72" s="78">
        <v>200</v>
      </c>
      <c r="AB72" s="78">
        <v>150</v>
      </c>
      <c r="AC72" s="78">
        <v>263</v>
      </c>
      <c r="AD72" s="78">
        <v>665.34701736084105</v>
      </c>
      <c r="AE72" s="78">
        <v>-2.2432064923816445E-2</v>
      </c>
      <c r="AF72" s="78">
        <v>-1</v>
      </c>
      <c r="AG72" s="78">
        <v>-1</v>
      </c>
      <c r="AH72" s="78">
        <v>-0.58729739074211607</v>
      </c>
      <c r="AI72">
        <v>48.487500876461873</v>
      </c>
      <c r="AJ72" s="107">
        <f>INDEX(Pipes_result_save_V1!$K$2:$K$206,MATCH(W72,Pipes_result_save_V1!$I$2:$I$206,0)) *POWER(10,-3)</f>
        <v>-1.385504245758057E-2</v>
      </c>
      <c r="AK72" s="78">
        <v>3.7055250738890723E-3</v>
      </c>
      <c r="AL72" s="78">
        <f t="shared" si="1"/>
        <v>-1.0149517383691499E-2</v>
      </c>
    </row>
    <row r="73" spans="2:38" ht="30" x14ac:dyDescent="0.25">
      <c r="B73" s="106">
        <v>66</v>
      </c>
      <c r="C73" s="106" t="s">
        <v>540</v>
      </c>
      <c r="D73" s="106" t="s">
        <v>273</v>
      </c>
      <c r="E73" s="106" t="str">
        <f>INDEX(Pipes_result_save_V1!$G$2:$G$206,MATCH(D73,Pipes_result_save_V1!$I$2:$I$206,0))</f>
        <v>N189</v>
      </c>
      <c r="F73" s="106" t="str">
        <f>INDEX(Pipes_result_save_V1!$H$2:$H$206,MATCH(D73,Pipes_result_save_V1!$I$2:$I$206,0))</f>
        <v>N190</v>
      </c>
      <c r="G73" s="106">
        <v>2.9028999999999999E-2</v>
      </c>
      <c r="H73" s="107">
        <v>200</v>
      </c>
      <c r="I73" s="107">
        <v>150</v>
      </c>
      <c r="J73" s="107">
        <v>257</v>
      </c>
      <c r="K73" s="107">
        <v>650.16799795336942</v>
      </c>
      <c r="L73" s="107">
        <v>-2.9028999999999999E-2</v>
      </c>
      <c r="M73" s="107">
        <v>-0.92510407245331538</v>
      </c>
      <c r="N73" s="107">
        <v>59.020040035259257</v>
      </c>
      <c r="O73" s="107">
        <f>INDEX(Pipes_result_save_V1!$K$2:$K$206,MATCH(D73,Pipes_result_save_V1!$I$2:$I$206,0)) *POWER(10,-3)</f>
        <v>-1.6821928024291988E-2</v>
      </c>
      <c r="P73" s="78">
        <v>6.1713420649328237E-3</v>
      </c>
      <c r="Q73" s="78">
        <f t="shared" ref="Q73:Q77" si="7">(ABS(O73)-P73)*SIGN(O73)</f>
        <v>-1.0650585959359166E-2</v>
      </c>
      <c r="R73" s="78"/>
      <c r="S73" s="78"/>
      <c r="T73" s="78">
        <v>66</v>
      </c>
      <c r="U73" s="78">
        <v>66</v>
      </c>
      <c r="V73" s="78" t="s">
        <v>540</v>
      </c>
      <c r="W73" s="78" t="s">
        <v>273</v>
      </c>
      <c r="X73" s="106" t="str">
        <f>INDEX(Pipes_result_save_V1!$G$2:$G$206,MATCH(W73,Pipes_result_save_V1!$I$2:$I$206,0))</f>
        <v>N189</v>
      </c>
      <c r="Y73" s="106" t="str">
        <f>INDEX(Pipes_result_save_V1!$H$2:$H$206,MATCH(W73,Pipes_result_save_V1!$I$2:$I$206,0))</f>
        <v>N190</v>
      </c>
      <c r="Z73" s="78">
        <v>2.9028999999999999E-2</v>
      </c>
      <c r="AA73" s="78">
        <v>200</v>
      </c>
      <c r="AB73" s="78">
        <v>150</v>
      </c>
      <c r="AC73" s="78">
        <v>257</v>
      </c>
      <c r="AD73" s="78">
        <v>650.16799795336942</v>
      </c>
      <c r="AE73" s="78">
        <v>-2.2432064923816445E-2</v>
      </c>
      <c r="AF73" s="78">
        <v>-1</v>
      </c>
      <c r="AG73" s="78">
        <v>-1</v>
      </c>
      <c r="AH73" s="78">
        <v>-0.57389897118145938</v>
      </c>
      <c r="AI73">
        <v>47.381322149242209</v>
      </c>
      <c r="AJ73" s="107">
        <f>INDEX(Pipes_result_save_V1!$K$2:$K$206,MATCH(W73,Pipes_result_save_V1!$I$2:$I$206,0)) *POWER(10,-3)</f>
        <v>-1.6821928024291988E-2</v>
      </c>
      <c r="AK73" s="78">
        <v>2.0439464026063801E-5</v>
      </c>
      <c r="AL73" s="78">
        <f t="shared" ref="AL73:AL77" si="8">(ABS(AJ73)-AK73)*SIGN(AJ73)</f>
        <v>-1.6801488560265924E-2</v>
      </c>
    </row>
    <row r="74" spans="2:38" ht="30" x14ac:dyDescent="0.25">
      <c r="B74" s="106">
        <v>67</v>
      </c>
      <c r="C74" s="106" t="s">
        <v>540</v>
      </c>
      <c r="D74" s="106" t="s">
        <v>274</v>
      </c>
      <c r="E74" s="106" t="str">
        <f>INDEX(Pipes_result_save_V1!$G$2:$G$206,MATCH(D74,Pipes_result_save_V1!$I$2:$I$206,0))</f>
        <v>N190</v>
      </c>
      <c r="F74" s="106" t="str">
        <f>INDEX(Pipes_result_save_V1!$H$2:$H$206,MATCH(D74,Pipes_result_save_V1!$I$2:$I$206,0))</f>
        <v>N191</v>
      </c>
      <c r="G74" s="106">
        <v>2.9028999999999999E-2</v>
      </c>
      <c r="H74" s="107">
        <v>200</v>
      </c>
      <c r="I74" s="107">
        <v>150</v>
      </c>
      <c r="J74" s="107">
        <v>173</v>
      </c>
      <c r="K74" s="107">
        <v>437.66172624876617</v>
      </c>
      <c r="L74" s="107">
        <v>-2.9028999999999999E-2</v>
      </c>
      <c r="M74" s="107">
        <v>-0.6227354262039827</v>
      </c>
      <c r="N74" s="107">
        <v>39.729443292217326</v>
      </c>
      <c r="O74" s="107">
        <f>INDEX(Pipes_result_save_V1!$K$2:$K$206,MATCH(D74,Pipes_result_save_V1!$I$2:$I$206,0)) *POWER(10,-3)</f>
        <v>-1.9275314331054692E-2</v>
      </c>
      <c r="P74" s="78">
        <v>5.0840904189161686E-3</v>
      </c>
      <c r="Q74" s="78">
        <f t="shared" si="7"/>
        <v>-1.4191223912138524E-2</v>
      </c>
      <c r="R74" s="78"/>
      <c r="S74" s="78"/>
      <c r="T74" s="78">
        <v>67</v>
      </c>
      <c r="U74" s="78">
        <v>67</v>
      </c>
      <c r="V74" s="78" t="s">
        <v>540</v>
      </c>
      <c r="W74" s="78" t="s">
        <v>274</v>
      </c>
      <c r="X74" s="106" t="str">
        <f>INDEX(Pipes_result_save_V1!$G$2:$G$206,MATCH(W74,Pipes_result_save_V1!$I$2:$I$206,0))</f>
        <v>N190</v>
      </c>
      <c r="Y74" s="106" t="str">
        <f>INDEX(Pipes_result_save_V1!$H$2:$H$206,MATCH(W74,Pipes_result_save_V1!$I$2:$I$206,0))</f>
        <v>N191</v>
      </c>
      <c r="Z74" s="78">
        <v>2.9028999999999999E-2</v>
      </c>
      <c r="AA74" s="78">
        <v>200</v>
      </c>
      <c r="AB74" s="78">
        <v>150</v>
      </c>
      <c r="AC74" s="78">
        <v>173</v>
      </c>
      <c r="AD74" s="78">
        <v>437.66172624876617</v>
      </c>
      <c r="AE74" s="78">
        <v>-2.2432064923816445E-2</v>
      </c>
      <c r="AF74" s="78">
        <v>-1</v>
      </c>
      <c r="AG74" s="78">
        <v>-1</v>
      </c>
      <c r="AH74" s="78">
        <v>-0.38632109733226644</v>
      </c>
      <c r="AI74">
        <v>31.894819968166935</v>
      </c>
      <c r="AJ74" s="107">
        <f>INDEX(Pipes_result_save_V1!$K$2:$K$206,MATCH(W74,Pipes_result_save_V1!$I$2:$I$206,0)) *POWER(10,-3)</f>
        <v>-1.9275314331054692E-2</v>
      </c>
      <c r="AK74" s="78">
        <v>2.3847943325962812E-3</v>
      </c>
      <c r="AL74" s="78">
        <f t="shared" si="8"/>
        <v>-1.6890519998458413E-2</v>
      </c>
    </row>
    <row r="75" spans="2:38" ht="30" x14ac:dyDescent="0.25">
      <c r="B75" s="106">
        <v>68</v>
      </c>
      <c r="C75" s="106" t="s">
        <v>540</v>
      </c>
      <c r="D75" s="106" t="s">
        <v>275</v>
      </c>
      <c r="E75" s="106" t="str">
        <f>INDEX(Pipes_result_save_V1!$G$2:$G$206,MATCH(D75,Pipes_result_save_V1!$I$2:$I$206,0))</f>
        <v>N191</v>
      </c>
      <c r="F75" s="106" t="str">
        <f>INDEX(Pipes_result_save_V1!$H$2:$H$206,MATCH(D75,Pipes_result_save_V1!$I$2:$I$206,0))</f>
        <v>N192</v>
      </c>
      <c r="G75" s="106">
        <v>2.9028999999999999E-2</v>
      </c>
      <c r="H75" s="107">
        <v>200</v>
      </c>
      <c r="I75" s="107">
        <v>150</v>
      </c>
      <c r="J75" s="107">
        <v>47</v>
      </c>
      <c r="K75" s="107">
        <v>118.90231869186132</v>
      </c>
      <c r="L75" s="107">
        <v>-2.9028999999999999E-2</v>
      </c>
      <c r="M75" s="107">
        <v>-0.16918245682998373</v>
      </c>
      <c r="N75" s="107">
        <v>10.793548177654417</v>
      </c>
      <c r="O75" s="107">
        <f>INDEX(Pipes_result_save_V1!$K$2:$K$206,MATCH(D75,Pipes_result_save_V1!$I$2:$I$206,0)) *POWER(10,-3)</f>
        <v>-2.05305347442627E-2</v>
      </c>
      <c r="P75" s="78">
        <v>5.4959869416529123E-3</v>
      </c>
      <c r="Q75" s="78">
        <f t="shared" si="7"/>
        <v>-1.5034547802609786E-2</v>
      </c>
      <c r="R75" s="78"/>
      <c r="S75" s="78"/>
      <c r="T75" s="78">
        <v>68</v>
      </c>
      <c r="U75" s="78">
        <v>68</v>
      </c>
      <c r="V75" s="78" t="s">
        <v>540</v>
      </c>
      <c r="W75" s="78" t="s">
        <v>275</v>
      </c>
      <c r="X75" s="106" t="str">
        <f>INDEX(Pipes_result_save_V1!$G$2:$G$206,MATCH(W75,Pipes_result_save_V1!$I$2:$I$206,0))</f>
        <v>N191</v>
      </c>
      <c r="Y75" s="106" t="str">
        <f>INDEX(Pipes_result_save_V1!$H$2:$H$206,MATCH(W75,Pipes_result_save_V1!$I$2:$I$206,0))</f>
        <v>N192</v>
      </c>
      <c r="Z75" s="78">
        <v>2.9028999999999999E-2</v>
      </c>
      <c r="AA75" s="78">
        <v>200</v>
      </c>
      <c r="AB75" s="78">
        <v>150</v>
      </c>
      <c r="AC75" s="78">
        <v>47</v>
      </c>
      <c r="AD75" s="78">
        <v>118.90231869186132</v>
      </c>
      <c r="AE75" s="78">
        <v>-2.2432064923816445E-2</v>
      </c>
      <c r="AF75" s="78">
        <v>-1</v>
      </c>
      <c r="AG75" s="78">
        <v>-1</v>
      </c>
      <c r="AH75" s="78">
        <v>-0.10495428655847701</v>
      </c>
      <c r="AI75">
        <v>8.6650666965540228</v>
      </c>
      <c r="AJ75" s="107">
        <f>INDEX(Pipes_result_save_V1!$K$2:$K$206,MATCH(W75,Pipes_result_save_V1!$I$2:$I$206,0)) *POWER(10,-3)</f>
        <v>-2.05305347442627E-2</v>
      </c>
      <c r="AK75" s="78">
        <v>2.9079985138577924E-3</v>
      </c>
      <c r="AL75" s="78">
        <f t="shared" si="8"/>
        <v>-1.7622536230404908E-2</v>
      </c>
    </row>
    <row r="76" spans="2:38" ht="30" x14ac:dyDescent="0.25">
      <c r="B76" s="106">
        <v>69</v>
      </c>
      <c r="C76" s="106" t="s">
        <v>540</v>
      </c>
      <c r="D76" s="106" t="s">
        <v>277</v>
      </c>
      <c r="E76" s="106" t="str">
        <f>INDEX(Pipes_result_save_V1!$G$2:$G$206,MATCH(D76,Pipes_result_save_V1!$I$2:$I$206,0))</f>
        <v>N193</v>
      </c>
      <c r="F76" s="106" t="str">
        <f>INDEX(Pipes_result_save_V1!$H$2:$H$206,MATCH(D76,Pipes_result_save_V1!$I$2:$I$206,0))</f>
        <v>N192</v>
      </c>
      <c r="G76" s="106">
        <v>0.22842500000000002</v>
      </c>
      <c r="H76" s="107">
        <v>565</v>
      </c>
      <c r="I76" s="107">
        <v>150</v>
      </c>
      <c r="J76" s="107">
        <v>351</v>
      </c>
      <c r="K76" s="107">
        <v>5.6427226167427849</v>
      </c>
      <c r="L76" s="107">
        <v>-0.22842500000000002</v>
      </c>
      <c r="M76" s="107">
        <v>-0.36633795039434436</v>
      </c>
      <c r="N76" s="107">
        <v>2.9701559992572006</v>
      </c>
      <c r="O76" s="107">
        <f>INDEX(Pipes_result_save_V1!$K$2:$K$206,MATCH(D76,Pipes_result_save_V1!$I$2:$I$206,0)) *POWER(10,-3)</f>
        <v>-1.403542900085449E-2</v>
      </c>
      <c r="P76" s="78">
        <v>5.456823903032002E-3</v>
      </c>
      <c r="Q76" s="78">
        <f t="shared" si="7"/>
        <v>-8.5786050978224893E-3</v>
      </c>
      <c r="R76" s="78"/>
      <c r="S76" s="78"/>
      <c r="T76" s="78">
        <v>69</v>
      </c>
      <c r="U76" s="78">
        <v>69</v>
      </c>
      <c r="V76" s="78" t="s">
        <v>540</v>
      </c>
      <c r="W76" s="78" t="s">
        <v>277</v>
      </c>
      <c r="X76" s="106" t="str">
        <f>INDEX(Pipes_result_save_V1!$G$2:$G$206,MATCH(W76,Pipes_result_save_V1!$I$2:$I$206,0))</f>
        <v>N193</v>
      </c>
      <c r="Y76" s="106" t="str">
        <f>INDEX(Pipes_result_save_V1!$H$2:$H$206,MATCH(W76,Pipes_result_save_V1!$I$2:$I$206,0))</f>
        <v>N192</v>
      </c>
      <c r="Z76" s="78">
        <v>0.22842500000000002</v>
      </c>
      <c r="AA76" s="78">
        <v>565</v>
      </c>
      <c r="AB76" s="78">
        <v>150</v>
      </c>
      <c r="AC76" s="78">
        <v>351</v>
      </c>
      <c r="AD76" s="78">
        <v>5.6427226167427849</v>
      </c>
      <c r="AE76" s="78">
        <v>-0.22182806492381646</v>
      </c>
      <c r="AF76" s="78">
        <v>-1</v>
      </c>
      <c r="AG76" s="78">
        <v>-1</v>
      </c>
      <c r="AH76" s="78">
        <v>-0.34698543293187428</v>
      </c>
      <c r="AI76">
        <v>2.89691487869458</v>
      </c>
      <c r="AJ76" s="107">
        <f>INDEX(Pipes_result_save_V1!$K$2:$K$206,MATCH(W76,Pipes_result_save_V1!$I$2:$I$206,0)) *POWER(10,-3)</f>
        <v>-1.403542900085449E-2</v>
      </c>
      <c r="AK76" s="78">
        <v>4.4989139488919869E-3</v>
      </c>
      <c r="AL76" s="78">
        <f t="shared" si="8"/>
        <v>-9.5365150519625026E-3</v>
      </c>
    </row>
    <row r="77" spans="2:38" ht="30" x14ac:dyDescent="0.25">
      <c r="B77" s="106">
        <v>70</v>
      </c>
      <c r="C77" s="106" t="s">
        <v>540</v>
      </c>
      <c r="D77" s="106" t="s">
        <v>427</v>
      </c>
      <c r="E77" s="106" t="str">
        <f>INDEX(Pipes_result_save_V1!$G$2:$G$206,MATCH(D77,Pipes_result_save_V1!$I$2:$I$206,0))</f>
        <v>N194</v>
      </c>
      <c r="F77" s="106" t="str">
        <f>INDEX(Pipes_result_save_V1!$H$2:$H$206,MATCH(D77,Pipes_result_save_V1!$I$2:$I$206,0))</f>
        <v>N193</v>
      </c>
      <c r="G77" s="106">
        <v>0.22842500000000002</v>
      </c>
      <c r="H77" s="107">
        <v>565</v>
      </c>
      <c r="I77" s="107">
        <v>150</v>
      </c>
      <c r="J77" s="107">
        <v>169</v>
      </c>
      <c r="K77" s="107">
        <v>2.7168664450983777</v>
      </c>
      <c r="L77" s="107">
        <v>-0.22842500000000002</v>
      </c>
      <c r="M77" s="107">
        <v>-0.17638493907875838</v>
      </c>
      <c r="N77" s="107">
        <v>1.4300751107534666</v>
      </c>
      <c r="O77" s="107">
        <f>INDEX(Pipes_result_save_V1!$K$2:$K$206,MATCH(D77,Pipes_result_save_V1!$I$2:$I$206,0)) *POWER(10,-3)</f>
        <v>-1.1068543434143071E-2</v>
      </c>
      <c r="P77" s="78">
        <v>6.5543548446075697E-3</v>
      </c>
      <c r="Q77" s="78">
        <f t="shared" si="7"/>
        <v>-4.5141885895355009E-3</v>
      </c>
      <c r="R77" s="78"/>
      <c r="S77" s="78"/>
      <c r="T77" s="78">
        <v>70</v>
      </c>
      <c r="U77" s="78">
        <v>70</v>
      </c>
      <c r="V77" s="78" t="s">
        <v>540</v>
      </c>
      <c r="W77" s="78" t="s">
        <v>427</v>
      </c>
      <c r="X77" s="106" t="str">
        <f>INDEX(Pipes_result_save_V1!$G$2:$G$206,MATCH(W77,Pipes_result_save_V1!$I$2:$I$206,0))</f>
        <v>N194</v>
      </c>
      <c r="Y77" s="106" t="str">
        <f>INDEX(Pipes_result_save_V1!$H$2:$H$206,MATCH(W77,Pipes_result_save_V1!$I$2:$I$206,0))</f>
        <v>N193</v>
      </c>
      <c r="Z77" s="78">
        <v>0.22842500000000002</v>
      </c>
      <c r="AA77" s="78">
        <v>565</v>
      </c>
      <c r="AB77" s="78">
        <v>150</v>
      </c>
      <c r="AC77" s="78">
        <v>169</v>
      </c>
      <c r="AD77" s="78">
        <v>2.7168664450983777</v>
      </c>
      <c r="AE77" s="78">
        <v>-0.22182806492381646</v>
      </c>
      <c r="AF77" s="78">
        <v>-1</v>
      </c>
      <c r="AG77" s="78">
        <v>-1</v>
      </c>
      <c r="AH77" s="78">
        <v>-0.16706706030053203</v>
      </c>
      <c r="AI77">
        <v>1.3948108675196123</v>
      </c>
      <c r="AJ77" s="107">
        <f>INDEX(Pipes_result_save_V1!$K$2:$K$206,MATCH(W77,Pipes_result_save_V1!$I$2:$I$206,0)) *POWER(10,-3)</f>
        <v>-1.1068543434143071E-2</v>
      </c>
      <c r="AK77" s="78">
        <v>1.3429046318283954E-3</v>
      </c>
      <c r="AL77" s="78">
        <f t="shared" si="8"/>
        <v>-9.7256388023146748E-3</v>
      </c>
    </row>
    <row r="78" spans="2:38" x14ac:dyDescent="0.25">
      <c r="B78" s="106">
        <v>71</v>
      </c>
      <c r="C78" s="106" t="s">
        <v>380</v>
      </c>
      <c r="D78" s="233"/>
      <c r="E78" s="233"/>
      <c r="F78" s="233"/>
      <c r="G78" s="233"/>
      <c r="H78" s="233"/>
      <c r="I78" s="233"/>
      <c r="J78" s="233"/>
      <c r="K78" s="233"/>
      <c r="L78" s="233"/>
      <c r="M78" s="107">
        <v>-5.070376541099133</v>
      </c>
      <c r="N78" s="107">
        <v>768.59579221938282</v>
      </c>
      <c r="O78" s="107"/>
      <c r="P78" s="78"/>
      <c r="Q78" s="78"/>
      <c r="R78" s="78"/>
      <c r="S78" s="78"/>
      <c r="T78" s="78">
        <v>44</v>
      </c>
      <c r="U78" s="78">
        <v>71</v>
      </c>
      <c r="V78" s="78" t="s">
        <v>380</v>
      </c>
      <c r="W78" s="249"/>
      <c r="X78" s="249"/>
      <c r="Y78" s="249"/>
      <c r="Z78" s="249"/>
      <c r="AA78" s="249"/>
      <c r="AB78" s="249"/>
      <c r="AC78" s="249"/>
      <c r="AD78" s="249"/>
      <c r="AE78" s="249"/>
      <c r="AF78" s="249"/>
      <c r="AG78" s="249"/>
      <c r="AH78" s="78">
        <v>35.649147910678835</v>
      </c>
      <c r="AI78">
        <v>1560.3548127119159</v>
      </c>
    </row>
    <row r="79" spans="2:38" x14ac:dyDescent="0.25">
      <c r="B79" s="106">
        <v>72</v>
      </c>
      <c r="C79" s="106" t="s">
        <v>381</v>
      </c>
      <c r="D79" s="233">
        <v>6.5969350761835542E-3</v>
      </c>
      <c r="E79" s="233"/>
      <c r="F79" s="233"/>
      <c r="G79" s="233"/>
      <c r="H79" s="233"/>
      <c r="I79" s="233"/>
      <c r="J79" s="233"/>
      <c r="K79" s="233"/>
      <c r="L79" s="233"/>
      <c r="M79" s="233"/>
      <c r="N79" s="233"/>
      <c r="O79" s="107"/>
      <c r="P79" s="78"/>
      <c r="Q79" s="78"/>
      <c r="R79" s="78"/>
      <c r="S79" s="78"/>
      <c r="T79" s="78"/>
      <c r="U79" s="78">
        <v>72</v>
      </c>
      <c r="V79" s="78" t="s">
        <v>381</v>
      </c>
      <c r="W79" s="249">
        <v>-2.284682151793423E-2</v>
      </c>
      <c r="X79" s="249"/>
      <c r="Y79" s="249"/>
      <c r="Z79" s="249"/>
      <c r="AA79" s="249"/>
      <c r="AB79" s="249"/>
      <c r="AC79" s="249"/>
      <c r="AD79" s="249"/>
      <c r="AE79" s="249"/>
      <c r="AF79" s="249"/>
      <c r="AG79" s="249"/>
      <c r="AH79" s="249"/>
      <c r="AI79" s="249"/>
    </row>
    <row r="80" spans="2:38" x14ac:dyDescent="0.25"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</row>
    <row r="81" spans="2:140" x14ac:dyDescent="0.25"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</row>
    <row r="82" spans="2:140" x14ac:dyDescent="0.25"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</row>
    <row r="83" spans="2:140" x14ac:dyDescent="0.25"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</row>
    <row r="84" spans="2:140" x14ac:dyDescent="0.25"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</row>
    <row r="85" spans="2:140" x14ac:dyDescent="0.25"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</row>
    <row r="86" spans="2:140" x14ac:dyDescent="0.25"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</row>
    <row r="87" spans="2:140" x14ac:dyDescent="0.25"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</row>
    <row r="88" spans="2:140" x14ac:dyDescent="0.25"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</row>
    <row r="89" spans="2:140" x14ac:dyDescent="0.25"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</row>
    <row r="90" spans="2:140" x14ac:dyDescent="0.25"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</row>
    <row r="91" spans="2:140" x14ac:dyDescent="0.25">
      <c r="B91" s="106"/>
      <c r="C91" s="233" t="s">
        <v>111</v>
      </c>
      <c r="D91" s="233"/>
      <c r="E91" s="233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78"/>
      <c r="S91" s="78"/>
      <c r="T91" s="78"/>
      <c r="U91" s="78"/>
      <c r="V91" s="249" t="s">
        <v>203</v>
      </c>
      <c r="W91" s="249"/>
      <c r="X91" s="249"/>
      <c r="Y91" s="249"/>
      <c r="Z91" s="249"/>
      <c r="AA91" s="249"/>
      <c r="AB91" s="249"/>
      <c r="AC91" s="249"/>
      <c r="AD91" s="249"/>
      <c r="AE91" s="249"/>
      <c r="AF91" s="249"/>
      <c r="AG91" s="249"/>
      <c r="AH91" s="249"/>
      <c r="AI91" s="249"/>
      <c r="AJ91" s="249"/>
      <c r="AK91" s="249"/>
      <c r="AL91" s="249"/>
      <c r="AQ91" s="233" t="s">
        <v>233</v>
      </c>
      <c r="AR91" s="233"/>
      <c r="AS91" s="233"/>
      <c r="AT91" s="233"/>
      <c r="AU91" s="233"/>
      <c r="AV91" s="233"/>
      <c r="AW91" s="233"/>
      <c r="AX91" s="233"/>
      <c r="AY91" s="233"/>
      <c r="AZ91" s="233"/>
      <c r="BA91" s="233"/>
      <c r="BB91" s="233"/>
      <c r="BC91" s="233"/>
      <c r="BD91" s="233"/>
      <c r="BL91" s="233" t="s">
        <v>255</v>
      </c>
      <c r="BM91" s="233"/>
      <c r="BN91" s="233"/>
      <c r="BO91" s="233"/>
      <c r="BP91" s="233"/>
      <c r="BQ91" s="233"/>
      <c r="BR91" s="233"/>
      <c r="BS91" s="233"/>
      <c r="BT91" s="233"/>
      <c r="BU91" s="233"/>
      <c r="BV91" s="233"/>
      <c r="BW91" s="233"/>
      <c r="BX91" s="233"/>
      <c r="BY91" s="106"/>
      <c r="BZ91" s="106"/>
      <c r="CA91" s="106"/>
      <c r="CG91" t="s">
        <v>279</v>
      </c>
      <c r="DA91" t="s">
        <v>305</v>
      </c>
      <c r="DV91" t="s">
        <v>305</v>
      </c>
    </row>
    <row r="92" spans="2:140" ht="45" x14ac:dyDescent="0.25">
      <c r="B92" s="106"/>
      <c r="C92" s="106" t="s">
        <v>542</v>
      </c>
      <c r="D92" s="106" t="s">
        <v>102</v>
      </c>
      <c r="E92" s="106" t="s">
        <v>905</v>
      </c>
      <c r="F92" s="106" t="s">
        <v>906</v>
      </c>
      <c r="G92" s="106" t="s">
        <v>384</v>
      </c>
      <c r="H92" s="107" t="s">
        <v>440</v>
      </c>
      <c r="I92" s="107" t="s">
        <v>106</v>
      </c>
      <c r="J92" s="107" t="s">
        <v>107</v>
      </c>
      <c r="K92" s="107" t="s">
        <v>379</v>
      </c>
      <c r="L92" s="107" t="s">
        <v>385</v>
      </c>
      <c r="M92" s="107" t="s">
        <v>387</v>
      </c>
      <c r="N92" s="107" t="s">
        <v>388</v>
      </c>
      <c r="O92" s="107" t="s">
        <v>386</v>
      </c>
      <c r="P92" s="78" t="s">
        <v>907</v>
      </c>
      <c r="Q92" s="107" t="s">
        <v>908</v>
      </c>
      <c r="R92" s="78"/>
      <c r="S92" s="78"/>
      <c r="T92" s="78" t="s">
        <v>544</v>
      </c>
      <c r="U92" s="78" t="s">
        <v>545</v>
      </c>
      <c r="V92" s="78" t="s">
        <v>542</v>
      </c>
      <c r="W92" s="78" t="s">
        <v>102</v>
      </c>
      <c r="X92" s="106" t="s">
        <v>905</v>
      </c>
      <c r="Y92" s="106" t="s">
        <v>906</v>
      </c>
      <c r="Z92" s="78" t="s">
        <v>384</v>
      </c>
      <c r="AA92" s="78" t="s">
        <v>440</v>
      </c>
      <c r="AB92" s="78" t="s">
        <v>106</v>
      </c>
      <c r="AC92" s="78" t="s">
        <v>107</v>
      </c>
      <c r="AD92" s="78" t="s">
        <v>379</v>
      </c>
      <c r="AE92" s="78" t="s">
        <v>385</v>
      </c>
      <c r="AF92" s="78" t="s">
        <v>550</v>
      </c>
      <c r="AG92" s="78" t="s">
        <v>551</v>
      </c>
      <c r="AH92" s="78" t="s">
        <v>387</v>
      </c>
      <c r="AI92" t="s">
        <v>388</v>
      </c>
      <c r="AJ92" t="s">
        <v>386</v>
      </c>
      <c r="AK92" s="78" t="s">
        <v>907</v>
      </c>
      <c r="AL92" s="107" t="s">
        <v>908</v>
      </c>
      <c r="AP92" t="s">
        <v>544</v>
      </c>
      <c r="AQ92" t="s">
        <v>545</v>
      </c>
      <c r="AR92" t="s">
        <v>542</v>
      </c>
      <c r="AS92" t="s">
        <v>102</v>
      </c>
      <c r="AT92" s="106" t="s">
        <v>905</v>
      </c>
      <c r="AU92" s="106" t="s">
        <v>906</v>
      </c>
      <c r="AV92" t="s">
        <v>384</v>
      </c>
      <c r="AW92" t="s">
        <v>440</v>
      </c>
      <c r="AX92" t="s">
        <v>106</v>
      </c>
      <c r="AY92" t="s">
        <v>107</v>
      </c>
      <c r="AZ92" t="s">
        <v>379</v>
      </c>
      <c r="BA92" t="s">
        <v>385</v>
      </c>
      <c r="BB92" t="s">
        <v>387</v>
      </c>
      <c r="BC92" t="s">
        <v>388</v>
      </c>
      <c r="BD92" t="s">
        <v>386</v>
      </c>
      <c r="BE92" s="78" t="s">
        <v>907</v>
      </c>
      <c r="BF92" s="107" t="s">
        <v>908</v>
      </c>
      <c r="BJ92" t="s">
        <v>544</v>
      </c>
      <c r="BK92" t="s">
        <v>545</v>
      </c>
      <c r="BL92" t="s">
        <v>542</v>
      </c>
      <c r="BM92" t="s">
        <v>102</v>
      </c>
      <c r="BN92" s="106" t="s">
        <v>905</v>
      </c>
      <c r="BO92" s="106" t="s">
        <v>906</v>
      </c>
      <c r="BP92" t="s">
        <v>384</v>
      </c>
      <c r="BQ92" t="s">
        <v>440</v>
      </c>
      <c r="BR92" t="s">
        <v>106</v>
      </c>
      <c r="BS92" t="s">
        <v>107</v>
      </c>
      <c r="BT92" t="s">
        <v>379</v>
      </c>
      <c r="BU92" t="s">
        <v>385</v>
      </c>
      <c r="BV92" t="s">
        <v>387</v>
      </c>
      <c r="BW92" t="s">
        <v>388</v>
      </c>
      <c r="BX92" t="s">
        <v>386</v>
      </c>
      <c r="BY92" s="78" t="s">
        <v>907</v>
      </c>
      <c r="BZ92" s="107" t="s">
        <v>908</v>
      </c>
      <c r="CE92" t="s">
        <v>544</v>
      </c>
      <c r="CF92" t="s">
        <v>545</v>
      </c>
      <c r="CG92" t="s">
        <v>542</v>
      </c>
      <c r="CH92" t="s">
        <v>102</v>
      </c>
      <c r="CI92" s="106" t="s">
        <v>905</v>
      </c>
      <c r="CJ92" s="106" t="s">
        <v>906</v>
      </c>
      <c r="CK92" t="s">
        <v>384</v>
      </c>
      <c r="CL92" t="s">
        <v>440</v>
      </c>
      <c r="CM92" t="s">
        <v>106</v>
      </c>
      <c r="CN92" t="s">
        <v>107</v>
      </c>
      <c r="CO92" t="s">
        <v>379</v>
      </c>
      <c r="CP92" t="s">
        <v>385</v>
      </c>
      <c r="CQ92" t="s">
        <v>387</v>
      </c>
      <c r="CR92" t="s">
        <v>388</v>
      </c>
      <c r="CS92" t="s">
        <v>386</v>
      </c>
      <c r="CT92" s="78" t="s">
        <v>907</v>
      </c>
      <c r="CU92" s="107" t="s">
        <v>908</v>
      </c>
      <c r="CY92" t="s">
        <v>544</v>
      </c>
      <c r="CZ92" t="s">
        <v>545</v>
      </c>
      <c r="DA92" t="s">
        <v>542</v>
      </c>
      <c r="DB92" t="s">
        <v>102</v>
      </c>
      <c r="DC92" s="106" t="s">
        <v>905</v>
      </c>
      <c r="DD92" s="106" t="s">
        <v>906</v>
      </c>
      <c r="DE92" t="s">
        <v>384</v>
      </c>
      <c r="DF92" t="s">
        <v>440</v>
      </c>
      <c r="DG92" t="s">
        <v>106</v>
      </c>
      <c r="DH92" t="s">
        <v>107</v>
      </c>
      <c r="DI92" t="s">
        <v>379</v>
      </c>
      <c r="DJ92" t="s">
        <v>385</v>
      </c>
      <c r="DK92" t="s">
        <v>387</v>
      </c>
      <c r="DL92" t="s">
        <v>388</v>
      </c>
      <c r="DM92" t="s">
        <v>386</v>
      </c>
      <c r="DN92" s="78" t="s">
        <v>907</v>
      </c>
      <c r="DO92" s="107" t="s">
        <v>908</v>
      </c>
      <c r="DP92" s="107"/>
      <c r="DQ92" s="107"/>
      <c r="DR92" s="107"/>
      <c r="DT92" t="s">
        <v>544</v>
      </c>
      <c r="DU92" t="s">
        <v>545</v>
      </c>
      <c r="DV92" t="s">
        <v>542</v>
      </c>
      <c r="DW92" t="s">
        <v>102</v>
      </c>
      <c r="DX92" s="106" t="s">
        <v>905</v>
      </c>
      <c r="DY92" s="106" t="s">
        <v>906</v>
      </c>
      <c r="DZ92" t="s">
        <v>384</v>
      </c>
      <c r="EA92" t="s">
        <v>440</v>
      </c>
      <c r="EB92" t="s">
        <v>106</v>
      </c>
      <c r="EC92" t="s">
        <v>107</v>
      </c>
      <c r="ED92" t="s">
        <v>379</v>
      </c>
      <c r="EE92" t="s">
        <v>385</v>
      </c>
      <c r="EF92" t="s">
        <v>387</v>
      </c>
      <c r="EG92" t="s">
        <v>388</v>
      </c>
      <c r="EH92" t="s">
        <v>386</v>
      </c>
      <c r="EI92" s="78" t="s">
        <v>907</v>
      </c>
      <c r="EJ92" s="107" t="s">
        <v>908</v>
      </c>
    </row>
    <row r="93" spans="2:140" x14ac:dyDescent="0.25">
      <c r="B93" s="106">
        <v>1</v>
      </c>
      <c r="C93" s="106" t="s">
        <v>539</v>
      </c>
      <c r="D93" s="106" t="s">
        <v>884</v>
      </c>
      <c r="E93" s="106" t="str">
        <f>INDEX(Pipes_result_save_V1!$G$2:$G$206,MATCH(D93,Pipes_result_save_V1!$I$2:$I$206,0))</f>
        <v>N165</v>
      </c>
      <c r="F93" s="106" t="str">
        <f>INDEX(Pipes_result_save_V1!$H$2:$H$206,MATCH(D93,Pipes_result_save_V1!$I$2:$I$206,0))</f>
        <v>N84</v>
      </c>
      <c r="G93" s="106">
        <v>9.6000000000000002E-2</v>
      </c>
      <c r="H93" s="107">
        <v>350</v>
      </c>
      <c r="I93" s="107">
        <v>150</v>
      </c>
      <c r="J93" s="107">
        <v>96</v>
      </c>
      <c r="K93" s="107">
        <v>15.904695680187142</v>
      </c>
      <c r="L93" s="107">
        <v>9.6000000000000002E-2</v>
      </c>
      <c r="M93" s="107">
        <v>0.20734410255996347</v>
      </c>
      <c r="N93" s="107">
        <v>4.0000133118859607</v>
      </c>
      <c r="O93" s="107">
        <f>INDEX(Pipes_result_save_V1!$K$2:$K$206,MATCH(D93,Pipes_result_save_V1!$I$2:$I$206,0)) *POWER(10,-3)</f>
        <v>-2.7296918869018551E-2</v>
      </c>
      <c r="P93" s="78">
        <v>6.4431228208937973E-3</v>
      </c>
      <c r="Q93" s="78">
        <f>(ABS(O93)-P93)*SIGN(O93)</f>
        <v>-2.0853796048124755E-2</v>
      </c>
      <c r="R93" s="78"/>
      <c r="S93" s="78"/>
      <c r="T93" s="78">
        <v>0</v>
      </c>
      <c r="U93" s="78">
        <v>1</v>
      </c>
      <c r="V93" s="78" t="s">
        <v>539</v>
      </c>
      <c r="W93" s="78" t="s">
        <v>184</v>
      </c>
      <c r="X93" s="106" t="str">
        <f>INDEX(Pipes_result_save_V1!$G$2:$G$206,MATCH(W93,Pipes_result_save_V1!$I$2:$I$206,0))</f>
        <v>N82</v>
      </c>
      <c r="Y93" s="106" t="str">
        <f>INDEX(Pipes_result_save_V1!$H$2:$H$206,MATCH(W93,Pipes_result_save_V1!$I$2:$I$206,0))</f>
        <v>N81</v>
      </c>
      <c r="Z93" s="78">
        <v>9.0894000000000003E-2</v>
      </c>
      <c r="AA93" s="78">
        <v>350</v>
      </c>
      <c r="AB93" s="78">
        <v>150</v>
      </c>
      <c r="AC93" s="78">
        <v>68</v>
      </c>
      <c r="AD93" s="78">
        <v>11.265826106799226</v>
      </c>
      <c r="AE93" s="78">
        <v>9.0894000000000003E-2</v>
      </c>
      <c r="AF93" s="78">
        <v>0</v>
      </c>
      <c r="AG93" s="78">
        <v>0</v>
      </c>
      <c r="AH93" s="78">
        <v>0.13273035727434446</v>
      </c>
      <c r="AI93">
        <v>2.7044317740674404</v>
      </c>
      <c r="AJ93" s="107">
        <f>INDEX(Pipes_result_save_V1!$K$2:$K$206,MATCH(W93,Pipes_result_save_V1!$I$2:$I$206,0)) *POWER(10,-3)</f>
        <v>-5.1448749542236327E-2</v>
      </c>
      <c r="AK93" s="78">
        <v>-1.7548399279513731E-3</v>
      </c>
      <c r="AL93" s="78">
        <f>(ABS(AJ93)-AK93)*SIGN(AJ93)</f>
        <v>-5.3203589470187704E-2</v>
      </c>
      <c r="AP93">
        <v>0</v>
      </c>
      <c r="AQ93">
        <v>1</v>
      </c>
      <c r="AR93" t="s">
        <v>539</v>
      </c>
      <c r="AS93" t="s">
        <v>421</v>
      </c>
      <c r="AT93" s="106" t="str">
        <f>INDEX(Pipes_result_save_V1!$G$2:$G$206,MATCH(AS93,Pipes_result_save_V1!$I$2:$I$206,0))</f>
        <v>N42</v>
      </c>
      <c r="AU93" s="106" t="str">
        <f>INDEX(Pipes_result_save_V1!$H$2:$H$206,MATCH(AS93,Pipes_result_save_V1!$I$2:$I$206,0))</f>
        <v>N72</v>
      </c>
      <c r="AV93">
        <v>3.2835999999999997E-2</v>
      </c>
      <c r="AW93">
        <v>250</v>
      </c>
      <c r="AX93">
        <v>150</v>
      </c>
      <c r="AY93">
        <v>42</v>
      </c>
      <c r="AZ93">
        <v>35.833817943811347</v>
      </c>
      <c r="BA93">
        <v>3.2835999999999997E-2</v>
      </c>
      <c r="BB93">
        <v>6.405805386727606E-2</v>
      </c>
      <c r="BC93">
        <v>3.6129710001886743</v>
      </c>
      <c r="BD93" s="107">
        <f>INDEX(Pipes_result_save_V1!$K$2:$K$206,MATCH(AS93,Pipes_result_save_V1!$I$2:$I$206,0)) *POWER(10,-3)</f>
        <v>6.4305412292480477E-2</v>
      </c>
      <c r="BE93" s="78">
        <v>5.753361051944573E-3</v>
      </c>
      <c r="BF93" s="78">
        <f>(ABS(BD93)-BE93)*SIGN(BD93)</f>
        <v>5.8552051240535904E-2</v>
      </c>
      <c r="BJ93">
        <v>0</v>
      </c>
      <c r="BK93">
        <v>1</v>
      </c>
      <c r="BL93" t="s">
        <v>539</v>
      </c>
      <c r="BM93" t="s">
        <v>414</v>
      </c>
      <c r="BN93" s="106" t="str">
        <f>INDEX(Pipes_result_save_V1!$G$2:$G$206,MATCH(BM93,Pipes_result_save_V1!$I$2:$I$206,0))</f>
        <v>N52</v>
      </c>
      <c r="BO93" s="106" t="str">
        <f>INDEX(Pipes_result_save_V1!$H$2:$H$206,MATCH(BM93,Pipes_result_save_V1!$I$2:$I$206,0))</f>
        <v>N42</v>
      </c>
      <c r="BP93">
        <v>3.2835999999999997E-2</v>
      </c>
      <c r="BQ93">
        <v>250</v>
      </c>
      <c r="BR93">
        <v>150</v>
      </c>
      <c r="BS93">
        <v>223</v>
      </c>
      <c r="BT93">
        <v>190.26050955880785</v>
      </c>
      <c r="BU93">
        <v>3.2835999999999997E-2</v>
      </c>
      <c r="BV93">
        <v>0.34011776220006096</v>
      </c>
      <c r="BW93">
        <v>19.183155548620817</v>
      </c>
      <c r="BX93" s="107">
        <f>INDEX(Pipes_result_save_V1!$K$2:$K$206,MATCH(BM93,Pipes_result_save_V1!$I$2:$I$206,0)) *POWER(10,-3)</f>
        <v>-3.351390075683594E-2</v>
      </c>
      <c r="BY93" s="78">
        <v>6.0903187807181871E-3</v>
      </c>
      <c r="BZ93" s="78">
        <f>(ABS(BX93)-BY93)*SIGN(BX93)</f>
        <v>-2.7423581976117752E-2</v>
      </c>
      <c r="CE93">
        <v>0</v>
      </c>
      <c r="CF93">
        <v>1</v>
      </c>
      <c r="CG93" t="s">
        <v>540</v>
      </c>
      <c r="CH93" t="s">
        <v>404</v>
      </c>
      <c r="CI93" s="106" t="str">
        <f>INDEX(Pipes_result_save_V1!$G$2:$G$206,MATCH(CH93,Pipes_result_save_V1!$I$2:$I$206,0))</f>
        <v>N31</v>
      </c>
      <c r="CJ93" s="106" t="str">
        <f>INDEX(Pipes_result_save_V1!$H$2:$H$206,MATCH(CH93,Pipes_result_save_V1!$I$2:$I$206,0))</f>
        <v>N17</v>
      </c>
      <c r="CK93">
        <v>0.16656000000000001</v>
      </c>
      <c r="CL93">
        <v>466</v>
      </c>
      <c r="CM93">
        <v>150</v>
      </c>
      <c r="CN93">
        <v>211</v>
      </c>
      <c r="CO93">
        <v>8.6693039509464178</v>
      </c>
      <c r="CP93">
        <v>-0.16656000000000001</v>
      </c>
      <c r="CQ93">
        <v>-0.31356904893752557</v>
      </c>
      <c r="CR93">
        <v>3.4866107026434761</v>
      </c>
      <c r="CS93" s="107">
        <f>INDEX(Pipes_result_save_V1!$K$2:$K$206,MATCH(CH93,Pipes_result_save_V1!$I$2:$I$206,0)) *POWER(10,-3)</f>
        <v>7.1654319763183594E-2</v>
      </c>
      <c r="CT93" s="78">
        <v>6.2765342189460916E-3</v>
      </c>
      <c r="CU93" s="78">
        <f>(ABS(CS93)-CT93)*SIGN(CS93)</f>
        <v>6.5377785544237496E-2</v>
      </c>
      <c r="CY93">
        <v>0</v>
      </c>
      <c r="CZ93">
        <v>1</v>
      </c>
      <c r="DA93" t="s">
        <v>539</v>
      </c>
      <c r="DB93" t="s">
        <v>399</v>
      </c>
      <c r="DC93" s="106" t="str">
        <f>INDEX(Pipes_result_save_V1!$G$2:$G$206,MATCH(DB93,Pipes_result_save_V1!$I$2:$I$206,0))</f>
        <v>N18</v>
      </c>
      <c r="DD93" s="106" t="str">
        <f>INDEX(Pipes_result_save_V1!$H$2:$H$206,MATCH(DB93,Pipes_result_save_V1!$I$2:$I$206,0))</f>
        <v>N3</v>
      </c>
      <c r="DE93">
        <v>0.16656000000000001</v>
      </c>
      <c r="DF93">
        <v>466</v>
      </c>
      <c r="DG93">
        <v>150</v>
      </c>
      <c r="DH93">
        <v>93</v>
      </c>
      <c r="DI93">
        <v>3.821067618189653</v>
      </c>
      <c r="DJ93">
        <v>0.16656000000000001</v>
      </c>
      <c r="DK93">
        <v>0.13820815901037856</v>
      </c>
      <c r="DL93">
        <v>1.5367525845774561</v>
      </c>
      <c r="DM93" s="107">
        <f>INDEX(Pipes_result_save_V1!$K$2:$K$206,MATCH(DB93,Pipes_result_save_V1!$I$2:$I$206,0)) *POWER(10,-3)</f>
        <v>-0.20916310119628909</v>
      </c>
      <c r="DN93" s="78">
        <v>5.5779905744318134E-3</v>
      </c>
      <c r="DO93" s="78">
        <f>(ABS(DM93)-DN93)*SIGN(DM93)</f>
        <v>-0.20358511062185727</v>
      </c>
      <c r="DT93">
        <v>0</v>
      </c>
      <c r="DU93">
        <v>1</v>
      </c>
      <c r="DV93" t="s">
        <v>539</v>
      </c>
      <c r="DW93" t="s">
        <v>405</v>
      </c>
      <c r="DX93" s="106" t="str">
        <f>INDEX(Pipes_result_save_V1!$G$2:$G$206,MATCH(DW93,Pipes_result_save_V1!$I$2:$I$206,0))</f>
        <v>R3</v>
      </c>
      <c r="DY93" s="106" t="str">
        <f>INDEX(Pipes_result_save_V1!$H$2:$H$206,MATCH(DW93,Pipes_result_save_V1!$I$2:$I$206,0))</f>
        <v>N1</v>
      </c>
      <c r="DZ93">
        <v>0.33212000000000003</v>
      </c>
      <c r="EA93">
        <v>700</v>
      </c>
      <c r="EB93">
        <v>150</v>
      </c>
      <c r="EC93">
        <v>47</v>
      </c>
      <c r="ED93">
        <v>0.26609387608691482</v>
      </c>
      <c r="EE93">
        <v>0.33212000000000003</v>
      </c>
      <c r="EF93">
        <v>3.4552006595457756E-2</v>
      </c>
      <c r="EG93">
        <v>0.19267227572801324</v>
      </c>
      <c r="EH93" s="107">
        <f>INDEX(Pipes_result_save_V1!$K$2:$K$206,MATCH(DW93,Pipes_result_save_V1!$I$2:$I$206,0)) *POWER(10,-3)</f>
        <v>0.3321200561523438</v>
      </c>
      <c r="EI93" s="78">
        <v>5.1620385675249583E-3</v>
      </c>
      <c r="EJ93" s="78">
        <f>(ABS(EH93)-EI93)*SIGN(EH93)</f>
        <v>0.32695801758481885</v>
      </c>
    </row>
    <row r="94" spans="2:140" x14ac:dyDescent="0.25">
      <c r="B94" s="106">
        <v>2</v>
      </c>
      <c r="C94" s="106" t="s">
        <v>539</v>
      </c>
      <c r="D94" s="106" t="s">
        <v>201</v>
      </c>
      <c r="E94" s="106" t="str">
        <f>INDEX(Pipes_result_save_V1!$G$2:$G$206,MATCH(D94,Pipes_result_save_V1!$I$2:$I$206,0))</f>
        <v>N84</v>
      </c>
      <c r="F94" s="106" t="str">
        <f>INDEX(Pipes_result_save_V1!$H$2:$H$206,MATCH(D94,Pipes_result_save_V1!$I$2:$I$206,0))</f>
        <v>N85</v>
      </c>
      <c r="G94" s="106">
        <v>9.5000000000000001E-2</v>
      </c>
      <c r="H94" s="107">
        <v>350</v>
      </c>
      <c r="I94" s="107">
        <v>150</v>
      </c>
      <c r="J94" s="107">
        <v>95</v>
      </c>
      <c r="K94" s="107">
        <v>15.739021766851859</v>
      </c>
      <c r="L94" s="107">
        <v>9.5000000000000001E-2</v>
      </c>
      <c r="M94" s="107">
        <v>0.2012434958680151</v>
      </c>
      <c r="N94" s="107">
        <v>3.9231889931322512</v>
      </c>
      <c r="O94" s="107">
        <f>INDEX(Pipes_result_save_V1!$K$2:$K$206,MATCH(D94,Pipes_result_save_V1!$I$2:$I$206,0)) *POWER(10,-3)</f>
        <v>2.0083776473999022E-2</v>
      </c>
      <c r="P94" s="78">
        <v>5.1523291787287252E-3</v>
      </c>
      <c r="Q94" s="78">
        <f t="shared" ref="Q94:Q157" si="9">(ABS(O94)-P94)*SIGN(O94)</f>
        <v>1.4931447295270297E-2</v>
      </c>
      <c r="R94" s="78"/>
      <c r="S94" s="78"/>
      <c r="T94" s="78">
        <v>0</v>
      </c>
      <c r="U94" s="78">
        <v>2</v>
      </c>
      <c r="V94" s="78" t="s">
        <v>539</v>
      </c>
      <c r="W94" s="78" t="s">
        <v>422</v>
      </c>
      <c r="X94" s="106" t="str">
        <f>INDEX(Pipes_result_save_V1!$G$2:$G$206,MATCH(W94,Pipes_result_save_V1!$I$2:$I$206,0))</f>
        <v>N81</v>
      </c>
      <c r="Y94" s="106" t="str">
        <f>INDEX(Pipes_result_save_V1!$H$2:$H$206,MATCH(W94,Pipes_result_save_V1!$I$2:$I$206,0))</f>
        <v>N135</v>
      </c>
      <c r="Z94" s="78">
        <v>5.8057999999999998E-2</v>
      </c>
      <c r="AA94" s="78">
        <v>300</v>
      </c>
      <c r="AB94" s="78">
        <v>150</v>
      </c>
      <c r="AC94" s="78">
        <v>88</v>
      </c>
      <c r="AD94" s="78">
        <v>30.891188328490372</v>
      </c>
      <c r="AE94" s="78">
        <v>5.8057999999999998E-2</v>
      </c>
      <c r="AF94" s="78">
        <v>0</v>
      </c>
      <c r="AG94" s="78">
        <v>0</v>
      </c>
      <c r="AH94" s="78">
        <v>0.15867451177943664</v>
      </c>
      <c r="AI94">
        <v>5.061579727436647</v>
      </c>
      <c r="AJ94" s="107">
        <f>INDEX(Pipes_result_save_V1!$K$2:$K$206,MATCH(W94,Pipes_result_save_V1!$I$2:$I$206,0)) *POWER(10,-3)</f>
        <v>2.2272217273712159E-3</v>
      </c>
      <c r="AK94" s="78">
        <v>3.9753378517913395E-3</v>
      </c>
      <c r="AL94" s="78">
        <f t="shared" ref="AL94:AL157" si="10">(ABS(AJ94)-AK94)*SIGN(AJ94)</f>
        <v>-1.7481161244201236E-3</v>
      </c>
      <c r="AP94">
        <v>0</v>
      </c>
      <c r="AQ94">
        <v>2</v>
      </c>
      <c r="AR94" t="s">
        <v>540</v>
      </c>
      <c r="AS94" t="s">
        <v>413</v>
      </c>
      <c r="AT94" s="106" t="str">
        <f>INDEX(Pipes_result_save_V1!$G$2:$G$206,MATCH(AS94,Pipes_result_save_V1!$I$2:$I$206,0))</f>
        <v>N111</v>
      </c>
      <c r="AU94" s="106" t="str">
        <f>INDEX(Pipes_result_save_V1!$H$2:$H$206,MATCH(AS94,Pipes_result_save_V1!$I$2:$I$206,0))</f>
        <v>N42</v>
      </c>
      <c r="AV94">
        <v>3.2835999999999997E-2</v>
      </c>
      <c r="AW94">
        <v>250</v>
      </c>
      <c r="AX94">
        <v>150</v>
      </c>
      <c r="AY94">
        <v>42</v>
      </c>
      <c r="AZ94">
        <v>35.833817943811347</v>
      </c>
      <c r="BA94">
        <v>-3.2835999999999997E-2</v>
      </c>
      <c r="BB94">
        <v>-6.405805386727606E-2</v>
      </c>
      <c r="BC94">
        <v>3.6129710001886743</v>
      </c>
      <c r="BD94" s="107">
        <f>INDEX(Pipes_result_save_V1!$K$2:$K$206,MATCH(AS94,Pipes_result_save_V1!$I$2:$I$206,0)) *POWER(10,-3)</f>
        <v>-8.0635652542114262E-3</v>
      </c>
      <c r="BE94" s="78">
        <v>5.8404372619920604E-3</v>
      </c>
      <c r="BF94" s="78">
        <f t="shared" ref="BF94:BF129" si="11">(ABS(BD94)-BE94)*SIGN(BD94)</f>
        <v>-2.2231279922193658E-3</v>
      </c>
      <c r="BJ94">
        <v>1</v>
      </c>
      <c r="BK94">
        <v>2</v>
      </c>
      <c r="BL94" t="s">
        <v>540</v>
      </c>
      <c r="BM94" t="s">
        <v>421</v>
      </c>
      <c r="BN94" s="106" t="str">
        <f>INDEX(Pipes_result_save_V1!$G$2:$G$206,MATCH(BM94,Pipes_result_save_V1!$I$2:$I$206,0))</f>
        <v>N42</v>
      </c>
      <c r="BO94" s="106" t="str">
        <f>INDEX(Pipes_result_save_V1!$H$2:$H$206,MATCH(BM94,Pipes_result_save_V1!$I$2:$I$206,0))</f>
        <v>N72</v>
      </c>
      <c r="BP94">
        <v>3.2835999999999997E-2</v>
      </c>
      <c r="BQ94">
        <v>250</v>
      </c>
      <c r="BR94">
        <v>150</v>
      </c>
      <c r="BS94">
        <v>91</v>
      </c>
      <c r="BT94">
        <v>77.639938878257922</v>
      </c>
      <c r="BU94">
        <v>3.8249255700015396E-2</v>
      </c>
      <c r="BV94">
        <v>0.18412084510295368</v>
      </c>
      <c r="BW94">
        <v>8.9149919100395199</v>
      </c>
      <c r="BX94" s="107">
        <f>INDEX(Pipes_result_save_V1!$K$2:$K$206,MATCH(BM94,Pipes_result_save_V1!$I$2:$I$206,0)) *POWER(10,-3)</f>
        <v>6.4305412292480477E-2</v>
      </c>
      <c r="BY94" s="78">
        <v>5.0228789967472947E-3</v>
      </c>
      <c r="BZ94" s="78">
        <f t="shared" ref="BZ94:BZ144" si="12">(ABS(BX94)-BY94)*SIGN(BX94)</f>
        <v>5.9282533295733179E-2</v>
      </c>
      <c r="CE94">
        <v>0</v>
      </c>
      <c r="CF94">
        <v>2</v>
      </c>
      <c r="CG94" t="s">
        <v>539</v>
      </c>
      <c r="CH94" t="s">
        <v>416</v>
      </c>
      <c r="CI94" s="106" t="str">
        <f>INDEX(Pipes_result_save_V1!$G$2:$G$206,MATCH(CH94,Pipes_result_save_V1!$I$2:$I$206,0))</f>
        <v>N43</v>
      </c>
      <c r="CJ94" s="106" t="str">
        <f>INDEX(Pipes_result_save_V1!$H$2:$H$206,MATCH(CH94,Pipes_result_save_V1!$I$2:$I$206,0))</f>
        <v>N17</v>
      </c>
      <c r="CK94">
        <v>0.16656000000000001</v>
      </c>
      <c r="CL94">
        <v>466</v>
      </c>
      <c r="CM94">
        <v>150</v>
      </c>
      <c r="CN94">
        <v>232</v>
      </c>
      <c r="CO94">
        <v>9.5321256711827917</v>
      </c>
      <c r="CP94">
        <v>0.16656000000000001</v>
      </c>
      <c r="CQ94">
        <v>0.34477734290761108</v>
      </c>
      <c r="CR94">
        <v>3.8336193507738692</v>
      </c>
      <c r="CS94" s="107">
        <f>INDEX(Pipes_result_save_V1!$K$2:$K$206,MATCH(CH94,Pipes_result_save_V1!$I$2:$I$206,0)) *POWER(10,-3)</f>
        <v>-6.128554534912109E-2</v>
      </c>
      <c r="CT94" s="78">
        <v>5.6258596043895891E-3</v>
      </c>
      <c r="CU94" s="78">
        <f t="shared" ref="CU94:CU133" si="13">(ABS(CS94)-CT94)*SIGN(CS94)</f>
        <v>-5.5659685744731499E-2</v>
      </c>
      <c r="CY94">
        <v>0</v>
      </c>
      <c r="CZ94">
        <v>2</v>
      </c>
      <c r="DA94" t="s">
        <v>540</v>
      </c>
      <c r="DB94" t="s">
        <v>400</v>
      </c>
      <c r="DC94" s="106" t="str">
        <f>INDEX(Pipes_result_save_V1!$G$2:$G$206,MATCH(DB94,Pipes_result_save_V1!$I$2:$I$206,0))</f>
        <v>N3</v>
      </c>
      <c r="DD94" s="106" t="str">
        <f>INDEX(Pipes_result_save_V1!$H$2:$H$206,MATCH(DB94,Pipes_result_save_V1!$I$2:$I$206,0))</f>
        <v>N4</v>
      </c>
      <c r="DE94">
        <v>0.16656000000000001</v>
      </c>
      <c r="DF94">
        <v>466</v>
      </c>
      <c r="DG94">
        <v>150</v>
      </c>
      <c r="DH94">
        <v>181</v>
      </c>
      <c r="DI94">
        <v>7.4367014934658844</v>
      </c>
      <c r="DJ94">
        <v>-0.16656000000000001</v>
      </c>
      <c r="DK94">
        <v>-0.26898577183740346</v>
      </c>
      <c r="DL94">
        <v>2.9908840624571997</v>
      </c>
      <c r="DM94" s="107">
        <f>INDEX(Pipes_result_save_V1!$K$2:$K$206,MATCH(DB94,Pipes_result_save_V1!$I$2:$I$206,0)) *POWER(10,-3)</f>
        <v>0.11761656188964839</v>
      </c>
      <c r="DN94" s="78">
        <v>5.1155246570994449E-3</v>
      </c>
      <c r="DO94" s="78">
        <f t="shared" ref="DO94:DO140" si="14">(ABS(DM94)-DN94)*SIGN(DM94)</f>
        <v>0.11250103723254895</v>
      </c>
      <c r="DT94">
        <v>0</v>
      </c>
      <c r="DU94">
        <v>2</v>
      </c>
      <c r="DV94" t="s">
        <v>539</v>
      </c>
      <c r="DW94" t="s">
        <v>406</v>
      </c>
      <c r="DX94" s="106" t="str">
        <f>INDEX(Pipes_result_save_V1!$G$2:$G$206,MATCH(DW94,Pipes_result_save_V1!$I$2:$I$206,0))</f>
        <v>N1</v>
      </c>
      <c r="DY94" s="106" t="str">
        <f>INDEX(Pipes_result_save_V1!$H$2:$H$206,MATCH(DW94,Pipes_result_save_V1!$I$2:$I$206,0))</f>
        <v>N2</v>
      </c>
      <c r="DZ94">
        <v>0.33212000000000003</v>
      </c>
      <c r="EA94">
        <v>700</v>
      </c>
      <c r="EB94">
        <v>150</v>
      </c>
      <c r="EC94">
        <v>117</v>
      </c>
      <c r="ED94">
        <v>0.66240390430146878</v>
      </c>
      <c r="EE94">
        <v>0.33212000000000003</v>
      </c>
      <c r="EF94">
        <v>8.6012441950394827E-2</v>
      </c>
      <c r="EG94">
        <v>0.47963098425909684</v>
      </c>
      <c r="EH94" s="107">
        <f>INDEX(Pipes_result_save_V1!$K$2:$K$206,MATCH(DW94,Pipes_result_save_V1!$I$2:$I$206,0)) *POWER(10,-3)</f>
        <v>0.33091619873046879</v>
      </c>
      <c r="EI94" s="78">
        <v>5.2236693919670936E-3</v>
      </c>
      <c r="EJ94" s="78">
        <f t="shared" ref="EJ94:EJ125" si="15">(ABS(EH94)-EI94)*SIGN(EH94)</f>
        <v>0.32569252933850168</v>
      </c>
    </row>
    <row r="95" spans="2:140" x14ac:dyDescent="0.25">
      <c r="B95" s="106">
        <v>3</v>
      </c>
      <c r="C95" s="106" t="s">
        <v>539</v>
      </c>
      <c r="D95" s="106" t="s">
        <v>199</v>
      </c>
      <c r="E95" s="106" t="str">
        <f>INDEX(Pipes_result_save_V1!$G$2:$G$206,MATCH(D95,Pipes_result_save_V1!$I$2:$I$206,0))</f>
        <v>N85</v>
      </c>
      <c r="F95" s="106" t="str">
        <f>INDEX(Pipes_result_save_V1!$H$2:$H$206,MATCH(D95,Pipes_result_save_V1!$I$2:$I$206,0))</f>
        <v>N86</v>
      </c>
      <c r="G95" s="106">
        <v>7.2999999999999995E-2</v>
      </c>
      <c r="H95" s="107">
        <v>350</v>
      </c>
      <c r="I95" s="107">
        <v>150</v>
      </c>
      <c r="J95" s="107">
        <v>73</v>
      </c>
      <c r="K95" s="107">
        <v>12.094195673475639</v>
      </c>
      <c r="L95" s="107">
        <v>7.2999999999999995E-2</v>
      </c>
      <c r="M95" s="107">
        <v>9.4940371718878883E-2</v>
      </c>
      <c r="N95" s="107">
        <v>2.4086242249775851</v>
      </c>
      <c r="O95" s="107">
        <f>INDEX(Pipes_result_save_V1!$K$2:$K$206,MATCH(D95,Pipes_result_save_V1!$I$2:$I$206,0)) *POWER(10,-3)</f>
        <v>1.9125244140625001E-2</v>
      </c>
      <c r="P95" s="78">
        <v>5.5356757694688587E-3</v>
      </c>
      <c r="Q95" s="78">
        <f t="shared" si="9"/>
        <v>1.3589568371156142E-2</v>
      </c>
      <c r="R95" s="78"/>
      <c r="S95" s="78"/>
      <c r="T95" s="78">
        <v>0</v>
      </c>
      <c r="U95" s="78">
        <v>3</v>
      </c>
      <c r="V95" s="78" t="s">
        <v>539</v>
      </c>
      <c r="W95" s="78" t="s">
        <v>200</v>
      </c>
      <c r="X95" s="106" t="str">
        <f>INDEX(Pipes_result_save_V1!$G$2:$G$206,MATCH(W95,Pipes_result_save_V1!$I$2:$I$206,0))</f>
        <v>N83</v>
      </c>
      <c r="Y95" s="106" t="str">
        <f>INDEX(Pipes_result_save_V1!$H$2:$H$206,MATCH(W95,Pipes_result_save_V1!$I$2:$I$206,0))</f>
        <v>N82</v>
      </c>
      <c r="Z95" s="78">
        <v>9.0894000000000003E-2</v>
      </c>
      <c r="AA95" s="78">
        <v>350</v>
      </c>
      <c r="AB95" s="78">
        <v>150</v>
      </c>
      <c r="AC95" s="78">
        <v>152</v>
      </c>
      <c r="AD95" s="78">
        <v>25.182434826962975</v>
      </c>
      <c r="AE95" s="78">
        <v>9.0894000000000003E-2</v>
      </c>
      <c r="AF95" s="78">
        <v>0</v>
      </c>
      <c r="AG95" s="78">
        <v>0</v>
      </c>
      <c r="AH95" s="78">
        <v>0.29669138684853463</v>
      </c>
      <c r="AI95">
        <v>6.0452004361507479</v>
      </c>
      <c r="AJ95" s="107">
        <f>INDEX(Pipes_result_save_V1!$K$2:$K$206,MATCH(W95,Pipes_result_save_V1!$I$2:$I$206,0)) *POWER(10,-3)</f>
        <v>-5.0193531036376957E-2</v>
      </c>
      <c r="AK95" s="78">
        <v>1.5341845089411276E-3</v>
      </c>
      <c r="AL95" s="78">
        <f t="shared" si="10"/>
        <v>-4.865934652743583E-2</v>
      </c>
      <c r="AP95">
        <v>0</v>
      </c>
      <c r="AQ95">
        <v>3</v>
      </c>
      <c r="AR95" t="s">
        <v>539</v>
      </c>
      <c r="AS95" t="s">
        <v>181</v>
      </c>
      <c r="AT95" s="106" t="str">
        <f>INDEX(Pipes_result_save_V1!$G$2:$G$206,MATCH(AS95,Pipes_result_save_V1!$I$2:$I$206,0))</f>
        <v>N72</v>
      </c>
      <c r="AU95" s="106" t="str">
        <f>INDEX(Pipes_result_save_V1!$H$2:$H$206,MATCH(AS95,Pipes_result_save_V1!$I$2:$I$206,0))</f>
        <v>N73</v>
      </c>
      <c r="AV95">
        <v>3.2837000000000005E-2</v>
      </c>
      <c r="AW95">
        <v>250</v>
      </c>
      <c r="AX95">
        <v>150</v>
      </c>
      <c r="AY95">
        <v>72</v>
      </c>
      <c r="AZ95">
        <v>61.429402189390885</v>
      </c>
      <c r="BA95">
        <v>3.2837000000000005E-2</v>
      </c>
      <c r="BB95">
        <v>0.10982000037454172</v>
      </c>
      <c r="BC95">
        <v>6.19382527921708</v>
      </c>
      <c r="BD95" s="107">
        <f>INDEX(Pipes_result_save_V1!$K$2:$K$206,MATCH(AS95,Pipes_result_save_V1!$I$2:$I$206,0)) *POWER(10,-3)</f>
        <v>6.3329761505126952E-2</v>
      </c>
      <c r="BE95" s="78">
        <v>5.2013618015163731E-3</v>
      </c>
      <c r="BF95" s="78">
        <f t="shared" si="11"/>
        <v>5.8128399703610577E-2</v>
      </c>
      <c r="BJ95">
        <v>0</v>
      </c>
      <c r="BK95">
        <v>3</v>
      </c>
      <c r="BL95" t="s">
        <v>539</v>
      </c>
      <c r="BM95" t="s">
        <v>159</v>
      </c>
      <c r="BN95" s="106" t="str">
        <f>INDEX(Pipes_result_save_V1!$G$2:$G$206,MATCH(BM95,Pipes_result_save_V1!$I$2:$I$206,0))</f>
        <v>N53</v>
      </c>
      <c r="BO95" s="106" t="str">
        <f>INDEX(Pipes_result_save_V1!$H$2:$H$206,MATCH(BM95,Pipes_result_save_V1!$I$2:$I$206,0))</f>
        <v>N52</v>
      </c>
      <c r="BP95">
        <v>3.2837000000000005E-2</v>
      </c>
      <c r="BQ95">
        <v>250</v>
      </c>
      <c r="BR95">
        <v>150</v>
      </c>
      <c r="BS95">
        <v>94</v>
      </c>
      <c r="BT95">
        <v>80.199497302815871</v>
      </c>
      <c r="BU95">
        <v>3.2837000000000005E-2</v>
      </c>
      <c r="BV95">
        <v>0.14337611160009611</v>
      </c>
      <c r="BW95">
        <v>8.0863830034222985</v>
      </c>
      <c r="BX95" s="107">
        <f>INDEX(Pipes_result_save_V1!$K$2:$K$206,MATCH(BM95,Pipes_result_save_V1!$I$2:$I$206,0)) *POWER(10,-3)</f>
        <v>-3.1705240249633788E-2</v>
      </c>
      <c r="BY95" s="78">
        <v>5.890773312039058E-3</v>
      </c>
      <c r="BZ95" s="78">
        <f t="shared" si="12"/>
        <v>-2.5814466937594732E-2</v>
      </c>
      <c r="CE95">
        <v>0</v>
      </c>
      <c r="CF95">
        <v>3</v>
      </c>
      <c r="CG95" t="s">
        <v>540</v>
      </c>
      <c r="CH95" t="s">
        <v>138</v>
      </c>
      <c r="CI95" s="106" t="str">
        <f>INDEX(Pipes_result_save_V1!$G$2:$G$206,MATCH(CH95,Pipes_result_save_V1!$I$2:$I$206,0))</f>
        <v>N32</v>
      </c>
      <c r="CJ95" s="106" t="str">
        <f>INDEX(Pipes_result_save_V1!$H$2:$H$206,MATCH(CH95,Pipes_result_save_V1!$I$2:$I$206,0))</f>
        <v>N31</v>
      </c>
      <c r="CK95">
        <v>8.3280000000000007E-2</v>
      </c>
      <c r="CL95">
        <v>350</v>
      </c>
      <c r="CM95">
        <v>150</v>
      </c>
      <c r="CN95">
        <v>129</v>
      </c>
      <c r="CO95">
        <v>21.371934820251475</v>
      </c>
      <c r="CP95">
        <v>-8.3280000000000007E-2</v>
      </c>
      <c r="CQ95">
        <v>-0.21413381180980889</v>
      </c>
      <c r="CR95">
        <v>4.7619574864525225</v>
      </c>
      <c r="CS95" s="107">
        <f>INDEX(Pipes_result_save_V1!$K$2:$K$206,MATCH(CH95,Pipes_result_save_V1!$I$2:$I$206,0)) *POWER(10,-3)</f>
        <v>-0.11996421051025391</v>
      </c>
      <c r="CT95" s="78">
        <v>5.6823466040250145E-3</v>
      </c>
      <c r="CU95" s="78">
        <f t="shared" si="13"/>
        <v>-0.11428186390622889</v>
      </c>
      <c r="CY95">
        <v>0</v>
      </c>
      <c r="CZ95">
        <v>3</v>
      </c>
      <c r="DA95" t="s">
        <v>540</v>
      </c>
      <c r="DB95" t="s">
        <v>401</v>
      </c>
      <c r="DC95" s="106" t="str">
        <f>INDEX(Pipes_result_save_V1!$G$2:$G$206,MATCH(DB95,Pipes_result_save_V1!$I$2:$I$206,0))</f>
        <v>N4</v>
      </c>
      <c r="DD95" s="106" t="str">
        <f>INDEX(Pipes_result_save_V1!$H$2:$H$206,MATCH(DB95,Pipes_result_save_V1!$I$2:$I$206,0))</f>
        <v>N5</v>
      </c>
      <c r="DE95">
        <v>0.16656000000000001</v>
      </c>
      <c r="DF95">
        <v>466</v>
      </c>
      <c r="DG95">
        <v>150</v>
      </c>
      <c r="DH95">
        <v>133</v>
      </c>
      <c r="DI95">
        <v>5.4645375614970311</v>
      </c>
      <c r="DJ95">
        <v>-0.16656000000000001</v>
      </c>
      <c r="DK95">
        <v>-0.19765252847720807</v>
      </c>
      <c r="DL95">
        <v>2.1977214381591574</v>
      </c>
      <c r="DM95" s="107">
        <f>INDEX(Pipes_result_save_V1!$K$2:$K$206,MATCH(DB95,Pipes_result_save_V1!$I$2:$I$206,0)) *POWER(10,-3)</f>
        <v>0.1158250274658203</v>
      </c>
      <c r="DN95" s="78">
        <v>5.0833954696630455E-3</v>
      </c>
      <c r="DO95" s="78">
        <f t="shared" si="14"/>
        <v>0.11074163199615725</v>
      </c>
      <c r="DT95">
        <v>0</v>
      </c>
      <c r="DU95">
        <v>3</v>
      </c>
      <c r="DV95" t="s">
        <v>539</v>
      </c>
      <c r="DW95" t="s">
        <v>407</v>
      </c>
      <c r="DX95" s="106" t="str">
        <f>INDEX(Pipes_result_save_V1!$G$2:$G$206,MATCH(DW95,Pipes_result_save_V1!$I$2:$I$206,0))</f>
        <v>N2</v>
      </c>
      <c r="DY95" s="106" t="str">
        <f>INDEX(Pipes_result_save_V1!$H$2:$H$206,MATCH(DW95,Pipes_result_save_V1!$I$2:$I$206,0))</f>
        <v>N3</v>
      </c>
      <c r="DZ95">
        <v>0.33212000000000003</v>
      </c>
      <c r="EA95">
        <v>700</v>
      </c>
      <c r="EB95">
        <v>150</v>
      </c>
      <c r="EC95">
        <v>167</v>
      </c>
      <c r="ED95">
        <v>0.94548249588329314</v>
      </c>
      <c r="EE95">
        <v>0.33212000000000003</v>
      </c>
      <c r="EF95">
        <v>0.1227698957753499</v>
      </c>
      <c r="EG95">
        <v>0.68460149035272788</v>
      </c>
      <c r="EH95" s="107">
        <f>INDEX(Pipes_result_save_V1!$K$2:$K$206,MATCH(DW95,Pipes_result_save_V1!$I$2:$I$206,0)) *POWER(10,-3)</f>
        <v>0.32929580688476562</v>
      </c>
      <c r="EI95" s="78">
        <v>6.474608799300445E-3</v>
      </c>
      <c r="EJ95" s="78">
        <f t="shared" si="15"/>
        <v>0.32282119808546517</v>
      </c>
    </row>
    <row r="96" spans="2:140" x14ac:dyDescent="0.25">
      <c r="B96" s="106">
        <v>4</v>
      </c>
      <c r="C96" s="106" t="s">
        <v>539</v>
      </c>
      <c r="D96" s="106" t="s">
        <v>198</v>
      </c>
      <c r="E96" s="106" t="str">
        <f>INDEX(Pipes_result_save_V1!$G$2:$G$206,MATCH(D96,Pipes_result_save_V1!$I$2:$I$206,0))</f>
        <v>N86</v>
      </c>
      <c r="F96" s="106" t="str">
        <f>INDEX(Pipes_result_save_V1!$H$2:$H$206,MATCH(D96,Pipes_result_save_V1!$I$2:$I$206,0))</f>
        <v>N87</v>
      </c>
      <c r="G96" s="106">
        <v>7.6999999999999999E-2</v>
      </c>
      <c r="H96" s="107">
        <v>350</v>
      </c>
      <c r="I96" s="107">
        <v>150</v>
      </c>
      <c r="J96" s="107">
        <v>77</v>
      </c>
      <c r="K96" s="107">
        <v>12.756891326816771</v>
      </c>
      <c r="L96" s="107">
        <v>7.6999999999999999E-2</v>
      </c>
      <c r="M96" s="107">
        <v>0.11054158283193545</v>
      </c>
      <c r="N96" s="107">
        <v>2.6587404078538244</v>
      </c>
      <c r="O96" s="107">
        <f>INDEX(Pipes_result_save_V1!$K$2:$K$206,MATCH(D96,Pipes_result_save_V1!$I$2:$I$206,0)) *POWER(10,-3)</f>
        <v>1.8269411087036131E-2</v>
      </c>
      <c r="P96" s="78">
        <v>6.0150194757186077E-3</v>
      </c>
      <c r="Q96" s="78">
        <f t="shared" si="9"/>
        <v>1.2254391611317524E-2</v>
      </c>
      <c r="R96" s="78"/>
      <c r="S96" s="78"/>
      <c r="T96" s="78">
        <v>0</v>
      </c>
      <c r="U96" s="78">
        <v>4</v>
      </c>
      <c r="V96" s="78" t="s">
        <v>539</v>
      </c>
      <c r="W96" s="78" t="s">
        <v>202</v>
      </c>
      <c r="X96" s="106" t="str">
        <f>INDEX(Pipes_result_save_V1!$G$2:$G$206,MATCH(W96,Pipes_result_save_V1!$I$2:$I$206,0))</f>
        <v>N84</v>
      </c>
      <c r="Y96" s="106" t="str">
        <f>INDEX(Pipes_result_save_V1!$H$2:$H$206,MATCH(W96,Pipes_result_save_V1!$I$2:$I$206,0))</f>
        <v>N83</v>
      </c>
      <c r="Z96" s="78">
        <v>9.0894000000000003E-2</v>
      </c>
      <c r="AA96" s="78">
        <v>350</v>
      </c>
      <c r="AB96" s="78">
        <v>150</v>
      </c>
      <c r="AC96" s="78">
        <v>75</v>
      </c>
      <c r="AD96" s="78">
        <v>12.425543500146206</v>
      </c>
      <c r="AE96" s="78">
        <v>9.0894000000000003E-2</v>
      </c>
      <c r="AF96" s="78">
        <v>0</v>
      </c>
      <c r="AG96" s="78">
        <v>0</v>
      </c>
      <c r="AH96" s="78">
        <v>0.14639377640552698</v>
      </c>
      <c r="AI96">
        <v>2.982829162574383</v>
      </c>
      <c r="AJ96" s="107">
        <f>INDEX(Pipes_result_save_V1!$K$2:$K$206,MATCH(W96,Pipes_result_save_V1!$I$2:$I$206,0)) *POWER(10,-3)</f>
        <v>-4.8898372650146481E-2</v>
      </c>
      <c r="AK96" s="78">
        <v>3.6478905222830926E-3</v>
      </c>
      <c r="AL96" s="78">
        <f t="shared" si="10"/>
        <v>-4.5250482127863388E-2</v>
      </c>
      <c r="AP96">
        <v>0</v>
      </c>
      <c r="AQ96">
        <v>4</v>
      </c>
      <c r="AR96" t="s">
        <v>539</v>
      </c>
      <c r="AS96" t="s">
        <v>179</v>
      </c>
      <c r="AT96" s="106" t="str">
        <f>INDEX(Pipes_result_save_V1!$G$2:$G$206,MATCH(AS96,Pipes_result_save_V1!$I$2:$I$206,0))</f>
        <v>N73</v>
      </c>
      <c r="AU96" s="106" t="str">
        <f>INDEX(Pipes_result_save_V1!$H$2:$H$206,MATCH(AS96,Pipes_result_save_V1!$I$2:$I$206,0))</f>
        <v>N74</v>
      </c>
      <c r="AV96">
        <v>3.2837000000000005E-2</v>
      </c>
      <c r="AW96">
        <v>250</v>
      </c>
      <c r="AX96">
        <v>150</v>
      </c>
      <c r="AY96">
        <v>73</v>
      </c>
      <c r="AZ96">
        <v>62.282588330910201</v>
      </c>
      <c r="BA96">
        <v>3.2837000000000005E-2</v>
      </c>
      <c r="BB96">
        <v>0.11134527815752146</v>
      </c>
      <c r="BC96">
        <v>6.2798506303173163</v>
      </c>
      <c r="BD96" s="107">
        <f>INDEX(Pipes_result_save_V1!$K$2:$K$206,MATCH(AS96,Pipes_result_save_V1!$I$2:$I$206,0)) *POWER(10,-3)</f>
        <v>6.2376930236816418E-2</v>
      </c>
      <c r="BE96" s="78">
        <v>6.030104226897608E-3</v>
      </c>
      <c r="BF96" s="78">
        <f t="shared" si="11"/>
        <v>5.6346826009918811E-2</v>
      </c>
      <c r="BJ96">
        <v>0</v>
      </c>
      <c r="BK96">
        <v>4</v>
      </c>
      <c r="BL96" t="s">
        <v>539</v>
      </c>
      <c r="BM96" t="s">
        <v>158</v>
      </c>
      <c r="BN96" s="106" t="str">
        <f>INDEX(Pipes_result_save_V1!$G$2:$G$206,MATCH(BM96,Pipes_result_save_V1!$I$2:$I$206,0))</f>
        <v>N54</v>
      </c>
      <c r="BO96" s="106" t="str">
        <f>INDEX(Pipes_result_save_V1!$H$2:$H$206,MATCH(BM96,Pipes_result_save_V1!$I$2:$I$206,0))</f>
        <v>N53</v>
      </c>
      <c r="BP96">
        <v>3.2837000000000005E-2</v>
      </c>
      <c r="BQ96">
        <v>250</v>
      </c>
      <c r="BR96">
        <v>150</v>
      </c>
      <c r="BS96">
        <v>191</v>
      </c>
      <c r="BT96">
        <v>162.95855303018971</v>
      </c>
      <c r="BU96">
        <v>3.2837000000000005E-2</v>
      </c>
      <c r="BV96">
        <v>0.29132805654913152</v>
      </c>
      <c r="BW96">
        <v>16.430842060145309</v>
      </c>
      <c r="BX96" s="107">
        <f>INDEX(Pipes_result_save_V1!$K$2:$K$206,MATCH(BM96,Pipes_result_save_V1!$I$2:$I$206,0)) *POWER(10,-3)</f>
        <v>-3.0079156875610351E-2</v>
      </c>
      <c r="BY96" s="78">
        <v>6.1574795089512106E-3</v>
      </c>
      <c r="BZ96" s="78">
        <f t="shared" si="12"/>
        <v>-2.3921677366659139E-2</v>
      </c>
      <c r="CE96">
        <v>0</v>
      </c>
      <c r="CF96">
        <v>4</v>
      </c>
      <c r="CG96" t="s">
        <v>540</v>
      </c>
      <c r="CH96" t="s">
        <v>137</v>
      </c>
      <c r="CI96" s="106" t="str">
        <f>INDEX(Pipes_result_save_V1!$G$2:$G$206,MATCH(CH96,Pipes_result_save_V1!$I$2:$I$206,0))</f>
        <v>N33</v>
      </c>
      <c r="CJ96" s="106" t="str">
        <f>INDEX(Pipes_result_save_V1!$H$2:$H$206,MATCH(CH96,Pipes_result_save_V1!$I$2:$I$206,0))</f>
        <v>N32</v>
      </c>
      <c r="CK96">
        <v>8.3280000000000007E-2</v>
      </c>
      <c r="CL96">
        <v>350</v>
      </c>
      <c r="CM96">
        <v>150</v>
      </c>
      <c r="CN96">
        <v>157</v>
      </c>
      <c r="CO96">
        <v>26.01080439363939</v>
      </c>
      <c r="CP96">
        <v>-8.3280000000000007E-2</v>
      </c>
      <c r="CQ96">
        <v>-0.26061246863674414</v>
      </c>
      <c r="CR96">
        <v>5.795560661806558</v>
      </c>
      <c r="CS96" s="107">
        <f>INDEX(Pipes_result_save_V1!$K$2:$K$206,MATCH(CH96,Pipes_result_save_V1!$I$2:$I$206,0)) *POWER(10,-3)</f>
        <v>-0.1183324203491211</v>
      </c>
      <c r="CT96" s="78">
        <v>6.0996730274598832E-3</v>
      </c>
      <c r="CU96" s="78">
        <f t="shared" si="13"/>
        <v>-0.11223274732166122</v>
      </c>
      <c r="CY96">
        <v>0</v>
      </c>
      <c r="CZ96">
        <v>4</v>
      </c>
      <c r="DA96" t="s">
        <v>540</v>
      </c>
      <c r="DB96" t="s">
        <v>403</v>
      </c>
      <c r="DC96" s="106" t="str">
        <f>INDEX(Pipes_result_save_V1!$G$2:$G$206,MATCH(DB96,Pipes_result_save_V1!$I$2:$I$206,0))</f>
        <v>N5</v>
      </c>
      <c r="DD96" s="106" t="str">
        <f>INDEX(Pipes_result_save_V1!$H$2:$H$206,MATCH(DB96,Pipes_result_save_V1!$I$2:$I$206,0))</f>
        <v>N6</v>
      </c>
      <c r="DE96">
        <v>0.16656000000000001</v>
      </c>
      <c r="DF96">
        <v>466</v>
      </c>
      <c r="DG96">
        <v>150</v>
      </c>
      <c r="DH96">
        <v>75</v>
      </c>
      <c r="DI96">
        <v>3.0815061437013331</v>
      </c>
      <c r="DJ96">
        <v>-0.16656000000000001</v>
      </c>
      <c r="DK96">
        <v>-0.11145819275030529</v>
      </c>
      <c r="DL96">
        <v>1.2393166004656904</v>
      </c>
      <c r="DM96" s="107">
        <f>INDEX(Pipes_result_save_V1!$K$2:$K$206,MATCH(DB96,Pipes_result_save_V1!$I$2:$I$206,0)) *POWER(10,-3)</f>
        <v>0.1146382675170898</v>
      </c>
      <c r="DN96" s="78">
        <v>5.3390830705729595E-3</v>
      </c>
      <c r="DO96" s="78">
        <f t="shared" si="14"/>
        <v>0.10929918444651684</v>
      </c>
      <c r="DT96">
        <v>1</v>
      </c>
      <c r="DU96">
        <v>4</v>
      </c>
      <c r="DV96" t="s">
        <v>540</v>
      </c>
      <c r="DW96" t="s">
        <v>399</v>
      </c>
      <c r="DX96" s="106" t="str">
        <f>INDEX(Pipes_result_save_V1!$G$2:$G$206,MATCH(DW96,Pipes_result_save_V1!$I$2:$I$206,0))</f>
        <v>N18</v>
      </c>
      <c r="DY96" s="106" t="str">
        <f>INDEX(Pipes_result_save_V1!$H$2:$H$206,MATCH(DW96,Pipes_result_save_V1!$I$2:$I$206,0))</f>
        <v>N3</v>
      </c>
      <c r="DZ96">
        <v>0.16656000000000001</v>
      </c>
      <c r="EA96">
        <v>466</v>
      </c>
      <c r="EB96">
        <v>150</v>
      </c>
      <c r="EC96">
        <v>93</v>
      </c>
      <c r="ED96">
        <v>3.821067618189653</v>
      </c>
      <c r="EE96">
        <v>-0.17814435626548825</v>
      </c>
      <c r="EF96">
        <v>-0.15653613023676707</v>
      </c>
      <c r="EG96">
        <v>1.6273595149230984</v>
      </c>
      <c r="EH96" s="107">
        <f>INDEX(Pipes_result_save_V1!$K$2:$K$206,MATCH(DW96,Pipes_result_save_V1!$I$2:$I$206,0)) *POWER(10,-3)</f>
        <v>-0.20916310119628909</v>
      </c>
      <c r="EI96" s="78">
        <v>6.4633791434452279E-3</v>
      </c>
      <c r="EJ96" s="78">
        <f t="shared" si="15"/>
        <v>-0.20269972205284387</v>
      </c>
    </row>
    <row r="97" spans="2:140" x14ac:dyDescent="0.25">
      <c r="B97" s="106">
        <v>5</v>
      </c>
      <c r="C97" s="106" t="s">
        <v>539</v>
      </c>
      <c r="D97" s="106" t="s">
        <v>197</v>
      </c>
      <c r="E97" s="106" t="str">
        <f>INDEX(Pipes_result_save_V1!$G$2:$G$206,MATCH(D97,Pipes_result_save_V1!$I$2:$I$206,0))</f>
        <v>N87</v>
      </c>
      <c r="F97" s="106" t="str">
        <f>INDEX(Pipes_result_save_V1!$H$2:$H$206,MATCH(D97,Pipes_result_save_V1!$I$2:$I$206,0))</f>
        <v>N88</v>
      </c>
      <c r="G97" s="106">
        <v>0.25</v>
      </c>
      <c r="H97" s="107">
        <v>565</v>
      </c>
      <c r="I97" s="107">
        <v>150</v>
      </c>
      <c r="J97" s="107">
        <v>250</v>
      </c>
      <c r="K97" s="107">
        <v>4.0190332028082514</v>
      </c>
      <c r="L97" s="107">
        <v>0.25</v>
      </c>
      <c r="M97" s="107">
        <v>0.30839440487044523</v>
      </c>
      <c r="N97" s="107">
        <v>2.2845857512802583</v>
      </c>
      <c r="O97" s="107">
        <f>INDEX(Pipes_result_save_V1!$K$2:$K$206,MATCH(D97,Pipes_result_save_V1!$I$2:$I$206,0)) *POWER(10,-3)</f>
        <v>1.6403696060180661E-2</v>
      </c>
      <c r="P97" s="78">
        <v>5.9554526288505532E-3</v>
      </c>
      <c r="Q97" s="78">
        <f t="shared" si="9"/>
        <v>1.0448243431330108E-2</v>
      </c>
      <c r="R97" s="78"/>
      <c r="S97" s="78"/>
      <c r="T97" s="78">
        <v>0</v>
      </c>
      <c r="U97" s="78">
        <v>5</v>
      </c>
      <c r="V97" s="78" t="s">
        <v>540</v>
      </c>
      <c r="W97" s="106" t="s">
        <v>884</v>
      </c>
      <c r="X97" s="106" t="str">
        <f>INDEX(Pipes_result_save_V1!$G$2:$G$206,MATCH(W97,Pipes_result_save_V1!$I$2:$I$206,0))</f>
        <v>N165</v>
      </c>
      <c r="Y97" s="106" t="str">
        <f>INDEX(Pipes_result_save_V1!$H$2:$H$206,MATCH(W97,Pipes_result_save_V1!$I$2:$I$206,0))</f>
        <v>N84</v>
      </c>
      <c r="Z97" s="78">
        <v>2.9028999999999999E-2</v>
      </c>
      <c r="AA97" s="78">
        <v>200</v>
      </c>
      <c r="AB97" s="78">
        <v>150</v>
      </c>
      <c r="AC97" s="78">
        <v>96</v>
      </c>
      <c r="AD97" s="78">
        <v>242.86431051954654</v>
      </c>
      <c r="AE97" s="78">
        <v>-2.9028999999999999E-2</v>
      </c>
      <c r="AF97" s="78">
        <v>0</v>
      </c>
      <c r="AG97" s="78">
        <v>0</v>
      </c>
      <c r="AH97" s="78">
        <v>-0.34556416714209448</v>
      </c>
      <c r="AI97">
        <v>22.046396277762213</v>
      </c>
      <c r="AJ97" s="107">
        <f>INDEX(Pipes_result_save_V1!$K$2:$K$206,MATCH(W97,Pipes_result_save_V1!$I$2:$I$206,0)) *POWER(10,-3)</f>
        <v>-2.7296918869018551E-2</v>
      </c>
      <c r="AK97" s="78">
        <v>1.1755613789145893E-3</v>
      </c>
      <c r="AL97" s="78">
        <f t="shared" si="10"/>
        <v>-2.6121357490103962E-2</v>
      </c>
      <c r="AP97">
        <v>0</v>
      </c>
      <c r="AQ97">
        <v>5</v>
      </c>
      <c r="AR97" t="s">
        <v>539</v>
      </c>
      <c r="AS97" t="s">
        <v>180</v>
      </c>
      <c r="AT97" s="106" t="str">
        <f>INDEX(Pipes_result_save_V1!$G$2:$G$206,MATCH(AS97,Pipes_result_save_V1!$I$2:$I$206,0))</f>
        <v>N74</v>
      </c>
      <c r="AU97" s="106" t="str">
        <f>INDEX(Pipes_result_save_V1!$H$2:$H$206,MATCH(AS97,Pipes_result_save_V1!$I$2:$I$206,0))</f>
        <v>N75</v>
      </c>
      <c r="AV97">
        <v>3.2837000000000005E-2</v>
      </c>
      <c r="AW97">
        <v>250</v>
      </c>
      <c r="AX97">
        <v>150</v>
      </c>
      <c r="AY97">
        <v>74</v>
      </c>
      <c r="AZ97">
        <v>63.135774472429517</v>
      </c>
      <c r="BA97">
        <v>3.2837000000000005E-2</v>
      </c>
      <c r="BB97">
        <v>0.1128705559405012</v>
      </c>
      <c r="BC97">
        <v>6.3658759814175534</v>
      </c>
      <c r="BD97" s="107">
        <f>INDEX(Pipes_result_save_V1!$K$2:$K$206,MATCH(AS97,Pipes_result_save_V1!$I$2:$I$206,0)) *POWER(10,-3)</f>
        <v>6.1372756958007813E-2</v>
      </c>
      <c r="BE97" s="78">
        <v>6.0754373213024147E-3</v>
      </c>
      <c r="BF97" s="78">
        <f t="shared" si="11"/>
        <v>5.5297319636705394E-2</v>
      </c>
      <c r="BJ97">
        <v>0</v>
      </c>
      <c r="BK97">
        <v>5</v>
      </c>
      <c r="BL97" t="s">
        <v>539</v>
      </c>
      <c r="BM97" t="s">
        <v>130</v>
      </c>
      <c r="BN97" s="106" t="str">
        <f>INDEX(Pipes_result_save_V1!$G$2:$G$206,MATCH(BM97,Pipes_result_save_V1!$I$2:$I$206,0))</f>
        <v>N55</v>
      </c>
      <c r="BO97" s="106" t="str">
        <f>INDEX(Pipes_result_save_V1!$H$2:$H$206,MATCH(BM97,Pipes_result_save_V1!$I$2:$I$206,0))</f>
        <v>N54</v>
      </c>
      <c r="BP97">
        <v>3.2837000000000005E-2</v>
      </c>
      <c r="BQ97">
        <v>250</v>
      </c>
      <c r="BR97">
        <v>150</v>
      </c>
      <c r="BS97">
        <v>77</v>
      </c>
      <c r="BT97">
        <v>65.695332896987466</v>
      </c>
      <c r="BU97">
        <v>3.2837000000000005E-2</v>
      </c>
      <c r="BV97">
        <v>0.11744638928944044</v>
      </c>
      <c r="BW97">
        <v>6.6239520347182648</v>
      </c>
      <c r="BX97" s="107">
        <f>INDEX(Pipes_result_save_V1!$K$2:$K$206,MATCH(BM97,Pipes_result_save_V1!$I$2:$I$206,0)) *POWER(10,-3)</f>
        <v>-2.8550071716308592E-2</v>
      </c>
      <c r="BY97" s="78">
        <v>5.4589137819041553E-3</v>
      </c>
      <c r="BZ97" s="78">
        <f t="shared" si="12"/>
        <v>-2.3091157934404437E-2</v>
      </c>
      <c r="CE97">
        <v>0</v>
      </c>
      <c r="CF97">
        <v>5</v>
      </c>
      <c r="CG97" t="s">
        <v>540</v>
      </c>
      <c r="CH97" t="s">
        <v>136</v>
      </c>
      <c r="CI97" s="106" t="str">
        <f>INDEX(Pipes_result_save_V1!$G$2:$G$206,MATCH(CH97,Pipes_result_save_V1!$I$2:$I$206,0))</f>
        <v>N34</v>
      </c>
      <c r="CJ97" s="106" t="str">
        <f>INDEX(Pipes_result_save_V1!$H$2:$H$206,MATCH(CH97,Pipes_result_save_V1!$I$2:$I$206,0))</f>
        <v>N33</v>
      </c>
      <c r="CK97">
        <v>8.3280000000000007E-2</v>
      </c>
      <c r="CL97">
        <v>350</v>
      </c>
      <c r="CM97">
        <v>150</v>
      </c>
      <c r="CN97">
        <v>82</v>
      </c>
      <c r="CO97">
        <v>13.585260893493183</v>
      </c>
      <c r="CP97">
        <v>-8.3280000000000007E-2</v>
      </c>
      <c r="CQ97">
        <v>-0.13611606642173896</v>
      </c>
      <c r="CR97">
        <v>3.0269807278225334</v>
      </c>
      <c r="CS97" s="107">
        <f>INDEX(Pipes_result_save_V1!$K$2:$K$206,MATCH(CH97,Pipes_result_save_V1!$I$2:$I$206,0)) *POWER(10,-3)</f>
        <v>-0.11696879577636721</v>
      </c>
      <c r="CT97" s="78">
        <v>6.3272602333288921E-3</v>
      </c>
      <c r="CU97" s="78">
        <f t="shared" si="13"/>
        <v>-0.11064153554303832</v>
      </c>
      <c r="CY97">
        <v>0</v>
      </c>
      <c r="CZ97">
        <v>5</v>
      </c>
      <c r="DA97" t="s">
        <v>540</v>
      </c>
      <c r="DB97" t="s">
        <v>396</v>
      </c>
      <c r="DC97" s="106" t="str">
        <f>INDEX(Pipes_result_save_V1!$G$2:$G$206,MATCH(DB97,Pipes_result_save_V1!$I$2:$I$206,0))</f>
        <v>N6</v>
      </c>
      <c r="DD97" s="106" t="str">
        <f>INDEX(Pipes_result_save_V1!$H$2:$H$206,MATCH(DB97,Pipes_result_save_V1!$I$2:$I$206,0))</f>
        <v>N7</v>
      </c>
      <c r="DE97">
        <v>0.16656000000000001</v>
      </c>
      <c r="DF97">
        <v>466</v>
      </c>
      <c r="DG97">
        <v>150</v>
      </c>
      <c r="DH97">
        <v>94</v>
      </c>
      <c r="DI97">
        <v>3.8621543667723377</v>
      </c>
      <c r="DJ97">
        <v>-0.16656000000000001</v>
      </c>
      <c r="DK97">
        <v>-0.13969426824704931</v>
      </c>
      <c r="DL97">
        <v>1.5532768059169988</v>
      </c>
      <c r="DM97" s="107">
        <f>INDEX(Pipes_result_save_V1!$K$2:$K$206,MATCH(DB97,Pipes_result_save_V1!$I$2:$I$206,0)) *POWER(10,-3)</f>
        <v>0.1136740341186523</v>
      </c>
      <c r="DN97" s="78">
        <v>5.5846881956221669E-3</v>
      </c>
      <c r="DO97" s="78">
        <f t="shared" si="14"/>
        <v>0.10808934592303014</v>
      </c>
      <c r="DT97">
        <v>2</v>
      </c>
      <c r="DU97">
        <v>5</v>
      </c>
      <c r="DV97" t="s">
        <v>539</v>
      </c>
      <c r="DW97" t="s">
        <v>400</v>
      </c>
      <c r="DX97" s="106" t="str">
        <f>INDEX(Pipes_result_save_V1!$G$2:$G$206,MATCH(DW97,Pipes_result_save_V1!$I$2:$I$206,0))</f>
        <v>N3</v>
      </c>
      <c r="DY97" s="106" t="str">
        <f>INDEX(Pipes_result_save_V1!$H$2:$H$206,MATCH(DW97,Pipes_result_save_V1!$I$2:$I$206,0))</f>
        <v>N4</v>
      </c>
      <c r="DZ97">
        <v>0.16656000000000001</v>
      </c>
      <c r="EA97">
        <v>466</v>
      </c>
      <c r="EB97">
        <v>150</v>
      </c>
      <c r="EC97">
        <v>181</v>
      </c>
      <c r="ED97">
        <v>7.4367014934658844</v>
      </c>
      <c r="EE97">
        <v>0.15497564373451178</v>
      </c>
      <c r="EF97">
        <v>0.23536845520519051</v>
      </c>
      <c r="EG97">
        <v>2.8127153953737118</v>
      </c>
      <c r="EH97" s="107">
        <f>INDEX(Pipes_result_save_V1!$K$2:$K$206,MATCH(DW97,Pipes_result_save_V1!$I$2:$I$206,0)) *POWER(10,-3)</f>
        <v>0.11761656188964839</v>
      </c>
      <c r="EI97" s="78">
        <v>6.2925356570970392E-3</v>
      </c>
      <c r="EJ97" s="78">
        <f t="shared" si="15"/>
        <v>0.11132402623255135</v>
      </c>
    </row>
    <row r="98" spans="2:140" ht="30" x14ac:dyDescent="0.25">
      <c r="B98" s="106">
        <v>6</v>
      </c>
      <c r="C98" s="106" t="s">
        <v>539</v>
      </c>
      <c r="D98" s="106" t="s">
        <v>196</v>
      </c>
      <c r="E98" s="106" t="str">
        <f>INDEX(Pipes_result_save_V1!$G$2:$G$206,MATCH(D98,Pipes_result_save_V1!$I$2:$I$206,0))</f>
        <v>N88</v>
      </c>
      <c r="F98" s="106" t="str">
        <f>INDEX(Pipes_result_save_V1!$H$2:$H$206,MATCH(D98,Pipes_result_save_V1!$I$2:$I$206,0))</f>
        <v>N89</v>
      </c>
      <c r="G98" s="106">
        <v>6.3E-2</v>
      </c>
      <c r="H98" s="107">
        <v>300</v>
      </c>
      <c r="I98" s="107">
        <v>150</v>
      </c>
      <c r="J98" s="107">
        <v>63</v>
      </c>
      <c r="K98" s="107">
        <v>22.115282553351062</v>
      </c>
      <c r="L98" s="107">
        <v>6.3E-2</v>
      </c>
      <c r="M98" s="107">
        <v>0.132151224021303</v>
      </c>
      <c r="N98" s="107">
        <v>3.8848264585309997</v>
      </c>
      <c r="O98" s="107">
        <f>INDEX(Pipes_result_save_V1!$K$2:$K$206,MATCH(D98,Pipes_result_save_V1!$I$2:$I$206,0)) *POWER(10,-3)</f>
        <v>1.461785984039307E-2</v>
      </c>
      <c r="P98" s="78">
        <v>6.4376277225501911E-3</v>
      </c>
      <c r="Q98" s="78">
        <f t="shared" si="9"/>
        <v>8.1802321178428786E-3</v>
      </c>
      <c r="R98" s="78"/>
      <c r="S98" s="78"/>
      <c r="T98" s="78">
        <v>0</v>
      </c>
      <c r="U98" s="78">
        <v>6</v>
      </c>
      <c r="V98" s="78" t="s">
        <v>540</v>
      </c>
      <c r="W98" s="78" t="s">
        <v>436</v>
      </c>
      <c r="X98" s="106" t="str">
        <f>INDEX(Pipes_result_save_V1!$G$2:$G$206,MATCH(W98,Pipes_result_save_V1!$I$2:$I$206,0))</f>
        <v>N127</v>
      </c>
      <c r="Y98" s="106" t="str">
        <f>INDEX(Pipes_result_save_V1!$H$2:$H$206,MATCH(W98,Pipes_result_save_V1!$I$2:$I$206,0))</f>
        <v>N136</v>
      </c>
      <c r="Z98" s="78">
        <v>5.8057999999999998E-2</v>
      </c>
      <c r="AA98" s="78">
        <v>300</v>
      </c>
      <c r="AB98" s="78">
        <v>150</v>
      </c>
      <c r="AC98" s="78">
        <v>222</v>
      </c>
      <c r="AD98" s="78">
        <v>77.930043283237083</v>
      </c>
      <c r="AE98" s="78">
        <v>-5.8057999999999998E-2</v>
      </c>
      <c r="AF98" s="78">
        <v>0</v>
      </c>
      <c r="AG98" s="78">
        <v>0</v>
      </c>
      <c r="AH98" s="78">
        <v>-0.40029251835266977</v>
      </c>
      <c r="AI98">
        <v>12.768985221487904</v>
      </c>
      <c r="AJ98" s="107">
        <f>INDEX(Pipes_result_save_V1!$K$2:$K$206,MATCH(W98,Pipes_result_save_V1!$I$2:$I$206,0)) *POWER(10,-3)</f>
        <v>3.1976058959960939E-2</v>
      </c>
      <c r="AK98" s="78">
        <v>3.2090603882803858E-3</v>
      </c>
      <c r="AL98" s="78">
        <f t="shared" si="10"/>
        <v>2.8766998571680552E-2</v>
      </c>
      <c r="AP98">
        <v>0</v>
      </c>
      <c r="AQ98">
        <v>6</v>
      </c>
      <c r="AR98" t="s">
        <v>539</v>
      </c>
      <c r="AS98" t="s">
        <v>178</v>
      </c>
      <c r="AT98" s="106" t="str">
        <f>INDEX(Pipes_result_save_V1!$G$2:$G$206,MATCH(AS98,Pipes_result_save_V1!$I$2:$I$206,0))</f>
        <v>N75</v>
      </c>
      <c r="AU98" s="106" t="str">
        <f>INDEX(Pipes_result_save_V1!$H$2:$H$206,MATCH(AS98,Pipes_result_save_V1!$I$2:$I$206,0))</f>
        <v>N76</v>
      </c>
      <c r="AV98">
        <v>3.2837000000000005E-2</v>
      </c>
      <c r="AW98">
        <v>250</v>
      </c>
      <c r="AX98">
        <v>150</v>
      </c>
      <c r="AY98">
        <v>75</v>
      </c>
      <c r="AZ98">
        <v>63.988960613948841</v>
      </c>
      <c r="BA98">
        <v>3.2837000000000005E-2</v>
      </c>
      <c r="BB98">
        <v>0.11439583372348096</v>
      </c>
      <c r="BC98">
        <v>6.4519013325177914</v>
      </c>
      <c r="BD98" s="107">
        <f>INDEX(Pipes_result_save_V1!$K$2:$K$206,MATCH(AS98,Pipes_result_save_V1!$I$2:$I$206,0)) *POWER(10,-3)</f>
        <v>6.0362876892089835E-2</v>
      </c>
      <c r="BE98" s="78">
        <v>5.6477156408531754E-3</v>
      </c>
      <c r="BF98" s="78">
        <f t="shared" si="11"/>
        <v>5.4715161251236662E-2</v>
      </c>
      <c r="BJ98">
        <v>0</v>
      </c>
      <c r="BK98">
        <v>6</v>
      </c>
      <c r="BL98" t="s">
        <v>539</v>
      </c>
      <c r="BM98" t="s">
        <v>129</v>
      </c>
      <c r="BN98" s="106" t="str">
        <f>INDEX(Pipes_result_save_V1!$G$2:$G$206,MATCH(BM98,Pipes_result_save_V1!$I$2:$I$206,0))</f>
        <v>N56</v>
      </c>
      <c r="BO98" s="106" t="str">
        <f>INDEX(Pipes_result_save_V1!$H$2:$H$206,MATCH(BM98,Pipes_result_save_V1!$I$2:$I$206,0))</f>
        <v>N55</v>
      </c>
      <c r="BP98">
        <v>3.2837000000000005E-2</v>
      </c>
      <c r="BQ98">
        <v>250</v>
      </c>
      <c r="BR98">
        <v>150</v>
      </c>
      <c r="BS98">
        <v>77</v>
      </c>
      <c r="BT98">
        <v>65.695332896987466</v>
      </c>
      <c r="BU98">
        <v>3.2837000000000005E-2</v>
      </c>
      <c r="BV98">
        <v>0.11744638928944044</v>
      </c>
      <c r="BW98">
        <v>6.6239520347182648</v>
      </c>
      <c r="BX98" s="107">
        <f>INDEX(Pipes_result_save_V1!$K$2:$K$206,MATCH(BM98,Pipes_result_save_V1!$I$2:$I$206,0)) *POWER(10,-3)</f>
        <v>-2.7671417236328121E-2</v>
      </c>
      <c r="BY98" s="78">
        <v>5.1170571745524735E-3</v>
      </c>
      <c r="BZ98" s="78">
        <f t="shared" si="12"/>
        <v>-2.2554360061775646E-2</v>
      </c>
      <c r="CE98">
        <v>0</v>
      </c>
      <c r="CF98">
        <v>6</v>
      </c>
      <c r="CG98" t="s">
        <v>540</v>
      </c>
      <c r="CH98" t="s">
        <v>134</v>
      </c>
      <c r="CI98" s="106" t="str">
        <f>INDEX(Pipes_result_save_V1!$G$2:$G$206,MATCH(CH98,Pipes_result_save_V1!$I$2:$I$206,0))</f>
        <v>N35</v>
      </c>
      <c r="CJ98" s="106" t="str">
        <f>INDEX(Pipes_result_save_V1!$H$2:$H$206,MATCH(CH98,Pipes_result_save_V1!$I$2:$I$206,0))</f>
        <v>N34</v>
      </c>
      <c r="CK98">
        <v>8.3280000000000007E-2</v>
      </c>
      <c r="CL98">
        <v>350</v>
      </c>
      <c r="CM98">
        <v>150</v>
      </c>
      <c r="CN98">
        <v>69</v>
      </c>
      <c r="CO98">
        <v>11.431500020134509</v>
      </c>
      <c r="CP98">
        <v>-8.3280000000000007E-2</v>
      </c>
      <c r="CQ98">
        <v>-0.11453669003780474</v>
      </c>
      <c r="CR98">
        <v>2.5470935392653025</v>
      </c>
      <c r="CS98" s="107">
        <f>INDEX(Pipes_result_save_V1!$K$2:$K$206,MATCH(CH98,Pipes_result_save_V1!$I$2:$I$206,0)) *POWER(10,-3)</f>
        <v>-0.1161072616577148</v>
      </c>
      <c r="CT98" s="78">
        <v>6.5534383745440121E-3</v>
      </c>
      <c r="CU98" s="78">
        <f t="shared" si="13"/>
        <v>-0.10955382328317079</v>
      </c>
      <c r="CY98">
        <v>0</v>
      </c>
      <c r="CZ98">
        <v>6</v>
      </c>
      <c r="DA98" t="s">
        <v>540</v>
      </c>
      <c r="DB98" t="s">
        <v>409</v>
      </c>
      <c r="DC98" s="106" t="str">
        <f>INDEX(Pipes_result_save_V1!$G$2:$G$206,MATCH(DB98,Pipes_result_save_V1!$I$2:$I$206,0))</f>
        <v>N7</v>
      </c>
      <c r="DD98" s="106" t="str">
        <f>INDEX(Pipes_result_save_V1!$H$2:$H$206,MATCH(DB98,Pipes_result_save_V1!$I$2:$I$206,0))</f>
        <v>N106</v>
      </c>
      <c r="DE98">
        <v>8.3280000000000007E-2</v>
      </c>
      <c r="DF98">
        <v>350</v>
      </c>
      <c r="DG98">
        <v>150</v>
      </c>
      <c r="DH98">
        <v>322</v>
      </c>
      <c r="DI98">
        <v>53.347000093961036</v>
      </c>
      <c r="DJ98">
        <v>-8.3280000000000007E-2</v>
      </c>
      <c r="DK98">
        <v>-0.53450455350975545</v>
      </c>
      <c r="DL98">
        <v>11.886436516571411</v>
      </c>
      <c r="DM98" s="107">
        <f>INDEX(Pipes_result_save_V1!$K$2:$K$206,MATCH(DB98,Pipes_result_save_V1!$I$2:$I$206,0)) *POWER(10,-3)</f>
        <v>7.9282783508300786E-2</v>
      </c>
      <c r="DN98" s="78">
        <v>5.9367404767737527E-3</v>
      </c>
      <c r="DO98" s="78">
        <f t="shared" si="14"/>
        <v>7.3346043031527031E-2</v>
      </c>
      <c r="DT98">
        <v>3</v>
      </c>
      <c r="DU98">
        <v>6</v>
      </c>
      <c r="DV98" t="s">
        <v>539</v>
      </c>
      <c r="DW98" t="s">
        <v>401</v>
      </c>
      <c r="DX98" s="106" t="str">
        <f>INDEX(Pipes_result_save_V1!$G$2:$G$206,MATCH(DW98,Pipes_result_save_V1!$I$2:$I$206,0))</f>
        <v>N4</v>
      </c>
      <c r="DY98" s="106" t="str">
        <f>INDEX(Pipes_result_save_V1!$H$2:$H$206,MATCH(DW98,Pipes_result_save_V1!$I$2:$I$206,0))</f>
        <v>N5</v>
      </c>
      <c r="DZ98">
        <v>0.16656000000000001</v>
      </c>
      <c r="EA98">
        <v>466</v>
      </c>
      <c r="EB98">
        <v>150</v>
      </c>
      <c r="EC98">
        <v>133</v>
      </c>
      <c r="ED98">
        <v>5.4645375614970311</v>
      </c>
      <c r="EE98">
        <v>-9.4864356265488253E-2</v>
      </c>
      <c r="EF98">
        <v>-6.9686441817195688E-2</v>
      </c>
      <c r="EG98">
        <v>1.3604613505652203</v>
      </c>
      <c r="EH98" s="107">
        <f>INDEX(Pipes_result_save_V1!$K$2:$K$206,MATCH(DW98,Pipes_result_save_V1!$I$2:$I$206,0)) *POWER(10,-3)</f>
        <v>0.1158250274658203</v>
      </c>
      <c r="EI98" s="78">
        <v>5.2981749260163141E-3</v>
      </c>
      <c r="EJ98" s="78">
        <f t="shared" si="15"/>
        <v>0.11052685253980399</v>
      </c>
    </row>
    <row r="99" spans="2:140" ht="30" x14ac:dyDescent="0.25">
      <c r="B99" s="106">
        <v>7</v>
      </c>
      <c r="C99" s="106" t="s">
        <v>539</v>
      </c>
      <c r="D99" s="106" t="s">
        <v>195</v>
      </c>
      <c r="E99" s="106" t="str">
        <f>INDEX(Pipes_result_save_V1!$G$2:$G$206,MATCH(D99,Pipes_result_save_V1!$I$2:$I$206,0))</f>
        <v>N89</v>
      </c>
      <c r="F99" s="106" t="str">
        <f>INDEX(Pipes_result_save_V1!$H$2:$H$206,MATCH(D99,Pipes_result_save_V1!$I$2:$I$206,0))</f>
        <v>N90</v>
      </c>
      <c r="G99" s="106">
        <v>4.1000000000000002E-2</v>
      </c>
      <c r="H99" s="107">
        <v>250</v>
      </c>
      <c r="I99" s="107">
        <v>150</v>
      </c>
      <c r="J99" s="107">
        <v>41</v>
      </c>
      <c r="K99" s="107">
        <v>34.980631802292031</v>
      </c>
      <c r="L99" s="107">
        <v>4.1000000000000002E-2</v>
      </c>
      <c r="M99" s="107">
        <v>9.4341624853503211E-2</v>
      </c>
      <c r="N99" s="107">
        <v>4.2614802250899499</v>
      </c>
      <c r="O99" s="107">
        <f>INDEX(Pipes_result_save_V1!$K$2:$K$206,MATCH(D99,Pipes_result_save_V1!$I$2:$I$206,0)) *POWER(10,-3)</f>
        <v>1.402448272705078E-2</v>
      </c>
      <c r="P99" s="78">
        <v>6.1790292582421221E-3</v>
      </c>
      <c r="Q99" s="78">
        <f t="shared" si="9"/>
        <v>7.8454534688086573E-3</v>
      </c>
      <c r="R99" s="78"/>
      <c r="S99" s="78"/>
      <c r="T99" s="78">
        <v>0</v>
      </c>
      <c r="U99" s="78">
        <v>7</v>
      </c>
      <c r="V99" s="78" t="s">
        <v>539</v>
      </c>
      <c r="W99" s="78" t="s">
        <v>292</v>
      </c>
      <c r="X99" s="106" t="str">
        <f>INDEX(Pipes_result_save_V1!$G$2:$G$206,MATCH(W99,Pipes_result_save_V1!$I$2:$I$206,0))</f>
        <v>N128</v>
      </c>
      <c r="Y99" s="106" t="str">
        <f>INDEX(Pipes_result_save_V1!$H$2:$H$206,MATCH(W99,Pipes_result_save_V1!$I$2:$I$206,0))</f>
        <v>N127</v>
      </c>
      <c r="Z99" s="78">
        <v>5.8057999999999998E-2</v>
      </c>
      <c r="AA99" s="78">
        <v>300</v>
      </c>
      <c r="AB99" s="78">
        <v>150</v>
      </c>
      <c r="AC99" s="78">
        <v>190</v>
      </c>
      <c r="AD99" s="78">
        <v>66.696883891058746</v>
      </c>
      <c r="AE99" s="78">
        <v>5.8057999999999998E-2</v>
      </c>
      <c r="AF99" s="78">
        <v>0</v>
      </c>
      <c r="AG99" s="78">
        <v>0</v>
      </c>
      <c r="AH99" s="78">
        <v>0.34259269588741997</v>
      </c>
      <c r="AI99">
        <v>10.928410775147302</v>
      </c>
      <c r="AJ99" s="107">
        <f>INDEX(Pipes_result_save_V1!$K$2:$K$206,MATCH(W99,Pipes_result_save_V1!$I$2:$I$206,0)) *POWER(10,-3)</f>
        <v>-9.0811767578125001E-3</v>
      </c>
      <c r="AK99" s="78">
        <v>1.7520822324454286E-3</v>
      </c>
      <c r="AL99" s="78">
        <f t="shared" si="10"/>
        <v>-7.3290945253670714E-3</v>
      </c>
      <c r="AP99">
        <v>0</v>
      </c>
      <c r="AQ99">
        <v>7</v>
      </c>
      <c r="AR99" t="s">
        <v>539</v>
      </c>
      <c r="AS99" t="s">
        <v>189</v>
      </c>
      <c r="AT99" s="106" t="str">
        <f>INDEX(Pipes_result_save_V1!$G$2:$G$206,MATCH(AS99,Pipes_result_save_V1!$I$2:$I$206,0))</f>
        <v>N76</v>
      </c>
      <c r="AU99" s="106" t="str">
        <f>INDEX(Pipes_result_save_V1!$H$2:$H$206,MATCH(AS99,Pipes_result_save_V1!$I$2:$I$206,0))</f>
        <v>N77</v>
      </c>
      <c r="AV99">
        <v>3.2837000000000005E-2</v>
      </c>
      <c r="AW99">
        <v>250</v>
      </c>
      <c r="AX99">
        <v>150</v>
      </c>
      <c r="AY99">
        <v>76</v>
      </c>
      <c r="AZ99">
        <v>64.84214675546815</v>
      </c>
      <c r="BA99">
        <v>3.2837000000000005E-2</v>
      </c>
      <c r="BB99">
        <v>0.1159211115064607</v>
      </c>
      <c r="BC99">
        <v>6.5379266836180276</v>
      </c>
      <c r="BD99" s="107">
        <f>INDEX(Pipes_result_save_V1!$K$2:$K$206,MATCH(AS99,Pipes_result_save_V1!$I$2:$I$206,0)) *POWER(10,-3)</f>
        <v>5.9427165985107423E-2</v>
      </c>
      <c r="BE99" s="78">
        <v>5.1678069077390172E-3</v>
      </c>
      <c r="BF99" s="78">
        <f t="shared" si="11"/>
        <v>5.4259359077368403E-2</v>
      </c>
      <c r="BJ99">
        <v>0</v>
      </c>
      <c r="BK99">
        <v>7</v>
      </c>
      <c r="BL99" t="s">
        <v>539</v>
      </c>
      <c r="BM99" t="s">
        <v>128</v>
      </c>
      <c r="BN99" s="106" t="str">
        <f>INDEX(Pipes_result_save_V1!$G$2:$G$206,MATCH(BM99,Pipes_result_save_V1!$I$2:$I$206,0))</f>
        <v>N57</v>
      </c>
      <c r="BO99" s="106" t="str">
        <f>INDEX(Pipes_result_save_V1!$H$2:$H$206,MATCH(BM99,Pipes_result_save_V1!$I$2:$I$206,0))</f>
        <v>N56</v>
      </c>
      <c r="BP99">
        <v>3.2837000000000005E-2</v>
      </c>
      <c r="BQ99">
        <v>250</v>
      </c>
      <c r="BR99">
        <v>150</v>
      </c>
      <c r="BS99">
        <v>76</v>
      </c>
      <c r="BT99">
        <v>64.84214675546815</v>
      </c>
      <c r="BU99">
        <v>3.2837000000000005E-2</v>
      </c>
      <c r="BV99">
        <v>0.1159211115064607</v>
      </c>
      <c r="BW99">
        <v>6.5379266836180276</v>
      </c>
      <c r="BX99" s="107">
        <f>INDEX(Pipes_result_save_V1!$K$2:$K$206,MATCH(BM99,Pipes_result_save_V1!$I$2:$I$206,0)) *POWER(10,-3)</f>
        <v>-2.6798467636108398E-2</v>
      </c>
      <c r="BY99" s="78">
        <v>5.8060254579695826E-3</v>
      </c>
      <c r="BZ99" s="78">
        <f t="shared" si="12"/>
        <v>-2.0992442178138816E-2</v>
      </c>
      <c r="CE99">
        <v>0</v>
      </c>
      <c r="CF99">
        <v>7</v>
      </c>
      <c r="CG99" t="s">
        <v>540</v>
      </c>
      <c r="CH99" t="s">
        <v>135</v>
      </c>
      <c r="CI99" s="106" t="str">
        <f>INDEX(Pipes_result_save_V1!$G$2:$G$206,MATCH(CH99,Pipes_result_save_V1!$I$2:$I$206,0))</f>
        <v>N36</v>
      </c>
      <c r="CJ99" s="106" t="str">
        <f>INDEX(Pipes_result_save_V1!$H$2:$H$206,MATCH(CH99,Pipes_result_save_V1!$I$2:$I$206,0))</f>
        <v>N35</v>
      </c>
      <c r="CK99">
        <v>8.3280000000000007E-2</v>
      </c>
      <c r="CL99">
        <v>350</v>
      </c>
      <c r="CM99">
        <v>150</v>
      </c>
      <c r="CN99">
        <v>73</v>
      </c>
      <c r="CO99">
        <v>12.094195673475639</v>
      </c>
      <c r="CP99">
        <v>-8.3280000000000007E-2</v>
      </c>
      <c r="CQ99">
        <v>-0.12117649815593834</v>
      </c>
      <c r="CR99">
        <v>2.69475113574445</v>
      </c>
      <c r="CS99" s="107">
        <f>INDEX(Pipes_result_save_V1!$K$2:$K$206,MATCH(CH99,Pipes_result_save_V1!$I$2:$I$206,0)) *POWER(10,-3)</f>
        <v>-0.1152970657348633</v>
      </c>
      <c r="CT99" s="78">
        <v>5.6497529229469576E-3</v>
      </c>
      <c r="CU99" s="78">
        <f t="shared" si="13"/>
        <v>-0.10964731281191634</v>
      </c>
      <c r="CY99">
        <v>0</v>
      </c>
      <c r="CZ99">
        <v>7</v>
      </c>
      <c r="DA99" t="s">
        <v>539</v>
      </c>
      <c r="DB99" t="s">
        <v>151</v>
      </c>
      <c r="DC99" s="106" t="str">
        <f>INDEX(Pipes_result_save_V1!$G$2:$G$206,MATCH(DB99,Pipes_result_save_V1!$I$2:$I$206,0))</f>
        <v>N19</v>
      </c>
      <c r="DD99" s="106" t="str">
        <f>INDEX(Pipes_result_save_V1!$H$2:$H$206,MATCH(DB99,Pipes_result_save_V1!$I$2:$I$206,0))</f>
        <v>N18</v>
      </c>
      <c r="DE99">
        <v>0.16656000000000001</v>
      </c>
      <c r="DF99">
        <v>466</v>
      </c>
      <c r="DG99">
        <v>150</v>
      </c>
      <c r="DH99">
        <v>56</v>
      </c>
      <c r="DI99">
        <v>2.3008579206303286</v>
      </c>
      <c r="DJ99">
        <v>0.16656000000000001</v>
      </c>
      <c r="DK99">
        <v>8.3222117253561281E-2</v>
      </c>
      <c r="DL99">
        <v>0.92535639501438216</v>
      </c>
      <c r="DM99" s="107">
        <f>INDEX(Pipes_result_save_V1!$K$2:$K$206,MATCH(DB99,Pipes_result_save_V1!$I$2:$I$206,0)) *POWER(10,-3)</f>
        <v>-0.20831297302246091</v>
      </c>
      <c r="DN99" s="78">
        <v>6.3972910940920513E-3</v>
      </c>
      <c r="DO99" s="78">
        <f t="shared" si="14"/>
        <v>-0.20191568192836887</v>
      </c>
      <c r="DT99">
        <v>4</v>
      </c>
      <c r="DU99">
        <v>7</v>
      </c>
      <c r="DV99" t="s">
        <v>539</v>
      </c>
      <c r="DW99" t="s">
        <v>403</v>
      </c>
      <c r="DX99" s="106" t="str">
        <f>INDEX(Pipes_result_save_V1!$G$2:$G$206,MATCH(DW99,Pipes_result_save_V1!$I$2:$I$206,0))</f>
        <v>N5</v>
      </c>
      <c r="DY99" s="106" t="str">
        <f>INDEX(Pipes_result_save_V1!$H$2:$H$206,MATCH(DW99,Pipes_result_save_V1!$I$2:$I$206,0))</f>
        <v>N6</v>
      </c>
      <c r="DZ99">
        <v>0.16656000000000001</v>
      </c>
      <c r="EA99">
        <v>466</v>
      </c>
      <c r="EB99">
        <v>150</v>
      </c>
      <c r="EC99">
        <v>75</v>
      </c>
      <c r="ED99">
        <v>3.0815061437013331</v>
      </c>
      <c r="EE99">
        <v>-9.4864356265488253E-2</v>
      </c>
      <c r="EF99">
        <v>-3.9296865686388543E-2</v>
      </c>
      <c r="EG99">
        <v>0.76717745332625198</v>
      </c>
      <c r="EH99" s="107">
        <f>INDEX(Pipes_result_save_V1!$K$2:$K$206,MATCH(DW99,Pipes_result_save_V1!$I$2:$I$206,0)) *POWER(10,-3)</f>
        <v>0.1146382675170898</v>
      </c>
      <c r="EI99" s="78">
        <v>5.5595164112455788E-3</v>
      </c>
      <c r="EJ99" s="78">
        <f t="shared" si="15"/>
        <v>0.10907875110584422</v>
      </c>
    </row>
    <row r="100" spans="2:140" ht="30" x14ac:dyDescent="0.25">
      <c r="B100" s="106">
        <v>8</v>
      </c>
      <c r="C100" s="106" t="s">
        <v>539</v>
      </c>
      <c r="D100" s="106" t="s">
        <v>194</v>
      </c>
      <c r="E100" s="106" t="str">
        <f>INDEX(Pipes_result_save_V1!$G$2:$G$206,MATCH(D100,Pipes_result_save_V1!$I$2:$I$206,0))</f>
        <v>N90</v>
      </c>
      <c r="F100" s="106" t="str">
        <f>INDEX(Pipes_result_save_V1!$H$2:$H$206,MATCH(D100,Pipes_result_save_V1!$I$2:$I$206,0))</f>
        <v>N91</v>
      </c>
      <c r="G100" s="106">
        <v>0.20100000000000001</v>
      </c>
      <c r="H100" s="107">
        <v>565</v>
      </c>
      <c r="I100" s="107">
        <v>150</v>
      </c>
      <c r="J100" s="107">
        <v>201</v>
      </c>
      <c r="K100" s="107">
        <v>3.2313026950578347</v>
      </c>
      <c r="L100" s="107">
        <v>0.20100000000000001</v>
      </c>
      <c r="M100" s="107">
        <v>0.16553763307059088</v>
      </c>
      <c r="N100" s="107">
        <v>1.5252522211280313</v>
      </c>
      <c r="O100" s="107">
        <f>INDEX(Pipes_result_save_V1!$K$2:$K$206,MATCH(D100,Pipes_result_save_V1!$I$2:$I$206,0)) *POWER(10,-3)</f>
        <v>1.264373970031738E-2</v>
      </c>
      <c r="P100" s="78">
        <v>6.5072513739895029E-3</v>
      </c>
      <c r="Q100" s="78">
        <f t="shared" si="9"/>
        <v>6.1364883263278769E-3</v>
      </c>
      <c r="R100" s="78"/>
      <c r="S100" s="78"/>
      <c r="T100" s="78">
        <v>0</v>
      </c>
      <c r="U100" s="78">
        <v>8</v>
      </c>
      <c r="V100" s="78" t="s">
        <v>539</v>
      </c>
      <c r="W100" s="78" t="s">
        <v>291</v>
      </c>
      <c r="X100" s="106" t="str">
        <f>INDEX(Pipes_result_save_V1!$G$2:$G$206,MATCH(W100,Pipes_result_save_V1!$I$2:$I$206,0))</f>
        <v>N129</v>
      </c>
      <c r="Y100" s="106" t="str">
        <f>INDEX(Pipes_result_save_V1!$H$2:$H$206,MATCH(W100,Pipes_result_save_V1!$I$2:$I$206,0))</f>
        <v>N128</v>
      </c>
      <c r="Z100" s="78">
        <v>5.8057999999999998E-2</v>
      </c>
      <c r="AA100" s="78">
        <v>300</v>
      </c>
      <c r="AB100" s="78">
        <v>150</v>
      </c>
      <c r="AC100" s="78">
        <v>290</v>
      </c>
      <c r="AD100" s="78">
        <v>101.80050699161599</v>
      </c>
      <c r="AE100" s="78">
        <v>5.8057999999999998E-2</v>
      </c>
      <c r="AF100" s="78">
        <v>0</v>
      </c>
      <c r="AG100" s="78">
        <v>0</v>
      </c>
      <c r="AH100" s="78">
        <v>0.52290464109132528</v>
      </c>
      <c r="AI100">
        <v>16.680205919961676</v>
      </c>
      <c r="AJ100" s="107">
        <f>INDEX(Pipes_result_save_V1!$K$2:$K$206,MATCH(W100,Pipes_result_save_V1!$I$2:$I$206,0)) *POWER(10,-3)</f>
        <v>-6.3425126075744628E-3</v>
      </c>
      <c r="AK100" s="78">
        <v>4.3014822979732074E-3</v>
      </c>
      <c r="AL100" s="78">
        <f t="shared" si="10"/>
        <v>-2.0410303096012553E-3</v>
      </c>
      <c r="AP100">
        <v>0</v>
      </c>
      <c r="AQ100">
        <v>8</v>
      </c>
      <c r="AR100" t="s">
        <v>539</v>
      </c>
      <c r="AS100" t="s">
        <v>188</v>
      </c>
      <c r="AT100" s="106" t="str">
        <f>INDEX(Pipes_result_save_V1!$G$2:$G$206,MATCH(AS100,Pipes_result_save_V1!$I$2:$I$206,0))</f>
        <v>N77</v>
      </c>
      <c r="AU100" s="106" t="str">
        <f>INDEX(Pipes_result_save_V1!$H$2:$H$206,MATCH(AS100,Pipes_result_save_V1!$I$2:$I$206,0))</f>
        <v>N78</v>
      </c>
      <c r="AV100">
        <v>3.2837000000000005E-2</v>
      </c>
      <c r="AW100">
        <v>250</v>
      </c>
      <c r="AX100">
        <v>150</v>
      </c>
      <c r="AY100">
        <v>77</v>
      </c>
      <c r="AZ100">
        <v>65.695332896987466</v>
      </c>
      <c r="BA100">
        <v>3.2837000000000005E-2</v>
      </c>
      <c r="BB100">
        <v>0.11744638928944044</v>
      </c>
      <c r="BC100">
        <v>6.6239520347182648</v>
      </c>
      <c r="BD100" s="107">
        <f>INDEX(Pipes_result_save_V1!$K$2:$K$206,MATCH(AS100,Pipes_result_save_V1!$I$2:$I$206,0)) *POWER(10,-3)</f>
        <v>5.8537097930908201E-2</v>
      </c>
      <c r="BE100" s="78">
        <v>5.2131629820899731E-3</v>
      </c>
      <c r="BF100" s="78">
        <f t="shared" si="11"/>
        <v>5.3323934948818229E-2</v>
      </c>
      <c r="BJ100">
        <v>0</v>
      </c>
      <c r="BK100">
        <v>8</v>
      </c>
      <c r="BL100" t="s">
        <v>539</v>
      </c>
      <c r="BM100" t="s">
        <v>127</v>
      </c>
      <c r="BN100" s="106" t="str">
        <f>INDEX(Pipes_result_save_V1!$G$2:$G$206,MATCH(BM100,Pipes_result_save_V1!$I$2:$I$206,0))</f>
        <v>N58</v>
      </c>
      <c r="BO100" s="106" t="str">
        <f>INDEX(Pipes_result_save_V1!$H$2:$H$206,MATCH(BM100,Pipes_result_save_V1!$I$2:$I$206,0))</f>
        <v>N57</v>
      </c>
      <c r="BP100">
        <v>3.2837000000000005E-2</v>
      </c>
      <c r="BQ100">
        <v>250</v>
      </c>
      <c r="BR100">
        <v>150</v>
      </c>
      <c r="BS100">
        <v>36</v>
      </c>
      <c r="BT100">
        <v>30.714701094695442</v>
      </c>
      <c r="BU100">
        <v>3.2837000000000005E-2</v>
      </c>
      <c r="BV100">
        <v>5.4910000187270859E-2</v>
      </c>
      <c r="BW100">
        <v>3.09691263960854</v>
      </c>
      <c r="BX100" s="107">
        <f>INDEX(Pipes_result_save_V1!$K$2:$K$206,MATCH(BM100,Pipes_result_save_V1!$I$2:$I$206,0)) *POWER(10,-3)</f>
        <v>-2.6159444808959962E-2</v>
      </c>
      <c r="BY100" s="78">
        <v>5.1975307395639636E-3</v>
      </c>
      <c r="BZ100" s="78">
        <f t="shared" si="12"/>
        <v>-2.0961914069395998E-2</v>
      </c>
      <c r="CE100">
        <v>0</v>
      </c>
      <c r="CF100">
        <v>8</v>
      </c>
      <c r="CG100" t="s">
        <v>540</v>
      </c>
      <c r="CH100" t="s">
        <v>133</v>
      </c>
      <c r="CI100" s="106" t="str">
        <f>INDEX(Pipes_result_save_V1!$G$2:$G$206,MATCH(CH100,Pipes_result_save_V1!$I$2:$I$206,0))</f>
        <v>N37</v>
      </c>
      <c r="CJ100" s="106" t="str">
        <f>INDEX(Pipes_result_save_V1!$H$2:$H$206,MATCH(CH100,Pipes_result_save_V1!$I$2:$I$206,0))</f>
        <v>N36</v>
      </c>
      <c r="CK100">
        <v>8.3280000000000007E-2</v>
      </c>
      <c r="CL100">
        <v>350</v>
      </c>
      <c r="CM100">
        <v>150</v>
      </c>
      <c r="CN100">
        <v>81</v>
      </c>
      <c r="CO100">
        <v>13.419586980157902</v>
      </c>
      <c r="CP100">
        <v>-8.3280000000000007E-2</v>
      </c>
      <c r="CQ100">
        <v>-0.13445611439220556</v>
      </c>
      <c r="CR100">
        <v>2.9900663287027465</v>
      </c>
      <c r="CS100" s="107">
        <f>INDEX(Pipes_result_save_V1!$K$2:$K$206,MATCH(CH100,Pipes_result_save_V1!$I$2:$I$206,0)) *POWER(10,-3)</f>
        <v>-0.11441841125488281</v>
      </c>
      <c r="CT100" s="78">
        <v>6.1696904257668578E-3</v>
      </c>
      <c r="CU100" s="78">
        <f t="shared" si="13"/>
        <v>-0.10824872082911595</v>
      </c>
      <c r="CY100">
        <v>0</v>
      </c>
      <c r="CZ100">
        <v>8</v>
      </c>
      <c r="DA100" t="s">
        <v>539</v>
      </c>
      <c r="DB100" t="s">
        <v>150</v>
      </c>
      <c r="DC100" s="106" t="str">
        <f>INDEX(Pipes_result_save_V1!$G$2:$G$206,MATCH(DB100,Pipes_result_save_V1!$I$2:$I$206,0))</f>
        <v>N20</v>
      </c>
      <c r="DD100" s="106" t="str">
        <f>INDEX(Pipes_result_save_V1!$H$2:$H$206,MATCH(DB100,Pipes_result_save_V1!$I$2:$I$206,0))</f>
        <v>N19</v>
      </c>
      <c r="DE100">
        <v>0.16656000000000001</v>
      </c>
      <c r="DF100">
        <v>466</v>
      </c>
      <c r="DG100">
        <v>150</v>
      </c>
      <c r="DH100">
        <v>60</v>
      </c>
      <c r="DI100">
        <v>2.4652049149610664</v>
      </c>
      <c r="DJ100">
        <v>0.16656000000000001</v>
      </c>
      <c r="DK100">
        <v>8.9166554200244233E-2</v>
      </c>
      <c r="DL100">
        <v>0.9914532803725522</v>
      </c>
      <c r="DM100" s="107">
        <f>INDEX(Pipes_result_save_V1!$K$2:$K$206,MATCH(DB100,Pipes_result_save_V1!$I$2:$I$206,0)) *POWER(10,-3)</f>
        <v>-0.207651123046875</v>
      </c>
      <c r="DN100" s="78">
        <v>6.1394164288756797E-3</v>
      </c>
      <c r="DO100" s="78">
        <f t="shared" si="14"/>
        <v>-0.20151170661799933</v>
      </c>
      <c r="DT100">
        <v>5</v>
      </c>
      <c r="DU100">
        <v>8</v>
      </c>
      <c r="DV100" t="s">
        <v>539</v>
      </c>
      <c r="DW100" t="s">
        <v>396</v>
      </c>
      <c r="DX100" s="106" t="str">
        <f>INDEX(Pipes_result_save_V1!$G$2:$G$206,MATCH(DW100,Pipes_result_save_V1!$I$2:$I$206,0))</f>
        <v>N6</v>
      </c>
      <c r="DY100" s="106" t="str">
        <f>INDEX(Pipes_result_save_V1!$H$2:$H$206,MATCH(DW100,Pipes_result_save_V1!$I$2:$I$206,0))</f>
        <v>N7</v>
      </c>
      <c r="DZ100">
        <v>0.16656000000000001</v>
      </c>
      <c r="EA100">
        <v>466</v>
      </c>
      <c r="EB100">
        <v>150</v>
      </c>
      <c r="EC100">
        <v>94</v>
      </c>
      <c r="ED100">
        <v>3.8621543667723377</v>
      </c>
      <c r="EE100">
        <v>-9.4864356265488253E-2</v>
      </c>
      <c r="EF100">
        <v>-4.9252071660273643E-2</v>
      </c>
      <c r="EG100">
        <v>0.96152907483556926</v>
      </c>
      <c r="EH100" s="107">
        <f>INDEX(Pipes_result_save_V1!$K$2:$K$206,MATCH(DW100,Pipes_result_save_V1!$I$2:$I$206,0)) *POWER(10,-3)</f>
        <v>0.1136740341186523</v>
      </c>
      <c r="EI100" s="78">
        <v>5.9866222049283595E-3</v>
      </c>
      <c r="EJ100" s="78">
        <f t="shared" si="15"/>
        <v>0.10768741191372394</v>
      </c>
    </row>
    <row r="101" spans="2:140" ht="30" x14ac:dyDescent="0.25">
      <c r="B101" s="106">
        <v>9</v>
      </c>
      <c r="C101" s="106" t="s">
        <v>539</v>
      </c>
      <c r="D101" s="106" t="s">
        <v>425</v>
      </c>
      <c r="E101" s="106" t="str">
        <f>INDEX(Pipes_result_save_V1!$G$2:$G$206,MATCH(D101,Pipes_result_save_V1!$I$2:$I$206,0))</f>
        <v>N91</v>
      </c>
      <c r="F101" s="106" t="str">
        <f>INDEX(Pipes_result_save_V1!$H$2:$H$206,MATCH(D101,Pipes_result_save_V1!$I$2:$I$206,0))</f>
        <v>N92</v>
      </c>
      <c r="G101" s="106">
        <v>0.129</v>
      </c>
      <c r="H101" s="107">
        <v>421</v>
      </c>
      <c r="I101" s="107">
        <v>150</v>
      </c>
      <c r="J101" s="107">
        <v>129</v>
      </c>
      <c r="K101" s="107">
        <v>8.6920295923619637</v>
      </c>
      <c r="L101" s="107">
        <v>0.129</v>
      </c>
      <c r="M101" s="107">
        <v>0.19585440315176539</v>
      </c>
      <c r="N101" s="107">
        <v>2.8118011987369731</v>
      </c>
      <c r="O101" s="107">
        <f>INDEX(Pipes_result_save_V1!$K$2:$K$206,MATCH(D101,Pipes_result_save_V1!$I$2:$I$206,0)) *POWER(10,-3)</f>
        <v>1.0760909080505369E-2</v>
      </c>
      <c r="P101" s="78">
        <v>5.6664658257871477E-3</v>
      </c>
      <c r="Q101" s="78">
        <f t="shared" si="9"/>
        <v>5.0944432547182211E-3</v>
      </c>
      <c r="R101" s="78"/>
      <c r="S101" s="78"/>
      <c r="T101" s="78">
        <v>0</v>
      </c>
      <c r="U101" s="78">
        <v>9</v>
      </c>
      <c r="V101" s="78" t="s">
        <v>539</v>
      </c>
      <c r="W101" s="78" t="s">
        <v>293</v>
      </c>
      <c r="X101" s="106" t="str">
        <f>INDEX(Pipes_result_save_V1!$G$2:$G$206,MATCH(W101,Pipes_result_save_V1!$I$2:$I$206,0))</f>
        <v>N130</v>
      </c>
      <c r="Y101" s="106" t="str">
        <f>INDEX(Pipes_result_save_V1!$H$2:$H$206,MATCH(W101,Pipes_result_save_V1!$I$2:$I$206,0))</f>
        <v>N129</v>
      </c>
      <c r="Z101" s="78">
        <v>5.8057999999999998E-2</v>
      </c>
      <c r="AA101" s="78">
        <v>300</v>
      </c>
      <c r="AB101" s="78">
        <v>150</v>
      </c>
      <c r="AC101" s="78">
        <v>82</v>
      </c>
      <c r="AD101" s="78">
        <v>28.784970942456937</v>
      </c>
      <c r="AE101" s="78">
        <v>5.8057999999999998E-2</v>
      </c>
      <c r="AF101" s="78">
        <v>0</v>
      </c>
      <c r="AG101" s="78">
        <v>0</v>
      </c>
      <c r="AH101" s="78">
        <v>0.14785579506720234</v>
      </c>
      <c r="AI101">
        <v>4.7164720187477842</v>
      </c>
      <c r="AJ101" s="107">
        <f>INDEX(Pipes_result_save_V1!$K$2:$K$206,MATCH(W101,Pipes_result_save_V1!$I$2:$I$206,0)) *POWER(10,-3)</f>
        <v>-4.2200489044189457E-3</v>
      </c>
      <c r="AK101" s="78">
        <v>2.0451193143003572E-3</v>
      </c>
      <c r="AL101" s="78">
        <f t="shared" si="10"/>
        <v>-2.1749295901185885E-3</v>
      </c>
      <c r="AP101">
        <v>0</v>
      </c>
      <c r="AQ101">
        <v>9</v>
      </c>
      <c r="AR101" t="s">
        <v>539</v>
      </c>
      <c r="AS101" t="s">
        <v>186</v>
      </c>
      <c r="AT101" s="106" t="str">
        <f>INDEX(Pipes_result_save_V1!$G$2:$G$206,MATCH(AS101,Pipes_result_save_V1!$I$2:$I$206,0))</f>
        <v>N78</v>
      </c>
      <c r="AU101" s="106" t="str">
        <f>INDEX(Pipes_result_save_V1!$H$2:$H$206,MATCH(AS101,Pipes_result_save_V1!$I$2:$I$206,0))</f>
        <v>N79</v>
      </c>
      <c r="AV101">
        <v>3.2837000000000005E-2</v>
      </c>
      <c r="AW101">
        <v>250</v>
      </c>
      <c r="AX101">
        <v>150</v>
      </c>
      <c r="AY101">
        <v>78</v>
      </c>
      <c r="AZ101">
        <v>66.548519038506782</v>
      </c>
      <c r="BA101">
        <v>3.2837000000000005E-2</v>
      </c>
      <c r="BB101">
        <v>0.11897166707242018</v>
      </c>
      <c r="BC101">
        <v>6.7099773858185019</v>
      </c>
      <c r="BD101" s="107">
        <f>INDEX(Pipes_result_save_V1!$K$2:$K$206,MATCH(AS101,Pipes_result_save_V1!$I$2:$I$206,0)) *POWER(10,-3)</f>
        <v>5.7179180145263672E-2</v>
      </c>
      <c r="BE101" s="78">
        <v>5.4724288895827613E-3</v>
      </c>
      <c r="BF101" s="78">
        <f t="shared" si="11"/>
        <v>5.1706751255680909E-2</v>
      </c>
      <c r="BJ101">
        <v>0</v>
      </c>
      <c r="BK101">
        <v>9</v>
      </c>
      <c r="BL101" t="s">
        <v>539</v>
      </c>
      <c r="BM101" t="s">
        <v>126</v>
      </c>
      <c r="BN101" s="106" t="str">
        <f>INDEX(Pipes_result_save_V1!$G$2:$G$206,MATCH(BM101,Pipes_result_save_V1!$I$2:$I$206,0))</f>
        <v>N59</v>
      </c>
      <c r="BO101" s="106" t="str">
        <f>INDEX(Pipes_result_save_V1!$H$2:$H$206,MATCH(BM101,Pipes_result_save_V1!$I$2:$I$206,0))</f>
        <v>N58</v>
      </c>
      <c r="BP101">
        <v>3.2837000000000005E-2</v>
      </c>
      <c r="BQ101">
        <v>250</v>
      </c>
      <c r="BR101">
        <v>150</v>
      </c>
      <c r="BS101">
        <v>32</v>
      </c>
      <c r="BT101">
        <v>27.30195652861817</v>
      </c>
      <c r="BU101">
        <v>3.2837000000000005E-2</v>
      </c>
      <c r="BV101">
        <v>4.8808889055351877E-2</v>
      </c>
      <c r="BW101">
        <v>2.7528112352075911</v>
      </c>
      <c r="BX101" s="107">
        <f>INDEX(Pipes_result_save_V1!$K$2:$K$206,MATCH(BM101,Pipes_result_save_V1!$I$2:$I$206,0)) *POWER(10,-3)</f>
        <v>-2.5771469116210942E-2</v>
      </c>
      <c r="BY101" s="78">
        <v>5.5781242088045243E-3</v>
      </c>
      <c r="BZ101" s="78">
        <f t="shared" si="12"/>
        <v>-2.0193344907406416E-2</v>
      </c>
      <c r="CE101">
        <v>0</v>
      </c>
      <c r="CF101">
        <v>9</v>
      </c>
      <c r="CG101" t="s">
        <v>540</v>
      </c>
      <c r="CH101" t="s">
        <v>132</v>
      </c>
      <c r="CI101" s="106" t="str">
        <f>INDEX(Pipes_result_save_V1!$G$2:$G$206,MATCH(CH101,Pipes_result_save_V1!$I$2:$I$206,0))</f>
        <v>N38</v>
      </c>
      <c r="CJ101" s="106" t="str">
        <f>INDEX(Pipes_result_save_V1!$H$2:$H$206,MATCH(CH101,Pipes_result_save_V1!$I$2:$I$206,0))</f>
        <v>N37</v>
      </c>
      <c r="CK101">
        <v>8.3280000000000007E-2</v>
      </c>
      <c r="CL101">
        <v>350</v>
      </c>
      <c r="CM101">
        <v>150</v>
      </c>
      <c r="CN101">
        <v>101</v>
      </c>
      <c r="CO101">
        <v>16.733065246863553</v>
      </c>
      <c r="CP101">
        <v>-8.3280000000000007E-2</v>
      </c>
      <c r="CQ101">
        <v>-0.16765515498287359</v>
      </c>
      <c r="CR101">
        <v>3.7283543110984856</v>
      </c>
      <c r="CS101" s="107">
        <f>INDEX(Pipes_result_save_V1!$K$2:$K$206,MATCH(CH101,Pipes_result_save_V1!$I$2:$I$206,0)) *POWER(10,-3)</f>
        <v>-0.1133800048828125</v>
      </c>
      <c r="CT101" s="78">
        <v>5.3039577739582063E-3</v>
      </c>
      <c r="CU101" s="78">
        <f t="shared" si="13"/>
        <v>-0.1080760471088543</v>
      </c>
      <c r="CY101">
        <v>0</v>
      </c>
      <c r="CZ101">
        <v>9</v>
      </c>
      <c r="DA101" t="s">
        <v>539</v>
      </c>
      <c r="DB101" t="s">
        <v>149</v>
      </c>
      <c r="DC101" s="106" t="str">
        <f>INDEX(Pipes_result_save_V1!$G$2:$G$206,MATCH(DB101,Pipes_result_save_V1!$I$2:$I$206,0))</f>
        <v>N21</v>
      </c>
      <c r="DD101" s="106" t="str">
        <f>INDEX(Pipes_result_save_V1!$H$2:$H$206,MATCH(DB101,Pipes_result_save_V1!$I$2:$I$206,0))</f>
        <v>N20</v>
      </c>
      <c r="DE101">
        <v>0.16656000000000001</v>
      </c>
      <c r="DF101">
        <v>466</v>
      </c>
      <c r="DG101">
        <v>150</v>
      </c>
      <c r="DH101">
        <v>67</v>
      </c>
      <c r="DI101">
        <v>2.7528121550398579</v>
      </c>
      <c r="DJ101">
        <v>0.16656000000000001</v>
      </c>
      <c r="DK101">
        <v>9.9569318856939398E-2</v>
      </c>
      <c r="DL101">
        <v>1.1071228297493503</v>
      </c>
      <c r="DM101" s="107">
        <f>INDEX(Pipes_result_save_V1!$K$2:$K$206,MATCH(DB101,Pipes_result_save_V1!$I$2:$I$206,0)) *POWER(10,-3)</f>
        <v>-0.20692651367187501</v>
      </c>
      <c r="DN101" s="78">
        <v>6.4258328353900933E-3</v>
      </c>
      <c r="DO101" s="78">
        <f t="shared" si="14"/>
        <v>-0.20050068083648492</v>
      </c>
      <c r="DT101">
        <v>0</v>
      </c>
      <c r="DU101">
        <v>9</v>
      </c>
      <c r="DV101" t="s">
        <v>539</v>
      </c>
      <c r="DW101" t="s">
        <v>402</v>
      </c>
      <c r="DX101" s="106" t="str">
        <f>INDEX(Pipes_result_save_V1!$G$2:$G$206,MATCH(DW101,Pipes_result_save_V1!$I$2:$I$206,0))</f>
        <v>N8</v>
      </c>
      <c r="DY101" s="106" t="str">
        <f>INDEX(Pipes_result_save_V1!$H$2:$H$206,MATCH(DW101,Pipes_result_save_V1!$I$2:$I$206,0))</f>
        <v>N7</v>
      </c>
      <c r="DZ101">
        <v>8.3280000000000007E-2</v>
      </c>
      <c r="EA101">
        <v>350</v>
      </c>
      <c r="EB101">
        <v>150</v>
      </c>
      <c r="EC101">
        <v>133</v>
      </c>
      <c r="ED101">
        <v>22.034630473592603</v>
      </c>
      <c r="EE101">
        <v>8.3280000000000007E-2</v>
      </c>
      <c r="EF101">
        <v>0.22077361992794248</v>
      </c>
      <c r="EG101">
        <v>4.9096150829316691</v>
      </c>
      <c r="EH101" s="107">
        <f>INDEX(Pipes_result_save_V1!$K$2:$K$206,MATCH(DW101,Pipes_result_save_V1!$I$2:$I$206,0)) *POWER(10,-3)</f>
        <v>-3.1258901596069338E-2</v>
      </c>
      <c r="EI101" s="78">
        <v>5.419887647284332E-3</v>
      </c>
      <c r="EJ101" s="78">
        <f t="shared" si="15"/>
        <v>-2.5839013948785006E-2</v>
      </c>
    </row>
    <row r="102" spans="2:140" ht="30" x14ac:dyDescent="0.25">
      <c r="B102" s="106">
        <v>10</v>
      </c>
      <c r="C102" s="106" t="s">
        <v>539</v>
      </c>
      <c r="D102" s="106" t="s">
        <v>183</v>
      </c>
      <c r="E102" s="106" t="str">
        <f>INDEX(Pipes_result_save_V1!$G$2:$G$206,MATCH(D102,Pipes_result_save_V1!$I$2:$I$206,0))</f>
        <v>N92</v>
      </c>
      <c r="F102" s="106" t="str">
        <f>INDEX(Pipes_result_save_V1!$H$2:$H$206,MATCH(D102,Pipes_result_save_V1!$I$2:$I$206,0))</f>
        <v>N93</v>
      </c>
      <c r="G102" s="106">
        <v>0.111</v>
      </c>
      <c r="H102" s="107">
        <v>400</v>
      </c>
      <c r="I102" s="107">
        <v>150</v>
      </c>
      <c r="J102" s="107">
        <v>111</v>
      </c>
      <c r="K102" s="107">
        <v>9.5961788981398755</v>
      </c>
      <c r="L102" s="107">
        <v>0.111</v>
      </c>
      <c r="M102" s="107">
        <v>0.16369540640591485</v>
      </c>
      <c r="N102" s="107">
        <v>2.7312062402140032</v>
      </c>
      <c r="O102" s="107">
        <f>INDEX(Pipes_result_save_V1!$K$2:$K$206,MATCH(D102,Pipes_result_save_V1!$I$2:$I$206,0)) *POWER(10,-3)</f>
        <v>9.3915777206420893E-3</v>
      </c>
      <c r="P102" s="78">
        <v>5.1410950439355957E-3</v>
      </c>
      <c r="Q102" s="78">
        <f t="shared" si="9"/>
        <v>4.2504826767064937E-3</v>
      </c>
      <c r="R102" s="78"/>
      <c r="S102" s="78"/>
      <c r="T102" s="78">
        <v>0</v>
      </c>
      <c r="U102" s="78">
        <v>10</v>
      </c>
      <c r="V102" s="78" t="s">
        <v>539</v>
      </c>
      <c r="W102" s="78" t="s">
        <v>294</v>
      </c>
      <c r="X102" s="106" t="str">
        <f>INDEX(Pipes_result_save_V1!$G$2:$G$206,MATCH(W102,Pipes_result_save_V1!$I$2:$I$206,0))</f>
        <v>N131</v>
      </c>
      <c r="Y102" s="106" t="str">
        <f>INDEX(Pipes_result_save_V1!$H$2:$H$206,MATCH(W102,Pipes_result_save_V1!$I$2:$I$206,0))</f>
        <v>N130</v>
      </c>
      <c r="Z102" s="78">
        <v>5.8057999999999998E-2</v>
      </c>
      <c r="AA102" s="78">
        <v>300</v>
      </c>
      <c r="AB102" s="78">
        <v>150</v>
      </c>
      <c r="AC102" s="78">
        <v>75</v>
      </c>
      <c r="AD102" s="78">
        <v>26.327717325417932</v>
      </c>
      <c r="AE102" s="78">
        <v>5.8057999999999998E-2</v>
      </c>
      <c r="AF102" s="78">
        <v>0</v>
      </c>
      <c r="AG102" s="78">
        <v>0</v>
      </c>
      <c r="AH102" s="78">
        <v>0.13523395890292897</v>
      </c>
      <c r="AI102">
        <v>4.3138463586107783</v>
      </c>
      <c r="AJ102" s="107">
        <f>INDEX(Pipes_result_save_V1!$K$2:$K$206,MATCH(W102,Pipes_result_save_V1!$I$2:$I$206,0)) *POWER(10,-3)</f>
        <v>-3.3242774009704591E-3</v>
      </c>
      <c r="AK102" s="78">
        <v>2.9765588437570896E-3</v>
      </c>
      <c r="AL102" s="78">
        <f t="shared" si="10"/>
        <v>-3.4771855721336953E-4</v>
      </c>
      <c r="AP102">
        <v>0</v>
      </c>
      <c r="AQ102">
        <v>10</v>
      </c>
      <c r="AR102" t="s">
        <v>539</v>
      </c>
      <c r="AS102" t="s">
        <v>187</v>
      </c>
      <c r="AT102" s="106" t="str">
        <f>INDEX(Pipes_result_save_V1!$G$2:$G$206,MATCH(AS102,Pipes_result_save_V1!$I$2:$I$206,0))</f>
        <v>N80</v>
      </c>
      <c r="AU102" s="106" t="str">
        <f>INDEX(Pipes_result_save_V1!$H$2:$H$206,MATCH(AS102,Pipes_result_save_V1!$I$2:$I$206,0))</f>
        <v>N79</v>
      </c>
      <c r="AV102">
        <v>3.2837000000000005E-2</v>
      </c>
      <c r="AW102">
        <v>250</v>
      </c>
      <c r="AX102">
        <v>150</v>
      </c>
      <c r="AY102">
        <v>79</v>
      </c>
      <c r="AZ102">
        <v>67.401705180026113</v>
      </c>
      <c r="BA102">
        <v>3.2837000000000005E-2</v>
      </c>
      <c r="BB102">
        <v>0.12049694485539995</v>
      </c>
      <c r="BC102">
        <v>6.7960027369187399</v>
      </c>
      <c r="BD102" s="107">
        <f>INDEX(Pipes_result_save_V1!$K$2:$K$206,MATCH(AS102,Pipes_result_save_V1!$I$2:$I$206,0)) *POWER(10,-3)</f>
        <v>-5.5878314971923831E-2</v>
      </c>
      <c r="BE102" s="78">
        <v>5.4515790317720761E-3</v>
      </c>
      <c r="BF102" s="78">
        <f t="shared" si="11"/>
        <v>-5.0426735940151755E-2</v>
      </c>
      <c r="BJ102">
        <v>0</v>
      </c>
      <c r="BK102">
        <v>10</v>
      </c>
      <c r="BL102" t="s">
        <v>539</v>
      </c>
      <c r="BM102" t="s">
        <v>125</v>
      </c>
      <c r="BN102" s="106" t="str">
        <f>INDEX(Pipes_result_save_V1!$G$2:$G$206,MATCH(BM102,Pipes_result_save_V1!$I$2:$I$206,0))</f>
        <v>N60</v>
      </c>
      <c r="BO102" s="106" t="str">
        <f>INDEX(Pipes_result_save_V1!$H$2:$H$206,MATCH(BM102,Pipes_result_save_V1!$I$2:$I$206,0))</f>
        <v>N59</v>
      </c>
      <c r="BP102">
        <v>3.2837000000000005E-2</v>
      </c>
      <c r="BQ102">
        <v>250</v>
      </c>
      <c r="BR102">
        <v>150</v>
      </c>
      <c r="BS102">
        <v>79</v>
      </c>
      <c r="BT102">
        <v>67.401705180026113</v>
      </c>
      <c r="BU102">
        <v>3.2837000000000005E-2</v>
      </c>
      <c r="BV102">
        <v>0.12049694485539995</v>
      </c>
      <c r="BW102">
        <v>6.7960027369187399</v>
      </c>
      <c r="BX102" s="107">
        <f>INDEX(Pipes_result_save_V1!$K$2:$K$206,MATCH(BM102,Pipes_result_save_V1!$I$2:$I$206,0)) *POWER(10,-3)</f>
        <v>-2.5138153076171878E-2</v>
      </c>
      <c r="BY102" s="78">
        <v>6.2043547710051656E-3</v>
      </c>
      <c r="BZ102" s="78">
        <f t="shared" si="12"/>
        <v>-1.8933798305166713E-2</v>
      </c>
      <c r="CE102">
        <v>0</v>
      </c>
      <c r="CF102">
        <v>10</v>
      </c>
      <c r="CG102" t="s">
        <v>540</v>
      </c>
      <c r="CH102" t="s">
        <v>408</v>
      </c>
      <c r="CI102" s="106" t="str">
        <f>INDEX(Pipes_result_save_V1!$G$2:$G$206,MATCH(CH102,Pipes_result_save_V1!$I$2:$I$206,0))</f>
        <v>N39</v>
      </c>
      <c r="CJ102" s="106" t="str">
        <f>INDEX(Pipes_result_save_V1!$H$2:$H$206,MATCH(CH102,Pipes_result_save_V1!$I$2:$I$206,0))</f>
        <v>N38</v>
      </c>
      <c r="CK102">
        <v>8.3280000000000007E-2</v>
      </c>
      <c r="CL102">
        <v>350</v>
      </c>
      <c r="CM102">
        <v>150</v>
      </c>
      <c r="CN102">
        <v>91</v>
      </c>
      <c r="CO102">
        <v>15.076326113510728</v>
      </c>
      <c r="CP102">
        <v>-8.3280000000000007E-2</v>
      </c>
      <c r="CQ102">
        <v>-0.15105563468753958</v>
      </c>
      <c r="CR102">
        <v>3.3592103199006162</v>
      </c>
      <c r="CS102" s="107">
        <f>INDEX(Pipes_result_save_V1!$K$2:$K$206,MATCH(CH102,Pipes_result_save_V1!$I$2:$I$206,0)) *POWER(10,-3)</f>
        <v>-0.112284538269043</v>
      </c>
      <c r="CT102" s="78">
        <v>6.194731456914444E-3</v>
      </c>
      <c r="CU102" s="78">
        <f t="shared" si="13"/>
        <v>-0.10608980681212855</v>
      </c>
      <c r="CY102">
        <v>0</v>
      </c>
      <c r="CZ102">
        <v>10</v>
      </c>
      <c r="DA102" t="s">
        <v>539</v>
      </c>
      <c r="DB102" t="s">
        <v>148</v>
      </c>
      <c r="DC102" s="106" t="str">
        <f>INDEX(Pipes_result_save_V1!$G$2:$G$206,MATCH(DB102,Pipes_result_save_V1!$I$2:$I$206,0))</f>
        <v>N22</v>
      </c>
      <c r="DD102" s="106" t="str">
        <f>INDEX(Pipes_result_save_V1!$H$2:$H$206,MATCH(DB102,Pipes_result_save_V1!$I$2:$I$206,0))</f>
        <v>N21</v>
      </c>
      <c r="DE102">
        <v>0.16656000000000001</v>
      </c>
      <c r="DF102">
        <v>466</v>
      </c>
      <c r="DG102">
        <v>150</v>
      </c>
      <c r="DH102">
        <v>194</v>
      </c>
      <c r="DI102">
        <v>7.9708292250407817</v>
      </c>
      <c r="DJ102">
        <v>0.16656000000000001</v>
      </c>
      <c r="DK102">
        <v>0.28830519191412302</v>
      </c>
      <c r="DL102">
        <v>3.2056989398712523</v>
      </c>
      <c r="DM102" s="107">
        <f>INDEX(Pipes_result_save_V1!$K$2:$K$206,MATCH(DB102,Pipes_result_save_V1!$I$2:$I$206,0)) *POWER(10,-3)</f>
        <v>-0.2054373626708984</v>
      </c>
      <c r="DN102" s="78">
        <v>6.026751064043042E-3</v>
      </c>
      <c r="DO102" s="78">
        <f t="shared" si="14"/>
        <v>-0.19941061160685536</v>
      </c>
      <c r="DT102">
        <v>0</v>
      </c>
      <c r="DU102">
        <v>10</v>
      </c>
      <c r="DV102" t="s">
        <v>539</v>
      </c>
      <c r="DW102" t="s">
        <v>174</v>
      </c>
      <c r="DX102" s="106" t="str">
        <f>INDEX(Pipes_result_save_V1!$G$2:$G$206,MATCH(DW102,Pipes_result_save_V1!$I$2:$I$206,0))</f>
        <v>N9</v>
      </c>
      <c r="DY102" s="106" t="str">
        <f>INDEX(Pipes_result_save_V1!$H$2:$H$206,MATCH(DW102,Pipes_result_save_V1!$I$2:$I$206,0))</f>
        <v>N8</v>
      </c>
      <c r="DZ102">
        <v>8.3280000000000007E-2</v>
      </c>
      <c r="EA102">
        <v>350</v>
      </c>
      <c r="EB102">
        <v>150</v>
      </c>
      <c r="EC102">
        <v>178</v>
      </c>
      <c r="ED102">
        <v>29.489956573680328</v>
      </c>
      <c r="EE102">
        <v>8.3280000000000007E-2</v>
      </c>
      <c r="EF102">
        <v>0.29547146125694557</v>
      </c>
      <c r="EG102">
        <v>6.5707630433220849</v>
      </c>
      <c r="EH102" s="107">
        <f>INDEX(Pipes_result_save_V1!$K$2:$K$206,MATCH(DW102,Pipes_result_save_V1!$I$2:$I$206,0)) *POWER(10,-3)</f>
        <v>-2.9484477996826169E-2</v>
      </c>
      <c r="EI102" s="78">
        <v>5.2253689992558623E-3</v>
      </c>
      <c r="EJ102" s="78">
        <f t="shared" si="15"/>
        <v>-2.4259108997570306E-2</v>
      </c>
    </row>
    <row r="103" spans="2:140" ht="30" x14ac:dyDescent="0.25">
      <c r="B103" s="106">
        <v>11</v>
      </c>
      <c r="C103" s="106" t="s">
        <v>539</v>
      </c>
      <c r="D103" s="106" t="s">
        <v>192</v>
      </c>
      <c r="E103" s="106" t="str">
        <f>INDEX(Pipes_result_save_V1!$G$2:$G$206,MATCH(D103,Pipes_result_save_V1!$I$2:$I$206,0))</f>
        <v>N93</v>
      </c>
      <c r="F103" s="106" t="str">
        <f>INDEX(Pipes_result_save_V1!$H$2:$H$206,MATCH(D103,Pipes_result_save_V1!$I$2:$I$206,0))</f>
        <v>N94</v>
      </c>
      <c r="G103" s="106">
        <v>8.7999999999999995E-2</v>
      </c>
      <c r="H103" s="107">
        <v>350</v>
      </c>
      <c r="I103" s="107">
        <v>150</v>
      </c>
      <c r="J103" s="107">
        <v>88</v>
      </c>
      <c r="K103" s="107">
        <v>14.579304373504881</v>
      </c>
      <c r="L103" s="107">
        <v>8.7999999999999995E-2</v>
      </c>
      <c r="M103" s="107">
        <v>0.16177772046556005</v>
      </c>
      <c r="N103" s="107">
        <v>3.4046856625251967</v>
      </c>
      <c r="O103" s="107">
        <f>INDEX(Pipes_result_save_V1!$K$2:$K$206,MATCH(D103,Pipes_result_save_V1!$I$2:$I$206,0)) *POWER(10,-3)</f>
        <v>8.256173133850098E-3</v>
      </c>
      <c r="P103" s="78">
        <v>6.4400131087253634E-3</v>
      </c>
      <c r="Q103" s="78">
        <f t="shared" si="9"/>
        <v>1.8161600251247346E-3</v>
      </c>
      <c r="R103" s="78"/>
      <c r="S103" s="78"/>
      <c r="T103" s="78">
        <v>0</v>
      </c>
      <c r="U103" s="78">
        <v>11</v>
      </c>
      <c r="V103" s="78" t="s">
        <v>539</v>
      </c>
      <c r="W103" s="78" t="s">
        <v>295</v>
      </c>
      <c r="X103" s="106" t="str">
        <f>INDEX(Pipes_result_save_V1!$G$2:$G$206,MATCH(W103,Pipes_result_save_V1!$I$2:$I$206,0))</f>
        <v>N132</v>
      </c>
      <c r="Y103" s="106" t="str">
        <f>INDEX(Pipes_result_save_V1!$H$2:$H$206,MATCH(W103,Pipes_result_save_V1!$I$2:$I$206,0))</f>
        <v>N131</v>
      </c>
      <c r="Z103" s="78">
        <v>5.8057999999999998E-2</v>
      </c>
      <c r="AA103" s="78">
        <v>300</v>
      </c>
      <c r="AB103" s="78">
        <v>150</v>
      </c>
      <c r="AC103" s="78">
        <v>108</v>
      </c>
      <c r="AD103" s="78">
        <v>37.911912948601824</v>
      </c>
      <c r="AE103" s="78">
        <v>5.8057999999999998E-2</v>
      </c>
      <c r="AF103" s="78">
        <v>0</v>
      </c>
      <c r="AG103" s="78">
        <v>0</v>
      </c>
      <c r="AH103" s="78">
        <v>0.19473690082021772</v>
      </c>
      <c r="AI103">
        <v>6.2119387563995216</v>
      </c>
      <c r="AJ103" s="107">
        <f>INDEX(Pipes_result_save_V1!$K$2:$K$206,MATCH(W103,Pipes_result_save_V1!$I$2:$I$206,0)) *POWER(10,-3)</f>
        <v>-2.2801618576049803E-3</v>
      </c>
      <c r="AK103" s="78">
        <v>4.9607976540950102E-3</v>
      </c>
      <c r="AL103" s="78">
        <f t="shared" si="10"/>
        <v>2.68063579649003E-3</v>
      </c>
      <c r="AP103">
        <v>0</v>
      </c>
      <c r="AQ103">
        <v>11</v>
      </c>
      <c r="AR103" t="s">
        <v>539</v>
      </c>
      <c r="AS103" t="s">
        <v>185</v>
      </c>
      <c r="AT103" s="106" t="str">
        <f>INDEX(Pipes_result_save_V1!$G$2:$G$206,MATCH(AS103,Pipes_result_save_V1!$I$2:$I$206,0))</f>
        <v>N81</v>
      </c>
      <c r="AU103" s="106" t="str">
        <f>INDEX(Pipes_result_save_V1!$H$2:$H$206,MATCH(AS103,Pipes_result_save_V1!$I$2:$I$206,0))</f>
        <v>N80</v>
      </c>
      <c r="AV103">
        <v>3.2835999999999997E-2</v>
      </c>
      <c r="AW103">
        <v>250</v>
      </c>
      <c r="AX103">
        <v>150</v>
      </c>
      <c r="AY103">
        <v>80</v>
      </c>
      <c r="AZ103">
        <v>68.254891321545429</v>
      </c>
      <c r="BA103">
        <v>3.2835999999999997E-2</v>
      </c>
      <c r="BB103">
        <v>0.12201534069957347</v>
      </c>
      <c r="BC103">
        <v>6.8818495241689046</v>
      </c>
      <c r="BD103" s="107">
        <f>INDEX(Pipes_result_save_V1!$K$2:$K$206,MATCH(AS103,Pipes_result_save_V1!$I$2:$I$206,0)) *POWER(10,-3)</f>
        <v>-5.5022480010986329E-2</v>
      </c>
      <c r="BE103" s="78">
        <v>6.4606581198190681E-3</v>
      </c>
      <c r="BF103" s="78">
        <f t="shared" si="11"/>
        <v>-4.8561821891167263E-2</v>
      </c>
      <c r="BJ103">
        <v>0</v>
      </c>
      <c r="BK103">
        <v>11</v>
      </c>
      <c r="BL103" t="s">
        <v>539</v>
      </c>
      <c r="BM103" t="s">
        <v>124</v>
      </c>
      <c r="BN103" s="106" t="str">
        <f>INDEX(Pipes_result_save_V1!$G$2:$G$206,MATCH(BM103,Pipes_result_save_V1!$I$2:$I$206,0))</f>
        <v>N61</v>
      </c>
      <c r="BO103" s="106" t="str">
        <f>INDEX(Pipes_result_save_V1!$H$2:$H$206,MATCH(BM103,Pipes_result_save_V1!$I$2:$I$206,0))</f>
        <v>N60</v>
      </c>
      <c r="BP103">
        <v>3.2837000000000005E-2</v>
      </c>
      <c r="BQ103">
        <v>250</v>
      </c>
      <c r="BR103">
        <v>150</v>
      </c>
      <c r="BS103">
        <v>51</v>
      </c>
      <c r="BT103">
        <v>43.512493217485208</v>
      </c>
      <c r="BU103">
        <v>3.2837000000000005E-2</v>
      </c>
      <c r="BV103">
        <v>7.7789166931967052E-2</v>
      </c>
      <c r="BW103">
        <v>4.3872929061120978</v>
      </c>
      <c r="BX103" s="107">
        <f>INDEX(Pipes_result_save_V1!$K$2:$K$206,MATCH(BM103,Pipes_result_save_V1!$I$2:$I$206,0)) *POWER(10,-3)</f>
        <v>-2.439643096923828E-2</v>
      </c>
      <c r="BY103" s="78">
        <v>5.6834226732106396E-3</v>
      </c>
      <c r="BZ103" s="78">
        <f t="shared" si="12"/>
        <v>-1.871300829602764E-2</v>
      </c>
      <c r="CE103">
        <v>0</v>
      </c>
      <c r="CF103">
        <v>11</v>
      </c>
      <c r="CG103" t="s">
        <v>540</v>
      </c>
      <c r="CH103" t="s">
        <v>172</v>
      </c>
      <c r="CI103" s="106" t="str">
        <f>INDEX(Pipes_result_save_V1!$G$2:$G$206,MATCH(CH103,Pipes_result_save_V1!$I$2:$I$206,0))</f>
        <v>N40</v>
      </c>
      <c r="CJ103" s="106" t="str">
        <f>INDEX(Pipes_result_save_V1!$H$2:$H$206,MATCH(CH103,Pipes_result_save_V1!$I$2:$I$206,0))</f>
        <v>N39</v>
      </c>
      <c r="CK103">
        <v>8.3280000000000007E-2</v>
      </c>
      <c r="CL103">
        <v>350</v>
      </c>
      <c r="CM103">
        <v>150</v>
      </c>
      <c r="CN103">
        <v>87</v>
      </c>
      <c r="CO103">
        <v>14.413630460169598</v>
      </c>
      <c r="CP103">
        <v>-8.3280000000000007E-2</v>
      </c>
      <c r="CQ103">
        <v>-0.14441582656940599</v>
      </c>
      <c r="CR103">
        <v>3.2115527234214682</v>
      </c>
      <c r="CS103" s="107">
        <f>INDEX(Pipes_result_save_V1!$K$2:$K$206,MATCH(CH103,Pipes_result_save_V1!$I$2:$I$206,0)) *POWER(10,-3)</f>
        <v>-0.1112689437866211</v>
      </c>
      <c r="CT103" s="78">
        <v>5.341244150467433E-3</v>
      </c>
      <c r="CU103" s="78">
        <f t="shared" si="13"/>
        <v>-0.10592769963615366</v>
      </c>
      <c r="CY103">
        <v>0</v>
      </c>
      <c r="CZ103">
        <v>11</v>
      </c>
      <c r="DA103" t="s">
        <v>539</v>
      </c>
      <c r="DB103" t="s">
        <v>147</v>
      </c>
      <c r="DC103" s="106" t="str">
        <f>INDEX(Pipes_result_save_V1!$G$2:$G$206,MATCH(DB103,Pipes_result_save_V1!$I$2:$I$206,0))</f>
        <v>N23</v>
      </c>
      <c r="DD103" s="106" t="str">
        <f>INDEX(Pipes_result_save_V1!$H$2:$H$206,MATCH(DB103,Pipes_result_save_V1!$I$2:$I$206,0))</f>
        <v>N22</v>
      </c>
      <c r="DE103">
        <v>0.16656000000000001</v>
      </c>
      <c r="DF103">
        <v>466</v>
      </c>
      <c r="DG103">
        <v>150</v>
      </c>
      <c r="DH103">
        <v>74</v>
      </c>
      <c r="DI103">
        <v>3.0404193951186484</v>
      </c>
      <c r="DJ103">
        <v>0.16656000000000001</v>
      </c>
      <c r="DK103">
        <v>0.10997208351363455</v>
      </c>
      <c r="DL103">
        <v>1.2227923791261477</v>
      </c>
      <c r="DM103" s="107">
        <f>INDEX(Pipes_result_save_V1!$K$2:$K$206,MATCH(DB103,Pipes_result_save_V1!$I$2:$I$206,0)) *POWER(10,-3)</f>
        <v>-0.20390827941894532</v>
      </c>
      <c r="DN103" s="78">
        <v>5.186407326757592E-3</v>
      </c>
      <c r="DO103" s="78">
        <f t="shared" si="14"/>
        <v>-0.19872187209218772</v>
      </c>
      <c r="DT103">
        <v>0</v>
      </c>
      <c r="DU103">
        <v>11</v>
      </c>
      <c r="DV103" t="s">
        <v>539</v>
      </c>
      <c r="DW103" t="s">
        <v>175</v>
      </c>
      <c r="DX103" s="106" t="str">
        <f>INDEX(Pipes_result_save_V1!$G$2:$G$206,MATCH(DW103,Pipes_result_save_V1!$I$2:$I$206,0))</f>
        <v>N10</v>
      </c>
      <c r="DY103" s="106" t="str">
        <f>INDEX(Pipes_result_save_V1!$H$2:$H$206,MATCH(DW103,Pipes_result_save_V1!$I$2:$I$206,0))</f>
        <v>N9</v>
      </c>
      <c r="DZ103">
        <v>8.3280000000000007E-2</v>
      </c>
      <c r="EA103">
        <v>350</v>
      </c>
      <c r="EB103">
        <v>150</v>
      </c>
      <c r="EC103">
        <v>198</v>
      </c>
      <c r="ED103">
        <v>32.803434840385982</v>
      </c>
      <c r="EE103">
        <v>8.3280000000000007E-2</v>
      </c>
      <c r="EF103">
        <v>0.32867050184761359</v>
      </c>
      <c r="EG103">
        <v>7.3090510257178245</v>
      </c>
      <c r="EH103" s="107">
        <f>INDEX(Pipes_result_save_V1!$K$2:$K$206,MATCH(DW103,Pipes_result_save_V1!$I$2:$I$206,0)) *POWER(10,-3)</f>
        <v>-2.7339191436767583E-2</v>
      </c>
      <c r="EI103" s="78">
        <v>6.4474007047654585E-3</v>
      </c>
      <c r="EJ103" s="78">
        <f t="shared" si="15"/>
        <v>-2.0891790732002126E-2</v>
      </c>
    </row>
    <row r="104" spans="2:140" ht="30" x14ac:dyDescent="0.25">
      <c r="B104" s="106">
        <v>12</v>
      </c>
      <c r="C104" s="106" t="s">
        <v>539</v>
      </c>
      <c r="D104" s="106" t="s">
        <v>230</v>
      </c>
      <c r="E104" s="106" t="str">
        <f>INDEX(Pipes_result_save_V1!$G$2:$G$206,MATCH(D104,Pipes_result_save_V1!$I$2:$I$206,0))</f>
        <v>N94</v>
      </c>
      <c r="F104" s="106" t="str">
        <f>INDEX(Pipes_result_save_V1!$H$2:$H$206,MATCH(D104,Pipes_result_save_V1!$I$2:$I$206,0))</f>
        <v>N95</v>
      </c>
      <c r="G104" s="106">
        <v>7.3999999999999996E-2</v>
      </c>
      <c r="H104" s="107">
        <v>350</v>
      </c>
      <c r="I104" s="107">
        <v>150</v>
      </c>
      <c r="J104" s="107">
        <v>74</v>
      </c>
      <c r="K104" s="107">
        <v>12.259869586810922</v>
      </c>
      <c r="L104" s="107">
        <v>7.3999999999999996E-2</v>
      </c>
      <c r="M104" s="107">
        <v>9.8696782594534224E-2</v>
      </c>
      <c r="N104" s="107">
        <v>2.4700870454740191</v>
      </c>
      <c r="O104" s="107">
        <f>INDEX(Pipes_result_save_V1!$K$2:$K$206,MATCH(D104,Pipes_result_save_V1!$I$2:$I$206,0)) *POWER(10,-3)</f>
        <v>7.3318743705749513E-3</v>
      </c>
      <c r="P104" s="78">
        <v>6.2863093128296037E-3</v>
      </c>
      <c r="Q104" s="78">
        <f t="shared" si="9"/>
        <v>1.0455650577453476E-3</v>
      </c>
      <c r="R104" s="78"/>
      <c r="S104" s="78"/>
      <c r="T104" s="78">
        <v>0</v>
      </c>
      <c r="U104" s="78">
        <v>12</v>
      </c>
      <c r="V104" s="78" t="s">
        <v>539</v>
      </c>
      <c r="W104" s="78" t="s">
        <v>296</v>
      </c>
      <c r="X104" s="106" t="str">
        <f>INDEX(Pipes_result_save_V1!$G$2:$G$206,MATCH(W104,Pipes_result_save_V1!$I$2:$I$206,0))</f>
        <v>N133</v>
      </c>
      <c r="Y104" s="106" t="str">
        <f>INDEX(Pipes_result_save_V1!$H$2:$H$206,MATCH(W104,Pipes_result_save_V1!$I$2:$I$206,0))</f>
        <v>N132</v>
      </c>
      <c r="Z104" s="78">
        <v>5.8057999999999998E-2</v>
      </c>
      <c r="AA104" s="78">
        <v>300</v>
      </c>
      <c r="AB104" s="78">
        <v>150</v>
      </c>
      <c r="AC104" s="78">
        <v>150</v>
      </c>
      <c r="AD104" s="78">
        <v>52.655434650835865</v>
      </c>
      <c r="AE104" s="78">
        <v>5.8057999999999998E-2</v>
      </c>
      <c r="AF104" s="78">
        <v>0</v>
      </c>
      <c r="AG104" s="78">
        <v>0</v>
      </c>
      <c r="AH104" s="78">
        <v>0.27046791780585794</v>
      </c>
      <c r="AI104">
        <v>8.6276927172215565</v>
      </c>
      <c r="AJ104" s="107">
        <f>INDEX(Pipes_result_save_V1!$K$2:$K$206,MATCH(W104,Pipes_result_save_V1!$I$2:$I$206,0)) *POWER(10,-3)</f>
        <v>-8.0813032388687132E-4</v>
      </c>
      <c r="AK104" s="78">
        <v>4.851489264708366E-3</v>
      </c>
      <c r="AL104" s="78">
        <f t="shared" si="10"/>
        <v>4.0433589408214949E-3</v>
      </c>
      <c r="AP104">
        <v>2</v>
      </c>
      <c r="AQ104">
        <v>12</v>
      </c>
      <c r="AR104" t="s">
        <v>540</v>
      </c>
      <c r="AS104" t="s">
        <v>422</v>
      </c>
      <c r="AT104" s="106" t="str">
        <f>INDEX(Pipes_result_save_V1!$G$2:$G$206,MATCH(AS104,Pipes_result_save_V1!$I$2:$I$206,0))</f>
        <v>N81</v>
      </c>
      <c r="AU104" s="106" t="str">
        <f>INDEX(Pipes_result_save_V1!$H$2:$H$206,MATCH(AS104,Pipes_result_save_V1!$I$2:$I$206,0))</f>
        <v>N135</v>
      </c>
      <c r="AV104">
        <v>5.8057999999999998E-2</v>
      </c>
      <c r="AW104">
        <v>300</v>
      </c>
      <c r="AX104">
        <v>150</v>
      </c>
      <c r="AY104">
        <v>81</v>
      </c>
      <c r="AZ104">
        <v>28.433934711451364</v>
      </c>
      <c r="BA104">
        <v>3.5211178482065772E-2</v>
      </c>
      <c r="BB104">
        <v>5.7848134769030488E-2</v>
      </c>
      <c r="BC104">
        <v>3.0426344760602615</v>
      </c>
      <c r="BD104" s="107">
        <f>INDEX(Pipes_result_save_V1!$K$2:$K$206,MATCH(AS104,Pipes_result_save_V1!$I$2:$I$206,0)) *POWER(10,-3)</f>
        <v>2.2272217273712159E-3</v>
      </c>
      <c r="BE104" s="78">
        <v>5.5853532612658713E-3</v>
      </c>
      <c r="BF104" s="78">
        <f t="shared" si="11"/>
        <v>-3.3581315338946554E-3</v>
      </c>
      <c r="BJ104">
        <v>0</v>
      </c>
      <c r="BK104">
        <v>12</v>
      </c>
      <c r="BL104" t="s">
        <v>539</v>
      </c>
      <c r="BM104" t="s">
        <v>123</v>
      </c>
      <c r="BN104" s="106" t="str">
        <f>INDEX(Pipes_result_save_V1!$G$2:$G$206,MATCH(BM104,Pipes_result_save_V1!$I$2:$I$206,0))</f>
        <v>N62</v>
      </c>
      <c r="BO104" s="106" t="str">
        <f>INDEX(Pipes_result_save_V1!$H$2:$H$206,MATCH(BM104,Pipes_result_save_V1!$I$2:$I$206,0))</f>
        <v>N61</v>
      </c>
      <c r="BP104">
        <v>3.2837000000000005E-2</v>
      </c>
      <c r="BQ104">
        <v>250</v>
      </c>
      <c r="BR104">
        <v>150</v>
      </c>
      <c r="BS104">
        <v>73</v>
      </c>
      <c r="BT104">
        <v>62.282588330910201</v>
      </c>
      <c r="BU104">
        <v>3.2837000000000005E-2</v>
      </c>
      <c r="BV104">
        <v>0.11134527815752146</v>
      </c>
      <c r="BW104">
        <v>6.2798506303173163</v>
      </c>
      <c r="BX104" s="107">
        <f>INDEX(Pipes_result_save_V1!$K$2:$K$206,MATCH(BM104,Pipes_result_save_V1!$I$2:$I$206,0)) *POWER(10,-3)</f>
        <v>-2.3688943862915039E-2</v>
      </c>
      <c r="BY104" s="78">
        <v>6.0413349936045812E-3</v>
      </c>
      <c r="BZ104" s="78">
        <f t="shared" si="12"/>
        <v>-1.7647608869310459E-2</v>
      </c>
      <c r="CE104">
        <v>0</v>
      </c>
      <c r="CF104">
        <v>12</v>
      </c>
      <c r="CG104" t="s">
        <v>540</v>
      </c>
      <c r="CH104" t="s">
        <v>170</v>
      </c>
      <c r="CI104" s="106" t="str">
        <f>INDEX(Pipes_result_save_V1!$G$2:$G$206,MATCH(CH104,Pipes_result_save_V1!$I$2:$I$206,0))</f>
        <v>N41</v>
      </c>
      <c r="CJ104" s="106" t="str">
        <f>INDEX(Pipes_result_save_V1!$H$2:$H$206,MATCH(CH104,Pipes_result_save_V1!$I$2:$I$206,0))</f>
        <v>N40</v>
      </c>
      <c r="CK104">
        <v>8.3280000000000007E-2</v>
      </c>
      <c r="CL104">
        <v>350</v>
      </c>
      <c r="CM104">
        <v>150</v>
      </c>
      <c r="CN104">
        <v>94</v>
      </c>
      <c r="CO104">
        <v>15.573347853516577</v>
      </c>
      <c r="CP104">
        <v>-8.3280000000000007E-2</v>
      </c>
      <c r="CQ104">
        <v>-0.15603549077613979</v>
      </c>
      <c r="CR104">
        <v>3.4699535172599769</v>
      </c>
      <c r="CS104" s="107">
        <f>INDEX(Pipes_result_save_V1!$K$2:$K$206,MATCH(CH104,Pipes_result_save_V1!$I$2:$I$206,0)) *POWER(10,-3)</f>
        <v>-0.10984255981445309</v>
      </c>
      <c r="CT104" s="78">
        <v>5.2385239985790026E-3</v>
      </c>
      <c r="CU104" s="78">
        <f t="shared" si="13"/>
        <v>-0.10460403581587409</v>
      </c>
      <c r="CY104">
        <v>0</v>
      </c>
      <c r="CZ104">
        <v>12</v>
      </c>
      <c r="DA104" t="s">
        <v>539</v>
      </c>
      <c r="DB104" t="s">
        <v>146</v>
      </c>
      <c r="DC104" s="106" t="str">
        <f>INDEX(Pipes_result_save_V1!$G$2:$G$206,MATCH(DB104,Pipes_result_save_V1!$I$2:$I$206,0))</f>
        <v>N24</v>
      </c>
      <c r="DD104" s="106" t="str">
        <f>INDEX(Pipes_result_save_V1!$H$2:$H$206,MATCH(DB104,Pipes_result_save_V1!$I$2:$I$206,0))</f>
        <v>N23</v>
      </c>
      <c r="DE104">
        <v>0.16656000000000001</v>
      </c>
      <c r="DF104">
        <v>466</v>
      </c>
      <c r="DG104">
        <v>150</v>
      </c>
      <c r="DH104">
        <v>92</v>
      </c>
      <c r="DI104">
        <v>3.7799808696069688</v>
      </c>
      <c r="DJ104">
        <v>0.16656000000000001</v>
      </c>
      <c r="DK104">
        <v>0.13672204977370783</v>
      </c>
      <c r="DL104">
        <v>1.5202283632379134</v>
      </c>
      <c r="DM104" s="107">
        <f>INDEX(Pipes_result_save_V1!$K$2:$K$206,MATCH(DB104,Pipes_result_save_V1!$I$2:$I$206,0)) *POWER(10,-3)</f>
        <v>-0.20296116638183592</v>
      </c>
      <c r="DN104" s="78">
        <v>5.1205947079335547E-3</v>
      </c>
      <c r="DO104" s="78">
        <f t="shared" si="14"/>
        <v>-0.19784057167390237</v>
      </c>
      <c r="DT104">
        <v>0</v>
      </c>
      <c r="DU104">
        <v>12</v>
      </c>
      <c r="DV104" t="s">
        <v>539</v>
      </c>
      <c r="DW104" t="s">
        <v>176</v>
      </c>
      <c r="DX104" s="106" t="str">
        <f>INDEX(Pipes_result_save_V1!$G$2:$G$206,MATCH(DW104,Pipes_result_save_V1!$I$2:$I$206,0))</f>
        <v>N11</v>
      </c>
      <c r="DY104" s="106" t="str">
        <f>INDEX(Pipes_result_save_V1!$H$2:$H$206,MATCH(DW104,Pipes_result_save_V1!$I$2:$I$206,0))</f>
        <v>N10</v>
      </c>
      <c r="DZ104">
        <v>8.3280000000000007E-2</v>
      </c>
      <c r="EA104">
        <v>350</v>
      </c>
      <c r="EB104">
        <v>150</v>
      </c>
      <c r="EC104">
        <v>174</v>
      </c>
      <c r="ED104">
        <v>28.827260920339196</v>
      </c>
      <c r="EE104">
        <v>8.3280000000000007E-2</v>
      </c>
      <c r="EF104">
        <v>0.28883165313881198</v>
      </c>
      <c r="EG104">
        <v>6.4231054468429365</v>
      </c>
      <c r="EH104" s="107">
        <f>INDEX(Pipes_result_save_V1!$K$2:$K$206,MATCH(DW104,Pipes_result_save_V1!$I$2:$I$206,0)) *POWER(10,-3)</f>
        <v>-2.5216728210449218E-2</v>
      </c>
      <c r="EI104" s="78">
        <v>6.0070813399753509E-3</v>
      </c>
      <c r="EJ104" s="78">
        <f t="shared" si="15"/>
        <v>-1.9209646870473867E-2</v>
      </c>
    </row>
    <row r="105" spans="2:140" ht="30" x14ac:dyDescent="0.25">
      <c r="B105" s="106">
        <v>13</v>
      </c>
      <c r="C105" s="106" t="s">
        <v>539</v>
      </c>
      <c r="D105" s="106" t="s">
        <v>215</v>
      </c>
      <c r="E105" s="106" t="str">
        <f>INDEX(Pipes_result_save_V1!$G$2:$G$206,MATCH(D105,Pipes_result_save_V1!$I$2:$I$206,0))</f>
        <v>N95</v>
      </c>
      <c r="F105" s="106" t="str">
        <f>INDEX(Pipes_result_save_V1!$H$2:$H$206,MATCH(D105,Pipes_result_save_V1!$I$2:$I$206,0))</f>
        <v>N96</v>
      </c>
      <c r="G105" s="106">
        <v>0.248</v>
      </c>
      <c r="H105" s="107">
        <v>565</v>
      </c>
      <c r="I105" s="107">
        <v>150</v>
      </c>
      <c r="J105" s="107">
        <v>248</v>
      </c>
      <c r="K105" s="107">
        <v>3.9868809371857856</v>
      </c>
      <c r="L105" s="107">
        <v>0.248</v>
      </c>
      <c r="M105" s="107">
        <v>0.30141008477405656</v>
      </c>
      <c r="N105" s="107">
        <v>2.2508527298449703</v>
      </c>
      <c r="O105" s="107">
        <f>INDEX(Pipes_result_save_V1!$K$2:$K$206,MATCH(D105,Pipes_result_save_V1!$I$2:$I$206,0)) *POWER(10,-3)</f>
        <v>5.4946870803833005E-3</v>
      </c>
      <c r="P105" s="78">
        <v>5.0800818278635036E-3</v>
      </c>
      <c r="Q105" s="78">
        <f t="shared" si="9"/>
        <v>4.1460525251979692E-4</v>
      </c>
      <c r="R105" s="78"/>
      <c r="S105" s="78"/>
      <c r="T105" s="78">
        <v>0</v>
      </c>
      <c r="U105" s="78">
        <v>13</v>
      </c>
      <c r="V105" s="78" t="s">
        <v>539</v>
      </c>
      <c r="W105" s="78" t="s">
        <v>297</v>
      </c>
      <c r="X105" s="106" t="str">
        <f>INDEX(Pipes_result_save_V1!$G$2:$G$206,MATCH(W105,Pipes_result_save_V1!$I$2:$I$206,0))</f>
        <v>N134</v>
      </c>
      <c r="Y105" s="106" t="str">
        <f>INDEX(Pipes_result_save_V1!$H$2:$H$206,MATCH(W105,Pipes_result_save_V1!$I$2:$I$206,0))</f>
        <v>N133</v>
      </c>
      <c r="Z105" s="78">
        <v>5.8057999999999998E-2</v>
      </c>
      <c r="AA105" s="78">
        <v>300</v>
      </c>
      <c r="AB105" s="78">
        <v>150</v>
      </c>
      <c r="AC105" s="78">
        <v>54</v>
      </c>
      <c r="AD105" s="78">
        <v>18.955956474300912</v>
      </c>
      <c r="AE105" s="78">
        <v>5.8057999999999998E-2</v>
      </c>
      <c r="AF105" s="78">
        <v>0</v>
      </c>
      <c r="AG105" s="78">
        <v>0</v>
      </c>
      <c r="AH105" s="78">
        <v>9.7368450410108859E-2</v>
      </c>
      <c r="AI105">
        <v>3.1059693781997608</v>
      </c>
      <c r="AJ105" s="107">
        <f>INDEX(Pipes_result_save_V1!$K$2:$K$206,MATCH(W105,Pipes_result_save_V1!$I$2:$I$206,0)) *POWER(10,-3)</f>
        <v>3.558016419410706E-4</v>
      </c>
      <c r="AK105" s="78">
        <v>4.391108088355699E-3</v>
      </c>
      <c r="AL105" s="78">
        <f t="shared" si="10"/>
        <v>-4.0353064464146281E-3</v>
      </c>
      <c r="AP105">
        <v>0</v>
      </c>
      <c r="AQ105">
        <v>13</v>
      </c>
      <c r="AR105" t="s">
        <v>540</v>
      </c>
      <c r="AS105" t="s">
        <v>263</v>
      </c>
      <c r="AT105" s="106" t="str">
        <f>INDEX(Pipes_result_save_V1!$G$2:$G$206,MATCH(AS105,Pipes_result_save_V1!$I$2:$I$206,0))</f>
        <v>N112</v>
      </c>
      <c r="AU105" s="106" t="str">
        <f>INDEX(Pipes_result_save_V1!$H$2:$H$206,MATCH(AS105,Pipes_result_save_V1!$I$2:$I$206,0))</f>
        <v>N111</v>
      </c>
      <c r="AV105">
        <v>3.2837000000000005E-2</v>
      </c>
      <c r="AW105">
        <v>250</v>
      </c>
      <c r="AX105">
        <v>150</v>
      </c>
      <c r="AY105">
        <v>111</v>
      </c>
      <c r="AZ105">
        <v>94.70366170864429</v>
      </c>
      <c r="BA105">
        <v>-3.2837000000000005E-2</v>
      </c>
      <c r="BB105">
        <v>-0.16930583391075182</v>
      </c>
      <c r="BC105">
        <v>9.5488139721263323</v>
      </c>
      <c r="BD105" s="107">
        <f>INDEX(Pipes_result_save_V1!$K$2:$K$206,MATCH(AS105,Pipes_result_save_V1!$I$2:$I$206,0)) *POWER(10,-3)</f>
        <v>-6.3918390274047849E-3</v>
      </c>
      <c r="BE105" s="78">
        <v>5.9927909760638907E-3</v>
      </c>
      <c r="BF105" s="78">
        <f t="shared" si="11"/>
        <v>-3.9904805134089415E-4</v>
      </c>
      <c r="BJ105">
        <v>0</v>
      </c>
      <c r="BK105">
        <v>13</v>
      </c>
      <c r="BL105" t="s">
        <v>539</v>
      </c>
      <c r="BM105" t="s">
        <v>122</v>
      </c>
      <c r="BN105" s="106" t="str">
        <f>INDEX(Pipes_result_save_V1!$G$2:$G$206,MATCH(BM105,Pipes_result_save_V1!$I$2:$I$206,0))</f>
        <v>N63</v>
      </c>
      <c r="BO105" s="106" t="str">
        <f>INDEX(Pipes_result_save_V1!$H$2:$H$206,MATCH(BM105,Pipes_result_save_V1!$I$2:$I$206,0))</f>
        <v>N62</v>
      </c>
      <c r="BP105">
        <v>3.2837000000000005E-2</v>
      </c>
      <c r="BQ105">
        <v>250</v>
      </c>
      <c r="BR105">
        <v>150</v>
      </c>
      <c r="BS105">
        <v>58</v>
      </c>
      <c r="BT105">
        <v>49.484796208120436</v>
      </c>
      <c r="BU105">
        <v>3.2837000000000005E-2</v>
      </c>
      <c r="BV105">
        <v>8.8466111412825274E-2</v>
      </c>
      <c r="BW105">
        <v>4.9894703638137585</v>
      </c>
      <c r="BX105" s="107">
        <f>INDEX(Pipes_result_save_V1!$K$2:$K$206,MATCH(BM105,Pipes_result_save_V1!$I$2:$I$206,0)) *POWER(10,-3)</f>
        <v>-2.2941516876220699E-2</v>
      </c>
      <c r="BY105" s="78">
        <v>5.561579490242767E-3</v>
      </c>
      <c r="BZ105" s="78">
        <f t="shared" si="12"/>
        <v>-1.7379937385977932E-2</v>
      </c>
      <c r="CE105">
        <v>0</v>
      </c>
      <c r="CF105">
        <v>13</v>
      </c>
      <c r="CG105" t="s">
        <v>540</v>
      </c>
      <c r="CH105" t="s">
        <v>171</v>
      </c>
      <c r="CI105" s="106" t="str">
        <f>INDEX(Pipes_result_save_V1!$G$2:$G$206,MATCH(CH105,Pipes_result_save_V1!$I$2:$I$206,0))</f>
        <v>N41</v>
      </c>
      <c r="CJ105" s="106" t="str">
        <f>INDEX(Pipes_result_save_V1!$H$2:$H$206,MATCH(CH105,Pipes_result_save_V1!$I$2:$I$206,0))</f>
        <v>N42</v>
      </c>
      <c r="CK105">
        <v>9.851E-2</v>
      </c>
      <c r="CL105">
        <v>400</v>
      </c>
      <c r="CM105">
        <v>150</v>
      </c>
      <c r="CN105">
        <v>70</v>
      </c>
      <c r="CO105">
        <v>6.0516443501782993</v>
      </c>
      <c r="CP105">
        <v>-9.851E-2</v>
      </c>
      <c r="CQ105">
        <v>-8.2755896525604014E-2</v>
      </c>
      <c r="CR105">
        <v>1.5558209355945454</v>
      </c>
      <c r="CS105" s="107">
        <f>INDEX(Pipes_result_save_V1!$K$2:$K$206,MATCH(CH105,Pipes_result_save_V1!$I$2:$I$206,0)) *POWER(10,-3)</f>
        <v>0.1084104309082031</v>
      </c>
      <c r="CT105" s="78">
        <v>5.2961710303004832E-3</v>
      </c>
      <c r="CU105" s="78">
        <f t="shared" si="13"/>
        <v>0.10311425987790261</v>
      </c>
      <c r="CY105">
        <v>0</v>
      </c>
      <c r="CZ105">
        <v>13</v>
      </c>
      <c r="DA105" t="s">
        <v>539</v>
      </c>
      <c r="DB105" t="s">
        <v>145</v>
      </c>
      <c r="DC105" s="106" t="str">
        <f>INDEX(Pipes_result_save_V1!$G$2:$G$206,MATCH(DB105,Pipes_result_save_V1!$I$2:$I$206,0))</f>
        <v>N25</v>
      </c>
      <c r="DD105" s="106" t="str">
        <f>INDEX(Pipes_result_save_V1!$H$2:$H$206,MATCH(DB105,Pipes_result_save_V1!$I$2:$I$206,0))</f>
        <v>N24</v>
      </c>
      <c r="DE105">
        <v>0.16656000000000001</v>
      </c>
      <c r="DF105">
        <v>466</v>
      </c>
      <c r="DG105">
        <v>150</v>
      </c>
      <c r="DH105">
        <v>75</v>
      </c>
      <c r="DI105">
        <v>3.0815061437013331</v>
      </c>
      <c r="DJ105">
        <v>0.16656000000000001</v>
      </c>
      <c r="DK105">
        <v>0.11145819275030529</v>
      </c>
      <c r="DL105">
        <v>1.2393166004656904</v>
      </c>
      <c r="DM105" s="107">
        <f>INDEX(Pipes_result_save_V1!$K$2:$K$206,MATCH(DB105,Pipes_result_save_V1!$I$2:$I$206,0)) *POWER(10,-3)</f>
        <v>-0.20200834655761718</v>
      </c>
      <c r="DN105" s="78">
        <v>5.5044408918834406E-3</v>
      </c>
      <c r="DO105" s="78">
        <f t="shared" si="14"/>
        <v>-0.19650390566573375</v>
      </c>
      <c r="DT105">
        <v>0</v>
      </c>
      <c r="DU105">
        <v>13</v>
      </c>
      <c r="DV105" t="s">
        <v>539</v>
      </c>
      <c r="DW105" t="s">
        <v>177</v>
      </c>
      <c r="DX105" s="106" t="str">
        <f>INDEX(Pipes_result_save_V1!$G$2:$G$206,MATCH(DW105,Pipes_result_save_V1!$I$2:$I$206,0))</f>
        <v>N12</v>
      </c>
      <c r="DY105" s="106" t="str">
        <f>INDEX(Pipes_result_save_V1!$H$2:$H$206,MATCH(DW105,Pipes_result_save_V1!$I$2:$I$206,0))</f>
        <v>N11</v>
      </c>
      <c r="DZ105">
        <v>8.3280000000000007E-2</v>
      </c>
      <c r="EA105">
        <v>350</v>
      </c>
      <c r="EB105">
        <v>150</v>
      </c>
      <c r="EC105">
        <v>227</v>
      </c>
      <c r="ED105">
        <v>37.607978327109187</v>
      </c>
      <c r="EE105">
        <v>8.3280000000000007E-2</v>
      </c>
      <c r="EF105">
        <v>0.37680911070408235</v>
      </c>
      <c r="EG105">
        <v>8.3795686001916483</v>
      </c>
      <c r="EH105" s="107">
        <f>INDEX(Pipes_result_save_V1!$K$2:$K$206,MATCH(DW105,Pipes_result_save_V1!$I$2:$I$206,0)) *POWER(10,-3)</f>
        <v>-2.2928802490234379E-2</v>
      </c>
      <c r="EI105" s="78">
        <v>6.1898935542342029E-3</v>
      </c>
      <c r="EJ105" s="78">
        <f t="shared" si="15"/>
        <v>-1.6738908936000177E-2</v>
      </c>
    </row>
    <row r="106" spans="2:140" ht="30" x14ac:dyDescent="0.25">
      <c r="B106" s="106">
        <v>14</v>
      </c>
      <c r="C106" s="106" t="s">
        <v>539</v>
      </c>
      <c r="D106" s="106" t="s">
        <v>214</v>
      </c>
      <c r="E106" s="106" t="str">
        <f>INDEX(Pipes_result_save_V1!$G$2:$G$206,MATCH(D106,Pipes_result_save_V1!$I$2:$I$206,0))</f>
        <v>N96</v>
      </c>
      <c r="F106" s="106" t="str">
        <f>INDEX(Pipes_result_save_V1!$H$2:$H$206,MATCH(D106,Pipes_result_save_V1!$I$2:$I$206,0))</f>
        <v>N97</v>
      </c>
      <c r="G106" s="106">
        <v>0.11600000000000001</v>
      </c>
      <c r="H106" s="107">
        <v>400</v>
      </c>
      <c r="I106" s="107">
        <v>150</v>
      </c>
      <c r="J106" s="107">
        <v>116</v>
      </c>
      <c r="K106" s="107">
        <v>10.028439208866896</v>
      </c>
      <c r="L106" s="107">
        <v>0.11600000000000001</v>
      </c>
      <c r="M106" s="107">
        <v>0.18561349239891756</v>
      </c>
      <c r="N106" s="107">
        <v>2.963415413127545</v>
      </c>
      <c r="O106" s="107">
        <f>INDEX(Pipes_result_save_V1!$K$2:$K$206,MATCH(D106,Pipes_result_save_V1!$I$2:$I$206,0)) *POWER(10,-3)</f>
        <v>3.417867422103882E-3</v>
      </c>
      <c r="P106" s="78">
        <v>5.35508992780528E-3</v>
      </c>
      <c r="Q106" s="78">
        <f t="shared" si="9"/>
        <v>-1.937222505701398E-3</v>
      </c>
      <c r="R106" s="78"/>
      <c r="S106" s="78"/>
      <c r="T106" s="78">
        <v>0</v>
      </c>
      <c r="U106" s="78">
        <v>14</v>
      </c>
      <c r="V106" s="78" t="s">
        <v>539</v>
      </c>
      <c r="W106" s="78" t="s">
        <v>298</v>
      </c>
      <c r="X106" s="106" t="str">
        <f>INDEX(Pipes_result_save_V1!$G$2:$G$206,MATCH(W106,Pipes_result_save_V1!$I$2:$I$206,0))</f>
        <v>N135</v>
      </c>
      <c r="Y106" s="106" t="str">
        <f>INDEX(Pipes_result_save_V1!$H$2:$H$206,MATCH(W106,Pipes_result_save_V1!$I$2:$I$206,0))</f>
        <v>N134</v>
      </c>
      <c r="Z106" s="78">
        <v>5.8057999999999998E-2</v>
      </c>
      <c r="AA106" s="78">
        <v>300</v>
      </c>
      <c r="AB106" s="78">
        <v>150</v>
      </c>
      <c r="AC106" s="78">
        <v>93</v>
      </c>
      <c r="AD106" s="78">
        <v>32.646369483518235</v>
      </c>
      <c r="AE106" s="78">
        <v>5.8057999999999998E-2</v>
      </c>
      <c r="AF106" s="78">
        <v>0</v>
      </c>
      <c r="AG106" s="78">
        <v>0</v>
      </c>
      <c r="AH106" s="78">
        <v>0.16769010903963191</v>
      </c>
      <c r="AI106">
        <v>5.3491694846773656</v>
      </c>
      <c r="AJ106" s="107">
        <f>INDEX(Pipes_result_save_V1!$K$2:$K$206,MATCH(W106,Pipes_result_save_V1!$I$2:$I$206,0)) *POWER(10,-3)</f>
        <v>1.194517374038696E-3</v>
      </c>
      <c r="AK106" s="78">
        <v>3.6538468174584261E-3</v>
      </c>
      <c r="AL106" s="78">
        <f t="shared" si="10"/>
        <v>-2.4593294434197303E-3</v>
      </c>
      <c r="AP106">
        <v>0</v>
      </c>
      <c r="AQ106">
        <v>14</v>
      </c>
      <c r="AR106" t="s">
        <v>540</v>
      </c>
      <c r="AS106" t="s">
        <v>264</v>
      </c>
      <c r="AT106" s="106" t="str">
        <f>INDEX(Pipes_result_save_V1!$G$2:$G$206,MATCH(AS106,Pipes_result_save_V1!$I$2:$I$206,0))</f>
        <v>N113</v>
      </c>
      <c r="AU106" s="106" t="str">
        <f>INDEX(Pipes_result_save_V1!$H$2:$H$206,MATCH(AS106,Pipes_result_save_V1!$I$2:$I$206,0))</f>
        <v>N112</v>
      </c>
      <c r="AV106">
        <v>3.2837000000000005E-2</v>
      </c>
      <c r="AW106">
        <v>250</v>
      </c>
      <c r="AX106">
        <v>150</v>
      </c>
      <c r="AY106">
        <v>112</v>
      </c>
      <c r="AZ106">
        <v>95.556847850163592</v>
      </c>
      <c r="BA106">
        <v>-3.2837000000000005E-2</v>
      </c>
      <c r="BB106">
        <v>-0.17083111169373155</v>
      </c>
      <c r="BC106">
        <v>9.6348393232265668</v>
      </c>
      <c r="BD106" s="107">
        <f>INDEX(Pipes_result_save_V1!$K$2:$K$206,MATCH(AS106,Pipes_result_save_V1!$I$2:$I$206,0)) *POWER(10,-3)</f>
        <v>-4.6345300674438478E-3</v>
      </c>
      <c r="BE106" s="78">
        <v>5.2542776304977338E-3</v>
      </c>
      <c r="BF106" s="78">
        <f t="shared" si="11"/>
        <v>6.1974756305388599E-4</v>
      </c>
      <c r="BJ106">
        <v>0</v>
      </c>
      <c r="BK106">
        <v>14</v>
      </c>
      <c r="BL106" t="s">
        <v>539</v>
      </c>
      <c r="BM106" t="s">
        <v>121</v>
      </c>
      <c r="BN106" s="106" t="str">
        <f>INDEX(Pipes_result_save_V1!$G$2:$G$206,MATCH(BM106,Pipes_result_save_V1!$I$2:$I$206,0))</f>
        <v>N64</v>
      </c>
      <c r="BO106" s="106" t="str">
        <f>INDEX(Pipes_result_save_V1!$H$2:$H$206,MATCH(BM106,Pipes_result_save_V1!$I$2:$I$206,0))</f>
        <v>N63</v>
      </c>
      <c r="BP106">
        <v>3.2837000000000005E-2</v>
      </c>
      <c r="BQ106">
        <v>250</v>
      </c>
      <c r="BR106">
        <v>150</v>
      </c>
      <c r="BS106">
        <v>216</v>
      </c>
      <c r="BT106">
        <v>184.28820656817265</v>
      </c>
      <c r="BU106">
        <v>3.2837000000000005E-2</v>
      </c>
      <c r="BV106">
        <v>0.32946000112362517</v>
      </c>
      <c r="BW106">
        <v>18.581475837651237</v>
      </c>
      <c r="BX106" s="107">
        <f>INDEX(Pipes_result_save_V1!$K$2:$K$206,MATCH(BM106,Pipes_result_save_V1!$I$2:$I$206,0)) *POWER(10,-3)</f>
        <v>-2.1378194808959961E-2</v>
      </c>
      <c r="BY106" s="78">
        <v>6.3848835260542861E-3</v>
      </c>
      <c r="BZ106" s="78">
        <f t="shared" si="12"/>
        <v>-1.4993311282905675E-2</v>
      </c>
      <c r="CE106">
        <v>1</v>
      </c>
      <c r="CF106">
        <v>14</v>
      </c>
      <c r="CG106" t="s">
        <v>540</v>
      </c>
      <c r="CH106" t="s">
        <v>414</v>
      </c>
      <c r="CI106" s="106" t="str">
        <f>INDEX(Pipes_result_save_V1!$G$2:$G$206,MATCH(CH106,Pipes_result_save_V1!$I$2:$I$206,0))</f>
        <v>N52</v>
      </c>
      <c r="CJ106" s="106" t="str">
        <f>INDEX(Pipes_result_save_V1!$H$2:$H$206,MATCH(CH106,Pipes_result_save_V1!$I$2:$I$206,0))</f>
        <v>N42</v>
      </c>
      <c r="CK106">
        <v>3.2835999999999997E-2</v>
      </c>
      <c r="CL106">
        <v>250</v>
      </c>
      <c r="CM106">
        <v>150</v>
      </c>
      <c r="CN106">
        <v>223</v>
      </c>
      <c r="CO106">
        <v>190.26050955880785</v>
      </c>
      <c r="CP106">
        <v>2.3579796114934291E-2</v>
      </c>
      <c r="CQ106">
        <v>0.18420135475776558</v>
      </c>
      <c r="CR106">
        <v>14.467508851585029</v>
      </c>
      <c r="CS106" s="107">
        <f>INDEX(Pipes_result_save_V1!$K$2:$K$206,MATCH(CH106,Pipes_result_save_V1!$I$2:$I$206,0)) *POWER(10,-3)</f>
        <v>-3.351390075683594E-2</v>
      </c>
      <c r="CT106" s="78">
        <v>5.4175001596607963E-3</v>
      </c>
      <c r="CU106" s="78">
        <f t="shared" si="13"/>
        <v>-2.8096400597175143E-2</v>
      </c>
      <c r="CY106">
        <v>0</v>
      </c>
      <c r="CZ106">
        <v>14</v>
      </c>
      <c r="DA106" t="s">
        <v>539</v>
      </c>
      <c r="DB106" t="s">
        <v>144</v>
      </c>
      <c r="DC106" s="106" t="str">
        <f>INDEX(Pipes_result_save_V1!$G$2:$G$206,MATCH(DB106,Pipes_result_save_V1!$I$2:$I$206,0))</f>
        <v>N26</v>
      </c>
      <c r="DD106" s="106" t="str">
        <f>INDEX(Pipes_result_save_V1!$H$2:$H$206,MATCH(DB106,Pipes_result_save_V1!$I$2:$I$206,0))</f>
        <v>N25</v>
      </c>
      <c r="DE106">
        <v>0.16656000000000001</v>
      </c>
      <c r="DF106">
        <v>466</v>
      </c>
      <c r="DG106">
        <v>150</v>
      </c>
      <c r="DH106">
        <v>76</v>
      </c>
      <c r="DI106">
        <v>3.1225928922840178</v>
      </c>
      <c r="DJ106">
        <v>0.16656000000000001</v>
      </c>
      <c r="DK106">
        <v>0.11294430198697604</v>
      </c>
      <c r="DL106">
        <v>1.255840821805233</v>
      </c>
      <c r="DM106" s="107">
        <f>INDEX(Pipes_result_save_V1!$K$2:$K$206,MATCH(DB106,Pipes_result_save_V1!$I$2:$I$206,0)) *POWER(10,-3)</f>
        <v>-0.20114678955078119</v>
      </c>
      <c r="DN106" s="78">
        <v>5.2238149459227431E-3</v>
      </c>
      <c r="DO106" s="78">
        <f t="shared" si="14"/>
        <v>-0.19592297460485844</v>
      </c>
      <c r="DT106">
        <v>0</v>
      </c>
      <c r="DU106">
        <v>14</v>
      </c>
      <c r="DV106" t="s">
        <v>539</v>
      </c>
      <c r="DW106" t="s">
        <v>157</v>
      </c>
      <c r="DX106" s="106" t="str">
        <f>INDEX(Pipes_result_save_V1!$G$2:$G$206,MATCH(DW106,Pipes_result_save_V1!$I$2:$I$206,0))</f>
        <v>N13</v>
      </c>
      <c r="DY106" s="106" t="str">
        <f>INDEX(Pipes_result_save_V1!$H$2:$H$206,MATCH(DW106,Pipes_result_save_V1!$I$2:$I$206,0))</f>
        <v>N12</v>
      </c>
      <c r="DZ106">
        <v>8.3280000000000007E-2</v>
      </c>
      <c r="EA106">
        <v>350</v>
      </c>
      <c r="EB106">
        <v>150</v>
      </c>
      <c r="EC106">
        <v>533</v>
      </c>
      <c r="ED106">
        <v>88.304195807705696</v>
      </c>
      <c r="EE106">
        <v>8.3280000000000007E-2</v>
      </c>
      <c r="EF106">
        <v>0.8847544317413033</v>
      </c>
      <c r="EG106">
        <v>19.675374730846467</v>
      </c>
      <c r="EH106" s="107">
        <f>INDEX(Pipes_result_save_V1!$K$2:$K$206,MATCH(DW106,Pipes_result_save_V1!$I$2:$I$206,0)) *POWER(10,-3)</f>
        <v>-1.8592584609985353E-2</v>
      </c>
      <c r="EI106" s="78">
        <v>6.4477182794105683E-3</v>
      </c>
      <c r="EJ106" s="78">
        <f t="shared" si="15"/>
        <v>-1.2144866330574784E-2</v>
      </c>
    </row>
    <row r="107" spans="2:140" ht="30" x14ac:dyDescent="0.25">
      <c r="B107" s="106">
        <v>15</v>
      </c>
      <c r="C107" s="106" t="s">
        <v>539</v>
      </c>
      <c r="D107" s="106" t="s">
        <v>213</v>
      </c>
      <c r="E107" s="106" t="str">
        <f>INDEX(Pipes_result_save_V1!$G$2:$G$206,MATCH(D107,Pipes_result_save_V1!$I$2:$I$206,0))</f>
        <v>N97</v>
      </c>
      <c r="F107" s="106" t="str">
        <f>INDEX(Pipes_result_save_V1!$H$2:$H$206,MATCH(D107,Pipes_result_save_V1!$I$2:$I$206,0))</f>
        <v>N98</v>
      </c>
      <c r="G107" s="106">
        <v>0.128</v>
      </c>
      <c r="H107" s="107">
        <v>421</v>
      </c>
      <c r="I107" s="107">
        <v>150</v>
      </c>
      <c r="J107" s="107">
        <v>128</v>
      </c>
      <c r="K107" s="107">
        <v>8.6246495180025686</v>
      </c>
      <c r="L107" s="107">
        <v>0.128</v>
      </c>
      <c r="M107" s="107">
        <v>0.19155536470823792</v>
      </c>
      <c r="N107" s="107">
        <v>2.7715666831223169</v>
      </c>
      <c r="O107" s="107">
        <f>INDEX(Pipes_result_save_V1!$K$2:$K$206,MATCH(D107,Pipes_result_save_V1!$I$2:$I$206,0)) *POWER(10,-3)</f>
        <v>2.0257134437561041E-3</v>
      </c>
      <c r="P107" s="78">
        <v>5.8974305337180823E-3</v>
      </c>
      <c r="Q107" s="78">
        <f t="shared" si="9"/>
        <v>-3.8717170899619782E-3</v>
      </c>
      <c r="R107" s="78"/>
      <c r="S107" s="78"/>
      <c r="T107" s="78">
        <v>0</v>
      </c>
      <c r="U107" s="78">
        <v>15</v>
      </c>
      <c r="V107" s="78" t="s">
        <v>540</v>
      </c>
      <c r="W107" s="78" t="s">
        <v>300</v>
      </c>
      <c r="X107" s="106" t="str">
        <f>INDEX(Pipes_result_save_V1!$G$2:$G$206,MATCH(W107,Pipes_result_save_V1!$I$2:$I$206,0))</f>
        <v>N136</v>
      </c>
      <c r="Y107" s="106" t="str">
        <f>INDEX(Pipes_result_save_V1!$H$2:$H$206,MATCH(W107,Pipes_result_save_V1!$I$2:$I$206,0))</f>
        <v>N137</v>
      </c>
      <c r="Z107" s="78">
        <v>5.8057999999999998E-2</v>
      </c>
      <c r="AA107" s="78">
        <v>300</v>
      </c>
      <c r="AB107" s="78">
        <v>150</v>
      </c>
      <c r="AC107" s="78">
        <v>360</v>
      </c>
      <c r="AD107" s="78">
        <v>126.37304316200606</v>
      </c>
      <c r="AE107" s="78">
        <v>-5.8057999999999998E-2</v>
      </c>
      <c r="AF107" s="78">
        <v>0</v>
      </c>
      <c r="AG107" s="78">
        <v>0</v>
      </c>
      <c r="AH107" s="78">
        <v>-0.64912300273405898</v>
      </c>
      <c r="AI107">
        <v>20.706462521331733</v>
      </c>
      <c r="AJ107" s="107">
        <f>INDEX(Pipes_result_save_V1!$K$2:$K$206,MATCH(W107,Pipes_result_save_V1!$I$2:$I$206,0)) *POWER(10,-3)</f>
        <v>2.8655429840087891E-2</v>
      </c>
      <c r="AK107" s="78">
        <v>4.5179268908135724E-3</v>
      </c>
      <c r="AL107" s="78">
        <f t="shared" si="10"/>
        <v>2.4137502949274317E-2</v>
      </c>
      <c r="AP107">
        <v>0</v>
      </c>
      <c r="AQ107">
        <v>15</v>
      </c>
      <c r="AR107" t="s">
        <v>540</v>
      </c>
      <c r="AS107" t="s">
        <v>266</v>
      </c>
      <c r="AT107" s="106" t="str">
        <f>INDEX(Pipes_result_save_V1!$G$2:$G$206,MATCH(AS107,Pipes_result_save_V1!$I$2:$I$206,0))</f>
        <v>N114</v>
      </c>
      <c r="AU107" s="106" t="str">
        <f>INDEX(Pipes_result_save_V1!$H$2:$H$206,MATCH(AS107,Pipes_result_save_V1!$I$2:$I$206,0))</f>
        <v>N113</v>
      </c>
      <c r="AV107">
        <v>3.2837000000000005E-2</v>
      </c>
      <c r="AW107">
        <v>250</v>
      </c>
      <c r="AX107">
        <v>150</v>
      </c>
      <c r="AY107">
        <v>113</v>
      </c>
      <c r="AZ107">
        <v>96.410033991682923</v>
      </c>
      <c r="BA107">
        <v>-3.2837000000000005E-2</v>
      </c>
      <c r="BB107">
        <v>-0.17235638947671134</v>
      </c>
      <c r="BC107">
        <v>9.7208646743268066</v>
      </c>
      <c r="BD107" s="107">
        <f>INDEX(Pipes_result_save_V1!$K$2:$K$206,MATCH(AS107,Pipes_result_save_V1!$I$2:$I$206,0)) *POWER(10,-3)</f>
        <v>-3.761581182479858E-3</v>
      </c>
      <c r="BE107" s="78">
        <v>5.6612208252616201E-3</v>
      </c>
      <c r="BF107" s="78">
        <f t="shared" si="11"/>
        <v>1.8996396427817621E-3</v>
      </c>
      <c r="BJ107">
        <v>0</v>
      </c>
      <c r="BK107">
        <v>15</v>
      </c>
      <c r="BL107" t="s">
        <v>539</v>
      </c>
      <c r="BM107" t="s">
        <v>119</v>
      </c>
      <c r="BN107" s="106" t="str">
        <f>INDEX(Pipes_result_save_V1!$G$2:$G$206,MATCH(BM107,Pipes_result_save_V1!$I$2:$I$206,0))</f>
        <v>N65</v>
      </c>
      <c r="BO107" s="106" t="str">
        <f>INDEX(Pipes_result_save_V1!$H$2:$H$206,MATCH(BM107,Pipes_result_save_V1!$I$2:$I$206,0))</f>
        <v>N64</v>
      </c>
      <c r="BP107">
        <v>3.2837000000000005E-2</v>
      </c>
      <c r="BQ107">
        <v>250</v>
      </c>
      <c r="BR107">
        <v>150</v>
      </c>
      <c r="BS107">
        <v>73</v>
      </c>
      <c r="BT107">
        <v>62.282588330910201</v>
      </c>
      <c r="BU107">
        <v>3.2837000000000005E-2</v>
      </c>
      <c r="BV107">
        <v>0.11134527815752146</v>
      </c>
      <c r="BW107">
        <v>6.2798506303173163</v>
      </c>
      <c r="BX107" s="107">
        <f>INDEX(Pipes_result_save_V1!$K$2:$K$206,MATCH(BM107,Pipes_result_save_V1!$I$2:$I$206,0)) *POWER(10,-3)</f>
        <v>-1.9729291915893551E-2</v>
      </c>
      <c r="BY107" s="78">
        <v>5.4690950211208214E-3</v>
      </c>
      <c r="BZ107" s="78">
        <f t="shared" si="12"/>
        <v>-1.4260196894772731E-2</v>
      </c>
      <c r="CE107">
        <v>0</v>
      </c>
      <c r="CF107">
        <v>15</v>
      </c>
      <c r="CG107" t="s">
        <v>540</v>
      </c>
      <c r="CH107" t="s">
        <v>168</v>
      </c>
      <c r="CI107" s="106" t="str">
        <f>INDEX(Pipes_result_save_V1!$G$2:$G$206,MATCH(CH107,Pipes_result_save_V1!$I$2:$I$206,0))</f>
        <v>N44</v>
      </c>
      <c r="CJ107" s="106" t="str">
        <f>INDEX(Pipes_result_save_V1!$H$2:$H$206,MATCH(CH107,Pipes_result_save_V1!$I$2:$I$206,0))</f>
        <v>N43</v>
      </c>
      <c r="CK107">
        <v>0.16656000000000001</v>
      </c>
      <c r="CL107">
        <v>466</v>
      </c>
      <c r="CM107">
        <v>150</v>
      </c>
      <c r="CN107">
        <v>340</v>
      </c>
      <c r="CO107">
        <v>13.969494518112711</v>
      </c>
      <c r="CP107">
        <v>-0.16656000000000001</v>
      </c>
      <c r="CQ107">
        <v>-0.50527714046805072</v>
      </c>
      <c r="CR107">
        <v>5.6182352554444632</v>
      </c>
      <c r="CS107" s="107">
        <f>INDEX(Pipes_result_save_V1!$K$2:$K$206,MATCH(CH107,Pipes_result_save_V1!$I$2:$I$206,0)) *POWER(10,-3)</f>
        <v>-5.8021972656250004E-2</v>
      </c>
      <c r="CT107" s="78">
        <v>6.12795826848829E-3</v>
      </c>
      <c r="CU107" s="78">
        <f t="shared" si="13"/>
        <v>-5.1894014387761714E-2</v>
      </c>
      <c r="CY107">
        <v>0</v>
      </c>
      <c r="CZ107">
        <v>15</v>
      </c>
      <c r="DA107" t="s">
        <v>539</v>
      </c>
      <c r="DB107" t="s">
        <v>142</v>
      </c>
      <c r="DC107" s="106" t="str">
        <f>INDEX(Pipes_result_save_V1!$G$2:$G$206,MATCH(DB107,Pipes_result_save_V1!$I$2:$I$206,0))</f>
        <v>N27</v>
      </c>
      <c r="DD107" s="106" t="str">
        <f>INDEX(Pipes_result_save_V1!$H$2:$H$206,MATCH(DB107,Pipes_result_save_V1!$I$2:$I$206,0))</f>
        <v>N26</v>
      </c>
      <c r="DE107">
        <v>0.16656000000000001</v>
      </c>
      <c r="DF107">
        <v>466</v>
      </c>
      <c r="DG107">
        <v>150</v>
      </c>
      <c r="DH107">
        <v>76</v>
      </c>
      <c r="DI107">
        <v>3.1225928922840178</v>
      </c>
      <c r="DJ107">
        <v>0.16656000000000001</v>
      </c>
      <c r="DK107">
        <v>0.11294430198697604</v>
      </c>
      <c r="DL107">
        <v>1.255840821805233</v>
      </c>
      <c r="DM107" s="107">
        <f>INDEX(Pipes_result_save_V1!$K$2:$K$206,MATCH(DB107,Pipes_result_save_V1!$I$2:$I$206,0)) *POWER(10,-3)</f>
        <v>-0.2002795562744141</v>
      </c>
      <c r="DN107" s="78">
        <v>5.575510199414305E-3</v>
      </c>
      <c r="DO107" s="78">
        <f t="shared" si="14"/>
        <v>-0.1947040460749998</v>
      </c>
      <c r="DT107">
        <v>0</v>
      </c>
      <c r="DU107">
        <v>15</v>
      </c>
      <c r="DV107" t="s">
        <v>539</v>
      </c>
      <c r="DW107" t="s">
        <v>156</v>
      </c>
      <c r="DX107" s="106" t="str">
        <f>INDEX(Pipes_result_save_V1!$G$2:$G$206,MATCH(DW107,Pipes_result_save_V1!$I$2:$I$206,0))</f>
        <v>N14</v>
      </c>
      <c r="DY107" s="106" t="str">
        <f>INDEX(Pipes_result_save_V1!$H$2:$H$206,MATCH(DW107,Pipes_result_save_V1!$I$2:$I$206,0))</f>
        <v>N13</v>
      </c>
      <c r="DZ107">
        <v>8.3280000000000007E-2</v>
      </c>
      <c r="EA107">
        <v>350</v>
      </c>
      <c r="EB107">
        <v>150</v>
      </c>
      <c r="EC107">
        <v>345</v>
      </c>
      <c r="ED107">
        <v>57.157500100672543</v>
      </c>
      <c r="EE107">
        <v>8.3280000000000007E-2</v>
      </c>
      <c r="EF107">
        <v>0.57268345018902367</v>
      </c>
      <c r="EG107">
        <v>12.735467696326513</v>
      </c>
      <c r="EH107" s="107">
        <f>INDEX(Pipes_result_save_V1!$K$2:$K$206,MATCH(DW107,Pipes_result_save_V1!$I$2:$I$206,0)) *POWER(10,-3)</f>
        <v>-1.3583112716674799E-2</v>
      </c>
      <c r="EI107" s="78">
        <v>5.933558518219288E-3</v>
      </c>
      <c r="EJ107" s="78">
        <f t="shared" si="15"/>
        <v>-7.649554198455511E-3</v>
      </c>
    </row>
    <row r="108" spans="2:140" ht="30" x14ac:dyDescent="0.25">
      <c r="B108" s="106">
        <v>16</v>
      </c>
      <c r="C108" s="106" t="s">
        <v>539</v>
      </c>
      <c r="D108" s="106" t="s">
        <v>212</v>
      </c>
      <c r="E108" s="106" t="str">
        <f>INDEX(Pipes_result_save_V1!$G$2:$G$206,MATCH(D108,Pipes_result_save_V1!$I$2:$I$206,0))</f>
        <v>N98</v>
      </c>
      <c r="F108" s="106" t="str">
        <f>INDEX(Pipes_result_save_V1!$H$2:$H$206,MATCH(D108,Pipes_result_save_V1!$I$2:$I$206,0))</f>
        <v>N99</v>
      </c>
      <c r="G108" s="106">
        <v>0.13800000000000001</v>
      </c>
      <c r="H108" s="107">
        <v>421</v>
      </c>
      <c r="I108" s="107">
        <v>150</v>
      </c>
      <c r="J108" s="107">
        <v>138</v>
      </c>
      <c r="K108" s="107">
        <v>9.2984502615965194</v>
      </c>
      <c r="L108" s="107">
        <v>0.13800000000000001</v>
      </c>
      <c r="M108" s="107">
        <v>0.2373923066502179</v>
      </c>
      <c r="N108" s="107">
        <v>3.1858735646101701</v>
      </c>
      <c r="O108" s="107">
        <f>INDEX(Pipes_result_save_V1!$K$2:$K$206,MATCH(D108,Pipes_result_save_V1!$I$2:$I$206,0)) *POWER(10,-3)</f>
        <v>5.0803762674331667E-4</v>
      </c>
      <c r="P108" s="78">
        <v>6.5780253695368633E-3</v>
      </c>
      <c r="Q108" s="78">
        <f t="shared" si="9"/>
        <v>-6.0699877427935469E-3</v>
      </c>
      <c r="R108" s="78"/>
      <c r="S108" s="78"/>
      <c r="T108" s="78">
        <v>0</v>
      </c>
      <c r="U108" s="78">
        <v>16</v>
      </c>
      <c r="V108" s="78" t="s">
        <v>540</v>
      </c>
      <c r="W108" s="78" t="s">
        <v>301</v>
      </c>
      <c r="X108" s="106" t="str">
        <f>INDEX(Pipes_result_save_V1!$G$2:$G$206,MATCH(W108,Pipes_result_save_V1!$I$2:$I$206,0))</f>
        <v>N137</v>
      </c>
      <c r="Y108" s="106" t="str">
        <f>INDEX(Pipes_result_save_V1!$H$2:$H$206,MATCH(W108,Pipes_result_save_V1!$I$2:$I$206,0))</f>
        <v>N138</v>
      </c>
      <c r="Z108" s="78">
        <v>5.8057999999999998E-2</v>
      </c>
      <c r="AA108" s="78">
        <v>300</v>
      </c>
      <c r="AB108" s="78">
        <v>150</v>
      </c>
      <c r="AC108" s="78">
        <v>315</v>
      </c>
      <c r="AD108" s="78">
        <v>110.57641276675531</v>
      </c>
      <c r="AE108" s="78">
        <v>-5.8057999999999998E-2</v>
      </c>
      <c r="AF108" s="78">
        <v>0</v>
      </c>
      <c r="AG108" s="78">
        <v>0</v>
      </c>
      <c r="AH108" s="78">
        <v>-0.56798262739230165</v>
      </c>
      <c r="AI108">
        <v>18.118154706165267</v>
      </c>
      <c r="AJ108" s="107">
        <f>INDEX(Pipes_result_save_V1!$K$2:$K$206,MATCH(W108,Pipes_result_save_V1!$I$2:$I$206,0)) *POWER(10,-3)</f>
        <v>2.4804183959960941E-2</v>
      </c>
      <c r="AK108" s="78">
        <v>4.2147937106030526E-3</v>
      </c>
      <c r="AL108" s="78">
        <f t="shared" si="10"/>
        <v>2.0589390249357888E-2</v>
      </c>
      <c r="AP108">
        <v>0</v>
      </c>
      <c r="AQ108">
        <v>16</v>
      </c>
      <c r="AR108" t="s">
        <v>540</v>
      </c>
      <c r="AS108" t="s">
        <v>276</v>
      </c>
      <c r="AT108" s="106" t="str">
        <f>INDEX(Pipes_result_save_V1!$G$2:$G$206,MATCH(AS108,Pipes_result_save_V1!$I$2:$I$206,0))</f>
        <v>N115</v>
      </c>
      <c r="AU108" s="106" t="str">
        <f>INDEX(Pipes_result_save_V1!$H$2:$H$206,MATCH(AS108,Pipes_result_save_V1!$I$2:$I$206,0))</f>
        <v>N114</v>
      </c>
      <c r="AV108">
        <v>3.2837000000000005E-2</v>
      </c>
      <c r="AW108">
        <v>250</v>
      </c>
      <c r="AX108">
        <v>150</v>
      </c>
      <c r="AY108">
        <v>114</v>
      </c>
      <c r="AZ108">
        <v>97.263220133202225</v>
      </c>
      <c r="BA108">
        <v>-3.2837000000000005E-2</v>
      </c>
      <c r="BB108">
        <v>-0.17388166725969104</v>
      </c>
      <c r="BC108">
        <v>9.8068900254270428</v>
      </c>
      <c r="BD108" s="107">
        <f>INDEX(Pipes_result_save_V1!$K$2:$K$206,MATCH(AS108,Pipes_result_save_V1!$I$2:$I$206,0)) *POWER(10,-3)</f>
        <v>-1.935805678367615E-3</v>
      </c>
      <c r="BE108" s="78">
        <v>6.1925185279414026E-3</v>
      </c>
      <c r="BF108" s="78">
        <f t="shared" si="11"/>
        <v>4.2567128495737874E-3</v>
      </c>
      <c r="BJ108">
        <v>0</v>
      </c>
      <c r="BK108">
        <v>16</v>
      </c>
      <c r="BL108" t="s">
        <v>539</v>
      </c>
      <c r="BM108" t="s">
        <v>120</v>
      </c>
      <c r="BN108" s="106" t="str">
        <f>INDEX(Pipes_result_save_V1!$G$2:$G$206,MATCH(BM108,Pipes_result_save_V1!$I$2:$I$206,0))</f>
        <v>N66</v>
      </c>
      <c r="BO108" s="106" t="str">
        <f>INDEX(Pipes_result_save_V1!$H$2:$H$206,MATCH(BM108,Pipes_result_save_V1!$I$2:$I$206,0))</f>
        <v>N65</v>
      </c>
      <c r="BP108">
        <v>3.2837000000000005E-2</v>
      </c>
      <c r="BQ108">
        <v>250</v>
      </c>
      <c r="BR108">
        <v>150</v>
      </c>
      <c r="BS108">
        <v>65</v>
      </c>
      <c r="BT108">
        <v>55.457099198755657</v>
      </c>
      <c r="BU108">
        <v>3.2837000000000005E-2</v>
      </c>
      <c r="BV108">
        <v>9.9143055893683496E-2</v>
      </c>
      <c r="BW108">
        <v>5.5916478215154193</v>
      </c>
      <c r="BX108" s="107">
        <f>INDEX(Pipes_result_save_V1!$K$2:$K$206,MATCH(BM108,Pipes_result_save_V1!$I$2:$I$206,0)) *POWER(10,-3)</f>
        <v>-1.8941926956176761E-2</v>
      </c>
      <c r="BY108" s="78">
        <v>5.4533404730918549E-3</v>
      </c>
      <c r="BZ108" s="78">
        <f t="shared" si="12"/>
        <v>-1.3488586483084906E-2</v>
      </c>
      <c r="CE108">
        <v>0</v>
      </c>
      <c r="CF108">
        <v>16</v>
      </c>
      <c r="CG108" t="s">
        <v>539</v>
      </c>
      <c r="CH108" t="s">
        <v>167</v>
      </c>
      <c r="CI108" s="106" t="str">
        <f>INDEX(Pipes_result_save_V1!$G$2:$G$206,MATCH(CH108,Pipes_result_save_V1!$I$2:$I$206,0))</f>
        <v>N45</v>
      </c>
      <c r="CJ108" s="106" t="str">
        <f>INDEX(Pipes_result_save_V1!$H$2:$H$206,MATCH(CH108,Pipes_result_save_V1!$I$2:$I$206,0))</f>
        <v>N44</v>
      </c>
      <c r="CK108">
        <v>0.16656000000000001</v>
      </c>
      <c r="CL108">
        <v>466</v>
      </c>
      <c r="CM108">
        <v>150</v>
      </c>
      <c r="CN108">
        <v>205</v>
      </c>
      <c r="CO108">
        <v>8.4227834594503115</v>
      </c>
      <c r="CP108">
        <v>0.16656000000000001</v>
      </c>
      <c r="CQ108">
        <v>0.30465239351750117</v>
      </c>
      <c r="CR108">
        <v>3.3874653746062209</v>
      </c>
      <c r="CS108" s="107">
        <f>INDEX(Pipes_result_save_V1!$K$2:$K$206,MATCH(CH108,Pipes_result_save_V1!$I$2:$I$206,0)) *POWER(10,-3)</f>
        <v>-5.4912445068359385E-2</v>
      </c>
      <c r="CT108" s="78">
        <v>5.6931941318149638E-3</v>
      </c>
      <c r="CU108" s="78">
        <f t="shared" si="13"/>
        <v>-4.9219250936544418E-2</v>
      </c>
      <c r="CY108">
        <v>0</v>
      </c>
      <c r="CZ108">
        <v>16</v>
      </c>
      <c r="DA108" t="s">
        <v>539</v>
      </c>
      <c r="DB108" t="s">
        <v>143</v>
      </c>
      <c r="DC108" s="106" t="str">
        <f>INDEX(Pipes_result_save_V1!$G$2:$G$206,MATCH(DB108,Pipes_result_save_V1!$I$2:$I$206,0))</f>
        <v>N28</v>
      </c>
      <c r="DD108" s="106" t="str">
        <f>INDEX(Pipes_result_save_V1!$H$2:$H$206,MATCH(DB108,Pipes_result_save_V1!$I$2:$I$206,0))</f>
        <v>N27</v>
      </c>
      <c r="DE108">
        <v>0.16656000000000001</v>
      </c>
      <c r="DF108">
        <v>466</v>
      </c>
      <c r="DG108">
        <v>150</v>
      </c>
      <c r="DH108">
        <v>80</v>
      </c>
      <c r="DI108">
        <v>3.2869398866147552</v>
      </c>
      <c r="DJ108">
        <v>0.16656000000000001</v>
      </c>
      <c r="DK108">
        <v>0.11888873893365898</v>
      </c>
      <c r="DL108">
        <v>1.3219377071634029</v>
      </c>
      <c r="DM108" s="107">
        <f>INDEX(Pipes_result_save_V1!$K$2:$K$206,MATCH(DB108,Pipes_result_save_V1!$I$2:$I$206,0)) *POWER(10,-3)</f>
        <v>-0.19938948059082032</v>
      </c>
      <c r="DN108" s="78">
        <v>6.5576107033999739E-3</v>
      </c>
      <c r="DO108" s="78">
        <f t="shared" si="14"/>
        <v>-0.19283186988742035</v>
      </c>
      <c r="DT108">
        <v>0</v>
      </c>
      <c r="DU108">
        <v>16</v>
      </c>
      <c r="DV108" t="s">
        <v>539</v>
      </c>
      <c r="DW108" t="s">
        <v>155</v>
      </c>
      <c r="DX108" s="106" t="str">
        <f>INDEX(Pipes_result_save_V1!$G$2:$G$206,MATCH(DW108,Pipes_result_save_V1!$I$2:$I$206,0))</f>
        <v>N15</v>
      </c>
      <c r="DY108" s="106" t="str">
        <f>INDEX(Pipes_result_save_V1!$H$2:$H$206,MATCH(DW108,Pipes_result_save_V1!$I$2:$I$206,0))</f>
        <v>N14</v>
      </c>
      <c r="DZ108">
        <v>8.3280000000000007E-2</v>
      </c>
      <c r="EA108">
        <v>350</v>
      </c>
      <c r="EB108">
        <v>150</v>
      </c>
      <c r="EC108">
        <v>795</v>
      </c>
      <c r="ED108">
        <v>131.71076110154976</v>
      </c>
      <c r="EE108">
        <v>8.3280000000000007E-2</v>
      </c>
      <c r="EF108">
        <v>1.3196618634790545</v>
      </c>
      <c r="EG108">
        <v>29.346947300230656</v>
      </c>
      <c r="EH108" s="107">
        <f>INDEX(Pipes_result_save_V1!$K$2:$K$206,MATCH(DW108,Pipes_result_save_V1!$I$2:$I$206,0)) *POWER(10,-3)</f>
        <v>-7.0787868499755857E-3</v>
      </c>
      <c r="EI108" s="78">
        <v>6.191936284247081E-3</v>
      </c>
      <c r="EJ108" s="78">
        <f t="shared" si="15"/>
        <v>-8.8685056572850463E-4</v>
      </c>
    </row>
    <row r="109" spans="2:140" ht="30" x14ac:dyDescent="0.25">
      <c r="B109" s="106">
        <v>17</v>
      </c>
      <c r="C109" s="106" t="s">
        <v>540</v>
      </c>
      <c r="D109" s="106" t="s">
        <v>426</v>
      </c>
      <c r="E109" s="106" t="str">
        <f>INDEX(Pipes_result_save_V1!$G$2:$G$206,MATCH(D109,Pipes_result_save_V1!$I$2:$I$206,0))</f>
        <v>N99</v>
      </c>
      <c r="F109" s="106" t="str">
        <f>INDEX(Pipes_result_save_V1!$H$2:$H$206,MATCH(D109,Pipes_result_save_V1!$I$2:$I$206,0))</f>
        <v>N194</v>
      </c>
      <c r="G109" s="106">
        <v>0.184</v>
      </c>
      <c r="H109" s="107">
        <v>565</v>
      </c>
      <c r="I109" s="107">
        <v>150</v>
      </c>
      <c r="J109" s="107">
        <v>184</v>
      </c>
      <c r="K109" s="107">
        <v>2.9580084372668733</v>
      </c>
      <c r="L109" s="107">
        <v>-0.184</v>
      </c>
      <c r="M109" s="107">
        <v>-0.12865954661016527</v>
      </c>
      <c r="N109" s="107">
        <v>1.2949863060979676</v>
      </c>
      <c r="O109" s="107">
        <f>INDEX(Pipes_result_save_V1!$K$2:$K$206,MATCH(D109,Pipes_result_save_V1!$I$2:$I$206,0)) *POWER(10,-3)</f>
        <v>-9.0544853210449226E-3</v>
      </c>
      <c r="P109" s="78">
        <v>6.5247330238857384E-3</v>
      </c>
      <c r="Q109" s="78">
        <f t="shared" si="9"/>
        <v>-2.5297522971591841E-3</v>
      </c>
      <c r="R109" s="78"/>
      <c r="S109" s="78"/>
      <c r="T109" s="78">
        <v>0</v>
      </c>
      <c r="U109" s="78">
        <v>17</v>
      </c>
      <c r="V109" s="78" t="s">
        <v>540</v>
      </c>
      <c r="W109" s="78" t="s">
        <v>302</v>
      </c>
      <c r="X109" s="106" t="str">
        <f>INDEX(Pipes_result_save_V1!$G$2:$G$206,MATCH(W109,Pipes_result_save_V1!$I$2:$I$206,0))</f>
        <v>N138</v>
      </c>
      <c r="Y109" s="106" t="str">
        <f>INDEX(Pipes_result_save_V1!$H$2:$H$206,MATCH(W109,Pipes_result_save_V1!$I$2:$I$206,0))</f>
        <v>N139</v>
      </c>
      <c r="Z109" s="78">
        <v>5.8057999999999998E-2</v>
      </c>
      <c r="AA109" s="78">
        <v>300</v>
      </c>
      <c r="AB109" s="78">
        <v>150</v>
      </c>
      <c r="AC109" s="78">
        <v>270</v>
      </c>
      <c r="AD109" s="78">
        <v>94.779782371504538</v>
      </c>
      <c r="AE109" s="78">
        <v>-5.8057999999999998E-2</v>
      </c>
      <c r="AF109" s="78">
        <v>0</v>
      </c>
      <c r="AG109" s="78">
        <v>0</v>
      </c>
      <c r="AH109" s="78">
        <v>-0.48684225205054421</v>
      </c>
      <c r="AI109">
        <v>15.529846890998799</v>
      </c>
      <c r="AJ109" s="107">
        <f>INDEX(Pipes_result_save_V1!$K$2:$K$206,MATCH(W109,Pipes_result_save_V1!$I$2:$I$206,0)) *POWER(10,-3)</f>
        <v>2.146643829345703E-2</v>
      </c>
      <c r="AK109" s="78">
        <v>2.5596503864963854E-4</v>
      </c>
      <c r="AL109" s="78">
        <f t="shared" si="10"/>
        <v>2.1210473254807391E-2</v>
      </c>
      <c r="AP109">
        <v>0</v>
      </c>
      <c r="AQ109">
        <v>17</v>
      </c>
      <c r="AR109" t="s">
        <v>540</v>
      </c>
      <c r="AS109" t="s">
        <v>316</v>
      </c>
      <c r="AT109" s="106" t="str">
        <f>INDEX(Pipes_result_save_V1!$G$2:$G$206,MATCH(AS109,Pipes_result_save_V1!$I$2:$I$206,0))</f>
        <v>N116</v>
      </c>
      <c r="AU109" s="106" t="str">
        <f>INDEX(Pipes_result_save_V1!$H$2:$H$206,MATCH(AS109,Pipes_result_save_V1!$I$2:$I$206,0))</f>
        <v>N115</v>
      </c>
      <c r="AV109">
        <v>3.2837000000000005E-2</v>
      </c>
      <c r="AW109">
        <v>250</v>
      </c>
      <c r="AX109">
        <v>150</v>
      </c>
      <c r="AY109">
        <v>115</v>
      </c>
      <c r="AZ109">
        <v>98.116406274721555</v>
      </c>
      <c r="BA109">
        <v>-3.2837000000000005E-2</v>
      </c>
      <c r="BB109">
        <v>-0.17540694504267082</v>
      </c>
      <c r="BC109">
        <v>9.8929153765272808</v>
      </c>
      <c r="BD109" s="107">
        <f>INDEX(Pipes_result_save_V1!$K$2:$K$206,MATCH(AS109,Pipes_result_save_V1!$I$2:$I$206,0)) *POWER(10,-3)</f>
        <v>-2.1272979676723481E-4</v>
      </c>
      <c r="BE109" s="78">
        <v>5.124979025131907E-3</v>
      </c>
      <c r="BF109" s="78">
        <f t="shared" si="11"/>
        <v>4.9122492283646723E-3</v>
      </c>
      <c r="BJ109">
        <v>0</v>
      </c>
      <c r="BK109">
        <v>17</v>
      </c>
      <c r="BL109" t="s">
        <v>539</v>
      </c>
      <c r="BM109" t="s">
        <v>118</v>
      </c>
      <c r="BN109" s="106" t="str">
        <f>INDEX(Pipes_result_save_V1!$G$2:$G$206,MATCH(BM109,Pipes_result_save_V1!$I$2:$I$206,0))</f>
        <v>N67</v>
      </c>
      <c r="BO109" s="106" t="str">
        <f>INDEX(Pipes_result_save_V1!$H$2:$H$206,MATCH(BM109,Pipes_result_save_V1!$I$2:$I$206,0))</f>
        <v>N66</v>
      </c>
      <c r="BP109">
        <v>3.2837000000000005E-2</v>
      </c>
      <c r="BQ109">
        <v>250</v>
      </c>
      <c r="BR109">
        <v>150</v>
      </c>
      <c r="BS109">
        <v>45</v>
      </c>
      <c r="BT109">
        <v>38.393376368369303</v>
      </c>
      <c r="BU109">
        <v>3.2837000000000005E-2</v>
      </c>
      <c r="BV109">
        <v>6.8637500234088572E-2</v>
      </c>
      <c r="BW109">
        <v>3.871140799510675</v>
      </c>
      <c r="BX109" s="107">
        <f>INDEX(Pipes_result_save_V1!$K$2:$K$206,MATCH(BM109,Pipes_result_save_V1!$I$2:$I$206,0)) *POWER(10,-3)</f>
        <v>-1.8314315795898442E-2</v>
      </c>
      <c r="BY109" s="78">
        <v>5.1194798104476809E-3</v>
      </c>
      <c r="BZ109" s="78">
        <f t="shared" si="12"/>
        <v>-1.3194835985450761E-2</v>
      </c>
      <c r="CE109">
        <v>0</v>
      </c>
      <c r="CF109">
        <v>17</v>
      </c>
      <c r="CG109" t="s">
        <v>539</v>
      </c>
      <c r="CH109" t="s">
        <v>166</v>
      </c>
      <c r="CI109" s="106" t="str">
        <f>INDEX(Pipes_result_save_V1!$G$2:$G$206,MATCH(CH109,Pipes_result_save_V1!$I$2:$I$206,0))</f>
        <v>N46</v>
      </c>
      <c r="CJ109" s="106" t="str">
        <f>INDEX(Pipes_result_save_V1!$H$2:$H$206,MATCH(CH109,Pipes_result_save_V1!$I$2:$I$206,0))</f>
        <v>N45</v>
      </c>
      <c r="CK109">
        <v>0.16656000000000001</v>
      </c>
      <c r="CL109">
        <v>466</v>
      </c>
      <c r="CM109">
        <v>150</v>
      </c>
      <c r="CN109">
        <v>196</v>
      </c>
      <c r="CO109">
        <v>8.0530027222061502</v>
      </c>
      <c r="CP109">
        <v>0.16656000000000001</v>
      </c>
      <c r="CQ109">
        <v>0.29127741038746446</v>
      </c>
      <c r="CR109">
        <v>3.2387473825503372</v>
      </c>
      <c r="CS109" s="107">
        <f>INDEX(Pipes_result_save_V1!$K$2:$K$206,MATCH(CH109,Pipes_result_save_V1!$I$2:$I$206,0)) *POWER(10,-3)</f>
        <v>-5.2624523162841795E-2</v>
      </c>
      <c r="CT109" s="78">
        <v>6.3249656174210094E-3</v>
      </c>
      <c r="CU109" s="78">
        <f t="shared" si="13"/>
        <v>-4.6299557545420783E-2</v>
      </c>
      <c r="CY109">
        <v>0</v>
      </c>
      <c r="CZ109">
        <v>17</v>
      </c>
      <c r="DA109" t="s">
        <v>539</v>
      </c>
      <c r="DB109" t="s">
        <v>398</v>
      </c>
      <c r="DC109" s="106" t="str">
        <f>INDEX(Pipes_result_save_V1!$G$2:$G$206,MATCH(DB109,Pipes_result_save_V1!$I$2:$I$206,0))</f>
        <v>N196</v>
      </c>
      <c r="DD109" s="106" t="str">
        <f>INDEX(Pipes_result_save_V1!$H$2:$H$206,MATCH(DB109,Pipes_result_save_V1!$I$2:$I$206,0))</f>
        <v>N28</v>
      </c>
      <c r="DE109">
        <v>0.16656000000000001</v>
      </c>
      <c r="DF109">
        <v>466</v>
      </c>
      <c r="DG109">
        <v>150</v>
      </c>
      <c r="DH109">
        <v>75</v>
      </c>
      <c r="DI109">
        <v>3.0815061437013331</v>
      </c>
      <c r="DJ109">
        <v>0.16656000000000001</v>
      </c>
      <c r="DK109">
        <v>0.11145819275030529</v>
      </c>
      <c r="DL109">
        <v>1.2393166004656904</v>
      </c>
      <c r="DM109" s="107">
        <f>INDEX(Pipes_result_save_V1!$K$2:$K$206,MATCH(DB109,Pipes_result_save_V1!$I$2:$I$206,0)) *POWER(10,-3)</f>
        <v>-0.198505126953125</v>
      </c>
      <c r="DN109" s="78">
        <v>5.1676600694270085E-3</v>
      </c>
      <c r="DO109" s="78">
        <f t="shared" si="14"/>
        <v>-0.19333746688369799</v>
      </c>
      <c r="DT109">
        <v>0</v>
      </c>
      <c r="DU109">
        <v>17</v>
      </c>
      <c r="DV109" t="s">
        <v>539</v>
      </c>
      <c r="DW109" t="s">
        <v>154</v>
      </c>
      <c r="DX109" s="106" t="str">
        <f>INDEX(Pipes_result_save_V1!$G$2:$G$206,MATCH(DW109,Pipes_result_save_V1!$I$2:$I$206,0))</f>
        <v>N16</v>
      </c>
      <c r="DY109" s="106" t="str">
        <f>INDEX(Pipes_result_save_V1!$H$2:$H$206,MATCH(DW109,Pipes_result_save_V1!$I$2:$I$206,0))</f>
        <v>N15</v>
      </c>
      <c r="DZ109">
        <v>8.3280000000000007E-2</v>
      </c>
      <c r="EA109">
        <v>350</v>
      </c>
      <c r="EB109">
        <v>150</v>
      </c>
      <c r="EC109">
        <v>496</v>
      </c>
      <c r="ED109">
        <v>82.174261014300242</v>
      </c>
      <c r="EE109">
        <v>8.3280000000000007E-2</v>
      </c>
      <c r="EF109">
        <v>0.82333620664856744</v>
      </c>
      <c r="EG109">
        <v>18.30954196341435</v>
      </c>
      <c r="EH109" s="107">
        <f>INDEX(Pipes_result_save_V1!$K$2:$K$206,MATCH(DW109,Pipes_result_save_V1!$I$2:$I$206,0)) *POWER(10,-3)</f>
        <v>2.8707671165466308E-4</v>
      </c>
      <c r="EI109" s="78">
        <v>5.607299923040111E-3</v>
      </c>
      <c r="EJ109" s="78">
        <f t="shared" si="15"/>
        <v>-5.320223211385448E-3</v>
      </c>
    </row>
    <row r="110" spans="2:140" ht="30" x14ac:dyDescent="0.25">
      <c r="B110" s="106">
        <v>18</v>
      </c>
      <c r="C110" s="106" t="s">
        <v>539</v>
      </c>
      <c r="D110" s="106" t="s">
        <v>211</v>
      </c>
      <c r="E110" s="106" t="str">
        <f>INDEX(Pipes_result_save_V1!$G$2:$G$206,MATCH(D110,Pipes_result_save_V1!$I$2:$I$206,0))</f>
        <v>N100</v>
      </c>
      <c r="F110" s="106" t="str">
        <f>INDEX(Pipes_result_save_V1!$H$2:$H$206,MATCH(D110,Pipes_result_save_V1!$I$2:$I$206,0))</f>
        <v>N99</v>
      </c>
      <c r="G110" s="106">
        <v>0.28899999999999998</v>
      </c>
      <c r="H110" s="107">
        <v>700</v>
      </c>
      <c r="I110" s="107">
        <v>150</v>
      </c>
      <c r="J110" s="107">
        <v>289</v>
      </c>
      <c r="K110" s="107">
        <v>1.6361942593429444</v>
      </c>
      <c r="L110" s="107">
        <v>0.28899999999999998</v>
      </c>
      <c r="M110" s="107">
        <v>0.16421683189371203</v>
      </c>
      <c r="N110" s="107">
        <v>1.0523514625161059</v>
      </c>
      <c r="O110" s="107">
        <f>INDEX(Pipes_result_save_V1!$K$2:$K$206,MATCH(D110,Pipes_result_save_V1!$I$2:$I$206,0)) *POWER(10,-3)</f>
        <v>-6.0764317512512211E-3</v>
      </c>
      <c r="P110" s="78">
        <v>5.7259074957591869E-3</v>
      </c>
      <c r="Q110" s="78">
        <f t="shared" si="9"/>
        <v>-3.5052425549203427E-4</v>
      </c>
      <c r="R110" s="78"/>
      <c r="S110" s="78"/>
      <c r="T110" s="78">
        <v>0</v>
      </c>
      <c r="U110" s="78">
        <v>18</v>
      </c>
      <c r="V110" s="78" t="s">
        <v>540</v>
      </c>
      <c r="W110" s="78" t="s">
        <v>303</v>
      </c>
      <c r="X110" s="106" t="str">
        <f>INDEX(Pipes_result_save_V1!$G$2:$G$206,MATCH(W110,Pipes_result_save_V1!$I$2:$I$206,0))</f>
        <v>N139</v>
      </c>
      <c r="Y110" s="106" t="str">
        <f>INDEX(Pipes_result_save_V1!$H$2:$H$206,MATCH(W110,Pipes_result_save_V1!$I$2:$I$206,0))</f>
        <v>N140</v>
      </c>
      <c r="Z110" s="78">
        <v>5.8057999999999998E-2</v>
      </c>
      <c r="AA110" s="78">
        <v>300</v>
      </c>
      <c r="AB110" s="78">
        <v>150</v>
      </c>
      <c r="AC110" s="78">
        <v>180</v>
      </c>
      <c r="AD110" s="78">
        <v>63.186521581003028</v>
      </c>
      <c r="AE110" s="78">
        <v>-5.8057999999999998E-2</v>
      </c>
      <c r="AF110" s="78">
        <v>0</v>
      </c>
      <c r="AG110" s="78">
        <v>0</v>
      </c>
      <c r="AH110" s="78">
        <v>-0.32456150136702949</v>
      </c>
      <c r="AI110">
        <v>10.353231260665867</v>
      </c>
      <c r="AJ110" s="107">
        <f>INDEX(Pipes_result_save_V1!$K$2:$K$206,MATCH(W110,Pipes_result_save_V1!$I$2:$I$206,0)) *POWER(10,-3)</f>
        <v>1.8898941040039058E-2</v>
      </c>
      <c r="AK110" s="78">
        <v>3.3091231072184331E-3</v>
      </c>
      <c r="AL110" s="78">
        <f t="shared" si="10"/>
        <v>1.5589817932820625E-2</v>
      </c>
      <c r="AP110">
        <v>0</v>
      </c>
      <c r="AQ110">
        <v>18</v>
      </c>
      <c r="AR110" t="s">
        <v>540</v>
      </c>
      <c r="AS110" t="s">
        <v>412</v>
      </c>
      <c r="AT110" s="106" t="str">
        <f>INDEX(Pipes_result_save_V1!$G$2:$G$206,MATCH(AS110,Pipes_result_save_V1!$I$2:$I$206,0))</f>
        <v>N195</v>
      </c>
      <c r="AU110" s="106" t="str">
        <f>INDEX(Pipes_result_save_V1!$H$2:$H$206,MATCH(AS110,Pipes_result_save_V1!$I$2:$I$206,0))</f>
        <v>N116</v>
      </c>
      <c r="AV110">
        <v>3.2837000000000005E-2</v>
      </c>
      <c r="AW110">
        <v>250</v>
      </c>
      <c r="AX110">
        <v>150</v>
      </c>
      <c r="AY110">
        <v>116</v>
      </c>
      <c r="AZ110">
        <v>98.969592416240872</v>
      </c>
      <c r="BA110">
        <v>-3.2837000000000005E-2</v>
      </c>
      <c r="BB110">
        <v>-0.17693222282565055</v>
      </c>
      <c r="BC110">
        <v>9.978940727627517</v>
      </c>
      <c r="BD110" s="107">
        <f>INDEX(Pipes_result_save_V1!$K$2:$K$206,MATCH(AS110,Pipes_result_save_V1!$I$2:$I$206,0)) *POWER(10,-3)</f>
        <v>5.689303874969482E-4</v>
      </c>
      <c r="BE110" s="78">
        <v>5.5553925534145045E-3</v>
      </c>
      <c r="BF110" s="78">
        <f t="shared" si="11"/>
        <v>-4.9864621659175563E-3</v>
      </c>
      <c r="BJ110">
        <v>0</v>
      </c>
      <c r="BK110">
        <v>18</v>
      </c>
      <c r="BL110" t="s">
        <v>539</v>
      </c>
      <c r="BM110" t="s">
        <v>117</v>
      </c>
      <c r="BN110" s="106" t="str">
        <f>INDEX(Pipes_result_save_V1!$G$2:$G$206,MATCH(BM110,Pipes_result_save_V1!$I$2:$I$206,0))</f>
        <v>N68</v>
      </c>
      <c r="BO110" s="106" t="str">
        <f>INDEX(Pipes_result_save_V1!$H$2:$H$206,MATCH(BM110,Pipes_result_save_V1!$I$2:$I$206,0))</f>
        <v>N67</v>
      </c>
      <c r="BP110">
        <v>3.2837000000000005E-2</v>
      </c>
      <c r="BQ110">
        <v>250</v>
      </c>
      <c r="BR110">
        <v>150</v>
      </c>
      <c r="BS110">
        <v>100</v>
      </c>
      <c r="BT110">
        <v>85.318614151931783</v>
      </c>
      <c r="BU110">
        <v>3.2837000000000005E-2</v>
      </c>
      <c r="BV110">
        <v>0.15252777829797462</v>
      </c>
      <c r="BW110">
        <v>8.6025351100237213</v>
      </c>
      <c r="BX110" s="107">
        <f>INDEX(Pipes_result_save_V1!$K$2:$K$206,MATCH(BM110,Pipes_result_save_V1!$I$2:$I$206,0)) *POWER(10,-3)</f>
        <v>-1.748701095581055E-2</v>
      </c>
      <c r="BY110" s="78">
        <v>5.8473319003270099E-3</v>
      </c>
      <c r="BZ110" s="78">
        <f t="shared" si="12"/>
        <v>-1.163967905548354E-2</v>
      </c>
      <c r="CE110">
        <v>0</v>
      </c>
      <c r="CF110">
        <v>18</v>
      </c>
      <c r="CG110" t="s">
        <v>539</v>
      </c>
      <c r="CH110" t="s">
        <v>165</v>
      </c>
      <c r="CI110" s="106" t="str">
        <f>INDEX(Pipes_result_save_V1!$G$2:$G$206,MATCH(CH110,Pipes_result_save_V1!$I$2:$I$206,0))</f>
        <v>N47</v>
      </c>
      <c r="CJ110" s="106" t="str">
        <f>INDEX(Pipes_result_save_V1!$H$2:$H$206,MATCH(CH110,Pipes_result_save_V1!$I$2:$I$206,0))</f>
        <v>N46</v>
      </c>
      <c r="CK110">
        <v>0.16656000000000001</v>
      </c>
      <c r="CL110">
        <v>466</v>
      </c>
      <c r="CM110">
        <v>150</v>
      </c>
      <c r="CN110">
        <v>275</v>
      </c>
      <c r="CO110">
        <v>11.298855860238222</v>
      </c>
      <c r="CP110">
        <v>0.16656000000000001</v>
      </c>
      <c r="CQ110">
        <v>0.40868004008445274</v>
      </c>
      <c r="CR110">
        <v>4.5441608683741981</v>
      </c>
      <c r="CS110" s="107">
        <f>INDEX(Pipes_result_save_V1!$K$2:$K$206,MATCH(CH110,Pipes_result_save_V1!$I$2:$I$206,0)) *POWER(10,-3)</f>
        <v>-4.9937206268310545E-2</v>
      </c>
      <c r="CT110" s="78">
        <v>5.0671622608914205E-3</v>
      </c>
      <c r="CU110" s="78">
        <f t="shared" si="13"/>
        <v>-4.4870044007419126E-2</v>
      </c>
      <c r="CY110">
        <v>0</v>
      </c>
      <c r="CZ110">
        <v>18</v>
      </c>
      <c r="DA110" t="s">
        <v>539</v>
      </c>
      <c r="DB110" t="s">
        <v>140</v>
      </c>
      <c r="DC110" s="106" t="str">
        <f>INDEX(Pipes_result_save_V1!$G$2:$G$206,MATCH(DB110,Pipes_result_save_V1!$I$2:$I$206,0))</f>
        <v>N30</v>
      </c>
      <c r="DD110" s="106" t="str">
        <f>INDEX(Pipes_result_save_V1!$H$2:$H$206,MATCH(DB110,Pipes_result_save_V1!$I$2:$I$206,0))</f>
        <v>N29</v>
      </c>
      <c r="DE110">
        <v>0.16656000000000001</v>
      </c>
      <c r="DF110">
        <v>466</v>
      </c>
      <c r="DG110">
        <v>150</v>
      </c>
      <c r="DH110">
        <v>76</v>
      </c>
      <c r="DI110">
        <v>3.1225928922840178</v>
      </c>
      <c r="DJ110">
        <v>0.16656000000000001</v>
      </c>
      <c r="DK110">
        <v>0.11294430198697604</v>
      </c>
      <c r="DL110">
        <v>1.255840821805233</v>
      </c>
      <c r="DM110" s="107">
        <f>INDEX(Pipes_result_save_V1!$K$2:$K$206,MATCH(DB110,Pipes_result_save_V1!$I$2:$I$206,0)) *POWER(10,-3)</f>
        <v>-0.19685621643066409</v>
      </c>
      <c r="DN110" s="78">
        <v>5.8515718255350326E-3</v>
      </c>
      <c r="DO110" s="78">
        <f t="shared" si="14"/>
        <v>-0.19100464460512906</v>
      </c>
      <c r="DT110">
        <v>0</v>
      </c>
      <c r="DU110">
        <v>18</v>
      </c>
      <c r="DV110" t="s">
        <v>539</v>
      </c>
      <c r="DW110" t="s">
        <v>153</v>
      </c>
      <c r="DX110" s="106" t="str">
        <f>INDEX(Pipes_result_save_V1!$G$2:$G$206,MATCH(DW110,Pipes_result_save_V1!$I$2:$I$206,0))</f>
        <v>N17</v>
      </c>
      <c r="DY110" s="106" t="str">
        <f>INDEX(Pipes_result_save_V1!$H$2:$H$206,MATCH(DW110,Pipes_result_save_V1!$I$2:$I$206,0))</f>
        <v>N16</v>
      </c>
      <c r="DZ110">
        <v>8.3280000000000007E-2</v>
      </c>
      <c r="EA110">
        <v>350</v>
      </c>
      <c r="EB110">
        <v>150</v>
      </c>
      <c r="EC110">
        <v>414</v>
      </c>
      <c r="ED110">
        <v>68.589000120807043</v>
      </c>
      <c r="EE110">
        <v>8.3280000000000007E-2</v>
      </c>
      <c r="EF110">
        <v>0.68722014022682831</v>
      </c>
      <c r="EG110">
        <v>15.282561235591812</v>
      </c>
      <c r="EH110" s="107">
        <f>INDEX(Pipes_result_save_V1!$K$2:$K$206,MATCH(DW110,Pipes_result_save_V1!$I$2:$I$206,0)) *POWER(10,-3)</f>
        <v>5.4791264533996581E-3</v>
      </c>
      <c r="EI110" s="78">
        <v>5.6390464012246611E-3</v>
      </c>
      <c r="EJ110" s="78">
        <f t="shared" si="15"/>
        <v>-1.5991994782500307E-4</v>
      </c>
    </row>
    <row r="111" spans="2:140" ht="30" x14ac:dyDescent="0.25">
      <c r="B111" s="106">
        <v>19</v>
      </c>
      <c r="C111" s="106" t="s">
        <v>539</v>
      </c>
      <c r="D111" s="106" t="s">
        <v>209</v>
      </c>
      <c r="E111" s="106" t="str">
        <f>INDEX(Pipes_result_save_V1!$G$2:$G$206,MATCH(D111,Pipes_result_save_V1!$I$2:$I$206,0))</f>
        <v>N101</v>
      </c>
      <c r="F111" s="106" t="str">
        <f>INDEX(Pipes_result_save_V1!$H$2:$H$206,MATCH(D111,Pipes_result_save_V1!$I$2:$I$206,0))</f>
        <v>N100</v>
      </c>
      <c r="G111" s="106">
        <v>0.153</v>
      </c>
      <c r="H111" s="107">
        <v>466</v>
      </c>
      <c r="I111" s="107">
        <v>150</v>
      </c>
      <c r="J111" s="107">
        <v>153</v>
      </c>
      <c r="K111" s="107">
        <v>6.2862725331507194</v>
      </c>
      <c r="L111" s="107">
        <v>0.153</v>
      </c>
      <c r="M111" s="107">
        <v>0.19428610209258285</v>
      </c>
      <c r="N111" s="107">
        <v>2.3517507259834214</v>
      </c>
      <c r="O111" s="107">
        <f>INDEX(Pipes_result_save_V1!$K$2:$K$206,MATCH(D111,Pipes_result_save_V1!$I$2:$I$206,0)) *POWER(10,-3)</f>
        <v>-3.5545794963836672E-3</v>
      </c>
      <c r="P111" s="78">
        <v>5.2890668299774395E-3</v>
      </c>
      <c r="Q111" s="78">
        <f t="shared" si="9"/>
        <v>1.7344873335937722E-3</v>
      </c>
      <c r="R111" s="78"/>
      <c r="S111" s="78"/>
      <c r="T111" s="78">
        <v>0</v>
      </c>
      <c r="U111" s="78">
        <v>19</v>
      </c>
      <c r="V111" s="78" t="s">
        <v>540</v>
      </c>
      <c r="W111" s="78" t="s">
        <v>304</v>
      </c>
      <c r="X111" s="106" t="str">
        <f>INDEX(Pipes_result_save_V1!$G$2:$G$206,MATCH(W111,Pipes_result_save_V1!$I$2:$I$206,0))</f>
        <v>N140</v>
      </c>
      <c r="Y111" s="106" t="str">
        <f>INDEX(Pipes_result_save_V1!$H$2:$H$206,MATCH(W111,Pipes_result_save_V1!$I$2:$I$206,0))</f>
        <v>N141</v>
      </c>
      <c r="Z111" s="78">
        <v>5.8057999999999998E-2</v>
      </c>
      <c r="AA111" s="78">
        <v>300</v>
      </c>
      <c r="AB111" s="78">
        <v>150</v>
      </c>
      <c r="AC111" s="78">
        <v>210</v>
      </c>
      <c r="AD111" s="78">
        <v>73.717608511170198</v>
      </c>
      <c r="AE111" s="78">
        <v>-5.8057999999999998E-2</v>
      </c>
      <c r="AF111" s="78">
        <v>0</v>
      </c>
      <c r="AG111" s="78">
        <v>0</v>
      </c>
      <c r="AH111" s="78">
        <v>-0.37865508492820105</v>
      </c>
      <c r="AI111">
        <v>12.078769804110179</v>
      </c>
      <c r="AJ111" s="107">
        <f>INDEX(Pipes_result_save_V1!$K$2:$K$206,MATCH(W111,Pipes_result_save_V1!$I$2:$I$206,0)) *POWER(10,-3)</f>
        <v>1.6673776626586912E-2</v>
      </c>
      <c r="AK111" s="78">
        <v>4.5240166897609355E-3</v>
      </c>
      <c r="AL111" s="78">
        <f t="shared" si="10"/>
        <v>1.2149759936825977E-2</v>
      </c>
      <c r="AP111">
        <v>0</v>
      </c>
      <c r="AQ111">
        <v>19</v>
      </c>
      <c r="AR111" t="s">
        <v>540</v>
      </c>
      <c r="AS111" t="s">
        <v>308</v>
      </c>
      <c r="AT111" s="106" t="str">
        <f>INDEX(Pipes_result_save_V1!$G$2:$G$206,MATCH(AS111,Pipes_result_save_V1!$I$2:$I$206,0))</f>
        <v>N118</v>
      </c>
      <c r="AU111" s="106" t="str">
        <f>INDEX(Pipes_result_save_V1!$H$2:$H$206,MATCH(AS111,Pipes_result_save_V1!$I$2:$I$206,0))</f>
        <v>N117</v>
      </c>
      <c r="AV111">
        <v>3.2837000000000005E-2</v>
      </c>
      <c r="AW111">
        <v>250</v>
      </c>
      <c r="AX111">
        <v>150</v>
      </c>
      <c r="AY111">
        <v>117</v>
      </c>
      <c r="AZ111">
        <v>99.822778557760188</v>
      </c>
      <c r="BA111">
        <v>-3.2837000000000005E-2</v>
      </c>
      <c r="BB111">
        <v>-0.1784575006086303</v>
      </c>
      <c r="BC111">
        <v>10.064966078727755</v>
      </c>
      <c r="BD111" s="107">
        <f>INDEX(Pipes_result_save_V1!$K$2:$K$206,MATCH(AS111,Pipes_result_save_V1!$I$2:$I$206,0)) *POWER(10,-3)</f>
        <v>3.5129935741424561E-3</v>
      </c>
      <c r="BE111" s="78">
        <v>6.3566054759352413E-3</v>
      </c>
      <c r="BF111" s="78">
        <f t="shared" si="11"/>
        <v>-2.8436119017927852E-3</v>
      </c>
      <c r="BJ111">
        <v>0</v>
      </c>
      <c r="BK111">
        <v>19</v>
      </c>
      <c r="BL111" t="s">
        <v>539</v>
      </c>
      <c r="BM111" t="s">
        <v>116</v>
      </c>
      <c r="BN111" s="106" t="str">
        <f>INDEX(Pipes_result_save_V1!$G$2:$G$206,MATCH(BM111,Pipes_result_save_V1!$I$2:$I$206,0))</f>
        <v>N69</v>
      </c>
      <c r="BO111" s="106" t="str">
        <f>INDEX(Pipes_result_save_V1!$H$2:$H$206,MATCH(BM111,Pipes_result_save_V1!$I$2:$I$206,0))</f>
        <v>N68</v>
      </c>
      <c r="BP111">
        <v>3.2835999999999997E-2</v>
      </c>
      <c r="BQ111">
        <v>250</v>
      </c>
      <c r="BR111">
        <v>150</v>
      </c>
      <c r="BS111">
        <v>202</v>
      </c>
      <c r="BT111">
        <v>172.3436005869022</v>
      </c>
      <c r="BU111">
        <v>3.2835999999999997E-2</v>
      </c>
      <c r="BV111">
        <v>0.308088735266423</v>
      </c>
      <c r="BW111">
        <v>17.376670048526481</v>
      </c>
      <c r="BX111" s="107">
        <f>INDEX(Pipes_result_save_V1!$K$2:$K$206,MATCH(BM111,Pipes_result_save_V1!$I$2:$I$206,0)) *POWER(10,-3)</f>
        <v>-1.5763935089111329E-2</v>
      </c>
      <c r="BY111" s="78">
        <v>6.4985723864827184E-3</v>
      </c>
      <c r="BZ111" s="78">
        <f t="shared" si="12"/>
        <v>-9.2653627026286108E-3</v>
      </c>
      <c r="CE111">
        <v>0</v>
      </c>
      <c r="CF111">
        <v>19</v>
      </c>
      <c r="CG111" t="s">
        <v>539</v>
      </c>
      <c r="CH111" t="s">
        <v>164</v>
      </c>
      <c r="CI111" s="106" t="str">
        <f>INDEX(Pipes_result_save_V1!$G$2:$G$206,MATCH(CH111,Pipes_result_save_V1!$I$2:$I$206,0))</f>
        <v>N48</v>
      </c>
      <c r="CJ111" s="106" t="str">
        <f>INDEX(Pipes_result_save_V1!$H$2:$H$206,MATCH(CH111,Pipes_result_save_V1!$I$2:$I$206,0))</f>
        <v>N47</v>
      </c>
      <c r="CK111">
        <v>0.16656000000000001</v>
      </c>
      <c r="CL111">
        <v>466</v>
      </c>
      <c r="CM111">
        <v>150</v>
      </c>
      <c r="CN111">
        <v>407</v>
      </c>
      <c r="CO111">
        <v>16.722306673152566</v>
      </c>
      <c r="CP111">
        <v>0.16656000000000001</v>
      </c>
      <c r="CQ111">
        <v>0.60484645932499004</v>
      </c>
      <c r="CR111">
        <v>6.7253580851938128</v>
      </c>
      <c r="CS111" s="107">
        <f>INDEX(Pipes_result_save_V1!$K$2:$K$206,MATCH(CH111,Pipes_result_save_V1!$I$2:$I$206,0)) *POWER(10,-3)</f>
        <v>-4.60460205078125E-2</v>
      </c>
      <c r="CT111" s="78">
        <v>6.1708428189658528E-3</v>
      </c>
      <c r="CU111" s="78">
        <f t="shared" si="13"/>
        <v>-3.9875177688846644E-2</v>
      </c>
      <c r="CY111">
        <v>0</v>
      </c>
      <c r="CZ111">
        <v>19</v>
      </c>
      <c r="DA111" t="s">
        <v>539</v>
      </c>
      <c r="DB111" t="s">
        <v>909</v>
      </c>
      <c r="DC111" s="106" t="str">
        <f>INDEX(Pipes_result_save_V1!$G$2:$G$206,MATCH(DB111,Pipes_result_save_V1!$I$2:$I$206,0))</f>
        <v>N29</v>
      </c>
      <c r="DD111" s="106" t="str">
        <f>INDEX(Pipes_result_save_V1!$H$2:$H$206,MATCH(DB111,Pipes_result_save_V1!$I$2:$I$206,0))</f>
        <v>N196</v>
      </c>
      <c r="DE111">
        <v>0.16656000000000001</v>
      </c>
      <c r="DF111">
        <v>466</v>
      </c>
      <c r="DG111">
        <v>150</v>
      </c>
      <c r="DH111">
        <v>69</v>
      </c>
      <c r="DI111">
        <v>2.8349856522052264</v>
      </c>
      <c r="DJ111">
        <v>0.16656000000000001</v>
      </c>
      <c r="DK111">
        <v>0.10254153733028086</v>
      </c>
      <c r="DL111">
        <v>1.140171272428435</v>
      </c>
      <c r="DM111" s="107">
        <f>INDEX(Pipes_result_save_V1!$K$2:$K$206,MATCH(DB111,Pipes_result_save_V1!$I$2:$I$206,0)) *POWER(10,-3)</f>
        <v>-0.19768353271484382</v>
      </c>
      <c r="DN111" s="78">
        <v>5.8017784347783241E-3</v>
      </c>
      <c r="DO111" s="78">
        <f t="shared" si="14"/>
        <v>-0.19188175428006549</v>
      </c>
      <c r="DT111">
        <v>0</v>
      </c>
      <c r="DU111">
        <v>19</v>
      </c>
      <c r="DV111" t="s">
        <v>540</v>
      </c>
      <c r="DW111" t="s">
        <v>404</v>
      </c>
      <c r="DX111" s="106" t="str">
        <f>INDEX(Pipes_result_save_V1!$G$2:$G$206,MATCH(DW111,Pipes_result_save_V1!$I$2:$I$206,0))</f>
        <v>N31</v>
      </c>
      <c r="DY111" s="106" t="str">
        <f>INDEX(Pipes_result_save_V1!$H$2:$H$206,MATCH(DW111,Pipes_result_save_V1!$I$2:$I$206,0))</f>
        <v>N17</v>
      </c>
      <c r="DZ111">
        <v>0.16656000000000001</v>
      </c>
      <c r="EA111">
        <v>466</v>
      </c>
      <c r="EB111">
        <v>150</v>
      </c>
      <c r="EC111">
        <v>211</v>
      </c>
      <c r="ED111">
        <v>8.6693039509464178</v>
      </c>
      <c r="EE111">
        <v>-0.16656000000000001</v>
      </c>
      <c r="EF111">
        <v>-0.31356904893752557</v>
      </c>
      <c r="EG111">
        <v>3.4866107026434761</v>
      </c>
      <c r="EH111" s="107">
        <f>INDEX(Pipes_result_save_V1!$K$2:$K$206,MATCH(DW111,Pipes_result_save_V1!$I$2:$I$206,0)) *POWER(10,-3)</f>
        <v>7.1654319763183594E-2</v>
      </c>
      <c r="EI111" s="78">
        <v>6.4707009260980023E-3</v>
      </c>
      <c r="EJ111" s="78">
        <f t="shared" si="15"/>
        <v>6.5183618837085594E-2</v>
      </c>
    </row>
    <row r="112" spans="2:140" ht="30" x14ac:dyDescent="0.25">
      <c r="B112" s="106">
        <v>20</v>
      </c>
      <c r="C112" s="106" t="s">
        <v>539</v>
      </c>
      <c r="D112" s="106" t="s">
        <v>210</v>
      </c>
      <c r="E112" s="106" t="str">
        <f>INDEX(Pipes_result_save_V1!$G$2:$G$206,MATCH(D112,Pipes_result_save_V1!$I$2:$I$206,0))</f>
        <v>N102</v>
      </c>
      <c r="F112" s="106" t="str">
        <f>INDEX(Pipes_result_save_V1!$H$2:$H$206,MATCH(D112,Pipes_result_save_V1!$I$2:$I$206,0))</f>
        <v>N101</v>
      </c>
      <c r="G112" s="106">
        <v>7.2999999999999995E-2</v>
      </c>
      <c r="H112" s="107">
        <v>350</v>
      </c>
      <c r="I112" s="107">
        <v>150</v>
      </c>
      <c r="J112" s="107">
        <v>73</v>
      </c>
      <c r="K112" s="107">
        <v>12.094195673475639</v>
      </c>
      <c r="L112" s="107">
        <v>7.2999999999999995E-2</v>
      </c>
      <c r="M112" s="107">
        <v>9.4940371718878883E-2</v>
      </c>
      <c r="N112" s="107">
        <v>2.4086242249775851</v>
      </c>
      <c r="O112" s="107">
        <f>INDEX(Pipes_result_save_V1!$K$2:$K$206,MATCH(D112,Pipes_result_save_V1!$I$2:$I$206,0)) *POWER(10,-3)</f>
        <v>-2.2651252746582031E-3</v>
      </c>
      <c r="P112" s="78">
        <v>5.0199050443581169E-3</v>
      </c>
      <c r="Q112" s="78">
        <f t="shared" si="9"/>
        <v>2.7547797696999138E-3</v>
      </c>
      <c r="R112" s="78"/>
      <c r="S112" s="78"/>
      <c r="T112" s="78">
        <v>0</v>
      </c>
      <c r="U112" s="78">
        <v>20</v>
      </c>
      <c r="V112" s="78" t="s">
        <v>540</v>
      </c>
      <c r="W112" s="78" t="s">
        <v>435</v>
      </c>
      <c r="X112" s="106" t="str">
        <f>INDEX(Pipes_result_save_V1!$G$2:$G$206,MATCH(W112,Pipes_result_save_V1!$I$2:$I$206,0))</f>
        <v>N141</v>
      </c>
      <c r="Y112" s="106" t="str">
        <f>INDEX(Pipes_result_save_V1!$H$2:$H$206,MATCH(W112,Pipes_result_save_V1!$I$2:$I$206,0))</f>
        <v>N142</v>
      </c>
      <c r="Z112" s="78">
        <v>5.8057999999999998E-2</v>
      </c>
      <c r="AA112" s="78">
        <v>300</v>
      </c>
      <c r="AB112" s="78">
        <v>150</v>
      </c>
      <c r="AC112" s="78">
        <v>100</v>
      </c>
      <c r="AD112" s="78">
        <v>35.103623100557243</v>
      </c>
      <c r="AE112" s="78">
        <v>-5.8057999999999998E-2</v>
      </c>
      <c r="AF112" s="78">
        <v>0</v>
      </c>
      <c r="AG112" s="78">
        <v>0</v>
      </c>
      <c r="AH112" s="78">
        <v>-0.18031194520390531</v>
      </c>
      <c r="AI112">
        <v>5.7517951448143707</v>
      </c>
      <c r="AJ112" s="107">
        <f>INDEX(Pipes_result_save_V1!$K$2:$K$206,MATCH(W112,Pipes_result_save_V1!$I$2:$I$206,0)) *POWER(10,-3)</f>
        <v>1.490505695343018E-2</v>
      </c>
      <c r="AK112" s="78">
        <v>3.1666859101101511E-3</v>
      </c>
      <c r="AL112" s="78">
        <f t="shared" si="10"/>
        <v>1.1738371043320029E-2</v>
      </c>
      <c r="AP112">
        <v>0</v>
      </c>
      <c r="AQ112">
        <v>20</v>
      </c>
      <c r="AR112" t="s">
        <v>540</v>
      </c>
      <c r="AS112" t="s">
        <v>411</v>
      </c>
      <c r="AT112" s="106" t="str">
        <f>INDEX(Pipes_result_save_V1!$G$2:$G$206,MATCH(AS112,Pipes_result_save_V1!$I$2:$I$206,0))</f>
        <v>N117</v>
      </c>
      <c r="AU112" s="106" t="str">
        <f>INDEX(Pipes_result_save_V1!$H$2:$H$206,MATCH(AS112,Pipes_result_save_V1!$I$2:$I$206,0))</f>
        <v>N195</v>
      </c>
      <c r="AV112">
        <v>3.2837000000000005E-2</v>
      </c>
      <c r="AW112">
        <v>250</v>
      </c>
      <c r="AX112">
        <v>150</v>
      </c>
      <c r="AY112">
        <v>117</v>
      </c>
      <c r="AZ112">
        <v>99.822778557760188</v>
      </c>
      <c r="BA112">
        <v>-3.2837000000000005E-2</v>
      </c>
      <c r="BB112">
        <v>-0.1784575006086303</v>
      </c>
      <c r="BC112">
        <v>10.064966078727755</v>
      </c>
      <c r="BD112" s="107">
        <f>INDEX(Pipes_result_save_V1!$K$2:$K$206,MATCH(AS112,Pipes_result_save_V1!$I$2:$I$206,0)) *POWER(10,-3)</f>
        <v>1.881206631660461E-3</v>
      </c>
      <c r="BE112" s="78">
        <v>6.4525918843725888E-3</v>
      </c>
      <c r="BF112" s="78">
        <f t="shared" si="11"/>
        <v>-4.571385252712128E-3</v>
      </c>
      <c r="BJ112">
        <v>0</v>
      </c>
      <c r="BK112">
        <v>20</v>
      </c>
      <c r="BL112" t="s">
        <v>539</v>
      </c>
      <c r="BM112" t="s">
        <v>115</v>
      </c>
      <c r="BN112" s="106" t="str">
        <f>INDEX(Pipes_result_save_V1!$G$2:$G$206,MATCH(BM112,Pipes_result_save_V1!$I$2:$I$206,0))</f>
        <v>N70</v>
      </c>
      <c r="BO112" s="106" t="str">
        <f>INDEX(Pipes_result_save_V1!$H$2:$H$206,MATCH(BM112,Pipes_result_save_V1!$I$2:$I$206,0))</f>
        <v>N69</v>
      </c>
      <c r="BP112">
        <v>0.19939599999999999</v>
      </c>
      <c r="BQ112">
        <v>565</v>
      </c>
      <c r="BR112">
        <v>150</v>
      </c>
      <c r="BS112">
        <v>166</v>
      </c>
      <c r="BT112">
        <v>2.6686380466646789</v>
      </c>
      <c r="BU112">
        <v>0.19939599999999999</v>
      </c>
      <c r="BV112">
        <v>0.13469904721539741</v>
      </c>
      <c r="BW112">
        <v>1.2510914734644432</v>
      </c>
      <c r="BX112" s="107">
        <f>INDEX(Pipes_result_save_V1!$K$2:$K$206,MATCH(BM112,Pipes_result_save_V1!$I$2:$I$206,0)) *POWER(10,-3)</f>
        <v>-4.6855716705322271E-2</v>
      </c>
      <c r="BY112" s="78">
        <v>6.5772864277440666E-3</v>
      </c>
      <c r="BZ112" s="78">
        <f t="shared" si="12"/>
        <v>-4.0278430277578207E-2</v>
      </c>
      <c r="CE112">
        <v>0</v>
      </c>
      <c r="CF112">
        <v>20</v>
      </c>
      <c r="CG112" t="s">
        <v>539</v>
      </c>
      <c r="CH112" t="s">
        <v>163</v>
      </c>
      <c r="CI112" s="106" t="str">
        <f>INDEX(Pipes_result_save_V1!$G$2:$G$206,MATCH(CH112,Pipes_result_save_V1!$I$2:$I$206,0))</f>
        <v>N49</v>
      </c>
      <c r="CJ112" s="106" t="str">
        <f>INDEX(Pipes_result_save_V1!$H$2:$H$206,MATCH(CH112,Pipes_result_save_V1!$I$2:$I$206,0))</f>
        <v>N48</v>
      </c>
      <c r="CK112">
        <v>0.16656000000000001</v>
      </c>
      <c r="CL112">
        <v>466</v>
      </c>
      <c r="CM112">
        <v>150</v>
      </c>
      <c r="CN112">
        <v>395</v>
      </c>
      <c r="CO112">
        <v>16.229265690160354</v>
      </c>
      <c r="CP112">
        <v>0.16656000000000001</v>
      </c>
      <c r="CQ112">
        <v>0.58701314848494113</v>
      </c>
      <c r="CR112">
        <v>6.5270674291193025</v>
      </c>
      <c r="CS112" s="107">
        <f>INDEX(Pipes_result_save_V1!$K$2:$K$206,MATCH(CH112,Pipes_result_save_V1!$I$2:$I$206,0)) *POWER(10,-3)</f>
        <v>-4.1470172882080082E-2</v>
      </c>
      <c r="CT112" s="78">
        <v>5.4823274001327433E-3</v>
      </c>
      <c r="CU112" s="78">
        <f t="shared" si="13"/>
        <v>-3.5987845481947341E-2</v>
      </c>
      <c r="CY112">
        <v>0</v>
      </c>
      <c r="CZ112">
        <v>20</v>
      </c>
      <c r="DA112" t="s">
        <v>539</v>
      </c>
      <c r="DB112" t="s">
        <v>139</v>
      </c>
      <c r="DC112" s="106" t="str">
        <f>INDEX(Pipes_result_save_V1!$G$2:$G$206,MATCH(DB112,Pipes_result_save_V1!$I$2:$I$206,0))</f>
        <v>N31</v>
      </c>
      <c r="DD112" s="106" t="str">
        <f>INDEX(Pipes_result_save_V1!$H$2:$H$206,MATCH(DB112,Pipes_result_save_V1!$I$2:$I$206,0))</f>
        <v>N30</v>
      </c>
      <c r="DE112">
        <v>0.16656000000000001</v>
      </c>
      <c r="DF112">
        <v>466</v>
      </c>
      <c r="DG112">
        <v>150</v>
      </c>
      <c r="DH112">
        <v>251</v>
      </c>
      <c r="DI112">
        <v>10.312773894253795</v>
      </c>
      <c r="DJ112">
        <v>0.16656000000000001</v>
      </c>
      <c r="DK112">
        <v>0.37301341840435503</v>
      </c>
      <c r="DL112">
        <v>4.1475795562251774</v>
      </c>
      <c r="DM112" s="107">
        <f>INDEX(Pipes_result_save_V1!$K$2:$K$206,MATCH(DB112,Pipes_result_save_V1!$I$2:$I$206,0)) *POWER(10,-3)</f>
        <v>-0.19499050903320311</v>
      </c>
      <c r="DN112" s="78">
        <v>5.7945520514642189E-3</v>
      </c>
      <c r="DO112" s="78">
        <f t="shared" si="14"/>
        <v>-0.18919595698173888</v>
      </c>
      <c r="DT112">
        <v>7</v>
      </c>
      <c r="DU112">
        <v>20</v>
      </c>
      <c r="DV112" t="s">
        <v>540</v>
      </c>
      <c r="DW112" t="s">
        <v>151</v>
      </c>
      <c r="DX112" s="106" t="str">
        <f>INDEX(Pipes_result_save_V1!$G$2:$G$206,MATCH(DW112,Pipes_result_save_V1!$I$2:$I$206,0))</f>
        <v>N19</v>
      </c>
      <c r="DY112" s="106" t="str">
        <f>INDEX(Pipes_result_save_V1!$H$2:$H$206,MATCH(DW112,Pipes_result_save_V1!$I$2:$I$206,0))</f>
        <v>N18</v>
      </c>
      <c r="DZ112">
        <v>0.16656000000000001</v>
      </c>
      <c r="EA112">
        <v>466</v>
      </c>
      <c r="EB112">
        <v>150</v>
      </c>
      <c r="EC112">
        <v>56</v>
      </c>
      <c r="ED112">
        <v>2.3008579206303286</v>
      </c>
      <c r="EE112">
        <v>-9.4864356265488253E-2</v>
      </c>
      <c r="EF112">
        <v>-2.9341659712503444E-2</v>
      </c>
      <c r="EG112">
        <v>0.57282583181693481</v>
      </c>
      <c r="EH112" s="107">
        <f>INDEX(Pipes_result_save_V1!$K$2:$K$206,MATCH(DW112,Pipes_result_save_V1!$I$2:$I$206,0)) *POWER(10,-3)</f>
        <v>-0.20831297302246091</v>
      </c>
      <c r="EI112" s="78">
        <v>6.5037300181306525E-3</v>
      </c>
      <c r="EJ112" s="78">
        <f t="shared" si="15"/>
        <v>-0.20180924300433026</v>
      </c>
    </row>
    <row r="113" spans="2:140" ht="30" x14ac:dyDescent="0.25">
      <c r="B113" s="106">
        <v>21</v>
      </c>
      <c r="C113" s="106" t="s">
        <v>539</v>
      </c>
      <c r="D113" s="106" t="s">
        <v>208</v>
      </c>
      <c r="E113" s="106" t="str">
        <f>INDEX(Pipes_result_save_V1!$G$2:$G$206,MATCH(D113,Pipes_result_save_V1!$I$2:$I$206,0))</f>
        <v>N103</v>
      </c>
      <c r="F113" s="106" t="str">
        <f>INDEX(Pipes_result_save_V1!$H$2:$H$206,MATCH(D113,Pipes_result_save_V1!$I$2:$I$206,0))</f>
        <v>N102</v>
      </c>
      <c r="G113" s="106">
        <v>5.6000000000000001E-2</v>
      </c>
      <c r="H113" s="107">
        <v>300</v>
      </c>
      <c r="I113" s="107">
        <v>150</v>
      </c>
      <c r="J113" s="107">
        <v>56</v>
      </c>
      <c r="K113" s="107">
        <v>19.658028936312054</v>
      </c>
      <c r="L113" s="107">
        <v>5.6000000000000001E-2</v>
      </c>
      <c r="M113" s="107">
        <v>9.4446136293034055E-2</v>
      </c>
      <c r="N113" s="107">
        <v>3.1234686502624811</v>
      </c>
      <c r="O113" s="107">
        <f>INDEX(Pipes_result_save_V1!$K$2:$K$206,MATCH(D113,Pipes_result_save_V1!$I$2:$I$206,0)) *POWER(10,-3)</f>
        <v>-1.529109477996826E-3</v>
      </c>
      <c r="P113" s="78">
        <v>5.6469291829771987E-3</v>
      </c>
      <c r="Q113" s="78">
        <f t="shared" si="9"/>
        <v>4.1178197049803727E-3</v>
      </c>
      <c r="R113" s="78"/>
      <c r="S113" s="78"/>
      <c r="T113" s="78">
        <v>0</v>
      </c>
      <c r="U113" s="78">
        <v>21</v>
      </c>
      <c r="V113" s="78" t="s">
        <v>540</v>
      </c>
      <c r="W113" s="78" t="s">
        <v>207</v>
      </c>
      <c r="X113" s="106" t="str">
        <f>INDEX(Pipes_result_save_V1!$G$2:$G$206,MATCH(W113,Pipes_result_save_V1!$I$2:$I$206,0))</f>
        <v>N142</v>
      </c>
      <c r="Y113" s="106" t="str">
        <f>INDEX(Pipes_result_save_V1!$H$2:$H$206,MATCH(W113,Pipes_result_save_V1!$I$2:$I$206,0))</f>
        <v>N143</v>
      </c>
      <c r="Z113" s="78">
        <v>5.8057999999999998E-2</v>
      </c>
      <c r="AA113" s="78">
        <v>300</v>
      </c>
      <c r="AB113" s="78">
        <v>150</v>
      </c>
      <c r="AC113" s="78">
        <v>427</v>
      </c>
      <c r="AD113" s="78">
        <v>149.89247063937941</v>
      </c>
      <c r="AE113" s="78">
        <v>-5.8057999999999998E-2</v>
      </c>
      <c r="AF113" s="78">
        <v>0</v>
      </c>
      <c r="AG113" s="78">
        <v>0</v>
      </c>
      <c r="AH113" s="78">
        <v>-0.76993200602067557</v>
      </c>
      <c r="AI113">
        <v>24.560165268357366</v>
      </c>
      <c r="AJ113" s="107">
        <f>INDEX(Pipes_result_save_V1!$K$2:$K$206,MATCH(W113,Pipes_result_save_V1!$I$2:$I$206,0)) *POWER(10,-3)</f>
        <v>1.1898232460021972E-2</v>
      </c>
      <c r="AK113" s="78">
        <v>2.2711077312536948E-3</v>
      </c>
      <c r="AL113" s="78">
        <f t="shared" si="10"/>
        <v>9.6271247287682774E-3</v>
      </c>
      <c r="AP113">
        <v>0</v>
      </c>
      <c r="AQ113">
        <v>21</v>
      </c>
      <c r="AR113" t="s">
        <v>540</v>
      </c>
      <c r="AS113" t="s">
        <v>309</v>
      </c>
      <c r="AT113" s="106" t="str">
        <f>INDEX(Pipes_result_save_V1!$G$2:$G$206,MATCH(AS113,Pipes_result_save_V1!$I$2:$I$206,0))</f>
        <v>N119</v>
      </c>
      <c r="AU113" s="106" t="str">
        <f>INDEX(Pipes_result_save_V1!$H$2:$H$206,MATCH(AS113,Pipes_result_save_V1!$I$2:$I$206,0))</f>
        <v>N118</v>
      </c>
      <c r="AV113">
        <v>3.2837000000000005E-2</v>
      </c>
      <c r="AW113">
        <v>250</v>
      </c>
      <c r="AX113">
        <v>150</v>
      </c>
      <c r="AY113">
        <v>118</v>
      </c>
      <c r="AZ113">
        <v>100.6759646992795</v>
      </c>
      <c r="BA113">
        <v>-3.2837000000000005E-2</v>
      </c>
      <c r="BB113">
        <v>-0.17998277839161003</v>
      </c>
      <c r="BC113">
        <v>10.150991429827991</v>
      </c>
      <c r="BD113" s="107">
        <f>INDEX(Pipes_result_save_V1!$K$2:$K$206,MATCH(AS113,Pipes_result_save_V1!$I$2:$I$206,0)) *POWER(10,-3)</f>
        <v>5.4757027626037595E-3</v>
      </c>
      <c r="BE113" s="78">
        <v>5.4062193935375024E-3</v>
      </c>
      <c r="BF113" s="78">
        <f t="shared" si="11"/>
        <v>6.9483369066257114E-5</v>
      </c>
      <c r="BJ113">
        <v>0</v>
      </c>
      <c r="BK113">
        <v>21</v>
      </c>
      <c r="BL113" t="s">
        <v>539</v>
      </c>
      <c r="BM113" t="s">
        <v>424</v>
      </c>
      <c r="BN113" s="106" t="str">
        <f>INDEX(Pipes_result_save_V1!$G$2:$G$206,MATCH(BM113,Pipes_result_save_V1!$I$2:$I$206,0))</f>
        <v>N71</v>
      </c>
      <c r="BO113" s="106" t="str">
        <f>INDEX(Pipes_result_save_V1!$H$2:$H$206,MATCH(BM113,Pipes_result_save_V1!$I$2:$I$206,0))</f>
        <v>N70</v>
      </c>
      <c r="BP113">
        <v>0.19939599999999999</v>
      </c>
      <c r="BQ113">
        <v>565</v>
      </c>
      <c r="BR113">
        <v>150</v>
      </c>
      <c r="BS113">
        <v>584</v>
      </c>
      <c r="BT113">
        <v>9.3884615617600762</v>
      </c>
      <c r="BU113">
        <v>0.19939599999999999</v>
      </c>
      <c r="BV113">
        <v>0.4738809853842898</v>
      </c>
      <c r="BW113">
        <v>4.4014302439953905</v>
      </c>
      <c r="BX113" s="107">
        <f>INDEX(Pipes_result_save_V1!$K$2:$K$206,MATCH(BM113,Pipes_result_save_V1!$I$2:$I$206,0)) *POWER(10,-3)</f>
        <v>-4.2576553344726563E-2</v>
      </c>
      <c r="BY113" s="78">
        <v>6.2289717613895172E-3</v>
      </c>
      <c r="BZ113" s="78">
        <f t="shared" si="12"/>
        <v>-3.6347581583337049E-2</v>
      </c>
      <c r="CE113">
        <v>0</v>
      </c>
      <c r="CF113">
        <v>21</v>
      </c>
      <c r="CG113" t="s">
        <v>539</v>
      </c>
      <c r="CH113" t="s">
        <v>162</v>
      </c>
      <c r="CI113" s="106" t="str">
        <f>INDEX(Pipes_result_save_V1!$G$2:$G$206,MATCH(CH113,Pipes_result_save_V1!$I$2:$I$206,0))</f>
        <v>N50</v>
      </c>
      <c r="CJ113" s="106" t="str">
        <f>INDEX(Pipes_result_save_V1!$H$2:$H$206,MATCH(CH113,Pipes_result_save_V1!$I$2:$I$206,0))</f>
        <v>N49</v>
      </c>
      <c r="CK113">
        <v>0.16656000000000001</v>
      </c>
      <c r="CL113">
        <v>466</v>
      </c>
      <c r="CM113">
        <v>150</v>
      </c>
      <c r="CN113">
        <v>151</v>
      </c>
      <c r="CO113">
        <v>6.204099035985351</v>
      </c>
      <c r="CP113">
        <v>0.16656000000000001</v>
      </c>
      <c r="CQ113">
        <v>0.22440249473728133</v>
      </c>
      <c r="CR113">
        <v>2.4951574222709234</v>
      </c>
      <c r="CS113" s="107">
        <f>INDEX(Pipes_result_save_V1!$K$2:$K$206,MATCH(CH113,Pipes_result_save_V1!$I$2:$I$206,0)) *POWER(10,-3)</f>
        <v>-3.8354942321777337E-2</v>
      </c>
      <c r="CT113" s="78">
        <v>6.1182236357745726E-3</v>
      </c>
      <c r="CU113" s="78">
        <f t="shared" si="13"/>
        <v>-3.2236718686002766E-2</v>
      </c>
      <c r="CY113">
        <v>3</v>
      </c>
      <c r="CZ113">
        <v>21</v>
      </c>
      <c r="DA113" t="s">
        <v>539</v>
      </c>
      <c r="DB113" t="s">
        <v>138</v>
      </c>
      <c r="DC113" s="106" t="str">
        <f>INDEX(Pipes_result_save_V1!$G$2:$G$206,MATCH(DB113,Pipes_result_save_V1!$I$2:$I$206,0))</f>
        <v>N32</v>
      </c>
      <c r="DD113" s="106" t="str">
        <f>INDEX(Pipes_result_save_V1!$H$2:$H$206,MATCH(DB113,Pipes_result_save_V1!$I$2:$I$206,0))</f>
        <v>N31</v>
      </c>
      <c r="DE113">
        <v>8.3280000000000007E-2</v>
      </c>
      <c r="DF113">
        <v>350</v>
      </c>
      <c r="DG113">
        <v>150</v>
      </c>
      <c r="DH113">
        <v>129</v>
      </c>
      <c r="DI113">
        <v>21.371934820251475</v>
      </c>
      <c r="DJ113">
        <v>-9.4864356265488253E-2</v>
      </c>
      <c r="DK113">
        <v>-0.27254531158613615</v>
      </c>
      <c r="DL113">
        <v>5.3207963130526608</v>
      </c>
      <c r="DM113" s="107">
        <f>INDEX(Pipes_result_save_V1!$K$2:$K$206,MATCH(DB113,Pipes_result_save_V1!$I$2:$I$206,0)) *POWER(10,-3)</f>
        <v>-0.11996421051025391</v>
      </c>
      <c r="DN113" s="78">
        <v>5.036829583133345E-3</v>
      </c>
      <c r="DO113" s="78">
        <f t="shared" si="14"/>
        <v>-0.11492738092712057</v>
      </c>
      <c r="DT113">
        <v>8</v>
      </c>
      <c r="DU113">
        <v>21</v>
      </c>
      <c r="DV113" t="s">
        <v>540</v>
      </c>
      <c r="DW113" t="s">
        <v>150</v>
      </c>
      <c r="DX113" s="106" t="str">
        <f>INDEX(Pipes_result_save_V1!$G$2:$G$206,MATCH(DW113,Pipes_result_save_V1!$I$2:$I$206,0))</f>
        <v>N20</v>
      </c>
      <c r="DY113" s="106" t="str">
        <f>INDEX(Pipes_result_save_V1!$H$2:$H$206,MATCH(DW113,Pipes_result_save_V1!$I$2:$I$206,0))</f>
        <v>N19</v>
      </c>
      <c r="DZ113">
        <v>0.16656000000000001</v>
      </c>
      <c r="EA113">
        <v>466</v>
      </c>
      <c r="EB113">
        <v>150</v>
      </c>
      <c r="EC113">
        <v>60</v>
      </c>
      <c r="ED113">
        <v>2.4652049149610664</v>
      </c>
      <c r="EE113">
        <v>-9.4864356265488253E-2</v>
      </c>
      <c r="EF113">
        <v>-3.1437492549110831E-2</v>
      </c>
      <c r="EG113">
        <v>0.61374196266100156</v>
      </c>
      <c r="EH113" s="107">
        <f>INDEX(Pipes_result_save_V1!$K$2:$K$206,MATCH(DW113,Pipes_result_save_V1!$I$2:$I$206,0)) *POWER(10,-3)</f>
        <v>-0.207651123046875</v>
      </c>
      <c r="EI113" s="78">
        <v>5.2568459135372853E-3</v>
      </c>
      <c r="EJ113" s="78">
        <f t="shared" si="15"/>
        <v>-0.20239427713333771</v>
      </c>
    </row>
    <row r="114" spans="2:140" ht="30" x14ac:dyDescent="0.25">
      <c r="B114" s="106">
        <v>22</v>
      </c>
      <c r="C114" s="106" t="s">
        <v>539</v>
      </c>
      <c r="D114" s="106" t="s">
        <v>229</v>
      </c>
      <c r="E114" s="106" t="str">
        <f>INDEX(Pipes_result_save_V1!$G$2:$G$206,MATCH(D114,Pipes_result_save_V1!$I$2:$I$206,0))</f>
        <v>N104</v>
      </c>
      <c r="F114" s="106" t="str">
        <f>INDEX(Pipes_result_save_V1!$H$2:$H$206,MATCH(D114,Pipes_result_save_V1!$I$2:$I$206,0))</f>
        <v>N103</v>
      </c>
      <c r="G114" s="106">
        <v>2.1999999999999999E-2</v>
      </c>
      <c r="H114" s="107">
        <v>200</v>
      </c>
      <c r="I114" s="107">
        <v>150</v>
      </c>
      <c r="J114" s="107">
        <v>22</v>
      </c>
      <c r="K114" s="107">
        <v>55.656404494062755</v>
      </c>
      <c r="L114" s="107">
        <v>2.1999999999999999E-2</v>
      </c>
      <c r="M114" s="107">
        <v>4.7389480906776568E-2</v>
      </c>
      <c r="N114" s="107">
        <v>3.989332665425009</v>
      </c>
      <c r="O114" s="107">
        <f>INDEX(Pipes_result_save_V1!$K$2:$K$206,MATCH(D114,Pipes_result_save_V1!$I$2:$I$206,0)) *POWER(10,-3)</f>
        <v>-1.0840767621994021E-3</v>
      </c>
      <c r="P114" s="78">
        <v>5.9833790741995064E-3</v>
      </c>
      <c r="Q114" s="78">
        <f t="shared" si="9"/>
        <v>4.899302312000104E-3</v>
      </c>
      <c r="R114" s="78"/>
      <c r="S114" s="78"/>
      <c r="T114" s="78">
        <v>0</v>
      </c>
      <c r="U114" s="78">
        <v>22</v>
      </c>
      <c r="V114" s="78" t="s">
        <v>540</v>
      </c>
      <c r="W114" s="78" t="s">
        <v>206</v>
      </c>
      <c r="X114" s="106" t="str">
        <f>INDEX(Pipes_result_save_V1!$G$2:$G$206,MATCH(W114,Pipes_result_save_V1!$I$2:$I$206,0))</f>
        <v>N143</v>
      </c>
      <c r="Y114" s="106" t="str">
        <f>INDEX(Pipes_result_save_V1!$H$2:$H$206,MATCH(W114,Pipes_result_save_V1!$I$2:$I$206,0))</f>
        <v>N144</v>
      </c>
      <c r="Z114" s="78">
        <v>5.8057999999999998E-2</v>
      </c>
      <c r="AA114" s="78">
        <v>300</v>
      </c>
      <c r="AB114" s="78">
        <v>150</v>
      </c>
      <c r="AC114" s="78">
        <v>87</v>
      </c>
      <c r="AD114" s="78">
        <v>30.540152097484796</v>
      </c>
      <c r="AE114" s="78">
        <v>-5.8057999999999998E-2</v>
      </c>
      <c r="AF114" s="78">
        <v>0</v>
      </c>
      <c r="AG114" s="78">
        <v>0</v>
      </c>
      <c r="AH114" s="78">
        <v>-0.15687139232739758</v>
      </c>
      <c r="AI114">
        <v>5.004061775988502</v>
      </c>
      <c r="AJ114" s="107">
        <f>INDEX(Pipes_result_save_V1!$K$2:$K$206,MATCH(W114,Pipes_result_save_V1!$I$2:$I$206,0)) *POWER(10,-3)</f>
        <v>8.9655799865722662E-3</v>
      </c>
      <c r="AK114" s="78">
        <v>5.0495861250672309E-4</v>
      </c>
      <c r="AL114" s="78">
        <f t="shared" si="10"/>
        <v>8.4606213740655439E-3</v>
      </c>
      <c r="AP114">
        <v>0</v>
      </c>
      <c r="AQ114">
        <v>22</v>
      </c>
      <c r="AR114" t="s">
        <v>540</v>
      </c>
      <c r="AS114" t="s">
        <v>310</v>
      </c>
      <c r="AT114" s="106" t="str">
        <f>INDEX(Pipes_result_save_V1!$G$2:$G$206,MATCH(AS114,Pipes_result_save_V1!$I$2:$I$206,0))</f>
        <v>N120</v>
      </c>
      <c r="AU114" s="106" t="str">
        <f>INDEX(Pipes_result_save_V1!$H$2:$H$206,MATCH(AS114,Pipes_result_save_V1!$I$2:$I$206,0))</f>
        <v>N119</v>
      </c>
      <c r="AV114">
        <v>3.2837000000000005E-2</v>
      </c>
      <c r="AW114">
        <v>250</v>
      </c>
      <c r="AX114">
        <v>150</v>
      </c>
      <c r="AY114">
        <v>119</v>
      </c>
      <c r="AZ114">
        <v>101.52915084079882</v>
      </c>
      <c r="BA114">
        <v>-3.2837000000000005E-2</v>
      </c>
      <c r="BB114">
        <v>-0.18150805617458979</v>
      </c>
      <c r="BC114">
        <v>10.237016780928229</v>
      </c>
      <c r="BD114" s="107">
        <f>INDEX(Pipes_result_save_V1!$K$2:$K$206,MATCH(AS114,Pipes_result_save_V1!$I$2:$I$206,0)) *POWER(10,-3)</f>
        <v>7.6723389625549315E-3</v>
      </c>
      <c r="BE114" s="78">
        <v>6.2339393377526019E-3</v>
      </c>
      <c r="BF114" s="78">
        <f t="shared" si="11"/>
        <v>1.4383996248023296E-3</v>
      </c>
      <c r="BJ114">
        <v>0</v>
      </c>
      <c r="BK114">
        <v>22</v>
      </c>
      <c r="BL114" t="s">
        <v>539</v>
      </c>
      <c r="BM114" t="s">
        <v>428</v>
      </c>
      <c r="BN114" s="106" t="str">
        <f>INDEX(Pipes_result_save_V1!$G$2:$G$206,MATCH(BM114,Pipes_result_save_V1!$I$2:$I$206,0))</f>
        <v>N192</v>
      </c>
      <c r="BO114" s="106" t="str">
        <f>INDEX(Pipes_result_save_V1!$H$2:$H$206,MATCH(BM114,Pipes_result_save_V1!$I$2:$I$206,0))</f>
        <v>N71</v>
      </c>
      <c r="BP114">
        <v>0.19939599999999999</v>
      </c>
      <c r="BQ114">
        <v>565</v>
      </c>
      <c r="BR114">
        <v>150</v>
      </c>
      <c r="BS114">
        <v>211</v>
      </c>
      <c r="BT114">
        <v>3.3920640231701644</v>
      </c>
      <c r="BU114">
        <v>0.19939599999999999</v>
      </c>
      <c r="BV114">
        <v>0.17121384917137866</v>
      </c>
      <c r="BW114">
        <v>1.5902427765120331</v>
      </c>
      <c r="BX114" s="107">
        <f>INDEX(Pipes_result_save_V1!$K$2:$K$206,MATCH(BM114,Pipes_result_save_V1!$I$2:$I$206,0)) *POWER(10,-3)</f>
        <v>-3.804064178466797E-2</v>
      </c>
      <c r="BY114" s="78">
        <v>6.5144624464881533E-3</v>
      </c>
      <c r="BZ114" s="78">
        <f t="shared" si="12"/>
        <v>-3.1526179338179819E-2</v>
      </c>
      <c r="CE114">
        <v>0</v>
      </c>
      <c r="CF114">
        <v>22</v>
      </c>
      <c r="CG114" t="s">
        <v>539</v>
      </c>
      <c r="CH114" t="s">
        <v>161</v>
      </c>
      <c r="CI114" s="106" t="str">
        <f>INDEX(Pipes_result_save_V1!$G$2:$G$206,MATCH(CH114,Pipes_result_save_V1!$I$2:$I$206,0))</f>
        <v>N51</v>
      </c>
      <c r="CJ114" s="106" t="str">
        <f>INDEX(Pipes_result_save_V1!$H$2:$H$206,MATCH(CH114,Pipes_result_save_V1!$I$2:$I$206,0))</f>
        <v>N50</v>
      </c>
      <c r="CK114">
        <v>0.16656000000000001</v>
      </c>
      <c r="CL114">
        <v>466</v>
      </c>
      <c r="CM114">
        <v>150</v>
      </c>
      <c r="CN114">
        <v>186</v>
      </c>
      <c r="CO114">
        <v>7.642135236379306</v>
      </c>
      <c r="CP114">
        <v>0.16656000000000001</v>
      </c>
      <c r="CQ114">
        <v>0.27641631802075711</v>
      </c>
      <c r="CR114">
        <v>3.0735051691549122</v>
      </c>
      <c r="CS114" s="107">
        <f>INDEX(Pipes_result_save_V1!$K$2:$K$206,MATCH(CH114,Pipes_result_save_V1!$I$2:$I$206,0)) *POWER(10,-3)</f>
        <v>-3.6432170867919923E-2</v>
      </c>
      <c r="CT114" s="78">
        <v>6.3711449404504558E-3</v>
      </c>
      <c r="CU114" s="78">
        <f t="shared" si="13"/>
        <v>-3.0061025927469467E-2</v>
      </c>
      <c r="CY114">
        <v>4</v>
      </c>
      <c r="CZ114">
        <v>22</v>
      </c>
      <c r="DA114" t="s">
        <v>539</v>
      </c>
      <c r="DB114" t="s">
        <v>137</v>
      </c>
      <c r="DC114" s="106" t="str">
        <f>INDEX(Pipes_result_save_V1!$G$2:$G$206,MATCH(DB114,Pipes_result_save_V1!$I$2:$I$206,0))</f>
        <v>N33</v>
      </c>
      <c r="DD114" s="106" t="str">
        <f>INDEX(Pipes_result_save_V1!$H$2:$H$206,MATCH(DB114,Pipes_result_save_V1!$I$2:$I$206,0))</f>
        <v>N32</v>
      </c>
      <c r="DE114">
        <v>8.3280000000000007E-2</v>
      </c>
      <c r="DF114">
        <v>350</v>
      </c>
      <c r="DG114">
        <v>150</v>
      </c>
      <c r="DH114">
        <v>157</v>
      </c>
      <c r="DI114">
        <v>26.01080439363939</v>
      </c>
      <c r="DJ114">
        <v>-9.4864356265488253E-2</v>
      </c>
      <c r="DK114">
        <v>-0.33170243348080136</v>
      </c>
      <c r="DL114">
        <v>6.4756978383664165</v>
      </c>
      <c r="DM114" s="107">
        <f>INDEX(Pipes_result_save_V1!$K$2:$K$206,MATCH(DB114,Pipes_result_save_V1!$I$2:$I$206,0)) *POWER(10,-3)</f>
        <v>-0.1183324203491211</v>
      </c>
      <c r="DN114" s="78">
        <v>5.6735385612267479E-3</v>
      </c>
      <c r="DO114" s="78">
        <f t="shared" si="14"/>
        <v>-0.11265888178789435</v>
      </c>
      <c r="DT114">
        <v>9</v>
      </c>
      <c r="DU114">
        <v>22</v>
      </c>
      <c r="DV114" t="s">
        <v>540</v>
      </c>
      <c r="DW114" t="s">
        <v>149</v>
      </c>
      <c r="DX114" s="106" t="str">
        <f>INDEX(Pipes_result_save_V1!$G$2:$G$206,MATCH(DW114,Pipes_result_save_V1!$I$2:$I$206,0))</f>
        <v>N21</v>
      </c>
      <c r="DY114" s="106" t="str">
        <f>INDEX(Pipes_result_save_V1!$H$2:$H$206,MATCH(DW114,Pipes_result_save_V1!$I$2:$I$206,0))</f>
        <v>N20</v>
      </c>
      <c r="DZ114">
        <v>0.16656000000000001</v>
      </c>
      <c r="EA114">
        <v>466</v>
      </c>
      <c r="EB114">
        <v>150</v>
      </c>
      <c r="EC114">
        <v>67</v>
      </c>
      <c r="ED114">
        <v>2.7528121550398579</v>
      </c>
      <c r="EE114">
        <v>-9.4864356265488253E-2</v>
      </c>
      <c r="EF114">
        <v>-3.5105200013173771E-2</v>
      </c>
      <c r="EG114">
        <v>0.68534519163811858</v>
      </c>
      <c r="EH114" s="107">
        <f>INDEX(Pipes_result_save_V1!$K$2:$K$206,MATCH(DW114,Pipes_result_save_V1!$I$2:$I$206,0)) *POWER(10,-3)</f>
        <v>-0.20692651367187501</v>
      </c>
      <c r="EI114" s="78">
        <v>5.3009735387532127E-3</v>
      </c>
      <c r="EJ114" s="78">
        <f t="shared" si="15"/>
        <v>-0.20162554013312178</v>
      </c>
    </row>
    <row r="115" spans="2:140" ht="30" x14ac:dyDescent="0.25">
      <c r="B115" s="106">
        <v>23</v>
      </c>
      <c r="C115" s="106" t="s">
        <v>539</v>
      </c>
      <c r="D115" s="106" t="s">
        <v>265</v>
      </c>
      <c r="E115" s="106" t="str">
        <f>INDEX(Pipes_result_save_V1!$G$2:$G$206,MATCH(D115,Pipes_result_save_V1!$I$2:$I$206,0))</f>
        <v>N105</v>
      </c>
      <c r="F115" s="106" t="str">
        <f>INDEX(Pipes_result_save_V1!$H$2:$H$206,MATCH(D115,Pipes_result_save_V1!$I$2:$I$206,0))</f>
        <v>N104</v>
      </c>
      <c r="G115" s="106">
        <v>5.3999999999999999E-2</v>
      </c>
      <c r="H115" s="107">
        <v>300</v>
      </c>
      <c r="I115" s="107">
        <v>150</v>
      </c>
      <c r="J115" s="107">
        <v>54</v>
      </c>
      <c r="K115" s="107">
        <v>18.955956474300912</v>
      </c>
      <c r="L115" s="107">
        <v>5.3999999999999999E-2</v>
      </c>
      <c r="M115" s="107">
        <v>8.5141039063695509E-2</v>
      </c>
      <c r="N115" s="107">
        <v>2.9200223027030376</v>
      </c>
      <c r="O115" s="107">
        <f>INDEX(Pipes_result_save_V1!$K$2:$K$206,MATCH(D115,Pipes_result_save_V1!$I$2:$I$206,0)) *POWER(10,-3)</f>
        <v>-6.5045499801635745E-4</v>
      </c>
      <c r="P115" s="78">
        <v>5.8343797197853882E-3</v>
      </c>
      <c r="Q115" s="78">
        <f t="shared" si="9"/>
        <v>5.1839247217690312E-3</v>
      </c>
      <c r="R115" s="78"/>
      <c r="S115" s="78"/>
      <c r="T115" s="78">
        <v>0</v>
      </c>
      <c r="U115" s="78">
        <v>23</v>
      </c>
      <c r="V115" s="78" t="s">
        <v>540</v>
      </c>
      <c r="W115" s="78" t="s">
        <v>205</v>
      </c>
      <c r="X115" s="106" t="str">
        <f>INDEX(Pipes_result_save_V1!$G$2:$G$206,MATCH(W115,Pipes_result_save_V1!$I$2:$I$206,0))</f>
        <v>N144</v>
      </c>
      <c r="Y115" s="106" t="str">
        <f>INDEX(Pipes_result_save_V1!$H$2:$H$206,MATCH(W115,Pipes_result_save_V1!$I$2:$I$206,0))</f>
        <v>N145</v>
      </c>
      <c r="Z115" s="78">
        <v>5.8057999999999998E-2</v>
      </c>
      <c r="AA115" s="78">
        <v>300</v>
      </c>
      <c r="AB115" s="78">
        <v>150</v>
      </c>
      <c r="AC115" s="78">
        <v>115</v>
      </c>
      <c r="AD115" s="78">
        <v>40.369166565640825</v>
      </c>
      <c r="AE115" s="78">
        <v>-5.8057999999999998E-2</v>
      </c>
      <c r="AF115" s="78">
        <v>0</v>
      </c>
      <c r="AG115" s="78">
        <v>0</v>
      </c>
      <c r="AH115" s="78">
        <v>-0.20735873698449106</v>
      </c>
      <c r="AI115">
        <v>6.6145644165365267</v>
      </c>
      <c r="AJ115" s="107">
        <f>INDEX(Pipes_result_save_V1!$K$2:$K$206,MATCH(W115,Pipes_result_save_V1!$I$2:$I$206,0)) *POWER(10,-3)</f>
        <v>7.81305980682373E-3</v>
      </c>
      <c r="AK115" s="78">
        <v>1.096624649170189E-4</v>
      </c>
      <c r="AL115" s="78">
        <f t="shared" si="10"/>
        <v>7.7033973419067111E-3</v>
      </c>
      <c r="AP115">
        <v>0</v>
      </c>
      <c r="AQ115">
        <v>23</v>
      </c>
      <c r="AR115" t="s">
        <v>540</v>
      </c>
      <c r="AS115" t="s">
        <v>312</v>
      </c>
      <c r="AT115" s="106" t="str">
        <f>INDEX(Pipes_result_save_V1!$G$2:$G$206,MATCH(AS115,Pipes_result_save_V1!$I$2:$I$206,0))</f>
        <v>N121</v>
      </c>
      <c r="AU115" s="106" t="str">
        <f>INDEX(Pipes_result_save_V1!$H$2:$H$206,MATCH(AS115,Pipes_result_save_V1!$I$2:$I$206,0))</f>
        <v>N120</v>
      </c>
      <c r="AV115">
        <v>3.2835999999999997E-2</v>
      </c>
      <c r="AW115">
        <v>250</v>
      </c>
      <c r="AX115">
        <v>150</v>
      </c>
      <c r="AY115">
        <v>120</v>
      </c>
      <c r="AZ115">
        <v>102.38233698231814</v>
      </c>
      <c r="BA115">
        <v>-3.2835999999999997E-2</v>
      </c>
      <c r="BB115">
        <v>-0.1830230110493602</v>
      </c>
      <c r="BC115">
        <v>10.322774286253356</v>
      </c>
      <c r="BD115" s="107">
        <f>INDEX(Pipes_result_save_V1!$K$2:$K$206,MATCH(AS115,Pipes_result_save_V1!$I$2:$I$206,0)) *POWER(10,-3)</f>
        <v>9.4182367324829111E-3</v>
      </c>
      <c r="BE115" s="78">
        <v>6.0309927401435781E-3</v>
      </c>
      <c r="BF115" s="78">
        <f t="shared" si="11"/>
        <v>3.387243992339333E-3</v>
      </c>
      <c r="BJ115">
        <v>3</v>
      </c>
      <c r="BK115">
        <v>23</v>
      </c>
      <c r="BL115" t="s">
        <v>540</v>
      </c>
      <c r="BM115" t="s">
        <v>181</v>
      </c>
      <c r="BN115" s="106" t="str">
        <f>INDEX(Pipes_result_save_V1!$G$2:$G$206,MATCH(BM115,Pipes_result_save_V1!$I$2:$I$206,0))</f>
        <v>N72</v>
      </c>
      <c r="BO115" s="106" t="str">
        <f>INDEX(Pipes_result_save_V1!$H$2:$H$206,MATCH(BM115,Pipes_result_save_V1!$I$2:$I$206,0))</f>
        <v>N73</v>
      </c>
      <c r="BP115">
        <v>3.2837000000000005E-2</v>
      </c>
      <c r="BQ115">
        <v>250</v>
      </c>
      <c r="BR115">
        <v>150</v>
      </c>
      <c r="BS115">
        <v>80</v>
      </c>
      <c r="BT115">
        <v>68.254891321545429</v>
      </c>
      <c r="BU115">
        <v>3.8250255700015404E-2</v>
      </c>
      <c r="BV115">
        <v>0.16187231665420129</v>
      </c>
      <c r="BW115">
        <v>7.8375301016212582</v>
      </c>
      <c r="BX115" s="107">
        <f>INDEX(Pipes_result_save_V1!$K$2:$K$206,MATCH(BM115,Pipes_result_save_V1!$I$2:$I$206,0)) *POWER(10,-3)</f>
        <v>6.3329761505126952E-2</v>
      </c>
      <c r="BY115" s="78">
        <v>6.4036250195098083E-3</v>
      </c>
      <c r="BZ115" s="78">
        <f t="shared" si="12"/>
        <v>5.6926136485617146E-2</v>
      </c>
      <c r="CE115">
        <v>0</v>
      </c>
      <c r="CF115">
        <v>23</v>
      </c>
      <c r="CG115" t="s">
        <v>539</v>
      </c>
      <c r="CH115" t="s">
        <v>415</v>
      </c>
      <c r="CI115" s="106" t="str">
        <f>INDEX(Pipes_result_save_V1!$G$2:$G$206,MATCH(CH115,Pipes_result_save_V1!$I$2:$I$206,0))</f>
        <v>N69</v>
      </c>
      <c r="CJ115" s="106" t="str">
        <f>INDEX(Pipes_result_save_V1!$H$2:$H$206,MATCH(CH115,Pipes_result_save_V1!$I$2:$I$206,0))</f>
        <v>N51</v>
      </c>
      <c r="CK115">
        <v>0.16656000000000001</v>
      </c>
      <c r="CL115">
        <v>466</v>
      </c>
      <c r="CM115">
        <v>150</v>
      </c>
      <c r="CN115">
        <v>191</v>
      </c>
      <c r="CO115">
        <v>7.8475689792927286</v>
      </c>
      <c r="CP115">
        <v>0.16656000000000001</v>
      </c>
      <c r="CQ115">
        <v>0.28384686420411082</v>
      </c>
      <c r="CR115">
        <v>3.1561262758526247</v>
      </c>
      <c r="CS115" s="107">
        <f>INDEX(Pipes_result_save_V1!$K$2:$K$206,MATCH(CH115,Pipes_result_save_V1!$I$2:$I$206,0)) *POWER(10,-3)</f>
        <v>-3.4281181335449218E-2</v>
      </c>
      <c r="CT115" s="78">
        <v>5.3125067333407985E-3</v>
      </c>
      <c r="CU115" s="78">
        <f t="shared" si="13"/>
        <v>-2.8968674602108418E-2</v>
      </c>
      <c r="CY115">
        <v>5</v>
      </c>
      <c r="CZ115">
        <v>23</v>
      </c>
      <c r="DA115" t="s">
        <v>539</v>
      </c>
      <c r="DB115" t="s">
        <v>136</v>
      </c>
      <c r="DC115" s="106" t="str">
        <f>INDEX(Pipes_result_save_V1!$G$2:$G$206,MATCH(DB115,Pipes_result_save_V1!$I$2:$I$206,0))</f>
        <v>N34</v>
      </c>
      <c r="DD115" s="106" t="str">
        <f>INDEX(Pipes_result_save_V1!$H$2:$H$206,MATCH(DB115,Pipes_result_save_V1!$I$2:$I$206,0))</f>
        <v>N33</v>
      </c>
      <c r="DE115">
        <v>8.3280000000000007E-2</v>
      </c>
      <c r="DF115">
        <v>350</v>
      </c>
      <c r="DG115">
        <v>150</v>
      </c>
      <c r="DH115">
        <v>82</v>
      </c>
      <c r="DI115">
        <v>13.585260893493183</v>
      </c>
      <c r="DJ115">
        <v>-9.4864356265488253E-2</v>
      </c>
      <c r="DK115">
        <v>-0.1732458569772338</v>
      </c>
      <c r="DL115">
        <v>3.3822116098474271</v>
      </c>
      <c r="DM115" s="107">
        <f>INDEX(Pipes_result_save_V1!$K$2:$K$206,MATCH(DB115,Pipes_result_save_V1!$I$2:$I$206,0)) *POWER(10,-3)</f>
        <v>-0.11696879577636721</v>
      </c>
      <c r="DN115" s="78">
        <v>6.2447120673577794E-3</v>
      </c>
      <c r="DO115" s="78">
        <f t="shared" si="14"/>
        <v>-0.11072408370900942</v>
      </c>
      <c r="DT115">
        <v>10</v>
      </c>
      <c r="DU115">
        <v>23</v>
      </c>
      <c r="DV115" t="s">
        <v>540</v>
      </c>
      <c r="DW115" t="s">
        <v>148</v>
      </c>
      <c r="DX115" s="106" t="str">
        <f>INDEX(Pipes_result_save_V1!$G$2:$G$206,MATCH(DW115,Pipes_result_save_V1!$I$2:$I$206,0))</f>
        <v>N22</v>
      </c>
      <c r="DY115" s="106" t="str">
        <f>INDEX(Pipes_result_save_V1!$H$2:$H$206,MATCH(DW115,Pipes_result_save_V1!$I$2:$I$206,0))</f>
        <v>N21</v>
      </c>
      <c r="DZ115">
        <v>0.16656000000000001</v>
      </c>
      <c r="EA115">
        <v>466</v>
      </c>
      <c r="EB115">
        <v>150</v>
      </c>
      <c r="EC115">
        <v>194</v>
      </c>
      <c r="ED115">
        <v>7.9708292250407817</v>
      </c>
      <c r="EE115">
        <v>-9.4864356265488253E-2</v>
      </c>
      <c r="EF115">
        <v>-0.10164789257545837</v>
      </c>
      <c r="EG115">
        <v>1.9844323459372384</v>
      </c>
      <c r="EH115" s="107">
        <f>INDEX(Pipes_result_save_V1!$K$2:$K$206,MATCH(DW115,Pipes_result_save_V1!$I$2:$I$206,0)) *POWER(10,-3)</f>
        <v>-0.2054373626708984</v>
      </c>
      <c r="EI115" s="78">
        <v>5.0405793361785693E-3</v>
      </c>
      <c r="EJ115" s="78">
        <f t="shared" si="15"/>
        <v>-0.20039678333471983</v>
      </c>
    </row>
    <row r="116" spans="2:140" ht="30" x14ac:dyDescent="0.25">
      <c r="B116" s="106">
        <v>24</v>
      </c>
      <c r="C116" s="106" t="s">
        <v>539</v>
      </c>
      <c r="D116" s="106" t="s">
        <v>434</v>
      </c>
      <c r="E116" s="106" t="str">
        <f>INDEX(Pipes_result_save_V1!$G$2:$G$206,MATCH(D116,Pipes_result_save_V1!$I$2:$I$206,0))</f>
        <v>R1</v>
      </c>
      <c r="F116" s="106" t="str">
        <f>INDEX(Pipes_result_save_V1!$H$2:$H$206,MATCH(D116,Pipes_result_save_V1!$I$2:$I$206,0))</f>
        <v>N105</v>
      </c>
      <c r="G116" s="106">
        <v>0.03</v>
      </c>
      <c r="H116" s="107">
        <v>200</v>
      </c>
      <c r="I116" s="107">
        <v>150</v>
      </c>
      <c r="J116" s="107">
        <v>30</v>
      </c>
      <c r="K116" s="107">
        <v>75.895097037358298</v>
      </c>
      <c r="L116" s="107">
        <v>0.03</v>
      </c>
      <c r="M116" s="107">
        <v>0.11477367408807007</v>
      </c>
      <c r="N116" s="107">
        <v>7.0853614803701932</v>
      </c>
      <c r="O116" s="107">
        <f>INDEX(Pipes_result_save_V1!$K$2:$K$206,MATCH(D116,Pipes_result_save_V1!$I$2:$I$206,0)) *POWER(10,-3)</f>
        <v>0</v>
      </c>
      <c r="P116" s="78">
        <v>5.4514441579846269E-3</v>
      </c>
      <c r="Q116" s="78">
        <f t="shared" si="9"/>
        <v>0</v>
      </c>
      <c r="R116" s="78"/>
      <c r="S116" s="78"/>
      <c r="T116" s="78">
        <v>0</v>
      </c>
      <c r="U116" s="78">
        <v>24</v>
      </c>
      <c r="V116" s="78" t="s">
        <v>540</v>
      </c>
      <c r="W116" s="78" t="s">
        <v>204</v>
      </c>
      <c r="X116" s="106" t="str">
        <f>INDEX(Pipes_result_save_V1!$G$2:$G$206,MATCH(W116,Pipes_result_save_V1!$I$2:$I$206,0))</f>
        <v>N145</v>
      </c>
      <c r="Y116" s="106" t="str">
        <f>INDEX(Pipes_result_save_V1!$H$2:$H$206,MATCH(W116,Pipes_result_save_V1!$I$2:$I$206,0))</f>
        <v>N146</v>
      </c>
      <c r="Z116" s="78">
        <v>5.8057999999999998E-2</v>
      </c>
      <c r="AA116" s="78">
        <v>300</v>
      </c>
      <c r="AB116" s="78">
        <v>150</v>
      </c>
      <c r="AC116" s="78">
        <v>168</v>
      </c>
      <c r="AD116" s="78">
        <v>58.974086808936164</v>
      </c>
      <c r="AE116" s="78">
        <v>-5.8057999999999998E-2</v>
      </c>
      <c r="AF116" s="78">
        <v>0</v>
      </c>
      <c r="AG116" s="78">
        <v>0</v>
      </c>
      <c r="AH116" s="78">
        <v>-0.30292406794256088</v>
      </c>
      <c r="AI116">
        <v>9.663015843288143</v>
      </c>
      <c r="AJ116" s="107">
        <f>INDEX(Pipes_result_save_V1!$K$2:$K$206,MATCH(W116,Pipes_result_save_V1!$I$2:$I$206,0)) *POWER(10,-3)</f>
        <v>6.1983890533447265E-3</v>
      </c>
      <c r="AK116" s="78">
        <v>3.7382600759116426E-3</v>
      </c>
      <c r="AL116" s="78">
        <f t="shared" si="10"/>
        <v>2.4601289774330839E-3</v>
      </c>
      <c r="AP116">
        <v>0</v>
      </c>
      <c r="AQ116">
        <v>24</v>
      </c>
      <c r="AR116" t="s">
        <v>540</v>
      </c>
      <c r="AS116" t="s">
        <v>311</v>
      </c>
      <c r="AT116" s="106" t="str">
        <f>INDEX(Pipes_result_save_V1!$G$2:$G$206,MATCH(AS116,Pipes_result_save_V1!$I$2:$I$206,0))</f>
        <v>N121</v>
      </c>
      <c r="AU116" s="106" t="str">
        <f>INDEX(Pipes_result_save_V1!$H$2:$H$206,MATCH(AS116,Pipes_result_save_V1!$I$2:$I$206,0))</f>
        <v>N122</v>
      </c>
      <c r="AV116">
        <v>0.116116</v>
      </c>
      <c r="AW116">
        <v>400</v>
      </c>
      <c r="AX116">
        <v>150</v>
      </c>
      <c r="AY116">
        <v>121</v>
      </c>
      <c r="AZ116">
        <v>10.460699519593918</v>
      </c>
      <c r="BA116">
        <v>-0.116116</v>
      </c>
      <c r="BB116">
        <v>-0.19397279997750211</v>
      </c>
      <c r="BC116">
        <v>3.0937823000993316</v>
      </c>
      <c r="BD116" s="107">
        <f>INDEX(Pipes_result_save_V1!$K$2:$K$206,MATCH(AS116,Pipes_result_save_V1!$I$2:$I$206,0)) *POWER(10,-3)</f>
        <v>5.762615203857422E-2</v>
      </c>
      <c r="BE116" s="78">
        <v>5.4222826737883928E-3</v>
      </c>
      <c r="BF116" s="78">
        <f t="shared" si="11"/>
        <v>5.2203869364785827E-2</v>
      </c>
      <c r="BJ116">
        <v>4</v>
      </c>
      <c r="BK116">
        <v>24</v>
      </c>
      <c r="BL116" t="s">
        <v>540</v>
      </c>
      <c r="BM116" t="s">
        <v>179</v>
      </c>
      <c r="BN116" s="106" t="str">
        <f>INDEX(Pipes_result_save_V1!$G$2:$G$206,MATCH(BM116,Pipes_result_save_V1!$I$2:$I$206,0))</f>
        <v>N73</v>
      </c>
      <c r="BO116" s="106" t="str">
        <f>INDEX(Pipes_result_save_V1!$H$2:$H$206,MATCH(BM116,Pipes_result_save_V1!$I$2:$I$206,0))</f>
        <v>N74</v>
      </c>
      <c r="BP116">
        <v>3.2837000000000005E-2</v>
      </c>
      <c r="BQ116">
        <v>250</v>
      </c>
      <c r="BR116">
        <v>150</v>
      </c>
      <c r="BS116">
        <v>87</v>
      </c>
      <c r="BT116">
        <v>74.227194312180643</v>
      </c>
      <c r="BU116">
        <v>3.8250255700015404E-2</v>
      </c>
      <c r="BV116">
        <v>0.17603614436144388</v>
      </c>
      <c r="BW116">
        <v>8.5233139855131181</v>
      </c>
      <c r="BX116" s="107">
        <f>INDEX(Pipes_result_save_V1!$K$2:$K$206,MATCH(BM116,Pipes_result_save_V1!$I$2:$I$206,0)) *POWER(10,-3)</f>
        <v>6.2376930236816418E-2</v>
      </c>
      <c r="BY116" s="78">
        <v>5.3001981870944882E-3</v>
      </c>
      <c r="BZ116" s="78">
        <f t="shared" si="12"/>
        <v>5.7076732049721926E-2</v>
      </c>
      <c r="CE116">
        <v>3</v>
      </c>
      <c r="CF116">
        <v>24</v>
      </c>
      <c r="CG116" t="s">
        <v>539</v>
      </c>
      <c r="CH116" t="s">
        <v>159</v>
      </c>
      <c r="CI116" s="106" t="str">
        <f>INDEX(Pipes_result_save_V1!$G$2:$G$206,MATCH(CH116,Pipes_result_save_V1!$I$2:$I$206,0))</f>
        <v>N53</v>
      </c>
      <c r="CJ116" s="106" t="str">
        <f>INDEX(Pipes_result_save_V1!$H$2:$H$206,MATCH(CH116,Pipes_result_save_V1!$I$2:$I$206,0))</f>
        <v>N52</v>
      </c>
      <c r="CK116">
        <v>3.2837000000000005E-2</v>
      </c>
      <c r="CL116">
        <v>250</v>
      </c>
      <c r="CM116">
        <v>150</v>
      </c>
      <c r="CN116">
        <v>94</v>
      </c>
      <c r="CO116">
        <v>80.199497302815871</v>
      </c>
      <c r="CP116">
        <v>2.3580796114934299E-2</v>
      </c>
      <c r="CQ116">
        <v>7.7651512635117478E-2</v>
      </c>
      <c r="CR116">
        <v>6.0986321538634876</v>
      </c>
      <c r="CS116" s="107">
        <f>INDEX(Pipes_result_save_V1!$K$2:$K$206,MATCH(CH116,Pipes_result_save_V1!$I$2:$I$206,0)) *POWER(10,-3)</f>
        <v>-3.1705240249633788E-2</v>
      </c>
      <c r="CT116" s="78">
        <v>6.0291395850206372E-3</v>
      </c>
      <c r="CU116" s="78">
        <f t="shared" si="13"/>
        <v>-2.567610066461315E-2</v>
      </c>
      <c r="CY116">
        <v>6</v>
      </c>
      <c r="CZ116">
        <v>24</v>
      </c>
      <c r="DA116" t="s">
        <v>539</v>
      </c>
      <c r="DB116" t="s">
        <v>134</v>
      </c>
      <c r="DC116" s="106" t="str">
        <f>INDEX(Pipes_result_save_V1!$G$2:$G$206,MATCH(DB116,Pipes_result_save_V1!$I$2:$I$206,0))</f>
        <v>N35</v>
      </c>
      <c r="DD116" s="106" t="str">
        <f>INDEX(Pipes_result_save_V1!$H$2:$H$206,MATCH(DB116,Pipes_result_save_V1!$I$2:$I$206,0))</f>
        <v>N34</v>
      </c>
      <c r="DE116">
        <v>8.3280000000000007E-2</v>
      </c>
      <c r="DF116">
        <v>350</v>
      </c>
      <c r="DG116">
        <v>150</v>
      </c>
      <c r="DH116">
        <v>69</v>
      </c>
      <c r="DI116">
        <v>11.431500020134509</v>
      </c>
      <c r="DJ116">
        <v>-9.4864356265488253E-2</v>
      </c>
      <c r="DK116">
        <v>-0.14578005038328212</v>
      </c>
      <c r="DL116">
        <v>2.8460073302374695</v>
      </c>
      <c r="DM116" s="107">
        <f>INDEX(Pipes_result_save_V1!$K$2:$K$206,MATCH(DB116,Pipes_result_save_V1!$I$2:$I$206,0)) *POWER(10,-3)</f>
        <v>-0.1161072616577148</v>
      </c>
      <c r="DN116" s="78">
        <v>6.359427932995646E-3</v>
      </c>
      <c r="DO116" s="78">
        <f t="shared" si="14"/>
        <v>-0.10974783372471916</v>
      </c>
      <c r="DT116">
        <v>11</v>
      </c>
      <c r="DU116">
        <v>24</v>
      </c>
      <c r="DV116" t="s">
        <v>540</v>
      </c>
      <c r="DW116" t="s">
        <v>147</v>
      </c>
      <c r="DX116" s="106" t="str">
        <f>INDEX(Pipes_result_save_V1!$G$2:$G$206,MATCH(DW116,Pipes_result_save_V1!$I$2:$I$206,0))</f>
        <v>N23</v>
      </c>
      <c r="DY116" s="106" t="str">
        <f>INDEX(Pipes_result_save_V1!$H$2:$H$206,MATCH(DW116,Pipes_result_save_V1!$I$2:$I$206,0))</f>
        <v>N22</v>
      </c>
      <c r="DZ116">
        <v>0.16656000000000001</v>
      </c>
      <c r="EA116">
        <v>466</v>
      </c>
      <c r="EB116">
        <v>150</v>
      </c>
      <c r="EC116">
        <v>74</v>
      </c>
      <c r="ED116">
        <v>3.0404193951186484</v>
      </c>
      <c r="EE116">
        <v>-9.4864356265488253E-2</v>
      </c>
      <c r="EF116">
        <v>-3.877290747723669E-2</v>
      </c>
      <c r="EG116">
        <v>0.75694842061523515</v>
      </c>
      <c r="EH116" s="107">
        <f>INDEX(Pipes_result_save_V1!$K$2:$K$206,MATCH(DW116,Pipes_result_save_V1!$I$2:$I$206,0)) *POWER(10,-3)</f>
        <v>-0.20390827941894532</v>
      </c>
      <c r="EI116" s="78">
        <v>6.2628404215481952E-3</v>
      </c>
      <c r="EJ116" s="78">
        <f t="shared" si="15"/>
        <v>-0.19764543899739712</v>
      </c>
    </row>
    <row r="117" spans="2:140" ht="30" x14ac:dyDescent="0.25">
      <c r="B117" s="106">
        <v>25</v>
      </c>
      <c r="C117" s="106" t="s">
        <v>539</v>
      </c>
      <c r="D117" s="106" t="s">
        <v>220</v>
      </c>
      <c r="E117" s="106" t="str">
        <f>INDEX(Pipes_result_save_V1!$G$2:$G$206,MATCH(D117,Pipes_result_save_V1!$I$2:$I$206,0))</f>
        <v>N148</v>
      </c>
      <c r="F117" s="106" t="str">
        <f>INDEX(Pipes_result_save_V1!$H$2:$H$206,MATCH(D117,Pipes_result_save_V1!$I$2:$I$206,0))</f>
        <v>N149</v>
      </c>
      <c r="G117" s="106">
        <v>9.0999999999999998E-2</v>
      </c>
      <c r="H117" s="107">
        <v>350</v>
      </c>
      <c r="I117" s="107">
        <v>150</v>
      </c>
      <c r="J117" s="107">
        <v>91</v>
      </c>
      <c r="K117" s="107">
        <v>15.076326113510728</v>
      </c>
      <c r="L117" s="107">
        <v>9.0999999999999998E-2</v>
      </c>
      <c r="M117" s="107">
        <v>0.17800827088336596</v>
      </c>
      <c r="N117" s="107">
        <v>3.6227617327032307</v>
      </c>
      <c r="O117" s="107">
        <f>INDEX(Pipes_result_save_V1!$K$2:$K$206,MATCH(D117,Pipes_result_save_V1!$I$2:$I$206,0)) *POWER(10,-3)</f>
        <v>-1.2776296615600589E-2</v>
      </c>
      <c r="P117" s="78">
        <v>6.2005539232598845E-3</v>
      </c>
      <c r="Q117" s="78">
        <f t="shared" si="9"/>
        <v>-6.5757426923407046E-3</v>
      </c>
      <c r="R117" s="78"/>
      <c r="S117" s="78"/>
      <c r="T117" s="78">
        <v>0</v>
      </c>
      <c r="U117" s="78">
        <v>25</v>
      </c>
      <c r="V117" s="78" t="s">
        <v>540</v>
      </c>
      <c r="W117" s="78" t="s">
        <v>218</v>
      </c>
      <c r="X117" s="106" t="str">
        <f>INDEX(Pipes_result_save_V1!$G$2:$G$206,MATCH(W117,Pipes_result_save_V1!$I$2:$I$206,0))</f>
        <v>N146</v>
      </c>
      <c r="Y117" s="106" t="str">
        <f>INDEX(Pipes_result_save_V1!$H$2:$H$206,MATCH(W117,Pipes_result_save_V1!$I$2:$I$206,0))</f>
        <v>N147</v>
      </c>
      <c r="Z117" s="78">
        <v>5.8057999999999998E-2</v>
      </c>
      <c r="AA117" s="78">
        <v>300</v>
      </c>
      <c r="AB117" s="78">
        <v>150</v>
      </c>
      <c r="AC117" s="78">
        <v>214</v>
      </c>
      <c r="AD117" s="78">
        <v>75.121753435192488</v>
      </c>
      <c r="AE117" s="78">
        <v>-5.8057999999999998E-2</v>
      </c>
      <c r="AF117" s="78">
        <v>0</v>
      </c>
      <c r="AG117" s="78">
        <v>0</v>
      </c>
      <c r="AH117" s="78">
        <v>-0.38586756273635725</v>
      </c>
      <c r="AI117">
        <v>12.308841609902753</v>
      </c>
      <c r="AJ117" s="107">
        <f>INDEX(Pipes_result_save_V1!$K$2:$K$206,MATCH(W117,Pipes_result_save_V1!$I$2:$I$206,0)) *POWER(10,-3)</f>
        <v>4.0188694000244142E-3</v>
      </c>
      <c r="AK117" s="78">
        <v>2.0891597055770774E-3</v>
      </c>
      <c r="AL117" s="78">
        <f t="shared" si="10"/>
        <v>1.9297096944473368E-3</v>
      </c>
      <c r="AP117">
        <v>0</v>
      </c>
      <c r="AQ117">
        <v>25</v>
      </c>
      <c r="AR117" t="s">
        <v>540</v>
      </c>
      <c r="AS117" t="s">
        <v>313</v>
      </c>
      <c r="AT117" s="106" t="str">
        <f>INDEX(Pipes_result_save_V1!$G$2:$G$206,MATCH(AS117,Pipes_result_save_V1!$I$2:$I$206,0))</f>
        <v>N122</v>
      </c>
      <c r="AU117" s="106" t="str">
        <f>INDEX(Pipes_result_save_V1!$H$2:$H$206,MATCH(AS117,Pipes_result_save_V1!$I$2:$I$206,0))</f>
        <v>N123</v>
      </c>
      <c r="AV117">
        <v>0.116116</v>
      </c>
      <c r="AW117">
        <v>400</v>
      </c>
      <c r="AX117">
        <v>150</v>
      </c>
      <c r="AY117">
        <v>122</v>
      </c>
      <c r="AZ117">
        <v>10.547151581739321</v>
      </c>
      <c r="BA117">
        <v>-0.116116</v>
      </c>
      <c r="BB117">
        <v>-0.19557588096905171</v>
      </c>
      <c r="BC117">
        <v>3.1193507488604828</v>
      </c>
      <c r="BD117" s="107">
        <f>INDEX(Pipes_result_save_V1!$K$2:$K$206,MATCH(AS117,Pipes_result_save_V1!$I$2:$I$206,0)) *POWER(10,-3)</f>
        <v>5.6114177703857425E-2</v>
      </c>
      <c r="BE117" s="78">
        <v>5.8321580512820433E-3</v>
      </c>
      <c r="BF117" s="78">
        <f t="shared" si="11"/>
        <v>5.028201965257538E-2</v>
      </c>
      <c r="BJ117">
        <v>5</v>
      </c>
      <c r="BK117">
        <v>25</v>
      </c>
      <c r="BL117" t="s">
        <v>540</v>
      </c>
      <c r="BM117" t="s">
        <v>180</v>
      </c>
      <c r="BN117" s="106" t="str">
        <f>INDEX(Pipes_result_save_V1!$G$2:$G$206,MATCH(BM117,Pipes_result_save_V1!$I$2:$I$206,0))</f>
        <v>N74</v>
      </c>
      <c r="BO117" s="106" t="str">
        <f>INDEX(Pipes_result_save_V1!$H$2:$H$206,MATCH(BM117,Pipes_result_save_V1!$I$2:$I$206,0))</f>
        <v>N75</v>
      </c>
      <c r="BP117">
        <v>3.2837000000000005E-2</v>
      </c>
      <c r="BQ117">
        <v>250</v>
      </c>
      <c r="BR117">
        <v>150</v>
      </c>
      <c r="BS117">
        <v>89</v>
      </c>
      <c r="BT117">
        <v>75.93356659521929</v>
      </c>
      <c r="BU117">
        <v>3.8250255700015404E-2</v>
      </c>
      <c r="BV117">
        <v>0.18008295227779894</v>
      </c>
      <c r="BW117">
        <v>8.7192522380536506</v>
      </c>
      <c r="BX117" s="107">
        <f>INDEX(Pipes_result_save_V1!$K$2:$K$206,MATCH(BM117,Pipes_result_save_V1!$I$2:$I$206,0)) *POWER(10,-3)</f>
        <v>6.1372756958007813E-2</v>
      </c>
      <c r="BY117" s="78">
        <v>5.3829466780226098E-3</v>
      </c>
      <c r="BZ117" s="78">
        <f t="shared" si="12"/>
        <v>5.5989810279985203E-2</v>
      </c>
      <c r="CE117">
        <v>4</v>
      </c>
      <c r="CF117">
        <v>25</v>
      </c>
      <c r="CG117" t="s">
        <v>540</v>
      </c>
      <c r="CH117" t="s">
        <v>158</v>
      </c>
      <c r="CI117" s="106" t="str">
        <f>INDEX(Pipes_result_save_V1!$G$2:$G$206,MATCH(CH117,Pipes_result_save_V1!$I$2:$I$206,0))</f>
        <v>N54</v>
      </c>
      <c r="CJ117" s="106" t="str">
        <f>INDEX(Pipes_result_save_V1!$H$2:$H$206,MATCH(CH117,Pipes_result_save_V1!$I$2:$I$206,0))</f>
        <v>N53</v>
      </c>
      <c r="CK117">
        <v>3.2837000000000005E-2</v>
      </c>
      <c r="CL117">
        <v>250</v>
      </c>
      <c r="CM117">
        <v>150</v>
      </c>
      <c r="CN117">
        <v>191</v>
      </c>
      <c r="CO117">
        <v>162.95855303018971</v>
      </c>
      <c r="CP117">
        <v>2.3580796114934299E-2</v>
      </c>
      <c r="CQ117">
        <v>0.15778126503518553</v>
      </c>
      <c r="CR117">
        <v>12.391901504126874</v>
      </c>
      <c r="CS117" s="107">
        <f>INDEX(Pipes_result_save_V1!$K$2:$K$206,MATCH(CH117,Pipes_result_save_V1!$I$2:$I$206,0)) *POWER(10,-3)</f>
        <v>-3.0079156875610351E-2</v>
      </c>
      <c r="CT117" s="78">
        <v>5.8805783208500896E-3</v>
      </c>
      <c r="CU117" s="78">
        <f t="shared" si="13"/>
        <v>-2.419857855476026E-2</v>
      </c>
      <c r="CY117">
        <v>7</v>
      </c>
      <c r="CZ117">
        <v>25</v>
      </c>
      <c r="DA117" t="s">
        <v>539</v>
      </c>
      <c r="DB117" t="s">
        <v>135</v>
      </c>
      <c r="DC117" s="106" t="str">
        <f>INDEX(Pipes_result_save_V1!$G$2:$G$206,MATCH(DB117,Pipes_result_save_V1!$I$2:$I$206,0))</f>
        <v>N36</v>
      </c>
      <c r="DD117" s="106" t="str">
        <f>INDEX(Pipes_result_save_V1!$H$2:$H$206,MATCH(DB117,Pipes_result_save_V1!$I$2:$I$206,0))</f>
        <v>N35</v>
      </c>
      <c r="DE117">
        <v>8.3280000000000007E-2</v>
      </c>
      <c r="DF117">
        <v>350</v>
      </c>
      <c r="DG117">
        <v>150</v>
      </c>
      <c r="DH117">
        <v>73</v>
      </c>
      <c r="DI117">
        <v>12.094195673475639</v>
      </c>
      <c r="DJ117">
        <v>-9.4864356265488253E-2</v>
      </c>
      <c r="DK117">
        <v>-0.1542310677968057</v>
      </c>
      <c r="DL117">
        <v>3.0109932624251488</v>
      </c>
      <c r="DM117" s="107">
        <f>INDEX(Pipes_result_save_V1!$K$2:$K$206,MATCH(DB117,Pipes_result_save_V1!$I$2:$I$206,0)) *POWER(10,-3)</f>
        <v>-0.1152970657348633</v>
      </c>
      <c r="DN117" s="78">
        <v>5.9580460369928643E-3</v>
      </c>
      <c r="DO117" s="78">
        <f t="shared" si="14"/>
        <v>-0.10933901969787044</v>
      </c>
      <c r="DT117">
        <v>12</v>
      </c>
      <c r="DU117">
        <v>25</v>
      </c>
      <c r="DV117" t="s">
        <v>540</v>
      </c>
      <c r="DW117" t="s">
        <v>146</v>
      </c>
      <c r="DX117" s="106" t="str">
        <f>INDEX(Pipes_result_save_V1!$G$2:$G$206,MATCH(DW117,Pipes_result_save_V1!$I$2:$I$206,0))</f>
        <v>N24</v>
      </c>
      <c r="DY117" s="106" t="str">
        <f>INDEX(Pipes_result_save_V1!$H$2:$H$206,MATCH(DW117,Pipes_result_save_V1!$I$2:$I$206,0))</f>
        <v>N23</v>
      </c>
      <c r="DZ117">
        <v>0.16656000000000001</v>
      </c>
      <c r="EA117">
        <v>466</v>
      </c>
      <c r="EB117">
        <v>150</v>
      </c>
      <c r="EC117">
        <v>92</v>
      </c>
      <c r="ED117">
        <v>3.7799808696069688</v>
      </c>
      <c r="EE117">
        <v>-9.4864356265488253E-2</v>
      </c>
      <c r="EF117">
        <v>-4.820415524196995E-2</v>
      </c>
      <c r="EG117">
        <v>0.94107100941353583</v>
      </c>
      <c r="EH117" s="107">
        <f>INDEX(Pipes_result_save_V1!$K$2:$K$206,MATCH(DW117,Pipes_result_save_V1!$I$2:$I$206,0)) *POWER(10,-3)</f>
        <v>-0.20296116638183592</v>
      </c>
      <c r="EI117" s="78">
        <v>5.1063428122639486E-3</v>
      </c>
      <c r="EJ117" s="78">
        <f t="shared" si="15"/>
        <v>-0.19785482356957199</v>
      </c>
    </row>
    <row r="118" spans="2:140" ht="30" x14ac:dyDescent="0.25">
      <c r="B118" s="106">
        <v>26</v>
      </c>
      <c r="C118" s="106" t="s">
        <v>540</v>
      </c>
      <c r="D118" s="106" t="s">
        <v>431</v>
      </c>
      <c r="E118" s="106" t="str">
        <f>INDEX(Pipes_result_save_V1!$G$2:$G$206,MATCH(D118,Pipes_result_save_V1!$I$2:$I$206,0))</f>
        <v>N148</v>
      </c>
      <c r="F118" s="106" t="str">
        <f>INDEX(Pipes_result_save_V1!$H$2:$H$206,MATCH(D118,Pipes_result_save_V1!$I$2:$I$206,0))</f>
        <v>N166</v>
      </c>
      <c r="G118" s="106">
        <v>0.10100000000000001</v>
      </c>
      <c r="H118" s="107">
        <v>400</v>
      </c>
      <c r="I118" s="107">
        <v>150</v>
      </c>
      <c r="J118" s="107">
        <v>101</v>
      </c>
      <c r="K118" s="107">
        <v>8.7316582766858311</v>
      </c>
      <c r="L118" s="107">
        <v>-0.10100000000000001</v>
      </c>
      <c r="M118" s="107">
        <v>-0.12505467014160557</v>
      </c>
      <c r="N118" s="107">
        <v>2.2930816742797377</v>
      </c>
      <c r="O118" s="107">
        <f>INDEX(Pipes_result_save_V1!$K$2:$K$206,MATCH(D118,Pipes_result_save_V1!$I$2:$I$206,0)) *POWER(10,-3)</f>
        <v>1.367993545532227E-2</v>
      </c>
      <c r="P118" s="78">
        <v>5.7612622064551729E-3</v>
      </c>
      <c r="Q118" s="78">
        <f t="shared" si="9"/>
        <v>7.9186732488670981E-3</v>
      </c>
      <c r="R118" s="78"/>
      <c r="S118" s="78"/>
      <c r="T118" s="78">
        <v>0</v>
      </c>
      <c r="U118" s="78">
        <v>26</v>
      </c>
      <c r="V118" s="78" t="s">
        <v>540</v>
      </c>
      <c r="W118" s="78" t="s">
        <v>216</v>
      </c>
      <c r="X118" s="106" t="str">
        <f>INDEX(Pipes_result_save_V1!$G$2:$G$206,MATCH(W118,Pipes_result_save_V1!$I$2:$I$206,0))</f>
        <v>N147</v>
      </c>
      <c r="Y118" s="106" t="str">
        <f>INDEX(Pipes_result_save_V1!$H$2:$H$206,MATCH(W118,Pipes_result_save_V1!$I$2:$I$206,0))</f>
        <v>N148</v>
      </c>
      <c r="Z118" s="78">
        <v>5.8057999999999998E-2</v>
      </c>
      <c r="AA118" s="78">
        <v>300</v>
      </c>
      <c r="AB118" s="78">
        <v>150</v>
      </c>
      <c r="AC118" s="78">
        <v>70</v>
      </c>
      <c r="AD118" s="78">
        <v>24.572536170390066</v>
      </c>
      <c r="AE118" s="78">
        <v>-5.8057999999999998E-2</v>
      </c>
      <c r="AF118" s="78">
        <v>0</v>
      </c>
      <c r="AG118" s="78">
        <v>0</v>
      </c>
      <c r="AH118" s="78">
        <v>-0.12621836164273367</v>
      </c>
      <c r="AI118">
        <v>4.0262566013700587</v>
      </c>
      <c r="AJ118" s="107">
        <f>INDEX(Pipes_result_save_V1!$K$2:$K$206,MATCH(W118,Pipes_result_save_V1!$I$2:$I$206,0)) *POWER(10,-3)</f>
        <v>2.398493528366089E-3</v>
      </c>
      <c r="AK118" s="78">
        <v>3.5218557640316313E-3</v>
      </c>
      <c r="AL118" s="78">
        <f t="shared" si="10"/>
        <v>-1.1233622356655423E-3</v>
      </c>
      <c r="AP118">
        <v>0</v>
      </c>
      <c r="AQ118">
        <v>26</v>
      </c>
      <c r="AR118" t="s">
        <v>540</v>
      </c>
      <c r="AS118" t="s">
        <v>314</v>
      </c>
      <c r="AT118" s="106" t="str">
        <f>INDEX(Pipes_result_save_V1!$G$2:$G$206,MATCH(AS118,Pipes_result_save_V1!$I$2:$I$206,0))</f>
        <v>N123</v>
      </c>
      <c r="AU118" s="106" t="str">
        <f>INDEX(Pipes_result_save_V1!$H$2:$H$206,MATCH(AS118,Pipes_result_save_V1!$I$2:$I$206,0))</f>
        <v>N124</v>
      </c>
      <c r="AV118">
        <v>0.116116</v>
      </c>
      <c r="AW118">
        <v>400</v>
      </c>
      <c r="AX118">
        <v>150</v>
      </c>
      <c r="AY118">
        <v>123</v>
      </c>
      <c r="AZ118">
        <v>10.633603643884726</v>
      </c>
      <c r="BA118">
        <v>-0.116116</v>
      </c>
      <c r="BB118">
        <v>-0.19717896196060131</v>
      </c>
      <c r="BC118">
        <v>3.1449191976216344</v>
      </c>
      <c r="BD118" s="107">
        <f>INDEX(Pipes_result_save_V1!$K$2:$K$206,MATCH(AS118,Pipes_result_save_V1!$I$2:$I$206,0)) *POWER(10,-3)</f>
        <v>5.3786315917968751E-2</v>
      </c>
      <c r="BE118" s="78">
        <v>6.0988140748011324E-3</v>
      </c>
      <c r="BF118" s="78">
        <f t="shared" si="11"/>
        <v>4.7687501843167619E-2</v>
      </c>
      <c r="BJ118">
        <v>6</v>
      </c>
      <c r="BK118">
        <v>26</v>
      </c>
      <c r="BL118" t="s">
        <v>540</v>
      </c>
      <c r="BM118" t="s">
        <v>178</v>
      </c>
      <c r="BN118" s="106" t="str">
        <f>INDEX(Pipes_result_save_V1!$G$2:$G$206,MATCH(BM118,Pipes_result_save_V1!$I$2:$I$206,0))</f>
        <v>N75</v>
      </c>
      <c r="BO118" s="106" t="str">
        <f>INDEX(Pipes_result_save_V1!$H$2:$H$206,MATCH(BM118,Pipes_result_save_V1!$I$2:$I$206,0))</f>
        <v>N76</v>
      </c>
      <c r="BP118">
        <v>3.2837000000000005E-2</v>
      </c>
      <c r="BQ118">
        <v>250</v>
      </c>
      <c r="BR118">
        <v>150</v>
      </c>
      <c r="BS118">
        <v>88</v>
      </c>
      <c r="BT118">
        <v>75.080380453699973</v>
      </c>
      <c r="BU118">
        <v>3.8250255700015404E-2</v>
      </c>
      <c r="BV118">
        <v>0.17805954831962142</v>
      </c>
      <c r="BW118">
        <v>8.6212831117833844</v>
      </c>
      <c r="BX118" s="107">
        <f>INDEX(Pipes_result_save_V1!$K$2:$K$206,MATCH(BM118,Pipes_result_save_V1!$I$2:$I$206,0)) *POWER(10,-3)</f>
        <v>6.0362876892089835E-2</v>
      </c>
      <c r="BY118" s="78">
        <v>5.0370317120216196E-3</v>
      </c>
      <c r="BZ118" s="78">
        <f t="shared" si="12"/>
        <v>5.5325845180068216E-2</v>
      </c>
      <c r="CE118">
        <v>5</v>
      </c>
      <c r="CF118">
        <v>26</v>
      </c>
      <c r="CG118" t="s">
        <v>540</v>
      </c>
      <c r="CH118" t="s">
        <v>130</v>
      </c>
      <c r="CI118" s="106" t="str">
        <f>INDEX(Pipes_result_save_V1!$G$2:$G$206,MATCH(CH118,Pipes_result_save_V1!$I$2:$I$206,0))</f>
        <v>N55</v>
      </c>
      <c r="CJ118" s="106" t="str">
        <f>INDEX(Pipes_result_save_V1!$H$2:$H$206,MATCH(CH118,Pipes_result_save_V1!$I$2:$I$206,0))</f>
        <v>N54</v>
      </c>
      <c r="CK118">
        <v>3.2837000000000005E-2</v>
      </c>
      <c r="CL118">
        <v>250</v>
      </c>
      <c r="CM118">
        <v>150</v>
      </c>
      <c r="CN118">
        <v>77</v>
      </c>
      <c r="CO118">
        <v>65.695332896987466</v>
      </c>
      <c r="CP118">
        <v>2.3580796114934299E-2</v>
      </c>
      <c r="CQ118">
        <v>6.3608153967064318E-2</v>
      </c>
      <c r="CR118">
        <v>4.9956880409307294</v>
      </c>
      <c r="CS118" s="107">
        <f>INDEX(Pipes_result_save_V1!$K$2:$K$206,MATCH(CH118,Pipes_result_save_V1!$I$2:$I$206,0)) *POWER(10,-3)</f>
        <v>-2.8550071716308592E-2</v>
      </c>
      <c r="CT118" s="78">
        <v>5.931736364790087E-3</v>
      </c>
      <c r="CU118" s="78">
        <f t="shared" si="13"/>
        <v>-2.2618335351518505E-2</v>
      </c>
      <c r="CY118">
        <v>8</v>
      </c>
      <c r="CZ118">
        <v>26</v>
      </c>
      <c r="DA118" t="s">
        <v>539</v>
      </c>
      <c r="DB118" t="s">
        <v>133</v>
      </c>
      <c r="DC118" s="106" t="str">
        <f>INDEX(Pipes_result_save_V1!$G$2:$G$206,MATCH(DB118,Pipes_result_save_V1!$I$2:$I$206,0))</f>
        <v>N37</v>
      </c>
      <c r="DD118" s="106" t="str">
        <f>INDEX(Pipes_result_save_V1!$H$2:$H$206,MATCH(DB118,Pipes_result_save_V1!$I$2:$I$206,0))</f>
        <v>N36</v>
      </c>
      <c r="DE118">
        <v>8.3280000000000007E-2</v>
      </c>
      <c r="DF118">
        <v>350</v>
      </c>
      <c r="DG118">
        <v>150</v>
      </c>
      <c r="DH118">
        <v>81</v>
      </c>
      <c r="DI118">
        <v>13.419586980157902</v>
      </c>
      <c r="DJ118">
        <v>-9.4864356265488253E-2</v>
      </c>
      <c r="DK118">
        <v>-0.17113310262385292</v>
      </c>
      <c r="DL118">
        <v>3.3409651268005076</v>
      </c>
      <c r="DM118" s="107">
        <f>INDEX(Pipes_result_save_V1!$K$2:$K$206,MATCH(DB118,Pipes_result_save_V1!$I$2:$I$206,0)) *POWER(10,-3)</f>
        <v>-0.11441841125488281</v>
      </c>
      <c r="DN118" s="78">
        <v>5.6421909364428383E-3</v>
      </c>
      <c r="DO118" s="78">
        <f t="shared" si="14"/>
        <v>-0.10877622031843998</v>
      </c>
      <c r="DT118">
        <v>13</v>
      </c>
      <c r="DU118">
        <v>26</v>
      </c>
      <c r="DV118" t="s">
        <v>540</v>
      </c>
      <c r="DW118" t="s">
        <v>145</v>
      </c>
      <c r="DX118" s="106" t="str">
        <f>INDEX(Pipes_result_save_V1!$G$2:$G$206,MATCH(DW118,Pipes_result_save_V1!$I$2:$I$206,0))</f>
        <v>N25</v>
      </c>
      <c r="DY118" s="106" t="str">
        <f>INDEX(Pipes_result_save_V1!$H$2:$H$206,MATCH(DW118,Pipes_result_save_V1!$I$2:$I$206,0))</f>
        <v>N24</v>
      </c>
      <c r="DZ118">
        <v>0.16656000000000001</v>
      </c>
      <c r="EA118">
        <v>466</v>
      </c>
      <c r="EB118">
        <v>150</v>
      </c>
      <c r="EC118">
        <v>75</v>
      </c>
      <c r="ED118">
        <v>3.0815061437013331</v>
      </c>
      <c r="EE118">
        <v>-0.11009435626548825</v>
      </c>
      <c r="EF118">
        <v>-5.1774024209395142E-2</v>
      </c>
      <c r="EG118">
        <v>0.87093922057708129</v>
      </c>
      <c r="EH118" s="107">
        <f>INDEX(Pipes_result_save_V1!$K$2:$K$206,MATCH(DW118,Pipes_result_save_V1!$I$2:$I$206,0)) *POWER(10,-3)</f>
        <v>-0.20200834655761718</v>
      </c>
      <c r="EI118" s="78">
        <v>5.3541484551490031E-3</v>
      </c>
      <c r="EJ118" s="78">
        <f t="shared" si="15"/>
        <v>-0.19665419810246818</v>
      </c>
    </row>
    <row r="119" spans="2:140" ht="30" x14ac:dyDescent="0.25">
      <c r="B119" s="106">
        <v>27</v>
      </c>
      <c r="C119" s="106" t="s">
        <v>539</v>
      </c>
      <c r="D119" s="106" t="s">
        <v>219</v>
      </c>
      <c r="E119" s="106" t="str">
        <f>INDEX(Pipes_result_save_V1!$G$2:$G$206,MATCH(D119,Pipes_result_save_V1!$I$2:$I$206,0))</f>
        <v>N149</v>
      </c>
      <c r="F119" s="106" t="str">
        <f>INDEX(Pipes_result_save_V1!$H$2:$H$206,MATCH(D119,Pipes_result_save_V1!$I$2:$I$206,0))</f>
        <v>N150</v>
      </c>
      <c r="G119" s="106">
        <v>0.03</v>
      </c>
      <c r="H119" s="107">
        <v>200</v>
      </c>
      <c r="I119" s="107">
        <v>150</v>
      </c>
      <c r="J119" s="107">
        <v>30</v>
      </c>
      <c r="K119" s="107">
        <v>75.895097037358298</v>
      </c>
      <c r="L119" s="107">
        <v>0.03</v>
      </c>
      <c r="M119" s="107">
        <v>0.11477367408807007</v>
      </c>
      <c r="N119" s="107">
        <v>7.0853614803701932</v>
      </c>
      <c r="O119" s="107">
        <f>INDEX(Pipes_result_save_V1!$K$2:$K$206,MATCH(D119,Pipes_result_save_V1!$I$2:$I$206,0)) *POWER(10,-3)</f>
        <v>-1.3466668128967291E-2</v>
      </c>
      <c r="P119" s="78">
        <v>5.2595888376986517E-3</v>
      </c>
      <c r="Q119" s="78">
        <f t="shared" si="9"/>
        <v>-8.2070792912686402E-3</v>
      </c>
      <c r="R119" s="78"/>
      <c r="S119" s="78"/>
      <c r="T119" s="78">
        <v>25</v>
      </c>
      <c r="U119" s="78">
        <v>27</v>
      </c>
      <c r="V119" s="78" t="s">
        <v>540</v>
      </c>
      <c r="W119" s="78" t="s">
        <v>220</v>
      </c>
      <c r="X119" s="106" t="str">
        <f>INDEX(Pipes_result_save_V1!$G$2:$G$206,MATCH(W119,Pipes_result_save_V1!$I$2:$I$206,0))</f>
        <v>N148</v>
      </c>
      <c r="Y119" s="106" t="str">
        <f>INDEX(Pipes_result_save_V1!$H$2:$H$206,MATCH(W119,Pipes_result_save_V1!$I$2:$I$206,0))</f>
        <v>N149</v>
      </c>
      <c r="Z119" s="78">
        <v>2.9028999999999999E-2</v>
      </c>
      <c r="AA119" s="78">
        <v>200</v>
      </c>
      <c r="AB119" s="78">
        <v>150</v>
      </c>
      <c r="AC119" s="78">
        <v>91</v>
      </c>
      <c r="AD119" s="78">
        <v>230.21512767998681</v>
      </c>
      <c r="AE119" s="78">
        <v>9.7596935076183555E-2</v>
      </c>
      <c r="AF119" s="78">
        <v>1</v>
      </c>
      <c r="AG119" s="78">
        <v>-1</v>
      </c>
      <c r="AH119" s="78">
        <v>3.0943516202637942</v>
      </c>
      <c r="AI119">
        <v>58.718434100980403</v>
      </c>
      <c r="AJ119" s="107">
        <f>INDEX(Pipes_result_save_V1!$K$2:$K$206,MATCH(W119,Pipes_result_save_V1!$I$2:$I$206,0)) *POWER(10,-3)</f>
        <v>-1.2776296615600589E-2</v>
      </c>
      <c r="AK119" s="78">
        <v>4.6413242317751551E-3</v>
      </c>
      <c r="AL119" s="78">
        <f t="shared" si="10"/>
        <v>-8.134972383825434E-3</v>
      </c>
      <c r="AP119">
        <v>0</v>
      </c>
      <c r="AQ119">
        <v>27</v>
      </c>
      <c r="AR119" t="s">
        <v>540</v>
      </c>
      <c r="AS119" t="s">
        <v>420</v>
      </c>
      <c r="AT119" s="106" t="str">
        <f>INDEX(Pipes_result_save_V1!$G$2:$G$206,MATCH(AS119,Pipes_result_save_V1!$I$2:$I$206,0))</f>
        <v>N124</v>
      </c>
      <c r="AU119" s="106" t="str">
        <f>INDEX(Pipes_result_save_V1!$H$2:$H$206,MATCH(AS119,Pipes_result_save_V1!$I$2:$I$206,0))</f>
        <v>N125</v>
      </c>
      <c r="AV119">
        <v>0.116116</v>
      </c>
      <c r="AW119">
        <v>400</v>
      </c>
      <c r="AX119">
        <v>150</v>
      </c>
      <c r="AY119">
        <v>124</v>
      </c>
      <c r="AZ119">
        <v>10.720055706030131</v>
      </c>
      <c r="BA119">
        <v>-0.116116</v>
      </c>
      <c r="BB119">
        <v>-0.19878204295215093</v>
      </c>
      <c r="BC119">
        <v>3.170487646382786</v>
      </c>
      <c r="BD119" s="107">
        <f>INDEX(Pipes_result_save_V1!$K$2:$K$206,MATCH(AS119,Pipes_result_save_V1!$I$2:$I$206,0)) *POWER(10,-3)</f>
        <v>5.1424217224121091E-2</v>
      </c>
      <c r="BE119" s="78">
        <v>6.0980594748508751E-3</v>
      </c>
      <c r="BF119" s="78">
        <f t="shared" si="11"/>
        <v>4.5326157749270214E-2</v>
      </c>
      <c r="BJ119">
        <v>7</v>
      </c>
      <c r="BK119">
        <v>27</v>
      </c>
      <c r="BL119" t="s">
        <v>540</v>
      </c>
      <c r="BM119" t="s">
        <v>189</v>
      </c>
      <c r="BN119" s="106" t="str">
        <f>INDEX(Pipes_result_save_V1!$G$2:$G$206,MATCH(BM119,Pipes_result_save_V1!$I$2:$I$206,0))</f>
        <v>N76</v>
      </c>
      <c r="BO119" s="106" t="str">
        <f>INDEX(Pipes_result_save_V1!$H$2:$H$206,MATCH(BM119,Pipes_result_save_V1!$I$2:$I$206,0))</f>
        <v>N77</v>
      </c>
      <c r="BP119">
        <v>3.2837000000000005E-2</v>
      </c>
      <c r="BQ119">
        <v>250</v>
      </c>
      <c r="BR119">
        <v>150</v>
      </c>
      <c r="BS119">
        <v>76</v>
      </c>
      <c r="BT119">
        <v>64.84214675546815</v>
      </c>
      <c r="BU119">
        <v>3.8250255700015404E-2</v>
      </c>
      <c r="BV119">
        <v>0.1537787008214912</v>
      </c>
      <c r="BW119">
        <v>7.4456535965401951</v>
      </c>
      <c r="BX119" s="107">
        <f>INDEX(Pipes_result_save_V1!$K$2:$K$206,MATCH(BM119,Pipes_result_save_V1!$I$2:$I$206,0)) *POWER(10,-3)</f>
        <v>5.9427165985107423E-2</v>
      </c>
      <c r="BY119" s="78">
        <v>5.2836406684327718E-3</v>
      </c>
      <c r="BZ119" s="78">
        <f t="shared" si="12"/>
        <v>5.414352531667465E-2</v>
      </c>
      <c r="CE119">
        <v>6</v>
      </c>
      <c r="CF119">
        <v>27</v>
      </c>
      <c r="CG119" t="s">
        <v>540</v>
      </c>
      <c r="CH119" t="s">
        <v>129</v>
      </c>
      <c r="CI119" s="106" t="str">
        <f>INDEX(Pipes_result_save_V1!$G$2:$G$206,MATCH(CH119,Pipes_result_save_V1!$I$2:$I$206,0))</f>
        <v>N56</v>
      </c>
      <c r="CJ119" s="106" t="str">
        <f>INDEX(Pipes_result_save_V1!$H$2:$H$206,MATCH(CH119,Pipes_result_save_V1!$I$2:$I$206,0))</f>
        <v>N55</v>
      </c>
      <c r="CK119">
        <v>3.2837000000000005E-2</v>
      </c>
      <c r="CL119">
        <v>250</v>
      </c>
      <c r="CM119">
        <v>150</v>
      </c>
      <c r="CN119">
        <v>77</v>
      </c>
      <c r="CO119">
        <v>65.695332896987466</v>
      </c>
      <c r="CP119">
        <v>2.3580796114934299E-2</v>
      </c>
      <c r="CQ119">
        <v>6.3608153967064318E-2</v>
      </c>
      <c r="CR119">
        <v>4.9956880409307294</v>
      </c>
      <c r="CS119" s="107">
        <f>INDEX(Pipes_result_save_V1!$K$2:$K$206,MATCH(CH119,Pipes_result_save_V1!$I$2:$I$206,0)) *POWER(10,-3)</f>
        <v>-2.7671417236328121E-2</v>
      </c>
      <c r="CT119" s="78">
        <v>5.062299104412759E-3</v>
      </c>
      <c r="CU119" s="78">
        <f t="shared" si="13"/>
        <v>-2.2609118131915362E-2</v>
      </c>
      <c r="CY119">
        <v>9</v>
      </c>
      <c r="CZ119">
        <v>27</v>
      </c>
      <c r="DA119" t="s">
        <v>539</v>
      </c>
      <c r="DB119" t="s">
        <v>132</v>
      </c>
      <c r="DC119" s="106" t="str">
        <f>INDEX(Pipes_result_save_V1!$G$2:$G$206,MATCH(DB119,Pipes_result_save_V1!$I$2:$I$206,0))</f>
        <v>N38</v>
      </c>
      <c r="DD119" s="106" t="str">
        <f>INDEX(Pipes_result_save_V1!$H$2:$H$206,MATCH(DB119,Pipes_result_save_V1!$I$2:$I$206,0))</f>
        <v>N37</v>
      </c>
      <c r="DE119">
        <v>8.3280000000000007E-2</v>
      </c>
      <c r="DF119">
        <v>350</v>
      </c>
      <c r="DG119">
        <v>150</v>
      </c>
      <c r="DH119">
        <v>101</v>
      </c>
      <c r="DI119">
        <v>16.733065246863553</v>
      </c>
      <c r="DJ119">
        <v>-9.4864356265488253E-2</v>
      </c>
      <c r="DK119">
        <v>-0.21338818969147089</v>
      </c>
      <c r="DL119">
        <v>4.1658947877389041</v>
      </c>
      <c r="DM119" s="107">
        <f>INDEX(Pipes_result_save_V1!$K$2:$K$206,MATCH(DB119,Pipes_result_save_V1!$I$2:$I$206,0)) *POWER(10,-3)</f>
        <v>-0.1133800048828125</v>
      </c>
      <c r="DN119" s="78">
        <v>6.4922119596177389E-3</v>
      </c>
      <c r="DO119" s="78">
        <f t="shared" si="14"/>
        <v>-0.10688779292319475</v>
      </c>
      <c r="DT119">
        <v>14</v>
      </c>
      <c r="DU119">
        <v>27</v>
      </c>
      <c r="DV119" t="s">
        <v>540</v>
      </c>
      <c r="DW119" t="s">
        <v>144</v>
      </c>
      <c r="DX119" s="106" t="str">
        <f>INDEX(Pipes_result_save_V1!$G$2:$G$206,MATCH(DW119,Pipes_result_save_V1!$I$2:$I$206,0))</f>
        <v>N26</v>
      </c>
      <c r="DY119" s="106" t="str">
        <f>INDEX(Pipes_result_save_V1!$H$2:$H$206,MATCH(DW119,Pipes_result_save_V1!$I$2:$I$206,0))</f>
        <v>N25</v>
      </c>
      <c r="DZ119">
        <v>0.16656000000000001</v>
      </c>
      <c r="EA119">
        <v>466</v>
      </c>
      <c r="EB119">
        <v>150</v>
      </c>
      <c r="EC119">
        <v>76</v>
      </c>
      <c r="ED119">
        <v>3.1225928922840178</v>
      </c>
      <c r="EE119">
        <v>1.1995439849446052E-2</v>
      </c>
      <c r="EF119">
        <v>8.6467584549903057E-4</v>
      </c>
      <c r="EG119">
        <v>0.13349903679756739</v>
      </c>
      <c r="EH119" s="107">
        <f>INDEX(Pipes_result_save_V1!$K$2:$K$206,MATCH(DW119,Pipes_result_save_V1!$I$2:$I$206,0)) *POWER(10,-3)</f>
        <v>-0.20114678955078119</v>
      </c>
      <c r="EI119" s="78">
        <v>5.4945029180460039E-3</v>
      </c>
      <c r="EJ119" s="78">
        <f t="shared" si="15"/>
        <v>-0.19565228663273518</v>
      </c>
    </row>
    <row r="120" spans="2:140" ht="30" x14ac:dyDescent="0.25">
      <c r="B120" s="106">
        <v>28</v>
      </c>
      <c r="C120" s="106" t="s">
        <v>539</v>
      </c>
      <c r="D120" s="106" t="s">
        <v>221</v>
      </c>
      <c r="E120" s="106" t="str">
        <f>INDEX(Pipes_result_save_V1!$G$2:$G$206,MATCH(D120,Pipes_result_save_V1!$I$2:$I$206,0))</f>
        <v>N150</v>
      </c>
      <c r="F120" s="106" t="str">
        <f>INDEX(Pipes_result_save_V1!$H$2:$H$206,MATCH(D120,Pipes_result_save_V1!$I$2:$I$206,0))</f>
        <v>N151</v>
      </c>
      <c r="G120" s="106">
        <v>3.5000000000000003E-2</v>
      </c>
      <c r="H120" s="107">
        <v>250</v>
      </c>
      <c r="I120" s="107">
        <v>150</v>
      </c>
      <c r="J120" s="107">
        <v>35</v>
      </c>
      <c r="K120" s="107">
        <v>29.861514953176123</v>
      </c>
      <c r="L120" s="107">
        <v>3.5000000000000003E-2</v>
      </c>
      <c r="M120" s="107">
        <v>6.0079437098534257E-2</v>
      </c>
      <c r="N120" s="107">
        <v>3.1790605001852987</v>
      </c>
      <c r="O120" s="107">
        <f>INDEX(Pipes_result_save_V1!$K$2:$K$206,MATCH(D120,Pipes_result_save_V1!$I$2:$I$206,0)) *POWER(10,-3)</f>
        <v>-1.3837529182434081E-2</v>
      </c>
      <c r="P120" s="78">
        <v>6.2636550694442038E-3</v>
      </c>
      <c r="Q120" s="78">
        <f t="shared" si="9"/>
        <v>-7.5738741129898774E-3</v>
      </c>
      <c r="R120" s="78"/>
      <c r="S120" s="78"/>
      <c r="T120" s="78">
        <v>27</v>
      </c>
      <c r="U120" s="78">
        <v>28</v>
      </c>
      <c r="V120" s="78" t="s">
        <v>540</v>
      </c>
      <c r="W120" s="78" t="s">
        <v>219</v>
      </c>
      <c r="X120" s="106" t="str">
        <f>INDEX(Pipes_result_save_V1!$G$2:$G$206,MATCH(W120,Pipes_result_save_V1!$I$2:$I$206,0))</f>
        <v>N149</v>
      </c>
      <c r="Y120" s="106" t="str">
        <f>INDEX(Pipes_result_save_V1!$H$2:$H$206,MATCH(W120,Pipes_result_save_V1!$I$2:$I$206,0))</f>
        <v>N150</v>
      </c>
      <c r="Z120" s="78">
        <v>2.9028999999999999E-2</v>
      </c>
      <c r="AA120" s="78">
        <v>200</v>
      </c>
      <c r="AB120" s="78">
        <v>150</v>
      </c>
      <c r="AC120" s="78">
        <v>30</v>
      </c>
      <c r="AD120" s="78">
        <v>75.895097037358298</v>
      </c>
      <c r="AE120" s="78">
        <v>3.6596935076183557E-2</v>
      </c>
      <c r="AF120" s="78">
        <v>1</v>
      </c>
      <c r="AG120" s="78">
        <v>-1</v>
      </c>
      <c r="AH120" s="78">
        <v>0.16584918199856438</v>
      </c>
      <c r="AI120">
        <v>8.392852691678792</v>
      </c>
      <c r="AJ120" s="107">
        <f>INDEX(Pipes_result_save_V1!$K$2:$K$206,MATCH(W120,Pipes_result_save_V1!$I$2:$I$206,0)) *POWER(10,-3)</f>
        <v>-1.3466668128967291E-2</v>
      </c>
      <c r="AK120" s="78">
        <v>1.8270960762708306E-3</v>
      </c>
      <c r="AL120" s="78">
        <f t="shared" si="10"/>
        <v>-1.1639572052696461E-2</v>
      </c>
      <c r="AP120">
        <v>0</v>
      </c>
      <c r="AQ120">
        <v>28</v>
      </c>
      <c r="AR120" t="s">
        <v>540</v>
      </c>
      <c r="AS120" t="s">
        <v>288</v>
      </c>
      <c r="AT120" s="106" t="str">
        <f>INDEX(Pipes_result_save_V1!$G$2:$G$206,MATCH(AS120,Pipes_result_save_V1!$I$2:$I$206,0))</f>
        <v>N125</v>
      </c>
      <c r="AU120" s="106" t="str">
        <f>INDEX(Pipes_result_save_V1!$H$2:$H$206,MATCH(AS120,Pipes_result_save_V1!$I$2:$I$206,0))</f>
        <v>N126</v>
      </c>
      <c r="AV120">
        <v>0.116116</v>
      </c>
      <c r="AW120">
        <v>400</v>
      </c>
      <c r="AX120">
        <v>150</v>
      </c>
      <c r="AY120">
        <v>125</v>
      </c>
      <c r="AZ120">
        <v>10.806507768175534</v>
      </c>
      <c r="BA120">
        <v>-0.116116</v>
      </c>
      <c r="BB120">
        <v>-0.2003851239437005</v>
      </c>
      <c r="BC120">
        <v>3.1960560951439372</v>
      </c>
      <c r="BD120" s="107">
        <f>INDEX(Pipes_result_save_V1!$K$2:$K$206,MATCH(AS120,Pipes_result_save_V1!$I$2:$I$206,0)) *POWER(10,-3)</f>
        <v>4.8223403930664065E-2</v>
      </c>
      <c r="BE120" s="78">
        <v>6.2050964582661267E-3</v>
      </c>
      <c r="BF120" s="78">
        <f t="shared" si="11"/>
        <v>4.2018307472397938E-2</v>
      </c>
      <c r="BJ120">
        <v>8</v>
      </c>
      <c r="BK120">
        <v>28</v>
      </c>
      <c r="BL120" t="s">
        <v>540</v>
      </c>
      <c r="BM120" t="s">
        <v>188</v>
      </c>
      <c r="BN120" s="106" t="str">
        <f>INDEX(Pipes_result_save_V1!$G$2:$G$206,MATCH(BM120,Pipes_result_save_V1!$I$2:$I$206,0))</f>
        <v>N77</v>
      </c>
      <c r="BO120" s="106" t="str">
        <f>INDEX(Pipes_result_save_V1!$H$2:$H$206,MATCH(BM120,Pipes_result_save_V1!$I$2:$I$206,0))</f>
        <v>N78</v>
      </c>
      <c r="BP120">
        <v>3.2837000000000005E-2</v>
      </c>
      <c r="BQ120">
        <v>250</v>
      </c>
      <c r="BR120">
        <v>150</v>
      </c>
      <c r="BS120">
        <v>80</v>
      </c>
      <c r="BT120">
        <v>68.254891321545429</v>
      </c>
      <c r="BU120">
        <v>3.8250255700015404E-2</v>
      </c>
      <c r="BV120">
        <v>0.16187231665420129</v>
      </c>
      <c r="BW120">
        <v>7.8375301016212582</v>
      </c>
      <c r="BX120" s="107">
        <f>INDEX(Pipes_result_save_V1!$K$2:$K$206,MATCH(BM120,Pipes_result_save_V1!$I$2:$I$206,0)) *POWER(10,-3)</f>
        <v>5.8537097930908201E-2</v>
      </c>
      <c r="BY120" s="78">
        <v>5.2488735653697808E-3</v>
      </c>
      <c r="BZ120" s="78">
        <f t="shared" si="12"/>
        <v>5.3288224365538421E-2</v>
      </c>
      <c r="CE120">
        <v>7</v>
      </c>
      <c r="CF120">
        <v>28</v>
      </c>
      <c r="CG120" t="s">
        <v>540</v>
      </c>
      <c r="CH120" t="s">
        <v>128</v>
      </c>
      <c r="CI120" s="106" t="str">
        <f>INDEX(Pipes_result_save_V1!$G$2:$G$206,MATCH(CH120,Pipes_result_save_V1!$I$2:$I$206,0))</f>
        <v>N57</v>
      </c>
      <c r="CJ120" s="106" t="str">
        <f>INDEX(Pipes_result_save_V1!$H$2:$H$206,MATCH(CH120,Pipes_result_save_V1!$I$2:$I$206,0))</f>
        <v>N56</v>
      </c>
      <c r="CK120">
        <v>3.2837000000000005E-2</v>
      </c>
      <c r="CL120">
        <v>250</v>
      </c>
      <c r="CM120">
        <v>150</v>
      </c>
      <c r="CN120">
        <v>76</v>
      </c>
      <c r="CO120">
        <v>64.84214675546815</v>
      </c>
      <c r="CP120">
        <v>2.3580796114934299E-2</v>
      </c>
      <c r="CQ120">
        <v>6.2782074045414138E-2</v>
      </c>
      <c r="CR120">
        <v>4.930808975464096</v>
      </c>
      <c r="CS120" s="107">
        <f>INDEX(Pipes_result_save_V1!$K$2:$K$206,MATCH(CH120,Pipes_result_save_V1!$I$2:$I$206,0)) *POWER(10,-3)</f>
        <v>-2.6798467636108398E-2</v>
      </c>
      <c r="CT120" s="78">
        <v>5.3714062733476991E-3</v>
      </c>
      <c r="CU120" s="78">
        <f t="shared" si="13"/>
        <v>-2.1427061362760701E-2</v>
      </c>
      <c r="CY120">
        <v>10</v>
      </c>
      <c r="CZ120">
        <v>28</v>
      </c>
      <c r="DA120" t="s">
        <v>539</v>
      </c>
      <c r="DB120" t="s">
        <v>408</v>
      </c>
      <c r="DC120" s="106" t="str">
        <f>INDEX(Pipes_result_save_V1!$G$2:$G$206,MATCH(DB120,Pipes_result_save_V1!$I$2:$I$206,0))</f>
        <v>N39</v>
      </c>
      <c r="DD120" s="106" t="str">
        <f>INDEX(Pipes_result_save_V1!$H$2:$H$206,MATCH(DB120,Pipes_result_save_V1!$I$2:$I$206,0))</f>
        <v>N38</v>
      </c>
      <c r="DE120">
        <v>8.3280000000000007E-2</v>
      </c>
      <c r="DF120">
        <v>350</v>
      </c>
      <c r="DG120">
        <v>150</v>
      </c>
      <c r="DH120">
        <v>91</v>
      </c>
      <c r="DI120">
        <v>15.076326113510728</v>
      </c>
      <c r="DJ120">
        <v>-9.4864356265488253E-2</v>
      </c>
      <c r="DK120">
        <v>-0.19226064615766192</v>
      </c>
      <c r="DL120">
        <v>3.7534299572697059</v>
      </c>
      <c r="DM120" s="107">
        <f>INDEX(Pipes_result_save_V1!$K$2:$K$206,MATCH(DB120,Pipes_result_save_V1!$I$2:$I$206,0)) *POWER(10,-3)</f>
        <v>-0.112284538269043</v>
      </c>
      <c r="DN120" s="78">
        <v>5.4277349348454363E-3</v>
      </c>
      <c r="DO120" s="78">
        <f t="shared" si="14"/>
        <v>-0.10685680333419756</v>
      </c>
      <c r="DT120">
        <v>15</v>
      </c>
      <c r="DU120">
        <v>28</v>
      </c>
      <c r="DV120" t="s">
        <v>540</v>
      </c>
      <c r="DW120" t="s">
        <v>142</v>
      </c>
      <c r="DX120" s="106" t="str">
        <f>INDEX(Pipes_result_save_V1!$G$2:$G$206,MATCH(DW120,Pipes_result_save_V1!$I$2:$I$206,0))</f>
        <v>N27</v>
      </c>
      <c r="DY120" s="106" t="str">
        <f>INDEX(Pipes_result_save_V1!$H$2:$H$206,MATCH(DW120,Pipes_result_save_V1!$I$2:$I$206,0))</f>
        <v>N26</v>
      </c>
      <c r="DZ120">
        <v>0.16656000000000001</v>
      </c>
      <c r="EA120">
        <v>466</v>
      </c>
      <c r="EB120">
        <v>150</v>
      </c>
      <c r="EC120">
        <v>76</v>
      </c>
      <c r="ED120">
        <v>3.1225928922840178</v>
      </c>
      <c r="EE120">
        <v>-0.17814435626548825</v>
      </c>
      <c r="EF120">
        <v>-0.1279219989031645</v>
      </c>
      <c r="EG120">
        <v>1.3298851949909192</v>
      </c>
      <c r="EH120" s="107">
        <f>INDEX(Pipes_result_save_V1!$K$2:$K$206,MATCH(DW120,Pipes_result_save_V1!$I$2:$I$206,0)) *POWER(10,-3)</f>
        <v>-0.2002795562744141</v>
      </c>
      <c r="EI120" s="78">
        <v>6.0250912181511705E-3</v>
      </c>
      <c r="EJ120" s="78">
        <f t="shared" si="15"/>
        <v>-0.19425446505626293</v>
      </c>
    </row>
    <row r="121" spans="2:140" ht="30" x14ac:dyDescent="0.25">
      <c r="B121" s="106">
        <v>29</v>
      </c>
      <c r="C121" s="106" t="s">
        <v>539</v>
      </c>
      <c r="D121" s="106" t="s">
        <v>222</v>
      </c>
      <c r="E121" s="106" t="str">
        <f>INDEX(Pipes_result_save_V1!$G$2:$G$206,MATCH(D121,Pipes_result_save_V1!$I$2:$I$206,0))</f>
        <v>N151</v>
      </c>
      <c r="F121" s="106" t="str">
        <f>INDEX(Pipes_result_save_V1!$H$2:$H$206,MATCH(D121,Pipes_result_save_V1!$I$2:$I$206,0))</f>
        <v>N152</v>
      </c>
      <c r="G121" s="106">
        <v>4.9000000000000002E-2</v>
      </c>
      <c r="H121" s="107">
        <v>250</v>
      </c>
      <c r="I121" s="107">
        <v>150</v>
      </c>
      <c r="J121" s="107">
        <v>49</v>
      </c>
      <c r="K121" s="107">
        <v>41.806120934446568</v>
      </c>
      <c r="L121" s="107">
        <v>4.9000000000000002E-2</v>
      </c>
      <c r="M121" s="107">
        <v>0.15684945454255206</v>
      </c>
      <c r="N121" s="107">
        <v>5.9282691798531921</v>
      </c>
      <c r="O121" s="107">
        <f>INDEX(Pipes_result_save_V1!$K$2:$K$206,MATCH(D121,Pipes_result_save_V1!$I$2:$I$206,0)) *POWER(10,-3)</f>
        <v>-1.431679439544678E-2</v>
      </c>
      <c r="P121" s="78">
        <v>6.3015075509666851E-3</v>
      </c>
      <c r="Q121" s="78">
        <f t="shared" si="9"/>
        <v>-8.0152868444800952E-3</v>
      </c>
      <c r="R121" s="78"/>
      <c r="S121" s="78"/>
      <c r="T121" s="78">
        <v>28</v>
      </c>
      <c r="U121" s="78">
        <v>29</v>
      </c>
      <c r="V121" s="78" t="s">
        <v>540</v>
      </c>
      <c r="W121" s="78" t="s">
        <v>221</v>
      </c>
      <c r="X121" s="106" t="str">
        <f>INDEX(Pipes_result_save_V1!$G$2:$G$206,MATCH(W121,Pipes_result_save_V1!$I$2:$I$206,0))</f>
        <v>N150</v>
      </c>
      <c r="Y121" s="106" t="str">
        <f>INDEX(Pipes_result_save_V1!$H$2:$H$206,MATCH(W121,Pipes_result_save_V1!$I$2:$I$206,0))</f>
        <v>N151</v>
      </c>
      <c r="Z121" s="78">
        <v>2.9028999999999999E-2</v>
      </c>
      <c r="AA121" s="78">
        <v>200</v>
      </c>
      <c r="AB121" s="78">
        <v>150</v>
      </c>
      <c r="AC121" s="78">
        <v>35</v>
      </c>
      <c r="AD121" s="78">
        <v>88.544279876918011</v>
      </c>
      <c r="AE121" s="78">
        <v>4.1596935076183561E-2</v>
      </c>
      <c r="AF121" s="78">
        <v>1</v>
      </c>
      <c r="AG121" s="78">
        <v>-1</v>
      </c>
      <c r="AH121" s="78">
        <v>0.24527997752358771</v>
      </c>
      <c r="AI121">
        <v>10.920480500347525</v>
      </c>
      <c r="AJ121" s="107">
        <f>INDEX(Pipes_result_save_V1!$K$2:$K$206,MATCH(W121,Pipes_result_save_V1!$I$2:$I$206,0)) *POWER(10,-3)</f>
        <v>-1.3837529182434081E-2</v>
      </c>
      <c r="AK121" s="78">
        <v>2.3840699958634017E-3</v>
      </c>
      <c r="AL121" s="78">
        <f t="shared" si="10"/>
        <v>-1.145345918657068E-2</v>
      </c>
      <c r="AP121">
        <v>0</v>
      </c>
      <c r="AQ121">
        <v>29</v>
      </c>
      <c r="AR121" t="s">
        <v>540</v>
      </c>
      <c r="AS121" t="s">
        <v>423</v>
      </c>
      <c r="AT121" s="106" t="str">
        <f>INDEX(Pipes_result_save_V1!$G$2:$G$206,MATCH(AS121,Pipes_result_save_V1!$I$2:$I$206,0))</f>
        <v>N126</v>
      </c>
      <c r="AU121" s="106" t="str">
        <f>INDEX(Pipes_result_save_V1!$H$2:$H$206,MATCH(AS121,Pipes_result_save_V1!$I$2:$I$206,0))</f>
        <v>N127</v>
      </c>
      <c r="AV121">
        <v>0.116116</v>
      </c>
      <c r="AW121">
        <v>400</v>
      </c>
      <c r="AX121">
        <v>150</v>
      </c>
      <c r="AY121">
        <v>126</v>
      </c>
      <c r="AZ121">
        <v>10.892959830320939</v>
      </c>
      <c r="BA121">
        <v>-0.116116</v>
      </c>
      <c r="BB121">
        <v>-0.20198820493525013</v>
      </c>
      <c r="BC121">
        <v>3.2216245439050888</v>
      </c>
      <c r="BD121" s="107">
        <f>INDEX(Pipes_result_save_V1!$K$2:$K$206,MATCH(AS121,Pipes_result_save_V1!$I$2:$I$206,0)) *POWER(10,-3)</f>
        <v>4.4782958984375003E-2</v>
      </c>
      <c r="BE121" s="78">
        <v>6.0282994137934916E-3</v>
      </c>
      <c r="BF121" s="78">
        <f t="shared" si="11"/>
        <v>3.8754659570581509E-2</v>
      </c>
      <c r="BJ121">
        <v>9</v>
      </c>
      <c r="BK121">
        <v>29</v>
      </c>
      <c r="BL121" t="s">
        <v>540</v>
      </c>
      <c r="BM121" t="s">
        <v>186</v>
      </c>
      <c r="BN121" s="106" t="str">
        <f>INDEX(Pipes_result_save_V1!$G$2:$G$206,MATCH(BM121,Pipes_result_save_V1!$I$2:$I$206,0))</f>
        <v>N78</v>
      </c>
      <c r="BO121" s="106" t="str">
        <f>INDEX(Pipes_result_save_V1!$H$2:$H$206,MATCH(BM121,Pipes_result_save_V1!$I$2:$I$206,0))</f>
        <v>N79</v>
      </c>
      <c r="BP121">
        <v>3.2837000000000005E-2</v>
      </c>
      <c r="BQ121">
        <v>250</v>
      </c>
      <c r="BR121">
        <v>150</v>
      </c>
      <c r="BS121">
        <v>158</v>
      </c>
      <c r="BT121">
        <v>134.80341036005223</v>
      </c>
      <c r="BU121">
        <v>3.8250255700015404E-2</v>
      </c>
      <c r="BV121">
        <v>0.31969782539204755</v>
      </c>
      <c r="BW121">
        <v>15.479121950701986</v>
      </c>
      <c r="BX121" s="107">
        <f>INDEX(Pipes_result_save_V1!$K$2:$K$206,MATCH(BM121,Pipes_result_save_V1!$I$2:$I$206,0)) *POWER(10,-3)</f>
        <v>5.7179180145263672E-2</v>
      </c>
      <c r="BY121" s="78">
        <v>5.6124939788949543E-3</v>
      </c>
      <c r="BZ121" s="78">
        <f t="shared" si="12"/>
        <v>5.1566686166368718E-2</v>
      </c>
      <c r="CE121">
        <v>8</v>
      </c>
      <c r="CF121">
        <v>29</v>
      </c>
      <c r="CG121" t="s">
        <v>540</v>
      </c>
      <c r="CH121" t="s">
        <v>127</v>
      </c>
      <c r="CI121" s="106" t="str">
        <f>INDEX(Pipes_result_save_V1!$G$2:$G$206,MATCH(CH121,Pipes_result_save_V1!$I$2:$I$206,0))</f>
        <v>N58</v>
      </c>
      <c r="CJ121" s="106" t="str">
        <f>INDEX(Pipes_result_save_V1!$H$2:$H$206,MATCH(CH121,Pipes_result_save_V1!$I$2:$I$206,0))</f>
        <v>N57</v>
      </c>
      <c r="CK121">
        <v>3.2837000000000005E-2</v>
      </c>
      <c r="CL121">
        <v>250</v>
      </c>
      <c r="CM121">
        <v>150</v>
      </c>
      <c r="CN121">
        <v>36</v>
      </c>
      <c r="CO121">
        <v>30.714701094695442</v>
      </c>
      <c r="CP121">
        <v>2.3580796114934299E-2</v>
      </c>
      <c r="CQ121">
        <v>2.9738877179406698E-2</v>
      </c>
      <c r="CR121">
        <v>2.3356463567987826</v>
      </c>
      <c r="CS121" s="107">
        <f>INDEX(Pipes_result_save_V1!$K$2:$K$206,MATCH(CH121,Pipes_result_save_V1!$I$2:$I$206,0)) *POWER(10,-3)</f>
        <v>-2.6159444808959962E-2</v>
      </c>
      <c r="CT121" s="78">
        <v>5.7711082707646308E-3</v>
      </c>
      <c r="CU121" s="78">
        <f t="shared" si="13"/>
        <v>-2.0388336538195332E-2</v>
      </c>
      <c r="CY121">
        <v>11</v>
      </c>
      <c r="CZ121">
        <v>29</v>
      </c>
      <c r="DA121" t="s">
        <v>539</v>
      </c>
      <c r="DB121" t="s">
        <v>172</v>
      </c>
      <c r="DC121" s="106" t="str">
        <f>INDEX(Pipes_result_save_V1!$G$2:$G$206,MATCH(DB121,Pipes_result_save_V1!$I$2:$I$206,0))</f>
        <v>N40</v>
      </c>
      <c r="DD121" s="106" t="str">
        <f>INDEX(Pipes_result_save_V1!$H$2:$H$206,MATCH(DB121,Pipes_result_save_V1!$I$2:$I$206,0))</f>
        <v>N39</v>
      </c>
      <c r="DE121">
        <v>8.3280000000000007E-2</v>
      </c>
      <c r="DF121">
        <v>350</v>
      </c>
      <c r="DG121">
        <v>150</v>
      </c>
      <c r="DH121">
        <v>87</v>
      </c>
      <c r="DI121">
        <v>14.413630460169598</v>
      </c>
      <c r="DJ121">
        <v>-9.4864356265488253E-2</v>
      </c>
      <c r="DK121">
        <v>-0.18380962874413831</v>
      </c>
      <c r="DL121">
        <v>3.5884440250820266</v>
      </c>
      <c r="DM121" s="107">
        <f>INDEX(Pipes_result_save_V1!$K$2:$K$206,MATCH(DB121,Pipes_result_save_V1!$I$2:$I$206,0)) *POWER(10,-3)</f>
        <v>-0.1112689437866211</v>
      </c>
      <c r="DN121" s="78">
        <v>5.8751203523214196E-3</v>
      </c>
      <c r="DO121" s="78">
        <f t="shared" si="14"/>
        <v>-0.10539382343429968</v>
      </c>
      <c r="DT121">
        <v>16</v>
      </c>
      <c r="DU121">
        <v>29</v>
      </c>
      <c r="DV121" t="s">
        <v>540</v>
      </c>
      <c r="DW121" t="s">
        <v>143</v>
      </c>
      <c r="DX121" s="106" t="str">
        <f>INDEX(Pipes_result_save_V1!$G$2:$G$206,MATCH(DW121,Pipes_result_save_V1!$I$2:$I$206,0))</f>
        <v>N28</v>
      </c>
      <c r="DY121" s="106" t="str">
        <f>INDEX(Pipes_result_save_V1!$H$2:$H$206,MATCH(DW121,Pipes_result_save_V1!$I$2:$I$206,0))</f>
        <v>N27</v>
      </c>
      <c r="DZ121">
        <v>0.16656000000000001</v>
      </c>
      <c r="EA121">
        <v>466</v>
      </c>
      <c r="EB121">
        <v>150</v>
      </c>
      <c r="EC121">
        <v>80</v>
      </c>
      <c r="ED121">
        <v>3.2869398866147552</v>
      </c>
      <c r="EE121">
        <v>0.15497564373451178</v>
      </c>
      <c r="EF121">
        <v>0.1040302564442831</v>
      </c>
      <c r="EG121">
        <v>1.2431891250270548</v>
      </c>
      <c r="EH121" s="107">
        <f>INDEX(Pipes_result_save_V1!$K$2:$K$206,MATCH(DW121,Pipes_result_save_V1!$I$2:$I$206,0)) *POWER(10,-3)</f>
        <v>-0.19938948059082032</v>
      </c>
      <c r="EI121" s="78">
        <v>6.4190839034113153E-3</v>
      </c>
      <c r="EJ121" s="78">
        <f t="shared" si="15"/>
        <v>-0.19297039668740901</v>
      </c>
    </row>
    <row r="122" spans="2:140" ht="30" x14ac:dyDescent="0.25">
      <c r="B122" s="106">
        <v>30</v>
      </c>
      <c r="C122" s="106" t="s">
        <v>539</v>
      </c>
      <c r="D122" s="106" t="s">
        <v>223</v>
      </c>
      <c r="E122" s="106" t="str">
        <f>INDEX(Pipes_result_save_V1!$G$2:$G$206,MATCH(D122,Pipes_result_save_V1!$I$2:$I$206,0))</f>
        <v>N152</v>
      </c>
      <c r="F122" s="106" t="str">
        <f>INDEX(Pipes_result_save_V1!$H$2:$H$206,MATCH(D122,Pipes_result_save_V1!$I$2:$I$206,0))</f>
        <v>N153</v>
      </c>
      <c r="G122" s="106">
        <v>8.8999999999999996E-2</v>
      </c>
      <c r="H122" s="107">
        <v>350</v>
      </c>
      <c r="I122" s="107">
        <v>150</v>
      </c>
      <c r="J122" s="107">
        <v>89</v>
      </c>
      <c r="K122" s="107">
        <v>14.744978286840164</v>
      </c>
      <c r="L122" s="107">
        <v>8.8999999999999996E-2</v>
      </c>
      <c r="M122" s="107">
        <v>0.16707613867720356</v>
      </c>
      <c r="N122" s="107">
        <v>3.4766854924739459</v>
      </c>
      <c r="O122" s="107">
        <f>INDEX(Pipes_result_save_V1!$K$2:$K$206,MATCH(D122,Pipes_result_save_V1!$I$2:$I$206,0)) *POWER(10,-3)</f>
        <v>-1.5104161262512211E-2</v>
      </c>
      <c r="P122" s="78">
        <v>5.2604005576389985E-3</v>
      </c>
      <c r="Q122" s="78">
        <f t="shared" si="9"/>
        <v>-9.8437607048732119E-3</v>
      </c>
      <c r="R122" s="78"/>
      <c r="S122" s="78"/>
      <c r="T122" s="78">
        <v>29</v>
      </c>
      <c r="U122" s="78">
        <v>30</v>
      </c>
      <c r="V122" s="78" t="s">
        <v>540</v>
      </c>
      <c r="W122" s="78" t="s">
        <v>222</v>
      </c>
      <c r="X122" s="106" t="str">
        <f>INDEX(Pipes_result_save_V1!$G$2:$G$206,MATCH(W122,Pipes_result_save_V1!$I$2:$I$206,0))</f>
        <v>N151</v>
      </c>
      <c r="Y122" s="106" t="str">
        <f>INDEX(Pipes_result_save_V1!$H$2:$H$206,MATCH(W122,Pipes_result_save_V1!$I$2:$I$206,0))</f>
        <v>N152</v>
      </c>
      <c r="Z122" s="78">
        <v>2.9028999999999999E-2</v>
      </c>
      <c r="AA122" s="78">
        <v>200</v>
      </c>
      <c r="AB122" s="78">
        <v>150</v>
      </c>
      <c r="AC122" s="78">
        <v>49</v>
      </c>
      <c r="AD122" s="78">
        <v>123.9619918276852</v>
      </c>
      <c r="AE122" s="78">
        <v>5.559693507618356E-2</v>
      </c>
      <c r="AF122" s="78">
        <v>1</v>
      </c>
      <c r="AG122" s="78">
        <v>-1</v>
      </c>
      <c r="AH122" s="78">
        <v>0.5876553864915437</v>
      </c>
      <c r="AI122">
        <v>19.575499517932183</v>
      </c>
      <c r="AJ122" s="107">
        <f>INDEX(Pipes_result_save_V1!$K$2:$K$206,MATCH(W122,Pipes_result_save_V1!$I$2:$I$206,0)) *POWER(10,-3)</f>
        <v>-1.431679439544678E-2</v>
      </c>
      <c r="AK122" s="78">
        <v>3.2517551055962412E-3</v>
      </c>
      <c r="AL122" s="78">
        <f t="shared" si="10"/>
        <v>-1.1065039289850538E-2</v>
      </c>
      <c r="AP122">
        <v>7</v>
      </c>
      <c r="AQ122">
        <v>30</v>
      </c>
      <c r="AR122" t="s">
        <v>540</v>
      </c>
      <c r="AS122" t="s">
        <v>292</v>
      </c>
      <c r="AT122" s="106" t="str">
        <f>INDEX(Pipes_result_save_V1!$G$2:$G$206,MATCH(AS122,Pipes_result_save_V1!$I$2:$I$206,0))</f>
        <v>N128</v>
      </c>
      <c r="AU122" s="106" t="str">
        <f>INDEX(Pipes_result_save_V1!$H$2:$H$206,MATCH(AS122,Pipes_result_save_V1!$I$2:$I$206,0))</f>
        <v>N127</v>
      </c>
      <c r="AV122">
        <v>5.8057999999999998E-2</v>
      </c>
      <c r="AW122">
        <v>300</v>
      </c>
      <c r="AX122">
        <v>150</v>
      </c>
      <c r="AY122">
        <v>127</v>
      </c>
      <c r="AZ122">
        <v>44.581601337707689</v>
      </c>
      <c r="BA122">
        <v>3.5211178482065772E-2</v>
      </c>
      <c r="BB122">
        <v>9.0700161921813224E-2</v>
      </c>
      <c r="BC122">
        <v>4.7705503513537426</v>
      </c>
      <c r="BD122" s="107">
        <f>INDEX(Pipes_result_save_V1!$K$2:$K$206,MATCH(AS122,Pipes_result_save_V1!$I$2:$I$206,0)) *POWER(10,-3)</f>
        <v>-9.0811767578125001E-3</v>
      </c>
      <c r="BE122" s="78">
        <v>5.9779408338353681E-3</v>
      </c>
      <c r="BF122" s="78">
        <f t="shared" si="11"/>
        <v>-3.103235923977132E-3</v>
      </c>
      <c r="BJ122">
        <v>10</v>
      </c>
      <c r="BK122">
        <v>30</v>
      </c>
      <c r="BL122" t="s">
        <v>540</v>
      </c>
      <c r="BM122" t="s">
        <v>187</v>
      </c>
      <c r="BN122" s="106" t="str">
        <f>INDEX(Pipes_result_save_V1!$G$2:$G$206,MATCH(BM122,Pipes_result_save_V1!$I$2:$I$206,0))</f>
        <v>N80</v>
      </c>
      <c r="BO122" s="106" t="str">
        <f>INDEX(Pipes_result_save_V1!$H$2:$H$206,MATCH(BM122,Pipes_result_save_V1!$I$2:$I$206,0))</f>
        <v>N79</v>
      </c>
      <c r="BP122">
        <v>3.2837000000000005E-2</v>
      </c>
      <c r="BQ122">
        <v>250</v>
      </c>
      <c r="BR122">
        <v>150</v>
      </c>
      <c r="BS122">
        <v>70</v>
      </c>
      <c r="BT122">
        <v>59.723029906352245</v>
      </c>
      <c r="BU122">
        <v>3.8250255700015404E-2</v>
      </c>
      <c r="BV122">
        <v>0.1416382770724261</v>
      </c>
      <c r="BW122">
        <v>6.8578388389186014</v>
      </c>
      <c r="BX122" s="107">
        <f>INDEX(Pipes_result_save_V1!$K$2:$K$206,MATCH(BM122,Pipes_result_save_V1!$I$2:$I$206,0)) *POWER(10,-3)</f>
        <v>-5.5878314971923831E-2</v>
      </c>
      <c r="BY122" s="78">
        <v>5.1138449131267567E-3</v>
      </c>
      <c r="BZ122" s="78">
        <f t="shared" si="12"/>
        <v>-5.0764470058797077E-2</v>
      </c>
      <c r="CE122">
        <v>9</v>
      </c>
      <c r="CF122">
        <v>30</v>
      </c>
      <c r="CG122" t="s">
        <v>540</v>
      </c>
      <c r="CH122" t="s">
        <v>126</v>
      </c>
      <c r="CI122" s="106" t="str">
        <f>INDEX(Pipes_result_save_V1!$G$2:$G$206,MATCH(CH122,Pipes_result_save_V1!$I$2:$I$206,0))</f>
        <v>N59</v>
      </c>
      <c r="CJ122" s="106" t="str">
        <f>INDEX(Pipes_result_save_V1!$H$2:$H$206,MATCH(CH122,Pipes_result_save_V1!$I$2:$I$206,0))</f>
        <v>N58</v>
      </c>
      <c r="CK122">
        <v>3.2837000000000005E-2</v>
      </c>
      <c r="CL122">
        <v>250</v>
      </c>
      <c r="CM122">
        <v>150</v>
      </c>
      <c r="CN122">
        <v>32</v>
      </c>
      <c r="CO122">
        <v>27.30195652861817</v>
      </c>
      <c r="CP122">
        <v>2.3580796114934299E-2</v>
      </c>
      <c r="CQ122">
        <v>2.6434557492805953E-2</v>
      </c>
      <c r="CR122">
        <v>2.076130094932251</v>
      </c>
      <c r="CS122" s="107">
        <f>INDEX(Pipes_result_save_V1!$K$2:$K$206,MATCH(CH122,Pipes_result_save_V1!$I$2:$I$206,0)) *POWER(10,-3)</f>
        <v>-2.5771469116210942E-2</v>
      </c>
      <c r="CT122" s="78">
        <v>6.1748074876278054E-3</v>
      </c>
      <c r="CU122" s="78">
        <f t="shared" si="13"/>
        <v>-1.9596661628583138E-2</v>
      </c>
      <c r="CY122">
        <v>12</v>
      </c>
      <c r="CZ122">
        <v>30</v>
      </c>
      <c r="DA122" t="s">
        <v>539</v>
      </c>
      <c r="DB122" t="s">
        <v>170</v>
      </c>
      <c r="DC122" s="106" t="str">
        <f>INDEX(Pipes_result_save_V1!$G$2:$G$206,MATCH(DB122,Pipes_result_save_V1!$I$2:$I$206,0))</f>
        <v>N41</v>
      </c>
      <c r="DD122" s="106" t="str">
        <f>INDEX(Pipes_result_save_V1!$H$2:$H$206,MATCH(DB122,Pipes_result_save_V1!$I$2:$I$206,0))</f>
        <v>N40</v>
      </c>
      <c r="DE122">
        <v>8.3280000000000007E-2</v>
      </c>
      <c r="DF122">
        <v>350</v>
      </c>
      <c r="DG122">
        <v>150</v>
      </c>
      <c r="DH122">
        <v>94</v>
      </c>
      <c r="DI122">
        <v>15.573347853516577</v>
      </c>
      <c r="DJ122">
        <v>-9.4864356265488253E-2</v>
      </c>
      <c r="DK122">
        <v>-0.19859890921780463</v>
      </c>
      <c r="DL122">
        <v>3.8771694064104656</v>
      </c>
      <c r="DM122" s="107">
        <f>INDEX(Pipes_result_save_V1!$K$2:$K$206,MATCH(DB122,Pipes_result_save_V1!$I$2:$I$206,0)) *POWER(10,-3)</f>
        <v>-0.10984255981445309</v>
      </c>
      <c r="DN122" s="78">
        <v>5.9665416982164149E-3</v>
      </c>
      <c r="DO122" s="78">
        <f t="shared" si="14"/>
        <v>-0.10387601811623667</v>
      </c>
      <c r="DT122">
        <v>17</v>
      </c>
      <c r="DU122">
        <v>30</v>
      </c>
      <c r="DV122" t="s">
        <v>540</v>
      </c>
      <c r="DW122" t="s">
        <v>398</v>
      </c>
      <c r="DX122" s="106" t="str">
        <f>INDEX(Pipes_result_save_V1!$G$2:$G$206,MATCH(DW122,Pipes_result_save_V1!$I$2:$I$206,0))</f>
        <v>N196</v>
      </c>
      <c r="DY122" s="106" t="str">
        <f>INDEX(Pipes_result_save_V1!$H$2:$H$206,MATCH(DW122,Pipes_result_save_V1!$I$2:$I$206,0))</f>
        <v>N28</v>
      </c>
      <c r="DZ122">
        <v>0.16656000000000001</v>
      </c>
      <c r="EA122">
        <v>466</v>
      </c>
      <c r="EB122">
        <v>150</v>
      </c>
      <c r="EC122">
        <v>75</v>
      </c>
      <c r="ED122">
        <v>3.0815061437013331</v>
      </c>
      <c r="EE122">
        <v>0.15497564373451178</v>
      </c>
      <c r="EF122">
        <v>9.7528365416515397E-2</v>
      </c>
      <c r="EG122">
        <v>1.1654898047128639</v>
      </c>
      <c r="EH122" s="107">
        <f>INDEX(Pipes_result_save_V1!$K$2:$K$206,MATCH(DW122,Pipes_result_save_V1!$I$2:$I$206,0)) *POWER(10,-3)</f>
        <v>-0.198505126953125</v>
      </c>
      <c r="EI122" s="78">
        <v>5.1566542572117607E-3</v>
      </c>
      <c r="EJ122" s="78">
        <f t="shared" si="15"/>
        <v>-0.19334847269591324</v>
      </c>
    </row>
    <row r="123" spans="2:140" ht="30" x14ac:dyDescent="0.25">
      <c r="B123" s="106">
        <v>31</v>
      </c>
      <c r="C123" s="106" t="s">
        <v>539</v>
      </c>
      <c r="D123" s="106" t="s">
        <v>224</v>
      </c>
      <c r="E123" s="106" t="str">
        <f>INDEX(Pipes_result_save_V1!$G$2:$G$206,MATCH(D123,Pipes_result_save_V1!$I$2:$I$206,0))</f>
        <v>N153</v>
      </c>
      <c r="F123" s="106" t="str">
        <f>INDEX(Pipes_result_save_V1!$H$2:$H$206,MATCH(D123,Pipes_result_save_V1!$I$2:$I$206,0))</f>
        <v>N154</v>
      </c>
      <c r="G123" s="106">
        <v>7.6999999999999999E-2</v>
      </c>
      <c r="H123" s="107">
        <v>350</v>
      </c>
      <c r="I123" s="107">
        <v>150</v>
      </c>
      <c r="J123" s="107">
        <v>77</v>
      </c>
      <c r="K123" s="107">
        <v>12.756891326816771</v>
      </c>
      <c r="L123" s="107">
        <v>7.6999999999999999E-2</v>
      </c>
      <c r="M123" s="107">
        <v>0.11054158283193545</v>
      </c>
      <c r="N123" s="107">
        <v>2.6587404078538244</v>
      </c>
      <c r="O123" s="107">
        <f>INDEX(Pipes_result_save_V1!$K$2:$K$206,MATCH(D123,Pipes_result_save_V1!$I$2:$I$206,0)) *POWER(10,-3)</f>
        <v>-1.6051282882690431E-2</v>
      </c>
      <c r="P123" s="78">
        <v>5.6065416861803604E-3</v>
      </c>
      <c r="Q123" s="78">
        <f t="shared" si="9"/>
        <v>-1.0444741196510071E-2</v>
      </c>
      <c r="R123" s="78"/>
      <c r="S123" s="78"/>
      <c r="T123" s="78">
        <v>30</v>
      </c>
      <c r="U123" s="78">
        <v>31</v>
      </c>
      <c r="V123" s="78" t="s">
        <v>540</v>
      </c>
      <c r="W123" s="78" t="s">
        <v>223</v>
      </c>
      <c r="X123" s="106" t="str">
        <f>INDEX(Pipes_result_save_V1!$G$2:$G$206,MATCH(W123,Pipes_result_save_V1!$I$2:$I$206,0))</f>
        <v>N152</v>
      </c>
      <c r="Y123" s="106" t="str">
        <f>INDEX(Pipes_result_save_V1!$H$2:$H$206,MATCH(W123,Pipes_result_save_V1!$I$2:$I$206,0))</f>
        <v>N153</v>
      </c>
      <c r="Z123" s="78">
        <v>2.9028999999999999E-2</v>
      </c>
      <c r="AA123" s="78">
        <v>200</v>
      </c>
      <c r="AB123" s="78">
        <v>150</v>
      </c>
      <c r="AC123" s="78">
        <v>89</v>
      </c>
      <c r="AD123" s="78">
        <v>225.15545454416295</v>
      </c>
      <c r="AE123" s="78">
        <v>9.5596935076183553E-2</v>
      </c>
      <c r="AF123" s="78">
        <v>1</v>
      </c>
      <c r="AG123" s="78">
        <v>-1</v>
      </c>
      <c r="AH123" s="78">
        <v>2.912491740352483</v>
      </c>
      <c r="AI123">
        <v>56.423720057910209</v>
      </c>
      <c r="AJ123" s="107">
        <f>INDEX(Pipes_result_save_V1!$K$2:$K$206,MATCH(W123,Pipes_result_save_V1!$I$2:$I$206,0)) *POWER(10,-3)</f>
        <v>-1.5104161262512211E-2</v>
      </c>
      <c r="AK123" s="78">
        <v>1.4341748582684982E-3</v>
      </c>
      <c r="AL123" s="78">
        <f t="shared" si="10"/>
        <v>-1.3669986404243713E-2</v>
      </c>
      <c r="AP123">
        <v>8</v>
      </c>
      <c r="AQ123">
        <v>31</v>
      </c>
      <c r="AR123" t="s">
        <v>540</v>
      </c>
      <c r="AS123" t="s">
        <v>291</v>
      </c>
      <c r="AT123" s="106" t="str">
        <f>INDEX(Pipes_result_save_V1!$G$2:$G$206,MATCH(AS123,Pipes_result_save_V1!$I$2:$I$206,0))</f>
        <v>N129</v>
      </c>
      <c r="AU123" s="106" t="str">
        <f>INDEX(Pipes_result_save_V1!$H$2:$H$206,MATCH(AS123,Pipes_result_save_V1!$I$2:$I$206,0))</f>
        <v>N128</v>
      </c>
      <c r="AV123">
        <v>5.8057999999999998E-2</v>
      </c>
      <c r="AW123">
        <v>300</v>
      </c>
      <c r="AX123">
        <v>150</v>
      </c>
      <c r="AY123">
        <v>128</v>
      </c>
      <c r="AZ123">
        <v>44.932637568713268</v>
      </c>
      <c r="BA123">
        <v>3.5211178482065772E-2</v>
      </c>
      <c r="BB123">
        <v>9.1414336425134607E-2</v>
      </c>
      <c r="BC123">
        <v>4.8081137399470801</v>
      </c>
      <c r="BD123" s="107">
        <f>INDEX(Pipes_result_save_V1!$K$2:$K$206,MATCH(AS123,Pipes_result_save_V1!$I$2:$I$206,0)) *POWER(10,-3)</f>
        <v>-6.3425126075744628E-3</v>
      </c>
      <c r="BE123" s="78">
        <v>5.7627212719798737E-3</v>
      </c>
      <c r="BF123" s="78">
        <f t="shared" si="11"/>
        <v>-5.7979133559458908E-4</v>
      </c>
      <c r="BJ123">
        <v>11</v>
      </c>
      <c r="BK123">
        <v>31</v>
      </c>
      <c r="BL123" t="s">
        <v>540</v>
      </c>
      <c r="BM123" t="s">
        <v>185</v>
      </c>
      <c r="BN123" s="106" t="str">
        <f>INDEX(Pipes_result_save_V1!$G$2:$G$206,MATCH(BM123,Pipes_result_save_V1!$I$2:$I$206,0))</f>
        <v>N81</v>
      </c>
      <c r="BO123" s="106" t="str">
        <f>INDEX(Pipes_result_save_V1!$H$2:$H$206,MATCH(BM123,Pipes_result_save_V1!$I$2:$I$206,0))</f>
        <v>N80</v>
      </c>
      <c r="BP123">
        <v>3.2835999999999997E-2</v>
      </c>
      <c r="BQ123">
        <v>250</v>
      </c>
      <c r="BR123">
        <v>150</v>
      </c>
      <c r="BS123">
        <v>80</v>
      </c>
      <c r="BT123">
        <v>68.254891321545429</v>
      </c>
      <c r="BU123">
        <v>3.8249255700015396E-2</v>
      </c>
      <c r="BV123">
        <v>0.16186447921138786</v>
      </c>
      <c r="BW123">
        <v>7.8373555253094676</v>
      </c>
      <c r="BX123" s="107">
        <f>INDEX(Pipes_result_save_V1!$K$2:$K$206,MATCH(BM123,Pipes_result_save_V1!$I$2:$I$206,0)) *POWER(10,-3)</f>
        <v>-5.5022480010986329E-2</v>
      </c>
      <c r="BY123" s="78">
        <v>6.4456821577140409E-3</v>
      </c>
      <c r="BZ123" s="78">
        <f t="shared" si="12"/>
        <v>-4.8576797853272291E-2</v>
      </c>
      <c r="CE123">
        <v>10</v>
      </c>
      <c r="CF123">
        <v>31</v>
      </c>
      <c r="CG123" t="s">
        <v>540</v>
      </c>
      <c r="CH123" t="s">
        <v>125</v>
      </c>
      <c r="CI123" s="106" t="str">
        <f>INDEX(Pipes_result_save_V1!$G$2:$G$206,MATCH(CH123,Pipes_result_save_V1!$I$2:$I$206,0))</f>
        <v>N60</v>
      </c>
      <c r="CJ123" s="106" t="str">
        <f>INDEX(Pipes_result_save_V1!$H$2:$H$206,MATCH(CH123,Pipes_result_save_V1!$I$2:$I$206,0))</f>
        <v>N59</v>
      </c>
      <c r="CK123">
        <v>3.2837000000000005E-2</v>
      </c>
      <c r="CL123">
        <v>250</v>
      </c>
      <c r="CM123">
        <v>150</v>
      </c>
      <c r="CN123">
        <v>79</v>
      </c>
      <c r="CO123">
        <v>67.401705180026113</v>
      </c>
      <c r="CP123">
        <v>2.3580796114934299E-2</v>
      </c>
      <c r="CQ123">
        <v>6.5260313810364706E-2</v>
      </c>
      <c r="CR123">
        <v>5.1254461718639952</v>
      </c>
      <c r="CS123" s="107">
        <f>INDEX(Pipes_result_save_V1!$K$2:$K$206,MATCH(CH123,Pipes_result_save_V1!$I$2:$I$206,0)) *POWER(10,-3)</f>
        <v>-2.5138153076171878E-2</v>
      </c>
      <c r="CT123" s="78">
        <v>5.5245864041679861E-3</v>
      </c>
      <c r="CU123" s="78">
        <f t="shared" si="13"/>
        <v>-1.9613566672003892E-2</v>
      </c>
      <c r="CY123">
        <v>13</v>
      </c>
      <c r="CZ123">
        <v>31</v>
      </c>
      <c r="DA123" t="s">
        <v>539</v>
      </c>
      <c r="DB123" t="s">
        <v>171</v>
      </c>
      <c r="DC123" s="106" t="str">
        <f>INDEX(Pipes_result_save_V1!$G$2:$G$206,MATCH(DB123,Pipes_result_save_V1!$I$2:$I$206,0))</f>
        <v>N41</v>
      </c>
      <c r="DD123" s="106" t="str">
        <f>INDEX(Pipes_result_save_V1!$H$2:$H$206,MATCH(DB123,Pipes_result_save_V1!$I$2:$I$206,0))</f>
        <v>N42</v>
      </c>
      <c r="DE123">
        <v>9.851E-2</v>
      </c>
      <c r="DF123">
        <v>400</v>
      </c>
      <c r="DG123">
        <v>150</v>
      </c>
      <c r="DH123">
        <v>70</v>
      </c>
      <c r="DI123">
        <v>6.0516443501782993</v>
      </c>
      <c r="DJ123">
        <v>-0.11009435626548825</v>
      </c>
      <c r="DK123">
        <v>-0.10167689645312228</v>
      </c>
      <c r="DL123">
        <v>1.7104020461965455</v>
      </c>
      <c r="DM123" s="107">
        <f>INDEX(Pipes_result_save_V1!$K$2:$K$206,MATCH(DB123,Pipes_result_save_V1!$I$2:$I$206,0)) *POWER(10,-3)</f>
        <v>0.1084104309082031</v>
      </c>
      <c r="DN123" s="78">
        <v>6.4962339336872461E-3</v>
      </c>
      <c r="DO123" s="78">
        <f t="shared" si="14"/>
        <v>0.10191419697451586</v>
      </c>
      <c r="DT123">
        <v>18</v>
      </c>
      <c r="DU123">
        <v>31</v>
      </c>
      <c r="DV123" t="s">
        <v>540</v>
      </c>
      <c r="DW123" t="s">
        <v>140</v>
      </c>
      <c r="DX123" s="106" t="str">
        <f>INDEX(Pipes_result_save_V1!$G$2:$G$206,MATCH(DW123,Pipes_result_save_V1!$I$2:$I$206,0))</f>
        <v>N30</v>
      </c>
      <c r="DY123" s="106" t="str">
        <f>INDEX(Pipes_result_save_V1!$H$2:$H$206,MATCH(DW123,Pipes_result_save_V1!$I$2:$I$206,0))</f>
        <v>N29</v>
      </c>
      <c r="DZ123">
        <v>0.16656000000000001</v>
      </c>
      <c r="EA123">
        <v>466</v>
      </c>
      <c r="EB123">
        <v>150</v>
      </c>
      <c r="EC123">
        <v>76</v>
      </c>
      <c r="ED123">
        <v>3.1225928922840178</v>
      </c>
      <c r="EE123">
        <v>0.15497564373451178</v>
      </c>
      <c r="EF123">
        <v>9.8828743622068949E-2</v>
      </c>
      <c r="EG123">
        <v>1.1810296687757023</v>
      </c>
      <c r="EH123" s="107">
        <f>INDEX(Pipes_result_save_V1!$K$2:$K$206,MATCH(DW123,Pipes_result_save_V1!$I$2:$I$206,0)) *POWER(10,-3)</f>
        <v>-0.19685621643066409</v>
      </c>
      <c r="EI123" s="78">
        <v>5.2115748229951296E-3</v>
      </c>
      <c r="EJ123" s="78">
        <f t="shared" si="15"/>
        <v>-0.19164464160766895</v>
      </c>
    </row>
    <row r="124" spans="2:140" ht="30" x14ac:dyDescent="0.25">
      <c r="B124" s="106">
        <v>32</v>
      </c>
      <c r="C124" s="106" t="s">
        <v>539</v>
      </c>
      <c r="D124" s="106" t="s">
        <v>225</v>
      </c>
      <c r="E124" s="106" t="str">
        <f>INDEX(Pipes_result_save_V1!$G$2:$G$206,MATCH(D124,Pipes_result_save_V1!$I$2:$I$206,0))</f>
        <v>N154</v>
      </c>
      <c r="F124" s="106" t="str">
        <f>INDEX(Pipes_result_save_V1!$H$2:$H$206,MATCH(D124,Pipes_result_save_V1!$I$2:$I$206,0))</f>
        <v>N155</v>
      </c>
      <c r="G124" s="106">
        <v>3.6999999999999998E-2</v>
      </c>
      <c r="H124" s="107">
        <v>250</v>
      </c>
      <c r="I124" s="107">
        <v>150</v>
      </c>
      <c r="J124" s="107">
        <v>37</v>
      </c>
      <c r="K124" s="107">
        <v>31.567887236214759</v>
      </c>
      <c r="L124" s="107">
        <v>3.6999999999999998E-2</v>
      </c>
      <c r="M124" s="107">
        <v>7.0397155231682926E-2</v>
      </c>
      <c r="N124" s="107">
        <v>3.5236630132182909</v>
      </c>
      <c r="O124" s="107">
        <f>INDEX(Pipes_result_save_V1!$K$2:$K$206,MATCH(D124,Pipes_result_save_V1!$I$2:$I$206,0)) *POWER(10,-3)</f>
        <v>-1.6701713562011718E-2</v>
      </c>
      <c r="P124" s="78">
        <v>5.1311064243581162E-3</v>
      </c>
      <c r="Q124" s="78">
        <f t="shared" si="9"/>
        <v>-1.1570607137653602E-2</v>
      </c>
      <c r="R124" s="78"/>
      <c r="S124" s="78"/>
      <c r="T124" s="78">
        <v>31</v>
      </c>
      <c r="U124" s="78">
        <v>32</v>
      </c>
      <c r="V124" s="78" t="s">
        <v>540</v>
      </c>
      <c r="W124" s="78" t="s">
        <v>224</v>
      </c>
      <c r="X124" s="106" t="str">
        <f>INDEX(Pipes_result_save_V1!$G$2:$G$206,MATCH(W124,Pipes_result_save_V1!$I$2:$I$206,0))</f>
        <v>N153</v>
      </c>
      <c r="Y124" s="106" t="str">
        <f>INDEX(Pipes_result_save_V1!$H$2:$H$206,MATCH(W124,Pipes_result_save_V1!$I$2:$I$206,0))</f>
        <v>N154</v>
      </c>
      <c r="Z124" s="78">
        <v>2.9028999999999999E-2</v>
      </c>
      <c r="AA124" s="78">
        <v>200</v>
      </c>
      <c r="AB124" s="78">
        <v>150</v>
      </c>
      <c r="AC124" s="78">
        <v>77</v>
      </c>
      <c r="AD124" s="78">
        <v>194.79741572921961</v>
      </c>
      <c r="AE124" s="78">
        <v>8.3596935076183557E-2</v>
      </c>
      <c r="AF124" s="78">
        <v>1</v>
      </c>
      <c r="AG124" s="78">
        <v>-1</v>
      </c>
      <c r="AH124" s="78">
        <v>1.9655302348454322</v>
      </c>
      <c r="AI124">
        <v>43.544204002412165</v>
      </c>
      <c r="AJ124" s="107">
        <f>INDEX(Pipes_result_save_V1!$K$2:$K$206,MATCH(W124,Pipes_result_save_V1!$I$2:$I$206,0)) *POWER(10,-3)</f>
        <v>-1.6051282882690431E-2</v>
      </c>
      <c r="AK124" s="78">
        <v>6.3091178139753311E-5</v>
      </c>
      <c r="AL124" s="78">
        <f t="shared" si="10"/>
        <v>-1.5988191704550677E-2</v>
      </c>
      <c r="AP124">
        <v>9</v>
      </c>
      <c r="AQ124">
        <v>32</v>
      </c>
      <c r="AR124" t="s">
        <v>540</v>
      </c>
      <c r="AS124" t="s">
        <v>293</v>
      </c>
      <c r="AT124" s="106" t="str">
        <f>INDEX(Pipes_result_save_V1!$G$2:$G$206,MATCH(AS124,Pipes_result_save_V1!$I$2:$I$206,0))</f>
        <v>N130</v>
      </c>
      <c r="AU124" s="106" t="str">
        <f>INDEX(Pipes_result_save_V1!$H$2:$H$206,MATCH(AS124,Pipes_result_save_V1!$I$2:$I$206,0))</f>
        <v>N129</v>
      </c>
      <c r="AV124">
        <v>5.8057999999999998E-2</v>
      </c>
      <c r="AW124">
        <v>300</v>
      </c>
      <c r="AX124">
        <v>150</v>
      </c>
      <c r="AY124">
        <v>129</v>
      </c>
      <c r="AZ124">
        <v>45.283673799718841</v>
      </c>
      <c r="BA124">
        <v>3.5211178482065772E-2</v>
      </c>
      <c r="BB124">
        <v>9.2128510928455962E-2</v>
      </c>
      <c r="BC124">
        <v>4.8456771285404168</v>
      </c>
      <c r="BD124" s="107">
        <f>INDEX(Pipes_result_save_V1!$K$2:$K$206,MATCH(AS124,Pipes_result_save_V1!$I$2:$I$206,0)) *POWER(10,-3)</f>
        <v>-4.2200489044189457E-3</v>
      </c>
      <c r="BE124" s="78">
        <v>5.2374224709856761E-3</v>
      </c>
      <c r="BF124" s="78">
        <f t="shared" si="11"/>
        <v>1.0173735665667304E-3</v>
      </c>
      <c r="BJ124">
        <v>0</v>
      </c>
      <c r="BK124">
        <v>32</v>
      </c>
      <c r="BL124" t="s">
        <v>540</v>
      </c>
      <c r="BM124" t="s">
        <v>184</v>
      </c>
      <c r="BN124" s="106" t="str">
        <f>INDEX(Pipes_result_save_V1!$G$2:$G$206,MATCH(BM124,Pipes_result_save_V1!$I$2:$I$206,0))</f>
        <v>N82</v>
      </c>
      <c r="BO124" s="106" t="str">
        <f>INDEX(Pipes_result_save_V1!$H$2:$H$206,MATCH(BM124,Pipes_result_save_V1!$I$2:$I$206,0))</f>
        <v>N81</v>
      </c>
      <c r="BP124">
        <v>9.0894000000000003E-2</v>
      </c>
      <c r="BQ124">
        <v>350</v>
      </c>
      <c r="BR124">
        <v>150</v>
      </c>
      <c r="BS124">
        <v>68</v>
      </c>
      <c r="BT124">
        <v>11.265826106799226</v>
      </c>
      <c r="BU124">
        <v>-9.0894000000000003E-2</v>
      </c>
      <c r="BV124">
        <v>-0.13273035727434446</v>
      </c>
      <c r="BW124">
        <v>2.7044317740674404</v>
      </c>
      <c r="BX124" s="107">
        <f>INDEX(Pipes_result_save_V1!$K$2:$K$206,MATCH(BM124,Pipes_result_save_V1!$I$2:$I$206,0)) *POWER(10,-3)</f>
        <v>-5.1448749542236327E-2</v>
      </c>
      <c r="BY124" s="78">
        <v>6.2245582518286255E-3</v>
      </c>
      <c r="BZ124" s="78">
        <f t="shared" si="12"/>
        <v>-4.5224191290407702E-2</v>
      </c>
      <c r="CE124">
        <v>11</v>
      </c>
      <c r="CF124">
        <v>32</v>
      </c>
      <c r="CG124" t="s">
        <v>540</v>
      </c>
      <c r="CH124" t="s">
        <v>124</v>
      </c>
      <c r="CI124" s="106" t="str">
        <f>INDEX(Pipes_result_save_V1!$G$2:$G$206,MATCH(CH124,Pipes_result_save_V1!$I$2:$I$206,0))</f>
        <v>N61</v>
      </c>
      <c r="CJ124" s="106" t="str">
        <f>INDEX(Pipes_result_save_V1!$H$2:$H$206,MATCH(CH124,Pipes_result_save_V1!$I$2:$I$206,0))</f>
        <v>N60</v>
      </c>
      <c r="CK124">
        <v>3.2837000000000005E-2</v>
      </c>
      <c r="CL124">
        <v>250</v>
      </c>
      <c r="CM124">
        <v>150</v>
      </c>
      <c r="CN124">
        <v>51</v>
      </c>
      <c r="CO124">
        <v>43.512493217485208</v>
      </c>
      <c r="CP124">
        <v>2.3580796114934299E-2</v>
      </c>
      <c r="CQ124">
        <v>4.2130076004159488E-2</v>
      </c>
      <c r="CR124">
        <v>3.3088323387982754</v>
      </c>
      <c r="CS124" s="107">
        <f>INDEX(Pipes_result_save_V1!$K$2:$K$206,MATCH(CH124,Pipes_result_save_V1!$I$2:$I$206,0)) *POWER(10,-3)</f>
        <v>-2.439643096923828E-2</v>
      </c>
      <c r="CT124" s="78">
        <v>5.0495888253203908E-3</v>
      </c>
      <c r="CU124" s="78">
        <f t="shared" si="13"/>
        <v>-1.9346842143917888E-2</v>
      </c>
      <c r="CY124">
        <v>0</v>
      </c>
      <c r="CZ124">
        <v>32</v>
      </c>
      <c r="DA124" t="s">
        <v>539</v>
      </c>
      <c r="DB124" t="s">
        <v>413</v>
      </c>
      <c r="DC124" s="106" t="str">
        <f>INDEX(Pipes_result_save_V1!$G$2:$G$206,MATCH(DB124,Pipes_result_save_V1!$I$2:$I$206,0))</f>
        <v>N111</v>
      </c>
      <c r="DD124" s="106" t="str">
        <f>INDEX(Pipes_result_save_V1!$H$2:$H$206,MATCH(DB124,Pipes_result_save_V1!$I$2:$I$206,0))</f>
        <v>N42</v>
      </c>
      <c r="DE124">
        <v>3.2835999999999997E-2</v>
      </c>
      <c r="DF124">
        <v>250</v>
      </c>
      <c r="DG124">
        <v>150</v>
      </c>
      <c r="DH124">
        <v>59</v>
      </c>
      <c r="DI124">
        <v>50.337982349639752</v>
      </c>
      <c r="DJ124">
        <v>3.2835999999999997E-2</v>
      </c>
      <c r="DK124">
        <v>8.9986313765935425E-2</v>
      </c>
      <c r="DL124">
        <v>5.0753640240745668</v>
      </c>
      <c r="DM124" s="107">
        <f>INDEX(Pipes_result_save_V1!$K$2:$K$206,MATCH(DB124,Pipes_result_save_V1!$I$2:$I$206,0)) *POWER(10,-3)</f>
        <v>-8.0635652542114262E-3</v>
      </c>
      <c r="DN124" s="78">
        <v>6.0840025087572185E-3</v>
      </c>
      <c r="DO124" s="78">
        <f t="shared" si="14"/>
        <v>-1.9795627454542077E-3</v>
      </c>
      <c r="DT124">
        <v>19</v>
      </c>
      <c r="DU124">
        <v>32</v>
      </c>
      <c r="DV124" t="s">
        <v>540</v>
      </c>
      <c r="DW124" t="s">
        <v>909</v>
      </c>
      <c r="DX124" s="106" t="str">
        <f>INDEX(Pipes_result_save_V1!$G$2:$G$206,MATCH(DW124,Pipes_result_save_V1!$I$2:$I$206,0))</f>
        <v>N29</v>
      </c>
      <c r="DY124" s="106" t="str">
        <f>INDEX(Pipes_result_save_V1!$H$2:$H$206,MATCH(DW124,Pipes_result_save_V1!$I$2:$I$206,0))</f>
        <v>N196</v>
      </c>
      <c r="DZ124">
        <v>0.16656000000000001</v>
      </c>
      <c r="EA124">
        <v>466</v>
      </c>
      <c r="EB124">
        <v>150</v>
      </c>
      <c r="EC124">
        <v>69</v>
      </c>
      <c r="ED124">
        <v>2.8349856522052264</v>
      </c>
      <c r="EE124">
        <v>0.15497564373451178</v>
      </c>
      <c r="EF124">
        <v>8.9726096183194159E-2</v>
      </c>
      <c r="EG124">
        <v>1.0722506203358348</v>
      </c>
      <c r="EH124" s="107">
        <f>INDEX(Pipes_result_save_V1!$K$2:$K$206,MATCH(DW124,Pipes_result_save_V1!$I$2:$I$206,0)) *POWER(10,-3)</f>
        <v>-0.19768353271484382</v>
      </c>
      <c r="EI124" s="78">
        <v>5.7368121714550975E-3</v>
      </c>
      <c r="EJ124" s="78">
        <f t="shared" si="15"/>
        <v>-0.19194672054338871</v>
      </c>
    </row>
    <row r="125" spans="2:140" ht="30" x14ac:dyDescent="0.25">
      <c r="B125" s="106">
        <v>33</v>
      </c>
      <c r="C125" s="106" t="s">
        <v>539</v>
      </c>
      <c r="D125" s="106" t="s">
        <v>226</v>
      </c>
      <c r="E125" s="106" t="str">
        <f>INDEX(Pipes_result_save_V1!$G$2:$G$206,MATCH(D125,Pipes_result_save_V1!$I$2:$I$206,0))</f>
        <v>N155</v>
      </c>
      <c r="F125" s="106" t="str">
        <f>INDEX(Pipes_result_save_V1!$H$2:$H$206,MATCH(D125,Pipes_result_save_V1!$I$2:$I$206,0))</f>
        <v>N156</v>
      </c>
      <c r="G125" s="106">
        <v>0.129</v>
      </c>
      <c r="H125" s="107">
        <v>421</v>
      </c>
      <c r="I125" s="107">
        <v>150</v>
      </c>
      <c r="J125" s="107">
        <v>129</v>
      </c>
      <c r="K125" s="107">
        <v>8.6920295923619637</v>
      </c>
      <c r="L125" s="107">
        <v>0.129</v>
      </c>
      <c r="M125" s="107">
        <v>0.19585440315176539</v>
      </c>
      <c r="N125" s="107">
        <v>2.8118011987369731</v>
      </c>
      <c r="O125" s="107">
        <f>INDEX(Pipes_result_save_V1!$K$2:$K$206,MATCH(D125,Pipes_result_save_V1!$I$2:$I$206,0)) *POWER(10,-3)</f>
        <v>-1.7648836135864262E-2</v>
      </c>
      <c r="P125" s="78">
        <v>5.5686394034904756E-3</v>
      </c>
      <c r="Q125" s="78">
        <f t="shared" si="9"/>
        <v>-1.2080196732373786E-2</v>
      </c>
      <c r="R125" s="78"/>
      <c r="S125" s="78"/>
      <c r="T125" s="78">
        <v>32</v>
      </c>
      <c r="U125" s="78">
        <v>33</v>
      </c>
      <c r="V125" s="78" t="s">
        <v>540</v>
      </c>
      <c r="W125" s="78" t="s">
        <v>225</v>
      </c>
      <c r="X125" s="106" t="str">
        <f>INDEX(Pipes_result_save_V1!$G$2:$G$206,MATCH(W125,Pipes_result_save_V1!$I$2:$I$206,0))</f>
        <v>N154</v>
      </c>
      <c r="Y125" s="106" t="str">
        <f>INDEX(Pipes_result_save_V1!$H$2:$H$206,MATCH(W125,Pipes_result_save_V1!$I$2:$I$206,0))</f>
        <v>N155</v>
      </c>
      <c r="Z125" s="78">
        <v>2.9028999999999999E-2</v>
      </c>
      <c r="AA125" s="78">
        <v>200</v>
      </c>
      <c r="AB125" s="78">
        <v>150</v>
      </c>
      <c r="AC125" s="78">
        <v>37</v>
      </c>
      <c r="AD125" s="78">
        <v>93.603953012741897</v>
      </c>
      <c r="AE125" s="78">
        <v>4.3596935076183549E-2</v>
      </c>
      <c r="AF125" s="78">
        <v>1</v>
      </c>
      <c r="AG125" s="78">
        <v>-1</v>
      </c>
      <c r="AH125" s="78">
        <v>0.28285680122909845</v>
      </c>
      <c r="AI125">
        <v>12.015771176595017</v>
      </c>
      <c r="AJ125" s="107">
        <f>INDEX(Pipes_result_save_V1!$K$2:$K$206,MATCH(W125,Pipes_result_save_V1!$I$2:$I$206,0)) *POWER(10,-3)</f>
        <v>-1.6701713562011718E-2</v>
      </c>
      <c r="AK125" s="78">
        <v>3.1214282543314542E-3</v>
      </c>
      <c r="AL125" s="78">
        <f t="shared" si="10"/>
        <v>-1.3580285307680264E-2</v>
      </c>
      <c r="AP125">
        <v>10</v>
      </c>
      <c r="AQ125">
        <v>33</v>
      </c>
      <c r="AR125" t="s">
        <v>540</v>
      </c>
      <c r="AS125" t="s">
        <v>294</v>
      </c>
      <c r="AT125" s="106" t="str">
        <f>INDEX(Pipes_result_save_V1!$G$2:$G$206,MATCH(AS125,Pipes_result_save_V1!$I$2:$I$206,0))</f>
        <v>N131</v>
      </c>
      <c r="AU125" s="106" t="str">
        <f>INDEX(Pipes_result_save_V1!$H$2:$H$206,MATCH(AS125,Pipes_result_save_V1!$I$2:$I$206,0))</f>
        <v>N130</v>
      </c>
      <c r="AV125">
        <v>5.8057999999999998E-2</v>
      </c>
      <c r="AW125">
        <v>300</v>
      </c>
      <c r="AX125">
        <v>150</v>
      </c>
      <c r="AY125">
        <v>130</v>
      </c>
      <c r="AZ125">
        <v>45.634710030724406</v>
      </c>
      <c r="BA125">
        <v>3.5211178482065772E-2</v>
      </c>
      <c r="BB125">
        <v>9.2842685431777316E-2</v>
      </c>
      <c r="BC125">
        <v>4.8832405171337525</v>
      </c>
      <c r="BD125" s="107">
        <f>INDEX(Pipes_result_save_V1!$K$2:$K$206,MATCH(AS125,Pipes_result_save_V1!$I$2:$I$206,0)) *POWER(10,-3)</f>
        <v>-3.3242774009704591E-3</v>
      </c>
      <c r="BE125" s="78">
        <v>5.0974508447499747E-3</v>
      </c>
      <c r="BF125" s="78">
        <f t="shared" si="11"/>
        <v>1.7731734437795156E-3</v>
      </c>
      <c r="BJ125">
        <v>0</v>
      </c>
      <c r="BK125">
        <v>33</v>
      </c>
      <c r="BL125" t="s">
        <v>540</v>
      </c>
      <c r="BM125" t="s">
        <v>200</v>
      </c>
      <c r="BN125" s="106" t="str">
        <f>INDEX(Pipes_result_save_V1!$G$2:$G$206,MATCH(BM125,Pipes_result_save_V1!$I$2:$I$206,0))</f>
        <v>N83</v>
      </c>
      <c r="BO125" s="106" t="str">
        <f>INDEX(Pipes_result_save_V1!$H$2:$H$206,MATCH(BM125,Pipes_result_save_V1!$I$2:$I$206,0))</f>
        <v>N82</v>
      </c>
      <c r="BP125">
        <v>9.0894000000000003E-2</v>
      </c>
      <c r="BQ125">
        <v>350</v>
      </c>
      <c r="BR125">
        <v>150</v>
      </c>
      <c r="BS125">
        <v>152</v>
      </c>
      <c r="BT125">
        <v>25.182434826962975</v>
      </c>
      <c r="BU125">
        <v>-9.0894000000000003E-2</v>
      </c>
      <c r="BV125">
        <v>-0.29669138684853463</v>
      </c>
      <c r="BW125">
        <v>6.0452004361507479</v>
      </c>
      <c r="BX125" s="107">
        <f>INDEX(Pipes_result_save_V1!$K$2:$K$206,MATCH(BM125,Pipes_result_save_V1!$I$2:$I$206,0)) *POWER(10,-3)</f>
        <v>-5.0193531036376957E-2</v>
      </c>
      <c r="BY125" s="78">
        <v>5.7179486826130169E-3</v>
      </c>
      <c r="BZ125" s="78">
        <f t="shared" si="12"/>
        <v>-4.4475582353763941E-2</v>
      </c>
      <c r="CE125">
        <v>12</v>
      </c>
      <c r="CF125">
        <v>33</v>
      </c>
      <c r="CG125" t="s">
        <v>540</v>
      </c>
      <c r="CH125" t="s">
        <v>123</v>
      </c>
      <c r="CI125" s="106" t="str">
        <f>INDEX(Pipes_result_save_V1!$G$2:$G$206,MATCH(CH125,Pipes_result_save_V1!$I$2:$I$206,0))</f>
        <v>N62</v>
      </c>
      <c r="CJ125" s="106" t="str">
        <f>INDEX(Pipes_result_save_V1!$H$2:$H$206,MATCH(CH125,Pipes_result_save_V1!$I$2:$I$206,0))</f>
        <v>N61</v>
      </c>
      <c r="CK125">
        <v>3.2837000000000005E-2</v>
      </c>
      <c r="CL125">
        <v>250</v>
      </c>
      <c r="CM125">
        <v>150</v>
      </c>
      <c r="CN125">
        <v>73</v>
      </c>
      <c r="CO125">
        <v>62.282588330910201</v>
      </c>
      <c r="CP125">
        <v>2.3580796114934299E-2</v>
      </c>
      <c r="CQ125">
        <v>6.0303834280463577E-2</v>
      </c>
      <c r="CR125">
        <v>4.7361717790641977</v>
      </c>
      <c r="CS125" s="107">
        <f>INDEX(Pipes_result_save_V1!$K$2:$K$206,MATCH(CH125,Pipes_result_save_V1!$I$2:$I$206,0)) *POWER(10,-3)</f>
        <v>-2.3688943862915039E-2</v>
      </c>
      <c r="CT125" s="78">
        <v>5.7345845707195949E-3</v>
      </c>
      <c r="CU125" s="78">
        <f t="shared" si="13"/>
        <v>-1.7954359292195445E-2</v>
      </c>
      <c r="CY125">
        <v>0</v>
      </c>
      <c r="CZ125">
        <v>33</v>
      </c>
      <c r="DA125" t="s">
        <v>540</v>
      </c>
      <c r="DB125" t="s">
        <v>258</v>
      </c>
      <c r="DC125" s="106" t="str">
        <f>INDEX(Pipes_result_save_V1!$G$2:$G$206,MATCH(DB125,Pipes_result_save_V1!$I$2:$I$206,0))</f>
        <v>N106</v>
      </c>
      <c r="DD125" s="106" t="str">
        <f>INDEX(Pipes_result_save_V1!$H$2:$H$206,MATCH(DB125,Pipes_result_save_V1!$I$2:$I$206,0))</f>
        <v>N107</v>
      </c>
      <c r="DE125">
        <v>8.3280000000000007E-2</v>
      </c>
      <c r="DF125">
        <v>350</v>
      </c>
      <c r="DG125">
        <v>150</v>
      </c>
      <c r="DH125">
        <v>218</v>
      </c>
      <c r="DI125">
        <v>36.116913107091634</v>
      </c>
      <c r="DJ125">
        <v>-8.3280000000000007E-2</v>
      </c>
      <c r="DK125">
        <v>-0.36186954243828162</v>
      </c>
      <c r="DL125">
        <v>8.0473390081135623</v>
      </c>
      <c r="DM125" s="107">
        <f>INDEX(Pipes_result_save_V1!$K$2:$K$206,MATCH(DB125,Pipes_result_save_V1!$I$2:$I$206,0)) *POWER(10,-3)</f>
        <v>7.6201789855957033E-2</v>
      </c>
      <c r="DN125" s="78">
        <v>6.0680267644292844E-3</v>
      </c>
      <c r="DO125" s="78">
        <f t="shared" si="14"/>
        <v>7.0133763091527745E-2</v>
      </c>
      <c r="DT125">
        <v>20</v>
      </c>
      <c r="DU125">
        <v>33</v>
      </c>
      <c r="DV125" t="s">
        <v>540</v>
      </c>
      <c r="DW125" t="s">
        <v>139</v>
      </c>
      <c r="DX125" s="106" t="str">
        <f>INDEX(Pipes_result_save_V1!$G$2:$G$206,MATCH(DW125,Pipes_result_save_V1!$I$2:$I$206,0))</f>
        <v>N31</v>
      </c>
      <c r="DY125" s="106" t="str">
        <f>INDEX(Pipes_result_save_V1!$H$2:$H$206,MATCH(DW125,Pipes_result_save_V1!$I$2:$I$206,0))</f>
        <v>N30</v>
      </c>
      <c r="DZ125">
        <v>0.16656000000000001</v>
      </c>
      <c r="EA125">
        <v>466</v>
      </c>
      <c r="EB125">
        <v>150</v>
      </c>
      <c r="EC125">
        <v>251</v>
      </c>
      <c r="ED125">
        <v>10.312773894253795</v>
      </c>
      <c r="EE125">
        <v>0.15497564373451178</v>
      </c>
      <c r="EF125">
        <v>0.32639492959393818</v>
      </c>
      <c r="EG125">
        <v>3.9005058797723851</v>
      </c>
      <c r="EH125" s="107">
        <f>INDEX(Pipes_result_save_V1!$K$2:$K$206,MATCH(DW125,Pipes_result_save_V1!$I$2:$I$206,0)) *POWER(10,-3)</f>
        <v>-0.19499050903320311</v>
      </c>
      <c r="EI125" s="78">
        <v>5.7979094211488783E-3</v>
      </c>
      <c r="EJ125" s="78">
        <f t="shared" si="15"/>
        <v>-0.18919259961205423</v>
      </c>
    </row>
    <row r="126" spans="2:140" ht="30" x14ac:dyDescent="0.25">
      <c r="B126" s="106">
        <v>34</v>
      </c>
      <c r="C126" s="106" t="s">
        <v>539</v>
      </c>
      <c r="D126" s="106" t="s">
        <v>228</v>
      </c>
      <c r="E126" s="106" t="str">
        <f>INDEX(Pipes_result_save_V1!$G$2:$G$206,MATCH(D126,Pipes_result_save_V1!$I$2:$I$206,0))</f>
        <v>N156</v>
      </c>
      <c r="F126" s="106" t="str">
        <f>INDEX(Pipes_result_save_V1!$H$2:$H$206,MATCH(D126,Pipes_result_save_V1!$I$2:$I$206,0))</f>
        <v>N157</v>
      </c>
      <c r="G126" s="106">
        <v>8.5000000000000006E-2</v>
      </c>
      <c r="H126" s="107">
        <v>350</v>
      </c>
      <c r="I126" s="107">
        <v>150</v>
      </c>
      <c r="J126" s="107">
        <v>85</v>
      </c>
      <c r="K126" s="107">
        <v>14.082282633499032</v>
      </c>
      <c r="L126" s="107">
        <v>8.5000000000000006E-2</v>
      </c>
      <c r="M126" s="107">
        <v>0.14654024282313405</v>
      </c>
      <c r="N126" s="107">
        <v>3.1928532906875779</v>
      </c>
      <c r="O126" s="107">
        <f>INDEX(Pipes_result_save_V1!$K$2:$K$206,MATCH(D126,Pipes_result_save_V1!$I$2:$I$206,0)) *POWER(10,-3)</f>
        <v>-1.886982345581055E-2</v>
      </c>
      <c r="P126" s="78">
        <v>5.4293279142659211E-3</v>
      </c>
      <c r="Q126" s="78">
        <f t="shared" si="9"/>
        <v>-1.3440495541544629E-2</v>
      </c>
      <c r="R126" s="78"/>
      <c r="S126" s="78"/>
      <c r="T126" s="78">
        <v>33</v>
      </c>
      <c r="U126" s="78">
        <v>34</v>
      </c>
      <c r="V126" s="78" t="s">
        <v>540</v>
      </c>
      <c r="W126" s="78" t="s">
        <v>226</v>
      </c>
      <c r="X126" s="106" t="str">
        <f>INDEX(Pipes_result_save_V1!$G$2:$G$206,MATCH(W126,Pipes_result_save_V1!$I$2:$I$206,0))</f>
        <v>N155</v>
      </c>
      <c r="Y126" s="106" t="str">
        <f>INDEX(Pipes_result_save_V1!$H$2:$H$206,MATCH(W126,Pipes_result_save_V1!$I$2:$I$206,0))</f>
        <v>N156</v>
      </c>
      <c r="Z126" s="78">
        <v>2.9028999999999999E-2</v>
      </c>
      <c r="AA126" s="78">
        <v>200</v>
      </c>
      <c r="AB126" s="78">
        <v>150</v>
      </c>
      <c r="AC126" s="78">
        <v>129</v>
      </c>
      <c r="AD126" s="78">
        <v>326.34891726064069</v>
      </c>
      <c r="AE126" s="78">
        <v>0.13559693507618356</v>
      </c>
      <c r="AF126" s="78">
        <v>1</v>
      </c>
      <c r="AG126" s="78">
        <v>-1</v>
      </c>
      <c r="AH126" s="78">
        <v>8.0650848595285289</v>
      </c>
      <c r="AI126">
        <v>110.15394375584465</v>
      </c>
      <c r="AJ126" s="107">
        <f>INDEX(Pipes_result_save_V1!$K$2:$K$206,MATCH(W126,Pipes_result_save_V1!$I$2:$I$206,0)) *POWER(10,-3)</f>
        <v>-1.7648836135864262E-2</v>
      </c>
      <c r="AK126" s="78">
        <v>3.0377401053966386E-3</v>
      </c>
      <c r="AL126" s="78">
        <f t="shared" si="10"/>
        <v>-1.4611096030467624E-2</v>
      </c>
      <c r="AP126">
        <v>11</v>
      </c>
      <c r="AQ126">
        <v>34</v>
      </c>
      <c r="AR126" t="s">
        <v>540</v>
      </c>
      <c r="AS126" t="s">
        <v>295</v>
      </c>
      <c r="AT126" s="106" t="str">
        <f>INDEX(Pipes_result_save_V1!$G$2:$G$206,MATCH(AS126,Pipes_result_save_V1!$I$2:$I$206,0))</f>
        <v>N132</v>
      </c>
      <c r="AU126" s="106" t="str">
        <f>INDEX(Pipes_result_save_V1!$H$2:$H$206,MATCH(AS126,Pipes_result_save_V1!$I$2:$I$206,0))</f>
        <v>N131</v>
      </c>
      <c r="AV126">
        <v>5.8057999999999998E-2</v>
      </c>
      <c r="AW126">
        <v>300</v>
      </c>
      <c r="AX126">
        <v>150</v>
      </c>
      <c r="AY126">
        <v>131</v>
      </c>
      <c r="AZ126">
        <v>45.985746261729986</v>
      </c>
      <c r="BA126">
        <v>3.5211178482065772E-2</v>
      </c>
      <c r="BB126">
        <v>9.3556859935098699E-2</v>
      </c>
      <c r="BC126">
        <v>4.92080390572709</v>
      </c>
      <c r="BD126" s="107">
        <f>INDEX(Pipes_result_save_V1!$K$2:$K$206,MATCH(AS126,Pipes_result_save_V1!$I$2:$I$206,0)) *POWER(10,-3)</f>
        <v>-2.2801618576049803E-3</v>
      </c>
      <c r="BE126" s="78">
        <v>6.4665696020147385E-3</v>
      </c>
      <c r="BF126" s="78">
        <f t="shared" si="11"/>
        <v>4.1864077444097583E-3</v>
      </c>
      <c r="BJ126">
        <v>0</v>
      </c>
      <c r="BK126">
        <v>34</v>
      </c>
      <c r="BL126" t="s">
        <v>540</v>
      </c>
      <c r="BM126" t="s">
        <v>202</v>
      </c>
      <c r="BN126" s="106" t="str">
        <f>INDEX(Pipes_result_save_V1!$G$2:$G$206,MATCH(BM126,Pipes_result_save_V1!$I$2:$I$206,0))</f>
        <v>N84</v>
      </c>
      <c r="BO126" s="106" t="str">
        <f>INDEX(Pipes_result_save_V1!$H$2:$H$206,MATCH(BM126,Pipes_result_save_V1!$I$2:$I$206,0))</f>
        <v>N83</v>
      </c>
      <c r="BP126">
        <v>9.0894000000000003E-2</v>
      </c>
      <c r="BQ126">
        <v>350</v>
      </c>
      <c r="BR126">
        <v>150</v>
      </c>
      <c r="BS126">
        <v>75</v>
      </c>
      <c r="BT126">
        <v>12.425543500146206</v>
      </c>
      <c r="BU126">
        <v>-9.0894000000000003E-2</v>
      </c>
      <c r="BV126">
        <v>-0.14639377640552698</v>
      </c>
      <c r="BW126">
        <v>2.982829162574383</v>
      </c>
      <c r="BX126" s="107">
        <f>INDEX(Pipes_result_save_V1!$K$2:$K$206,MATCH(BM126,Pipes_result_save_V1!$I$2:$I$206,0)) *POWER(10,-3)</f>
        <v>-4.8898372650146481E-2</v>
      </c>
      <c r="BY126" s="78">
        <v>5.1004257933387814E-3</v>
      </c>
      <c r="BZ126" s="78">
        <f t="shared" si="12"/>
        <v>-4.3797946856807699E-2</v>
      </c>
      <c r="CE126">
        <v>13</v>
      </c>
      <c r="CF126">
        <v>34</v>
      </c>
      <c r="CG126" t="s">
        <v>540</v>
      </c>
      <c r="CH126" t="s">
        <v>122</v>
      </c>
      <c r="CI126" s="106" t="str">
        <f>INDEX(Pipes_result_save_V1!$G$2:$G$206,MATCH(CH126,Pipes_result_save_V1!$I$2:$I$206,0))</f>
        <v>N63</v>
      </c>
      <c r="CJ126" s="106" t="str">
        <f>INDEX(Pipes_result_save_V1!$H$2:$H$206,MATCH(CH126,Pipes_result_save_V1!$I$2:$I$206,0))</f>
        <v>N62</v>
      </c>
      <c r="CK126">
        <v>3.2837000000000005E-2</v>
      </c>
      <c r="CL126">
        <v>250</v>
      </c>
      <c r="CM126">
        <v>150</v>
      </c>
      <c r="CN126">
        <v>58</v>
      </c>
      <c r="CO126">
        <v>49.484796208120436</v>
      </c>
      <c r="CP126">
        <v>2.3580796114934299E-2</v>
      </c>
      <c r="CQ126">
        <v>4.7912635455710791E-2</v>
      </c>
      <c r="CR126">
        <v>3.7629857970647054</v>
      </c>
      <c r="CS126" s="107">
        <f>INDEX(Pipes_result_save_V1!$K$2:$K$206,MATCH(CH126,Pipes_result_save_V1!$I$2:$I$206,0)) *POWER(10,-3)</f>
        <v>-2.2941516876220699E-2</v>
      </c>
      <c r="CT126" s="78">
        <v>5.1233106297051663E-3</v>
      </c>
      <c r="CU126" s="78">
        <f t="shared" si="13"/>
        <v>-1.7818206246515533E-2</v>
      </c>
      <c r="CY126">
        <v>0</v>
      </c>
      <c r="CZ126">
        <v>34</v>
      </c>
      <c r="DA126" t="s">
        <v>540</v>
      </c>
      <c r="DB126" t="s">
        <v>259</v>
      </c>
      <c r="DC126" s="106" t="str">
        <f>INDEX(Pipes_result_save_V1!$G$2:$G$206,MATCH(DB126,Pipes_result_save_V1!$I$2:$I$206,0))</f>
        <v>N107</v>
      </c>
      <c r="DD126" s="106" t="str">
        <f>INDEX(Pipes_result_save_V1!$H$2:$H$206,MATCH(DB126,Pipes_result_save_V1!$I$2:$I$206,0))</f>
        <v>N108</v>
      </c>
      <c r="DE126">
        <v>8.3280000000000007E-2</v>
      </c>
      <c r="DF126">
        <v>350</v>
      </c>
      <c r="DG126">
        <v>150</v>
      </c>
      <c r="DH126">
        <v>101</v>
      </c>
      <c r="DI126">
        <v>16.733065246863553</v>
      </c>
      <c r="DJ126">
        <v>-8.3280000000000007E-2</v>
      </c>
      <c r="DK126">
        <v>-0.16765515498287359</v>
      </c>
      <c r="DL126">
        <v>3.7283543110984856</v>
      </c>
      <c r="DM126" s="107">
        <f>INDEX(Pipes_result_save_V1!$K$2:$K$206,MATCH(DB126,Pipes_result_save_V1!$I$2:$I$206,0)) *POWER(10,-3)</f>
        <v>7.4381721496582037E-2</v>
      </c>
      <c r="DN126" s="78">
        <v>6.5728772994273228E-3</v>
      </c>
      <c r="DO126" s="78">
        <f t="shared" si="14"/>
        <v>6.7808844197154716E-2</v>
      </c>
      <c r="DW126" t="s">
        <v>380</v>
      </c>
      <c r="EF126">
        <v>5.9017424167719028</v>
      </c>
      <c r="EG126">
        <v>157.76590768049459</v>
      </c>
    </row>
    <row r="127" spans="2:140" ht="30" x14ac:dyDescent="0.25">
      <c r="B127" s="106">
        <v>35</v>
      </c>
      <c r="C127" s="106" t="s">
        <v>539</v>
      </c>
      <c r="D127" s="106" t="s">
        <v>227</v>
      </c>
      <c r="E127" s="106" t="str">
        <f>INDEX(Pipes_result_save_V1!$G$2:$G$206,MATCH(D127,Pipes_result_save_V1!$I$2:$I$206,0))</f>
        <v>N157</v>
      </c>
      <c r="F127" s="106" t="str">
        <f>INDEX(Pipes_result_save_V1!$H$2:$H$206,MATCH(D127,Pipes_result_save_V1!$I$2:$I$206,0))</f>
        <v>N158</v>
      </c>
      <c r="G127" s="106">
        <v>7.4999999999999997E-2</v>
      </c>
      <c r="H127" s="107">
        <v>350</v>
      </c>
      <c r="I127" s="107">
        <v>150</v>
      </c>
      <c r="J127" s="107">
        <v>75</v>
      </c>
      <c r="K127" s="107">
        <v>12.425543500146206</v>
      </c>
      <c r="L127" s="107">
        <v>7.4999999999999997E-2</v>
      </c>
      <c r="M127" s="107">
        <v>0.10254839177742346</v>
      </c>
      <c r="N127" s="107">
        <v>2.5322616209571787</v>
      </c>
      <c r="O127" s="107">
        <f>INDEX(Pipes_result_save_V1!$K$2:$K$206,MATCH(D127,Pipes_result_save_V1!$I$2:$I$206,0)) *POWER(10,-3)</f>
        <v>-1.9782709121704101E-2</v>
      </c>
      <c r="P127" s="78">
        <v>6.2309036161130888E-3</v>
      </c>
      <c r="Q127" s="78">
        <f t="shared" si="9"/>
        <v>-1.3551805505591012E-2</v>
      </c>
      <c r="R127" s="78"/>
      <c r="S127" s="78"/>
      <c r="T127" s="78">
        <v>34</v>
      </c>
      <c r="U127" s="78">
        <v>35</v>
      </c>
      <c r="V127" s="78" t="s">
        <v>540</v>
      </c>
      <c r="W127" s="78" t="s">
        <v>228</v>
      </c>
      <c r="X127" s="106" t="str">
        <f>INDEX(Pipes_result_save_V1!$G$2:$G$206,MATCH(W127,Pipes_result_save_V1!$I$2:$I$206,0))</f>
        <v>N156</v>
      </c>
      <c r="Y127" s="106" t="str">
        <f>INDEX(Pipes_result_save_V1!$H$2:$H$206,MATCH(W127,Pipes_result_save_V1!$I$2:$I$206,0))</f>
        <v>N157</v>
      </c>
      <c r="Z127" s="78">
        <v>2.9028999999999999E-2</v>
      </c>
      <c r="AA127" s="78">
        <v>200</v>
      </c>
      <c r="AB127" s="78">
        <v>150</v>
      </c>
      <c r="AC127" s="78">
        <v>85</v>
      </c>
      <c r="AD127" s="78">
        <v>215.03610827251518</v>
      </c>
      <c r="AE127" s="78">
        <v>9.1596935076183564E-2</v>
      </c>
      <c r="AF127" s="78">
        <v>1</v>
      </c>
      <c r="AG127" s="78">
        <v>-1</v>
      </c>
      <c r="AH127" s="78">
        <v>2.5698921402347308</v>
      </c>
      <c r="AI127">
        <v>51.960693223590631</v>
      </c>
      <c r="AJ127" s="107">
        <f>INDEX(Pipes_result_save_V1!$K$2:$K$206,MATCH(W127,Pipes_result_save_V1!$I$2:$I$206,0)) *POWER(10,-3)</f>
        <v>-1.886982345581055E-2</v>
      </c>
      <c r="AK127" s="78">
        <v>1.7063509188828007E-3</v>
      </c>
      <c r="AL127" s="78">
        <f t="shared" si="10"/>
        <v>-1.7163472536927748E-2</v>
      </c>
      <c r="AP127">
        <v>12</v>
      </c>
      <c r="AQ127">
        <v>35</v>
      </c>
      <c r="AR127" t="s">
        <v>540</v>
      </c>
      <c r="AS127" t="s">
        <v>296</v>
      </c>
      <c r="AT127" s="106" t="str">
        <f>INDEX(Pipes_result_save_V1!$G$2:$G$206,MATCH(AS127,Pipes_result_save_V1!$I$2:$I$206,0))</f>
        <v>N133</v>
      </c>
      <c r="AU127" s="106" t="str">
        <f>INDEX(Pipes_result_save_V1!$H$2:$H$206,MATCH(AS127,Pipes_result_save_V1!$I$2:$I$206,0))</f>
        <v>N132</v>
      </c>
      <c r="AV127">
        <v>5.8057999999999998E-2</v>
      </c>
      <c r="AW127">
        <v>300</v>
      </c>
      <c r="AX127">
        <v>150</v>
      </c>
      <c r="AY127">
        <v>132</v>
      </c>
      <c r="AZ127">
        <v>46.336782492735551</v>
      </c>
      <c r="BA127">
        <v>3.5211178482065772E-2</v>
      </c>
      <c r="BB127">
        <v>9.4271034438420054E-2</v>
      </c>
      <c r="BC127">
        <v>4.9583672943204258</v>
      </c>
      <c r="BD127" s="107">
        <f>INDEX(Pipes_result_save_V1!$K$2:$K$206,MATCH(AS127,Pipes_result_save_V1!$I$2:$I$206,0)) *POWER(10,-3)</f>
        <v>-8.0813032388687132E-4</v>
      </c>
      <c r="BE127" s="78">
        <v>5.7369006507098433E-3</v>
      </c>
      <c r="BF127" s="78">
        <f t="shared" si="11"/>
        <v>4.9287703268229722E-3</v>
      </c>
      <c r="BJ127">
        <v>0</v>
      </c>
      <c r="BK127">
        <v>35</v>
      </c>
      <c r="BL127" t="s">
        <v>540</v>
      </c>
      <c r="BM127" t="s">
        <v>201</v>
      </c>
      <c r="BN127" s="106" t="str">
        <f>INDEX(Pipes_result_save_V1!$G$2:$G$206,MATCH(BM127,Pipes_result_save_V1!$I$2:$I$206,0))</f>
        <v>N84</v>
      </c>
      <c r="BO127" s="106" t="str">
        <f>INDEX(Pipes_result_save_V1!$H$2:$H$206,MATCH(BM127,Pipes_result_save_V1!$I$2:$I$206,0))</f>
        <v>N85</v>
      </c>
      <c r="BP127">
        <v>0.119923</v>
      </c>
      <c r="BQ127">
        <v>400</v>
      </c>
      <c r="BR127">
        <v>150</v>
      </c>
      <c r="BS127">
        <v>95</v>
      </c>
      <c r="BT127">
        <v>8.2129459038134058</v>
      </c>
      <c r="BU127">
        <v>-0.119923</v>
      </c>
      <c r="BV127">
        <v>-0.16166885526910485</v>
      </c>
      <c r="BW127">
        <v>2.4966913766198493</v>
      </c>
      <c r="BX127" s="107">
        <f>INDEX(Pipes_result_save_V1!$K$2:$K$206,MATCH(BM127,Pipes_result_save_V1!$I$2:$I$206,0)) *POWER(10,-3)</f>
        <v>2.0083776473999022E-2</v>
      </c>
      <c r="BY127" s="78">
        <v>5.0835109302906677E-3</v>
      </c>
      <c r="BZ127" s="78">
        <f t="shared" si="12"/>
        <v>1.5000265543708355E-2</v>
      </c>
      <c r="CE127">
        <v>14</v>
      </c>
      <c r="CF127">
        <v>35</v>
      </c>
      <c r="CG127" t="s">
        <v>540</v>
      </c>
      <c r="CH127" t="s">
        <v>121</v>
      </c>
      <c r="CI127" s="106" t="str">
        <f>INDEX(Pipes_result_save_V1!$G$2:$G$206,MATCH(CH127,Pipes_result_save_V1!$I$2:$I$206,0))</f>
        <v>N64</v>
      </c>
      <c r="CJ127" s="106" t="str">
        <f>INDEX(Pipes_result_save_V1!$H$2:$H$206,MATCH(CH127,Pipes_result_save_V1!$I$2:$I$206,0))</f>
        <v>N63</v>
      </c>
      <c r="CK127">
        <v>3.2837000000000005E-2</v>
      </c>
      <c r="CL127">
        <v>250</v>
      </c>
      <c r="CM127">
        <v>150</v>
      </c>
      <c r="CN127">
        <v>216</v>
      </c>
      <c r="CO127">
        <v>184.28820656817265</v>
      </c>
      <c r="CP127">
        <v>2.3580796114934299E-2</v>
      </c>
      <c r="CQ127">
        <v>0.1784332630764402</v>
      </c>
      <c r="CR127">
        <v>14.013878140792695</v>
      </c>
      <c r="CS127" s="107">
        <f>INDEX(Pipes_result_save_V1!$K$2:$K$206,MATCH(CH127,Pipes_result_save_V1!$I$2:$I$206,0)) *POWER(10,-3)</f>
        <v>-2.1378194808959961E-2</v>
      </c>
      <c r="CT127" s="78">
        <v>5.6284866141425791E-3</v>
      </c>
      <c r="CU127" s="78">
        <f t="shared" si="13"/>
        <v>-1.5749708194817382E-2</v>
      </c>
      <c r="CY127">
        <v>0</v>
      </c>
      <c r="CZ127">
        <v>35</v>
      </c>
      <c r="DA127" t="s">
        <v>540</v>
      </c>
      <c r="DB127" t="s">
        <v>261</v>
      </c>
      <c r="DC127" s="106" t="str">
        <f>INDEX(Pipes_result_save_V1!$G$2:$G$206,MATCH(DB127,Pipes_result_save_V1!$I$2:$I$206,0))</f>
        <v>N108</v>
      </c>
      <c r="DD127" s="106" t="str">
        <f>INDEX(Pipes_result_save_V1!$H$2:$H$206,MATCH(DB127,Pipes_result_save_V1!$I$2:$I$206,0))</f>
        <v>N109</v>
      </c>
      <c r="DE127">
        <v>8.3280000000000007E-2</v>
      </c>
      <c r="DF127">
        <v>350</v>
      </c>
      <c r="DG127">
        <v>150</v>
      </c>
      <c r="DH127">
        <v>149</v>
      </c>
      <c r="DI127">
        <v>24.685413086957126</v>
      </c>
      <c r="DJ127">
        <v>-8.3280000000000007E-2</v>
      </c>
      <c r="DK127">
        <v>-0.24733285240047689</v>
      </c>
      <c r="DL127">
        <v>5.5002454688482612</v>
      </c>
      <c r="DM127" s="107">
        <f>INDEX(Pipes_result_save_V1!$K$2:$K$206,MATCH(DB127,Pipes_result_save_V1!$I$2:$I$206,0)) *POWER(10,-3)</f>
        <v>7.295532989501953E-2</v>
      </c>
      <c r="DN127" s="78">
        <v>6.2694249887128095E-3</v>
      </c>
      <c r="DO127" s="78">
        <f t="shared" si="14"/>
        <v>6.6685904906306714E-2</v>
      </c>
      <c r="DW127" t="s">
        <v>381</v>
      </c>
      <c r="DZ127">
        <v>-3.7408224017092671E-2</v>
      </c>
    </row>
    <row r="128" spans="2:140" ht="30" x14ac:dyDescent="0.25">
      <c r="B128" s="106">
        <v>36</v>
      </c>
      <c r="C128" s="106" t="s">
        <v>539</v>
      </c>
      <c r="D128" s="106" t="s">
        <v>429</v>
      </c>
      <c r="E128" s="106" t="str">
        <f>INDEX(Pipes_result_save_V1!$G$2:$G$206,MATCH(D128,Pipes_result_save_V1!$I$2:$I$206,0))</f>
        <v>N158</v>
      </c>
      <c r="F128" s="106" t="str">
        <f>INDEX(Pipes_result_save_V1!$H$2:$H$206,MATCH(D128,Pipes_result_save_V1!$I$2:$I$206,0))</f>
        <v>N159</v>
      </c>
      <c r="G128" s="106">
        <v>8.3000000000000004E-2</v>
      </c>
      <c r="H128" s="107">
        <v>350</v>
      </c>
      <c r="I128" s="107">
        <v>150</v>
      </c>
      <c r="J128" s="107">
        <v>83</v>
      </c>
      <c r="K128" s="107">
        <v>13.750934806828466</v>
      </c>
      <c r="L128" s="107">
        <v>8.3000000000000004E-2</v>
      </c>
      <c r="M128" s="107">
        <v>0.13691935675646288</v>
      </c>
      <c r="N128" s="107">
        <v>3.0551162495538478</v>
      </c>
      <c r="O128" s="107">
        <f>INDEX(Pipes_result_save_V1!$K$2:$K$206,MATCH(D128,Pipes_result_save_V1!$I$2:$I$206,0)) *POWER(10,-3)</f>
        <v>-2.06841869354248E-2</v>
      </c>
      <c r="P128" s="78">
        <v>5.5030844016331062E-3</v>
      </c>
      <c r="Q128" s="78">
        <f t="shared" si="9"/>
        <v>-1.5181102533791693E-2</v>
      </c>
      <c r="R128" s="78"/>
      <c r="S128" s="78"/>
      <c r="T128" s="78">
        <v>35</v>
      </c>
      <c r="U128" s="78">
        <v>36</v>
      </c>
      <c r="V128" s="78" t="s">
        <v>540</v>
      </c>
      <c r="W128" s="78" t="s">
        <v>227</v>
      </c>
      <c r="X128" s="106" t="str">
        <f>INDEX(Pipes_result_save_V1!$G$2:$G$206,MATCH(W128,Pipes_result_save_V1!$I$2:$I$206,0))</f>
        <v>N157</v>
      </c>
      <c r="Y128" s="106" t="str">
        <f>INDEX(Pipes_result_save_V1!$H$2:$H$206,MATCH(W128,Pipes_result_save_V1!$I$2:$I$206,0))</f>
        <v>N158</v>
      </c>
      <c r="Z128" s="78">
        <v>2.9028999999999999E-2</v>
      </c>
      <c r="AA128" s="78">
        <v>200</v>
      </c>
      <c r="AB128" s="78">
        <v>150</v>
      </c>
      <c r="AC128" s="78">
        <v>75</v>
      </c>
      <c r="AD128" s="78">
        <v>189.73774259339575</v>
      </c>
      <c r="AE128" s="78">
        <v>8.1596935076183555E-2</v>
      </c>
      <c r="AF128" s="78">
        <v>1</v>
      </c>
      <c r="AG128" s="78">
        <v>-1</v>
      </c>
      <c r="AH128" s="78">
        <v>1.8305166876164278</v>
      </c>
      <c r="AI128">
        <v>41.547110835724631</v>
      </c>
      <c r="AJ128" s="107">
        <f>INDEX(Pipes_result_save_V1!$K$2:$K$206,MATCH(W128,Pipes_result_save_V1!$I$2:$I$206,0)) *POWER(10,-3)</f>
        <v>-1.9782709121704101E-2</v>
      </c>
      <c r="AK128" s="78">
        <v>4.0315823443348416E-3</v>
      </c>
      <c r="AL128" s="78">
        <f t="shared" si="10"/>
        <v>-1.575112677736926E-2</v>
      </c>
      <c r="AP128">
        <v>13</v>
      </c>
      <c r="AQ128">
        <v>36</v>
      </c>
      <c r="AR128" t="s">
        <v>540</v>
      </c>
      <c r="AS128" t="s">
        <v>297</v>
      </c>
      <c r="AT128" s="106" t="str">
        <f>INDEX(Pipes_result_save_V1!$G$2:$G$206,MATCH(AS128,Pipes_result_save_V1!$I$2:$I$206,0))</f>
        <v>N134</v>
      </c>
      <c r="AU128" s="106" t="str">
        <f>INDEX(Pipes_result_save_V1!$H$2:$H$206,MATCH(AS128,Pipes_result_save_V1!$I$2:$I$206,0))</f>
        <v>N133</v>
      </c>
      <c r="AV128">
        <v>5.8057999999999998E-2</v>
      </c>
      <c r="AW128">
        <v>300</v>
      </c>
      <c r="AX128">
        <v>150</v>
      </c>
      <c r="AY128">
        <v>133</v>
      </c>
      <c r="AZ128">
        <v>46.687818723741124</v>
      </c>
      <c r="BA128">
        <v>3.5211178482065772E-2</v>
      </c>
      <c r="BB128">
        <v>9.4985208941741409E-2</v>
      </c>
      <c r="BC128">
        <v>4.9959306829137624</v>
      </c>
      <c r="BD128" s="107">
        <f>INDEX(Pipes_result_save_V1!$K$2:$K$206,MATCH(AS128,Pipes_result_save_V1!$I$2:$I$206,0)) *POWER(10,-3)</f>
        <v>3.558016419410706E-4</v>
      </c>
      <c r="BE128" s="78">
        <v>5.8762851799060364E-3</v>
      </c>
      <c r="BF128" s="78">
        <f t="shared" si="11"/>
        <v>-5.5204835379649656E-3</v>
      </c>
      <c r="BJ128">
        <v>0</v>
      </c>
      <c r="BK128">
        <v>36</v>
      </c>
      <c r="BL128" t="s">
        <v>540</v>
      </c>
      <c r="BM128" t="s">
        <v>199</v>
      </c>
      <c r="BN128" s="106" t="str">
        <f>INDEX(Pipes_result_save_V1!$G$2:$G$206,MATCH(BM128,Pipes_result_save_V1!$I$2:$I$206,0))</f>
        <v>N85</v>
      </c>
      <c r="BO128" s="106" t="str">
        <f>INDEX(Pipes_result_save_V1!$H$2:$H$206,MATCH(BM128,Pipes_result_save_V1!$I$2:$I$206,0))</f>
        <v>N86</v>
      </c>
      <c r="BP128">
        <v>0.119923</v>
      </c>
      <c r="BQ128">
        <v>400</v>
      </c>
      <c r="BR128">
        <v>150</v>
      </c>
      <c r="BS128">
        <v>73</v>
      </c>
      <c r="BT128">
        <v>6.3110005366145119</v>
      </c>
      <c r="BU128">
        <v>-0.119923</v>
      </c>
      <c r="BV128">
        <v>-0.12422975194362795</v>
      </c>
      <c r="BW128">
        <v>1.9185102157184104</v>
      </c>
      <c r="BX128" s="107">
        <f>INDEX(Pipes_result_save_V1!$K$2:$K$206,MATCH(BM128,Pipes_result_save_V1!$I$2:$I$206,0)) *POWER(10,-3)</f>
        <v>1.9125244140625001E-2</v>
      </c>
      <c r="BY128" s="78">
        <v>6.12665318303862E-3</v>
      </c>
      <c r="BZ128" s="78">
        <f t="shared" si="12"/>
        <v>1.2998590957586381E-2</v>
      </c>
      <c r="CE128">
        <v>15</v>
      </c>
      <c r="CF128">
        <v>36</v>
      </c>
      <c r="CG128" t="s">
        <v>540</v>
      </c>
      <c r="CH128" t="s">
        <v>119</v>
      </c>
      <c r="CI128" s="106" t="str">
        <f>INDEX(Pipes_result_save_V1!$G$2:$G$206,MATCH(CH128,Pipes_result_save_V1!$I$2:$I$206,0))</f>
        <v>N65</v>
      </c>
      <c r="CJ128" s="106" t="str">
        <f>INDEX(Pipes_result_save_V1!$H$2:$H$206,MATCH(CH128,Pipes_result_save_V1!$I$2:$I$206,0))</f>
        <v>N64</v>
      </c>
      <c r="CK128">
        <v>3.2837000000000005E-2</v>
      </c>
      <c r="CL128">
        <v>250</v>
      </c>
      <c r="CM128">
        <v>150</v>
      </c>
      <c r="CN128">
        <v>73</v>
      </c>
      <c r="CO128">
        <v>62.282588330910201</v>
      </c>
      <c r="CP128">
        <v>2.3580796114934299E-2</v>
      </c>
      <c r="CQ128">
        <v>6.0303834280463577E-2</v>
      </c>
      <c r="CR128">
        <v>4.7361717790641977</v>
      </c>
      <c r="CS128" s="107">
        <f>INDEX(Pipes_result_save_V1!$K$2:$K$206,MATCH(CH128,Pipes_result_save_V1!$I$2:$I$206,0)) *POWER(10,-3)</f>
        <v>-1.9729291915893551E-2</v>
      </c>
      <c r="CT128" s="78">
        <v>5.4144210163477183E-3</v>
      </c>
      <c r="CU128" s="78">
        <f t="shared" si="13"/>
        <v>-1.4314870899545834E-2</v>
      </c>
      <c r="CY128">
        <v>0</v>
      </c>
      <c r="CZ128">
        <v>36</v>
      </c>
      <c r="DA128" t="s">
        <v>540</v>
      </c>
      <c r="DB128" t="s">
        <v>260</v>
      </c>
      <c r="DC128" s="106" t="str">
        <f>INDEX(Pipes_result_save_V1!$G$2:$G$206,MATCH(DB128,Pipes_result_save_V1!$I$2:$I$206,0))</f>
        <v>N109</v>
      </c>
      <c r="DD128" s="106" t="str">
        <f>INDEX(Pipes_result_save_V1!$H$2:$H$206,MATCH(DB128,Pipes_result_save_V1!$I$2:$I$206,0))</f>
        <v>N110</v>
      </c>
      <c r="DE128">
        <v>8.3280000000000007E-2</v>
      </c>
      <c r="DF128">
        <v>350</v>
      </c>
      <c r="DG128">
        <v>150</v>
      </c>
      <c r="DH128">
        <v>260</v>
      </c>
      <c r="DI128">
        <v>43.075217467173509</v>
      </c>
      <c r="DJ128">
        <v>-8.3280000000000007E-2</v>
      </c>
      <c r="DK128">
        <v>-0.43158752767868452</v>
      </c>
      <c r="DL128">
        <v>9.5977437711446161</v>
      </c>
      <c r="DM128" s="107">
        <f>INDEX(Pipes_result_save_V1!$K$2:$K$206,MATCH(DB128,Pipes_result_save_V1!$I$2:$I$206,0)) *POWER(10,-3)</f>
        <v>7.062176513671875E-2</v>
      </c>
      <c r="DN128" s="78">
        <v>6.4094585841618628E-3</v>
      </c>
      <c r="DO128" s="78">
        <f t="shared" si="14"/>
        <v>6.4212306552556886E-2</v>
      </c>
    </row>
    <row r="129" spans="2:119" ht="30" x14ac:dyDescent="0.25">
      <c r="B129" s="106">
        <v>37</v>
      </c>
      <c r="C129" s="106" t="s">
        <v>539</v>
      </c>
      <c r="D129" s="106" t="s">
        <v>285</v>
      </c>
      <c r="E129" s="106" t="str">
        <f>INDEX(Pipes_result_save_V1!$G$2:$G$206,MATCH(D129,Pipes_result_save_V1!$I$2:$I$206,0))</f>
        <v>N159</v>
      </c>
      <c r="F129" s="106" t="str">
        <f>INDEX(Pipes_result_save_V1!$H$2:$H$206,MATCH(D129,Pipes_result_save_V1!$I$2:$I$206,0))</f>
        <v>N160</v>
      </c>
      <c r="G129" s="106">
        <v>8.4000000000000005E-2</v>
      </c>
      <c r="H129" s="107">
        <v>350</v>
      </c>
      <c r="I129" s="107">
        <v>150</v>
      </c>
      <c r="J129" s="107">
        <v>84</v>
      </c>
      <c r="K129" s="107">
        <v>13.916608720163751</v>
      </c>
      <c r="L129" s="107">
        <v>8.4000000000000005E-2</v>
      </c>
      <c r="M129" s="107">
        <v>0.14167677243743118</v>
      </c>
      <c r="N129" s="107">
        <v>3.1236355065966972</v>
      </c>
      <c r="O129" s="107">
        <f>INDEX(Pipes_result_save_V1!$K$2:$K$206,MATCH(D129,Pipes_result_save_V1!$I$2:$I$206,0)) *POWER(10,-3)</f>
        <v>-2.1637012481689449E-2</v>
      </c>
      <c r="P129" s="78">
        <v>5.9838715727968542E-3</v>
      </c>
      <c r="Q129" s="78">
        <f t="shared" si="9"/>
        <v>-1.5653140908892596E-2</v>
      </c>
      <c r="R129" s="78"/>
      <c r="S129" s="78"/>
      <c r="T129" s="78">
        <v>36</v>
      </c>
      <c r="U129" s="78">
        <v>37</v>
      </c>
      <c r="V129" s="78" t="s">
        <v>540</v>
      </c>
      <c r="W129" s="78" t="s">
        <v>429</v>
      </c>
      <c r="X129" s="106" t="str">
        <f>INDEX(Pipes_result_save_V1!$G$2:$G$206,MATCH(W129,Pipes_result_save_V1!$I$2:$I$206,0))</f>
        <v>N158</v>
      </c>
      <c r="Y129" s="106" t="str">
        <f>INDEX(Pipes_result_save_V1!$H$2:$H$206,MATCH(W129,Pipes_result_save_V1!$I$2:$I$206,0))</f>
        <v>N159</v>
      </c>
      <c r="Z129" s="78">
        <v>2.9028999999999999E-2</v>
      </c>
      <c r="AA129" s="78">
        <v>200</v>
      </c>
      <c r="AB129" s="78">
        <v>150</v>
      </c>
      <c r="AC129" s="78">
        <v>83</v>
      </c>
      <c r="AD129" s="78">
        <v>209.97643513669126</v>
      </c>
      <c r="AE129" s="78">
        <v>8.9596935076183562E-2</v>
      </c>
      <c r="AF129" s="78">
        <v>1</v>
      </c>
      <c r="AG129" s="78">
        <v>-1</v>
      </c>
      <c r="AH129" s="78">
        <v>2.4088928286696114</v>
      </c>
      <c r="AI129">
        <v>49.792657694180491</v>
      </c>
      <c r="AJ129" s="107">
        <f>INDEX(Pipes_result_save_V1!$K$2:$K$206,MATCH(W129,Pipes_result_save_V1!$I$2:$I$206,0)) *POWER(10,-3)</f>
        <v>-2.06841869354248E-2</v>
      </c>
      <c r="AK129" s="78">
        <v>2.814923854076108E-3</v>
      </c>
      <c r="AL129" s="78">
        <f t="shared" si="10"/>
        <v>-1.7869263081348691E-2</v>
      </c>
      <c r="AP129">
        <v>14</v>
      </c>
      <c r="AQ129">
        <v>37</v>
      </c>
      <c r="AR129" t="s">
        <v>540</v>
      </c>
      <c r="AS129" t="s">
        <v>298</v>
      </c>
      <c r="AT129" s="106" t="str">
        <f>INDEX(Pipes_result_save_V1!$G$2:$G$206,MATCH(AS129,Pipes_result_save_V1!$I$2:$I$206,0))</f>
        <v>N135</v>
      </c>
      <c r="AU129" s="106" t="str">
        <f>INDEX(Pipes_result_save_V1!$H$2:$H$206,MATCH(AS129,Pipes_result_save_V1!$I$2:$I$206,0))</f>
        <v>N134</v>
      </c>
      <c r="AV129">
        <v>5.8057999999999998E-2</v>
      </c>
      <c r="AW129">
        <v>300</v>
      </c>
      <c r="AX129">
        <v>150</v>
      </c>
      <c r="AY129">
        <v>134</v>
      </c>
      <c r="AZ129">
        <v>47.038854954746704</v>
      </c>
      <c r="BA129">
        <v>3.5211178482065772E-2</v>
      </c>
      <c r="BB129">
        <v>9.5699383445062791E-2</v>
      </c>
      <c r="BC129">
        <v>5.0334940715070999</v>
      </c>
      <c r="BD129" s="107">
        <f>INDEX(Pipes_result_save_V1!$K$2:$K$206,MATCH(AS129,Pipes_result_save_V1!$I$2:$I$206,0)) *POWER(10,-3)</f>
        <v>1.194517374038696E-3</v>
      </c>
      <c r="BE129" s="78">
        <v>5.8390557936610311E-3</v>
      </c>
      <c r="BF129" s="78">
        <f t="shared" si="11"/>
        <v>-4.6445384196223353E-3</v>
      </c>
      <c r="BJ129">
        <v>0</v>
      </c>
      <c r="BK129">
        <v>37</v>
      </c>
      <c r="BL129" t="s">
        <v>540</v>
      </c>
      <c r="BM129" t="s">
        <v>198</v>
      </c>
      <c r="BN129" s="106" t="str">
        <f>INDEX(Pipes_result_save_V1!$G$2:$G$206,MATCH(BM129,Pipes_result_save_V1!$I$2:$I$206,0))</f>
        <v>N86</v>
      </c>
      <c r="BO129" s="106" t="str">
        <f>INDEX(Pipes_result_save_V1!$H$2:$H$206,MATCH(BM129,Pipes_result_save_V1!$I$2:$I$206,0))</f>
        <v>N87</v>
      </c>
      <c r="BP129">
        <v>0.119923</v>
      </c>
      <c r="BQ129">
        <v>400</v>
      </c>
      <c r="BR129">
        <v>150</v>
      </c>
      <c r="BS129">
        <v>77</v>
      </c>
      <c r="BT129">
        <v>6.6568087851961293</v>
      </c>
      <c r="BU129">
        <v>-0.119923</v>
      </c>
      <c r="BV129">
        <v>-0.13103686163916922</v>
      </c>
      <c r="BW129">
        <v>2.0236340631550358</v>
      </c>
      <c r="BX129" s="107">
        <f>INDEX(Pipes_result_save_V1!$K$2:$K$206,MATCH(BM129,Pipes_result_save_V1!$I$2:$I$206,0)) *POWER(10,-3)</f>
        <v>1.8269411087036131E-2</v>
      </c>
      <c r="BY129" s="78">
        <v>5.4780433752761645E-3</v>
      </c>
      <c r="BZ129" s="78">
        <f t="shared" si="12"/>
        <v>1.2791367711759967E-2</v>
      </c>
      <c r="CE129">
        <v>16</v>
      </c>
      <c r="CF129">
        <v>37</v>
      </c>
      <c r="CG129" t="s">
        <v>540</v>
      </c>
      <c r="CH129" t="s">
        <v>120</v>
      </c>
      <c r="CI129" s="106" t="str">
        <f>INDEX(Pipes_result_save_V1!$G$2:$G$206,MATCH(CH129,Pipes_result_save_V1!$I$2:$I$206,0))</f>
        <v>N66</v>
      </c>
      <c r="CJ129" s="106" t="str">
        <f>INDEX(Pipes_result_save_V1!$H$2:$H$206,MATCH(CH129,Pipes_result_save_V1!$I$2:$I$206,0))</f>
        <v>N65</v>
      </c>
      <c r="CK129">
        <v>3.2837000000000005E-2</v>
      </c>
      <c r="CL129">
        <v>250</v>
      </c>
      <c r="CM129">
        <v>150</v>
      </c>
      <c r="CN129">
        <v>65</v>
      </c>
      <c r="CO129">
        <v>55.457099198755657</v>
      </c>
      <c r="CP129">
        <v>2.3580796114934299E-2</v>
      </c>
      <c r="CQ129">
        <v>5.3695194907262093E-2</v>
      </c>
      <c r="CR129">
        <v>4.2171392553311353</v>
      </c>
      <c r="CS129" s="107">
        <f>INDEX(Pipes_result_save_V1!$K$2:$K$206,MATCH(CH129,Pipes_result_save_V1!$I$2:$I$206,0)) *POWER(10,-3)</f>
        <v>-1.8941926956176761E-2</v>
      </c>
      <c r="CT129" s="78">
        <v>5.8905627993842656E-3</v>
      </c>
      <c r="CU129" s="78">
        <f t="shared" si="13"/>
        <v>-1.3051364156792495E-2</v>
      </c>
      <c r="CY129">
        <v>0</v>
      </c>
      <c r="CZ129">
        <v>37</v>
      </c>
      <c r="DA129" t="s">
        <v>540</v>
      </c>
      <c r="DB129" t="s">
        <v>410</v>
      </c>
      <c r="DC129" s="106" t="str">
        <f>INDEX(Pipes_result_save_V1!$G$2:$G$206,MATCH(DB129,Pipes_result_save_V1!$I$2:$I$206,0))</f>
        <v>N110</v>
      </c>
      <c r="DD129" s="106" t="str">
        <f>INDEX(Pipes_result_save_V1!$H$2:$H$206,MATCH(DB129,Pipes_result_save_V1!$I$2:$I$206,0))</f>
        <v>N121</v>
      </c>
      <c r="DE129">
        <v>8.3280000000000007E-2</v>
      </c>
      <c r="DF129">
        <v>350</v>
      </c>
      <c r="DG129">
        <v>150</v>
      </c>
      <c r="DH129">
        <v>81</v>
      </c>
      <c r="DI129">
        <v>13.419586980157902</v>
      </c>
      <c r="DJ129">
        <v>-8.3280000000000007E-2</v>
      </c>
      <c r="DK129">
        <v>-0.13445611439220556</v>
      </c>
      <c r="DL129">
        <v>2.9900663287027465</v>
      </c>
      <c r="DM129" s="107">
        <f>INDEX(Pipes_result_save_V1!$K$2:$K$206,MATCH(DB129,Pipes_result_save_V1!$I$2:$I$206,0)) *POWER(10,-3)</f>
        <v>6.8676170349121102E-2</v>
      </c>
      <c r="DN129" s="78">
        <v>6.5900998131799863E-3</v>
      </c>
      <c r="DO129" s="78">
        <f t="shared" si="14"/>
        <v>6.2086070535941118E-2</v>
      </c>
    </row>
    <row r="130" spans="2:119" ht="30" x14ac:dyDescent="0.25">
      <c r="B130" s="106">
        <v>38</v>
      </c>
      <c r="C130" s="106" t="s">
        <v>539</v>
      </c>
      <c r="D130" s="106" t="s">
        <v>284</v>
      </c>
      <c r="E130" s="106" t="str">
        <f>INDEX(Pipes_result_save_V1!$G$2:$G$206,MATCH(D130,Pipes_result_save_V1!$I$2:$I$206,0))</f>
        <v>N160</v>
      </c>
      <c r="F130" s="106" t="str">
        <f>INDEX(Pipes_result_save_V1!$H$2:$H$206,MATCH(D130,Pipes_result_save_V1!$I$2:$I$206,0))</f>
        <v>N161</v>
      </c>
      <c r="G130" s="106">
        <v>7.8E-2</v>
      </c>
      <c r="H130" s="107">
        <v>350</v>
      </c>
      <c r="I130" s="107">
        <v>150</v>
      </c>
      <c r="J130" s="107">
        <v>78</v>
      </c>
      <c r="K130" s="107">
        <v>12.922565240152053</v>
      </c>
      <c r="L130" s="107">
        <v>7.8E-2</v>
      </c>
      <c r="M130" s="107">
        <v>0.11468534822271816</v>
      </c>
      <c r="N130" s="107">
        <v>2.7230418578009496</v>
      </c>
      <c r="O130" s="107">
        <f>INDEX(Pipes_result_save_V1!$K$2:$K$206,MATCH(D130,Pipes_result_save_V1!$I$2:$I$206,0)) *POWER(10,-3)</f>
        <v>-2.2561313629150391E-2</v>
      </c>
      <c r="P130" s="78">
        <v>6.1283395102213912E-3</v>
      </c>
      <c r="Q130" s="78">
        <f t="shared" si="9"/>
        <v>-1.6432974118929002E-2</v>
      </c>
      <c r="R130" s="78"/>
      <c r="S130" s="78"/>
      <c r="T130" s="78">
        <v>37</v>
      </c>
      <c r="U130" s="78">
        <v>38</v>
      </c>
      <c r="V130" s="78" t="s">
        <v>540</v>
      </c>
      <c r="W130" s="78" t="s">
        <v>285</v>
      </c>
      <c r="X130" s="106" t="str">
        <f>INDEX(Pipes_result_save_V1!$G$2:$G$206,MATCH(W130,Pipes_result_save_V1!$I$2:$I$206,0))</f>
        <v>N159</v>
      </c>
      <c r="Y130" s="106" t="str">
        <f>INDEX(Pipes_result_save_V1!$H$2:$H$206,MATCH(W130,Pipes_result_save_V1!$I$2:$I$206,0))</f>
        <v>N160</v>
      </c>
      <c r="Z130" s="78">
        <v>2.9028999999999999E-2</v>
      </c>
      <c r="AA130" s="78">
        <v>200</v>
      </c>
      <c r="AB130" s="78">
        <v>150</v>
      </c>
      <c r="AC130" s="78">
        <v>84</v>
      </c>
      <c r="AD130" s="78">
        <v>212.50627170460322</v>
      </c>
      <c r="AE130" s="78">
        <v>9.0596935076183563E-2</v>
      </c>
      <c r="AF130" s="78">
        <v>1</v>
      </c>
      <c r="AG130" s="78">
        <v>-1</v>
      </c>
      <c r="AH130" s="78">
        <v>2.4885476694281339</v>
      </c>
      <c r="AI130">
        <v>50.871370868179383</v>
      </c>
      <c r="AJ130" s="107">
        <f>INDEX(Pipes_result_save_V1!$K$2:$K$206,MATCH(W130,Pipes_result_save_V1!$I$2:$I$206,0)) *POWER(10,-3)</f>
        <v>-2.1637012481689449E-2</v>
      </c>
      <c r="AK130" s="78">
        <v>4.1937443302070467E-3</v>
      </c>
      <c r="AL130" s="78">
        <f t="shared" si="10"/>
        <v>-1.7443268151482401E-2</v>
      </c>
      <c r="AP130">
        <v>9</v>
      </c>
      <c r="AS130" t="s">
        <v>380</v>
      </c>
      <c r="AT130" s="233"/>
      <c r="AU130" s="233"/>
      <c r="AV130" s="233"/>
      <c r="AW130" s="233"/>
      <c r="AX130" s="233"/>
      <c r="AY130" s="233"/>
      <c r="AZ130" s="233"/>
      <c r="BA130" s="233"/>
      <c r="BB130">
        <v>-1.2812965939244099</v>
      </c>
      <c r="BC130">
        <v>236.69611504233305</v>
      </c>
      <c r="BJ130">
        <v>0</v>
      </c>
      <c r="BK130">
        <v>38</v>
      </c>
      <c r="BL130" t="s">
        <v>540</v>
      </c>
      <c r="BM130" t="s">
        <v>197</v>
      </c>
      <c r="BN130" s="106" t="str">
        <f>INDEX(Pipes_result_save_V1!$G$2:$G$206,MATCH(BM130,Pipes_result_save_V1!$I$2:$I$206,0))</f>
        <v>N87</v>
      </c>
      <c r="BO130" s="106" t="str">
        <f>INDEX(Pipes_result_save_V1!$H$2:$H$206,MATCH(BM130,Pipes_result_save_V1!$I$2:$I$206,0))</f>
        <v>N88</v>
      </c>
      <c r="BP130">
        <v>0.119923</v>
      </c>
      <c r="BQ130">
        <v>400</v>
      </c>
      <c r="BR130">
        <v>150</v>
      </c>
      <c r="BS130">
        <v>250</v>
      </c>
      <c r="BT130">
        <v>21.613015536351067</v>
      </c>
      <c r="BU130">
        <v>-0.119923</v>
      </c>
      <c r="BV130">
        <v>-0.42544435597132857</v>
      </c>
      <c r="BW130">
        <v>6.5702404647890766</v>
      </c>
      <c r="BX130" s="107">
        <f>INDEX(Pipes_result_save_V1!$K$2:$K$206,MATCH(BM130,Pipes_result_save_V1!$I$2:$I$206,0)) *POWER(10,-3)</f>
        <v>1.6403696060180661E-2</v>
      </c>
      <c r="BY130" s="78">
        <v>6.0888720627317316E-3</v>
      </c>
      <c r="BZ130" s="78">
        <f t="shared" si="12"/>
        <v>1.031482399744893E-2</v>
      </c>
      <c r="CE130">
        <v>17</v>
      </c>
      <c r="CF130">
        <v>38</v>
      </c>
      <c r="CG130" t="s">
        <v>540</v>
      </c>
      <c r="CH130" t="s">
        <v>118</v>
      </c>
      <c r="CI130" s="106" t="str">
        <f>INDEX(Pipes_result_save_V1!$G$2:$G$206,MATCH(CH130,Pipes_result_save_V1!$I$2:$I$206,0))</f>
        <v>N67</v>
      </c>
      <c r="CJ130" s="106" t="str">
        <f>INDEX(Pipes_result_save_V1!$H$2:$H$206,MATCH(CH130,Pipes_result_save_V1!$I$2:$I$206,0))</f>
        <v>N66</v>
      </c>
      <c r="CK130">
        <v>3.2837000000000005E-2</v>
      </c>
      <c r="CL130">
        <v>250</v>
      </c>
      <c r="CM130">
        <v>150</v>
      </c>
      <c r="CN130">
        <v>45</v>
      </c>
      <c r="CO130">
        <v>38.393376368369303</v>
      </c>
      <c r="CP130">
        <v>2.3580796114934299E-2</v>
      </c>
      <c r="CQ130">
        <v>3.7173596474258372E-2</v>
      </c>
      <c r="CR130">
        <v>2.9195579459984784</v>
      </c>
      <c r="CS130" s="107">
        <f>INDEX(Pipes_result_save_V1!$K$2:$K$206,MATCH(CH130,Pipes_result_save_V1!$I$2:$I$206,0)) *POWER(10,-3)</f>
        <v>-1.8314315795898442E-2</v>
      </c>
      <c r="CT130" s="78">
        <v>6.5811502898759523E-3</v>
      </c>
      <c r="CU130" s="78">
        <f t="shared" si="13"/>
        <v>-1.173316550602249E-2</v>
      </c>
      <c r="CY130">
        <v>0</v>
      </c>
      <c r="CZ130">
        <v>38</v>
      </c>
      <c r="DA130" t="s">
        <v>539</v>
      </c>
      <c r="DB130" t="s">
        <v>263</v>
      </c>
      <c r="DC130" s="106" t="str">
        <f>INDEX(Pipes_result_save_V1!$G$2:$G$206,MATCH(DB130,Pipes_result_save_V1!$I$2:$I$206,0))</f>
        <v>N112</v>
      </c>
      <c r="DD130" s="106" t="str">
        <f>INDEX(Pipes_result_save_V1!$H$2:$H$206,MATCH(DB130,Pipes_result_save_V1!$I$2:$I$206,0))</f>
        <v>N111</v>
      </c>
      <c r="DE130">
        <v>3.2837000000000005E-2</v>
      </c>
      <c r="DF130">
        <v>250</v>
      </c>
      <c r="DG130">
        <v>150</v>
      </c>
      <c r="DH130">
        <v>234</v>
      </c>
      <c r="DI130">
        <v>199.64555711552038</v>
      </c>
      <c r="DJ130">
        <v>3.2837000000000005E-2</v>
      </c>
      <c r="DK130">
        <v>0.35691500121726061</v>
      </c>
      <c r="DL130">
        <v>20.12993215745551</v>
      </c>
      <c r="DM130" s="107">
        <f>INDEX(Pipes_result_save_V1!$K$2:$K$206,MATCH(DB130,Pipes_result_save_V1!$I$2:$I$206,0)) *POWER(10,-3)</f>
        <v>-6.3918390274047849E-3</v>
      </c>
      <c r="DN130" s="78">
        <v>5.6339332133300106E-3</v>
      </c>
      <c r="DO130" s="78">
        <f t="shared" si="14"/>
        <v>-7.5790581407477429E-4</v>
      </c>
    </row>
    <row r="131" spans="2:119" ht="30" x14ac:dyDescent="0.25">
      <c r="B131" s="106">
        <v>39</v>
      </c>
      <c r="C131" s="106" t="s">
        <v>539</v>
      </c>
      <c r="D131" s="106" t="s">
        <v>283</v>
      </c>
      <c r="E131" s="106" t="str">
        <f>INDEX(Pipes_result_save_V1!$G$2:$G$206,MATCH(D131,Pipes_result_save_V1!$I$2:$I$206,0))</f>
        <v>N161</v>
      </c>
      <c r="F131" s="106" t="str">
        <f>INDEX(Pipes_result_save_V1!$H$2:$H$206,MATCH(D131,Pipes_result_save_V1!$I$2:$I$206,0))</f>
        <v>N162</v>
      </c>
      <c r="G131" s="106">
        <v>0.151</v>
      </c>
      <c r="H131" s="107">
        <v>466</v>
      </c>
      <c r="I131" s="107">
        <v>150</v>
      </c>
      <c r="J131" s="107">
        <v>151</v>
      </c>
      <c r="K131" s="107">
        <v>6.204099035985351</v>
      </c>
      <c r="L131" s="107">
        <v>0.151</v>
      </c>
      <c r="M131" s="107">
        <v>0.18713026311110245</v>
      </c>
      <c r="N131" s="107">
        <v>2.2951340879586879</v>
      </c>
      <c r="O131" s="107">
        <f>INDEX(Pipes_result_save_V1!$K$2:$K$206,MATCH(D131,Pipes_result_save_V1!$I$2:$I$206,0)) *POWER(10,-3)</f>
        <v>-2.3867883682250981E-2</v>
      </c>
      <c r="P131" s="78">
        <v>6.5314458135635354E-3</v>
      </c>
      <c r="Q131" s="78">
        <f t="shared" si="9"/>
        <v>-1.7336437868687445E-2</v>
      </c>
      <c r="R131" s="78"/>
      <c r="S131" s="78"/>
      <c r="T131" s="78">
        <v>38</v>
      </c>
      <c r="U131" s="78">
        <v>39</v>
      </c>
      <c r="V131" s="78" t="s">
        <v>540</v>
      </c>
      <c r="W131" s="78" t="s">
        <v>284</v>
      </c>
      <c r="X131" s="106" t="str">
        <f>INDEX(Pipes_result_save_V1!$G$2:$G$206,MATCH(W131,Pipes_result_save_V1!$I$2:$I$206,0))</f>
        <v>N160</v>
      </c>
      <c r="Y131" s="106" t="str">
        <f>INDEX(Pipes_result_save_V1!$H$2:$H$206,MATCH(W131,Pipes_result_save_V1!$I$2:$I$206,0))</f>
        <v>N161</v>
      </c>
      <c r="Z131" s="78">
        <v>2.9028999999999999E-2</v>
      </c>
      <c r="AA131" s="78">
        <v>200</v>
      </c>
      <c r="AB131" s="78">
        <v>150</v>
      </c>
      <c r="AC131" s="78">
        <v>78</v>
      </c>
      <c r="AD131" s="78">
        <v>197.32725229713157</v>
      </c>
      <c r="AE131" s="78">
        <v>8.4596935076183558E-2</v>
      </c>
      <c r="AF131" s="78">
        <v>1</v>
      </c>
      <c r="AG131" s="78">
        <v>-1</v>
      </c>
      <c r="AH131" s="78">
        <v>2.0353909603128959</v>
      </c>
      <c r="AI131">
        <v>44.558872671980723</v>
      </c>
      <c r="AJ131" s="107">
        <f>INDEX(Pipes_result_save_V1!$K$2:$K$206,MATCH(W131,Pipes_result_save_V1!$I$2:$I$206,0)) *POWER(10,-3)</f>
        <v>-2.2561313629150391E-2</v>
      </c>
      <c r="AK131" s="78">
        <v>5.5915740305501321E-4</v>
      </c>
      <c r="AL131" s="78">
        <f t="shared" si="10"/>
        <v>-2.2002156226095377E-2</v>
      </c>
      <c r="AS131" t="s">
        <v>381</v>
      </c>
      <c r="AT131" s="233">
        <v>5.4132557000153986E-3</v>
      </c>
      <c r="AU131" s="233"/>
      <c r="AV131" s="233"/>
      <c r="AW131" s="233"/>
      <c r="AX131" s="233"/>
      <c r="AY131" s="233"/>
      <c r="AZ131" s="233"/>
      <c r="BA131" s="233"/>
      <c r="BB131" s="233"/>
      <c r="BC131" s="233"/>
      <c r="BJ131">
        <v>0</v>
      </c>
      <c r="BK131">
        <v>39</v>
      </c>
      <c r="BL131" t="s">
        <v>540</v>
      </c>
      <c r="BM131" t="s">
        <v>196</v>
      </c>
      <c r="BN131" s="106" t="str">
        <f>INDEX(Pipes_result_save_V1!$G$2:$G$206,MATCH(BM131,Pipes_result_save_V1!$I$2:$I$206,0))</f>
        <v>N88</v>
      </c>
      <c r="BO131" s="106" t="str">
        <f>INDEX(Pipes_result_save_V1!$H$2:$H$206,MATCH(BM131,Pipes_result_save_V1!$I$2:$I$206,0))</f>
        <v>N89</v>
      </c>
      <c r="BP131">
        <v>0.119923</v>
      </c>
      <c r="BQ131">
        <v>400</v>
      </c>
      <c r="BR131">
        <v>150</v>
      </c>
      <c r="BS131">
        <v>63</v>
      </c>
      <c r="BT131">
        <v>5.4464799151604693</v>
      </c>
      <c r="BU131">
        <v>-0.119923</v>
      </c>
      <c r="BV131">
        <v>-0.10721197770477481</v>
      </c>
      <c r="BW131">
        <v>1.6557005971268473</v>
      </c>
      <c r="BX131" s="107">
        <f>INDEX(Pipes_result_save_V1!$K$2:$K$206,MATCH(BM131,Pipes_result_save_V1!$I$2:$I$206,0)) *POWER(10,-3)</f>
        <v>1.461785984039307E-2</v>
      </c>
      <c r="BY131" s="78">
        <v>5.6274837406080575E-3</v>
      </c>
      <c r="BZ131" s="78">
        <f t="shared" si="12"/>
        <v>8.9903760997850114E-3</v>
      </c>
      <c r="CE131">
        <v>18</v>
      </c>
      <c r="CF131">
        <v>39</v>
      </c>
      <c r="CG131" t="s">
        <v>540</v>
      </c>
      <c r="CH131" t="s">
        <v>117</v>
      </c>
      <c r="CI131" s="106" t="str">
        <f>INDEX(Pipes_result_save_V1!$G$2:$G$206,MATCH(CH131,Pipes_result_save_V1!$I$2:$I$206,0))</f>
        <v>N68</v>
      </c>
      <c r="CJ131" s="106" t="str">
        <f>INDEX(Pipes_result_save_V1!$H$2:$H$206,MATCH(CH131,Pipes_result_save_V1!$I$2:$I$206,0))</f>
        <v>N67</v>
      </c>
      <c r="CK131">
        <v>3.2837000000000005E-2</v>
      </c>
      <c r="CL131">
        <v>250</v>
      </c>
      <c r="CM131">
        <v>150</v>
      </c>
      <c r="CN131">
        <v>100</v>
      </c>
      <c r="CO131">
        <v>85.318614151931783</v>
      </c>
      <c r="CP131">
        <v>2.3580796114934299E-2</v>
      </c>
      <c r="CQ131">
        <v>8.2607992165018601E-2</v>
      </c>
      <c r="CR131">
        <v>6.487906546663285</v>
      </c>
      <c r="CS131" s="107">
        <f>INDEX(Pipes_result_save_V1!$K$2:$K$206,MATCH(CH131,Pipes_result_save_V1!$I$2:$I$206,0)) *POWER(10,-3)</f>
        <v>-1.748701095581055E-2</v>
      </c>
      <c r="CT131" s="78">
        <v>6.1188648398937239E-3</v>
      </c>
      <c r="CU131" s="78">
        <f t="shared" si="13"/>
        <v>-1.1368146115916826E-2</v>
      </c>
      <c r="CY131">
        <v>0</v>
      </c>
      <c r="CZ131">
        <v>39</v>
      </c>
      <c r="DA131" t="s">
        <v>539</v>
      </c>
      <c r="DB131" t="s">
        <v>264</v>
      </c>
      <c r="DC131" s="106" t="str">
        <f>INDEX(Pipes_result_save_V1!$G$2:$G$206,MATCH(DB131,Pipes_result_save_V1!$I$2:$I$206,0))</f>
        <v>N113</v>
      </c>
      <c r="DD131" s="106" t="str">
        <f>INDEX(Pipes_result_save_V1!$H$2:$H$206,MATCH(DB131,Pipes_result_save_V1!$I$2:$I$206,0))</f>
        <v>N112</v>
      </c>
      <c r="DE131">
        <v>3.2837000000000005E-2</v>
      </c>
      <c r="DF131">
        <v>250</v>
      </c>
      <c r="DG131">
        <v>150</v>
      </c>
      <c r="DH131">
        <v>74</v>
      </c>
      <c r="DI131">
        <v>63.135774472429517</v>
      </c>
      <c r="DJ131">
        <v>3.2837000000000005E-2</v>
      </c>
      <c r="DK131">
        <v>0.1128705559405012</v>
      </c>
      <c r="DL131">
        <v>6.3658759814175534</v>
      </c>
      <c r="DM131" s="107">
        <f>INDEX(Pipes_result_save_V1!$K$2:$K$206,MATCH(DB131,Pipes_result_save_V1!$I$2:$I$206,0)) *POWER(10,-3)</f>
        <v>-4.6345300674438478E-3</v>
      </c>
      <c r="DN131" s="78">
        <v>6.322056607243034E-3</v>
      </c>
      <c r="DO131" s="78">
        <f t="shared" si="14"/>
        <v>1.6875265397991862E-3</v>
      </c>
    </row>
    <row r="132" spans="2:119" ht="30" x14ac:dyDescent="0.25">
      <c r="B132" s="106">
        <v>40</v>
      </c>
      <c r="C132" s="106" t="s">
        <v>539</v>
      </c>
      <c r="D132" s="106" t="s">
        <v>280</v>
      </c>
      <c r="E132" s="106" t="str">
        <f>INDEX(Pipes_result_save_V1!$G$2:$G$206,MATCH(D132,Pipes_result_save_V1!$I$2:$I$206,0))</f>
        <v>N162</v>
      </c>
      <c r="F132" s="106" t="str">
        <f>INDEX(Pipes_result_save_V1!$H$2:$H$206,MATCH(D132,Pipes_result_save_V1!$I$2:$I$206,0))</f>
        <v>N163</v>
      </c>
      <c r="G132" s="106">
        <v>5.3999999999999999E-2</v>
      </c>
      <c r="H132" s="107">
        <v>300</v>
      </c>
      <c r="I132" s="107">
        <v>150</v>
      </c>
      <c r="J132" s="107">
        <v>54</v>
      </c>
      <c r="K132" s="107">
        <v>18.955956474300912</v>
      </c>
      <c r="L132" s="107">
        <v>5.3999999999999999E-2</v>
      </c>
      <c r="M132" s="107">
        <v>8.5141039063695509E-2</v>
      </c>
      <c r="N132" s="107">
        <v>2.9200223027030376</v>
      </c>
      <c r="O132" s="107">
        <f>INDEX(Pipes_result_save_V1!$K$2:$K$206,MATCH(D132,Pipes_result_save_V1!$I$2:$I$206,0)) *POWER(10,-3)</f>
        <v>-2.5037521362304693E-2</v>
      </c>
      <c r="P132" s="78">
        <v>5.4713251562226988E-3</v>
      </c>
      <c r="Q132" s="78">
        <f t="shared" si="9"/>
        <v>-1.9566196206081993E-2</v>
      </c>
      <c r="R132" s="78"/>
      <c r="S132" s="78"/>
      <c r="T132" s="78">
        <v>39</v>
      </c>
      <c r="U132" s="78">
        <v>40</v>
      </c>
      <c r="V132" s="78" t="s">
        <v>540</v>
      </c>
      <c r="W132" s="78" t="s">
        <v>283</v>
      </c>
      <c r="X132" s="106" t="str">
        <f>INDEX(Pipes_result_save_V1!$G$2:$G$206,MATCH(W132,Pipes_result_save_V1!$I$2:$I$206,0))</f>
        <v>N161</v>
      </c>
      <c r="Y132" s="106" t="str">
        <f>INDEX(Pipes_result_save_V1!$H$2:$H$206,MATCH(W132,Pipes_result_save_V1!$I$2:$I$206,0))</f>
        <v>N162</v>
      </c>
      <c r="Z132" s="78">
        <v>2.9028999999999999E-2</v>
      </c>
      <c r="AA132" s="78">
        <v>200</v>
      </c>
      <c r="AB132" s="78">
        <v>150</v>
      </c>
      <c r="AC132" s="78">
        <v>151</v>
      </c>
      <c r="AD132" s="78">
        <v>382.0053217547034</v>
      </c>
      <c r="AE132" s="78">
        <v>0.15759693507618355</v>
      </c>
      <c r="AF132" s="78">
        <v>1</v>
      </c>
      <c r="AG132" s="78">
        <v>-1</v>
      </c>
      <c r="AH132" s="78">
        <v>12.471763818331654</v>
      </c>
      <c r="AI132">
        <v>146.56190223740467</v>
      </c>
      <c r="AJ132" s="107">
        <f>INDEX(Pipes_result_save_V1!$K$2:$K$206,MATCH(W132,Pipes_result_save_V1!$I$2:$I$206,0)) *POWER(10,-3)</f>
        <v>-2.3867883682250981E-2</v>
      </c>
      <c r="AK132" s="78">
        <v>2.4399633518748689E-3</v>
      </c>
      <c r="AL132" s="78">
        <f t="shared" si="10"/>
        <v>-2.1427920330376111E-2</v>
      </c>
      <c r="BJ132">
        <v>0</v>
      </c>
      <c r="BK132">
        <v>40</v>
      </c>
      <c r="BL132" t="s">
        <v>540</v>
      </c>
      <c r="BM132" t="s">
        <v>195</v>
      </c>
      <c r="BN132" s="106" t="str">
        <f>INDEX(Pipes_result_save_V1!$G$2:$G$206,MATCH(BM132,Pipes_result_save_V1!$I$2:$I$206,0))</f>
        <v>N89</v>
      </c>
      <c r="BO132" s="106" t="str">
        <f>INDEX(Pipes_result_save_V1!$H$2:$H$206,MATCH(BM132,Pipes_result_save_V1!$I$2:$I$206,0))</f>
        <v>N90</v>
      </c>
      <c r="BP132">
        <v>0.119923</v>
      </c>
      <c r="BQ132">
        <v>400</v>
      </c>
      <c r="BR132">
        <v>150</v>
      </c>
      <c r="BS132">
        <v>41</v>
      </c>
      <c r="BT132">
        <v>3.5445345479615753</v>
      </c>
      <c r="BU132">
        <v>-0.119923</v>
      </c>
      <c r="BV132">
        <v>-6.9772874379297897E-2</v>
      </c>
      <c r="BW132">
        <v>1.0775194362254086</v>
      </c>
      <c r="BX132" s="107">
        <f>INDEX(Pipes_result_save_V1!$K$2:$K$206,MATCH(BM132,Pipes_result_save_V1!$I$2:$I$206,0)) *POWER(10,-3)</f>
        <v>1.402448272705078E-2</v>
      </c>
      <c r="BY132" s="78">
        <v>5.8155244189792895E-3</v>
      </c>
      <c r="BZ132" s="78">
        <f t="shared" si="12"/>
        <v>8.2089583080714908E-3</v>
      </c>
      <c r="CE132">
        <v>19</v>
      </c>
      <c r="CF132">
        <v>40</v>
      </c>
      <c r="CG132" t="s">
        <v>540</v>
      </c>
      <c r="CH132" t="s">
        <v>116</v>
      </c>
      <c r="CI132" s="106" t="str">
        <f>INDEX(Pipes_result_save_V1!$G$2:$G$206,MATCH(CH132,Pipes_result_save_V1!$I$2:$I$206,0))</f>
        <v>N69</v>
      </c>
      <c r="CJ132" s="106" t="str">
        <f>INDEX(Pipes_result_save_V1!$H$2:$H$206,MATCH(CH132,Pipes_result_save_V1!$I$2:$I$206,0))</f>
        <v>N68</v>
      </c>
      <c r="CK132">
        <v>3.2835999999999997E-2</v>
      </c>
      <c r="CL132">
        <v>250</v>
      </c>
      <c r="CM132">
        <v>150</v>
      </c>
      <c r="CN132">
        <v>202</v>
      </c>
      <c r="CO132">
        <v>172.3436005869022</v>
      </c>
      <c r="CP132">
        <v>2.3579796114934291E-2</v>
      </c>
      <c r="CQ132">
        <v>0.1668550388388729</v>
      </c>
      <c r="CR132">
        <v>13.105097704126349</v>
      </c>
      <c r="CS132" s="107">
        <f>INDEX(Pipes_result_save_V1!$K$2:$K$206,MATCH(CH132,Pipes_result_save_V1!$I$2:$I$206,0)) *POWER(10,-3)</f>
        <v>-1.5763935089111329E-2</v>
      </c>
      <c r="CT132" s="78">
        <v>6.1704841590305539E-3</v>
      </c>
      <c r="CU132" s="78">
        <f t="shared" si="13"/>
        <v>-9.5934509300807762E-3</v>
      </c>
      <c r="CY132">
        <v>0</v>
      </c>
      <c r="CZ132">
        <v>40</v>
      </c>
      <c r="DA132" t="s">
        <v>539</v>
      </c>
      <c r="DB132" t="s">
        <v>266</v>
      </c>
      <c r="DC132" s="106" t="str">
        <f>INDEX(Pipes_result_save_V1!$G$2:$G$206,MATCH(DB132,Pipes_result_save_V1!$I$2:$I$206,0))</f>
        <v>N114</v>
      </c>
      <c r="DD132" s="106" t="str">
        <f>INDEX(Pipes_result_save_V1!$H$2:$H$206,MATCH(DB132,Pipes_result_save_V1!$I$2:$I$206,0))</f>
        <v>N113</v>
      </c>
      <c r="DE132">
        <v>3.2837000000000005E-2</v>
      </c>
      <c r="DF132">
        <v>250</v>
      </c>
      <c r="DG132">
        <v>150</v>
      </c>
      <c r="DH132">
        <v>79</v>
      </c>
      <c r="DI132">
        <v>67.401705180026113</v>
      </c>
      <c r="DJ132">
        <v>3.2837000000000005E-2</v>
      </c>
      <c r="DK132">
        <v>0.12049694485539995</v>
      </c>
      <c r="DL132">
        <v>6.7960027369187399</v>
      </c>
      <c r="DM132" s="107">
        <f>INDEX(Pipes_result_save_V1!$K$2:$K$206,MATCH(DB132,Pipes_result_save_V1!$I$2:$I$206,0)) *POWER(10,-3)</f>
        <v>-3.761581182479858E-3</v>
      </c>
      <c r="DN132" s="78">
        <v>5.3573692531348055E-3</v>
      </c>
      <c r="DO132" s="78">
        <f t="shared" si="14"/>
        <v>1.5957880706549475E-3</v>
      </c>
    </row>
    <row r="133" spans="2:119" ht="30" x14ac:dyDescent="0.25">
      <c r="B133" s="106">
        <v>41</v>
      </c>
      <c r="C133" s="106" t="s">
        <v>539</v>
      </c>
      <c r="D133" s="106" t="s">
        <v>282</v>
      </c>
      <c r="E133" s="106" t="str">
        <f>INDEX(Pipes_result_save_V1!$G$2:$G$206,MATCH(D133,Pipes_result_save_V1!$I$2:$I$206,0))</f>
        <v>N163</v>
      </c>
      <c r="F133" s="106" t="str">
        <f>INDEX(Pipes_result_save_V1!$H$2:$H$206,MATCH(D133,Pipes_result_save_V1!$I$2:$I$206,0))</f>
        <v>N164</v>
      </c>
      <c r="G133" s="106">
        <v>3.5000000000000003E-2</v>
      </c>
      <c r="H133" s="107">
        <v>250</v>
      </c>
      <c r="I133" s="107">
        <v>150</v>
      </c>
      <c r="J133" s="107">
        <v>35</v>
      </c>
      <c r="K133" s="107">
        <v>29.861514953176123</v>
      </c>
      <c r="L133" s="107">
        <v>3.5000000000000003E-2</v>
      </c>
      <c r="M133" s="107">
        <v>6.0079437098534257E-2</v>
      </c>
      <c r="N133" s="107">
        <v>3.1790605001852987</v>
      </c>
      <c r="O133" s="107">
        <f>INDEX(Pipes_result_save_V1!$K$2:$K$206,MATCH(D133,Pipes_result_save_V1!$I$2:$I$206,0)) *POWER(10,-3)</f>
        <v>-2.5545314788818361E-2</v>
      </c>
      <c r="P133" s="78">
        <v>5.8142214698149782E-3</v>
      </c>
      <c r="Q133" s="78">
        <f t="shared" si="9"/>
        <v>-1.9731093319003384E-2</v>
      </c>
      <c r="R133" s="78"/>
      <c r="S133" s="78"/>
      <c r="T133" s="78">
        <v>40</v>
      </c>
      <c r="U133" s="78">
        <v>41</v>
      </c>
      <c r="V133" s="78" t="s">
        <v>540</v>
      </c>
      <c r="W133" s="78" t="s">
        <v>280</v>
      </c>
      <c r="X133" s="106" t="str">
        <f>INDEX(Pipes_result_save_V1!$G$2:$G$206,MATCH(W133,Pipes_result_save_V1!$I$2:$I$206,0))</f>
        <v>N162</v>
      </c>
      <c r="Y133" s="106" t="str">
        <f>INDEX(Pipes_result_save_V1!$H$2:$H$206,MATCH(W133,Pipes_result_save_V1!$I$2:$I$206,0))</f>
        <v>N163</v>
      </c>
      <c r="Z133" s="78">
        <v>2.9028999999999999E-2</v>
      </c>
      <c r="AA133" s="78">
        <v>200</v>
      </c>
      <c r="AB133" s="78">
        <v>150</v>
      </c>
      <c r="AC133" s="78">
        <v>54</v>
      </c>
      <c r="AD133" s="78">
        <v>136.61117466724494</v>
      </c>
      <c r="AE133" s="78">
        <v>6.059693507618355E-2</v>
      </c>
      <c r="AF133" s="78">
        <v>1</v>
      </c>
      <c r="AG133" s="78">
        <v>-1</v>
      </c>
      <c r="AH133" s="78">
        <v>0.75959980646985081</v>
      </c>
      <c r="AI133">
        <v>23.215346449676638</v>
      </c>
      <c r="AJ133" s="107">
        <f>INDEX(Pipes_result_save_V1!$K$2:$K$206,MATCH(W133,Pipes_result_save_V1!$I$2:$I$206,0)) *POWER(10,-3)</f>
        <v>-2.5037521362304693E-2</v>
      </c>
      <c r="AK133" s="78">
        <v>2.1572128217552228E-3</v>
      </c>
      <c r="AL133" s="78">
        <f t="shared" si="10"/>
        <v>-2.2880308540549472E-2</v>
      </c>
      <c r="BJ133">
        <v>0</v>
      </c>
      <c r="BK133">
        <v>41</v>
      </c>
      <c r="BL133" t="s">
        <v>540</v>
      </c>
      <c r="BM133" t="s">
        <v>194</v>
      </c>
      <c r="BN133" s="106" t="str">
        <f>INDEX(Pipes_result_save_V1!$G$2:$G$206,MATCH(BM133,Pipes_result_save_V1!$I$2:$I$206,0))</f>
        <v>N90</v>
      </c>
      <c r="BO133" s="106" t="str">
        <f>INDEX(Pipes_result_save_V1!$H$2:$H$206,MATCH(BM133,Pipes_result_save_V1!$I$2:$I$206,0))</f>
        <v>N91</v>
      </c>
      <c r="BP133">
        <v>0.119923</v>
      </c>
      <c r="BQ133">
        <v>400</v>
      </c>
      <c r="BR133">
        <v>150</v>
      </c>
      <c r="BS133">
        <v>201</v>
      </c>
      <c r="BT133">
        <v>17.376864491226261</v>
      </c>
      <c r="BU133">
        <v>-0.119923</v>
      </c>
      <c r="BV133">
        <v>-0.34205726220094823</v>
      </c>
      <c r="BW133">
        <v>5.2824733336904179</v>
      </c>
      <c r="BX133" s="107">
        <f>INDEX(Pipes_result_save_V1!$K$2:$K$206,MATCH(BM133,Pipes_result_save_V1!$I$2:$I$206,0)) *POWER(10,-3)</f>
        <v>1.264373970031738E-2</v>
      </c>
      <c r="BY133" s="78">
        <v>5.4720869442523943E-3</v>
      </c>
      <c r="BZ133" s="78">
        <f t="shared" si="12"/>
        <v>7.1716527560649855E-3</v>
      </c>
      <c r="CE133">
        <v>0</v>
      </c>
      <c r="CF133">
        <v>41</v>
      </c>
      <c r="CG133" t="s">
        <v>539</v>
      </c>
      <c r="CH133" t="s">
        <v>417</v>
      </c>
      <c r="CI133" s="106" t="str">
        <f>INDEX(Pipes_result_save_V1!$G$2:$G$206,MATCH(CH133,Pipes_result_save_V1!$I$2:$I$206,0))</f>
        <v>R2</v>
      </c>
      <c r="CJ133" s="106" t="str">
        <f>INDEX(Pipes_result_save_V1!$H$2:$H$206,MATCH(CH133,Pipes_result_save_V1!$I$2:$I$206,0))</f>
        <v>N41</v>
      </c>
      <c r="CK133">
        <v>9.851E-2</v>
      </c>
      <c r="CL133">
        <v>400</v>
      </c>
      <c r="CM133">
        <v>150</v>
      </c>
      <c r="CN133">
        <v>9</v>
      </c>
      <c r="CO133">
        <v>0.7780685593086385</v>
      </c>
      <c r="CP133">
        <v>9.851E-2</v>
      </c>
      <c r="CQ133">
        <v>1.0640043839006231E-2</v>
      </c>
      <c r="CR133">
        <v>0.20003412029072726</v>
      </c>
      <c r="CS133" s="107">
        <f>INDEX(Pipes_result_save_V1!$K$2:$K$206,MATCH(CH133,Pipes_result_save_V1!$I$2:$I$206,0)) *POWER(10,-3)</f>
        <v>0</v>
      </c>
      <c r="CT133" s="78">
        <v>6.5493759904765017E-3</v>
      </c>
      <c r="CU133" s="78">
        <f t="shared" si="13"/>
        <v>0</v>
      </c>
      <c r="CY133">
        <v>0</v>
      </c>
      <c r="CZ133">
        <v>41</v>
      </c>
      <c r="DA133" t="s">
        <v>539</v>
      </c>
      <c r="DB133" t="s">
        <v>276</v>
      </c>
      <c r="DC133" s="106" t="str">
        <f>INDEX(Pipes_result_save_V1!$G$2:$G$206,MATCH(DB133,Pipes_result_save_V1!$I$2:$I$206,0))</f>
        <v>N115</v>
      </c>
      <c r="DD133" s="106" t="str">
        <f>INDEX(Pipes_result_save_V1!$H$2:$H$206,MATCH(DB133,Pipes_result_save_V1!$I$2:$I$206,0))</f>
        <v>N114</v>
      </c>
      <c r="DE133">
        <v>3.2837000000000005E-2</v>
      </c>
      <c r="DF133">
        <v>250</v>
      </c>
      <c r="DG133">
        <v>150</v>
      </c>
      <c r="DH133">
        <v>241</v>
      </c>
      <c r="DI133">
        <v>205.6178601061556</v>
      </c>
      <c r="DJ133">
        <v>3.2837000000000005E-2</v>
      </c>
      <c r="DK133">
        <v>0.36759194569811882</v>
      </c>
      <c r="DL133">
        <v>20.732109615157171</v>
      </c>
      <c r="DM133" s="107">
        <f>INDEX(Pipes_result_save_V1!$K$2:$K$206,MATCH(DB133,Pipes_result_save_V1!$I$2:$I$206,0)) *POWER(10,-3)</f>
        <v>-1.935805678367615E-3</v>
      </c>
      <c r="DN133" s="78">
        <v>5.8139980983665986E-3</v>
      </c>
      <c r="DO133" s="78">
        <f t="shared" si="14"/>
        <v>3.8781924199989834E-3</v>
      </c>
    </row>
    <row r="134" spans="2:119" ht="30" x14ac:dyDescent="0.25">
      <c r="B134" s="106">
        <v>42</v>
      </c>
      <c r="C134" s="106" t="s">
        <v>539</v>
      </c>
      <c r="D134" s="106" t="s">
        <v>430</v>
      </c>
      <c r="E134" s="106" t="str">
        <f>INDEX(Pipes_result_save_V1!$G$2:$G$206,MATCH(D134,Pipes_result_save_V1!$I$2:$I$206,0))</f>
        <v>N164</v>
      </c>
      <c r="F134" s="106" t="str">
        <f>INDEX(Pipes_result_save_V1!$H$2:$H$206,MATCH(D134,Pipes_result_save_V1!$I$2:$I$206,0))</f>
        <v>N165</v>
      </c>
      <c r="G134" s="106">
        <v>8.7999999999999995E-2</v>
      </c>
      <c r="H134" s="107">
        <v>350</v>
      </c>
      <c r="I134" s="107">
        <v>150</v>
      </c>
      <c r="J134" s="107">
        <v>88</v>
      </c>
      <c r="K134" s="107">
        <v>14.579304373504881</v>
      </c>
      <c r="L134" s="107">
        <v>8.7999999999999995E-2</v>
      </c>
      <c r="M134" s="107">
        <v>0.16177772046556005</v>
      </c>
      <c r="N134" s="107">
        <v>3.4046856625251967</v>
      </c>
      <c r="O134" s="107">
        <f>INDEX(Pipes_result_save_V1!$K$2:$K$206,MATCH(D134,Pipes_result_save_V1!$I$2:$I$206,0)) *POWER(10,-3)</f>
        <v>-2.624709701538086E-2</v>
      </c>
      <c r="P134" s="78">
        <v>5.1295262473634706E-3</v>
      </c>
      <c r="Q134" s="78">
        <f t="shared" si="9"/>
        <v>-2.1117570768017388E-2</v>
      </c>
      <c r="R134" s="78"/>
      <c r="S134" s="78"/>
      <c r="T134" s="78">
        <v>41</v>
      </c>
      <c r="U134" s="78">
        <v>42</v>
      </c>
      <c r="V134" s="78" t="s">
        <v>540</v>
      </c>
      <c r="W134" s="78" t="s">
        <v>282</v>
      </c>
      <c r="X134" s="106" t="str">
        <f>INDEX(Pipes_result_save_V1!$G$2:$G$206,MATCH(W134,Pipes_result_save_V1!$I$2:$I$206,0))</f>
        <v>N163</v>
      </c>
      <c r="Y134" s="106" t="str">
        <f>INDEX(Pipes_result_save_V1!$H$2:$H$206,MATCH(W134,Pipes_result_save_V1!$I$2:$I$206,0))</f>
        <v>N164</v>
      </c>
      <c r="Z134" s="78">
        <v>2.9028999999999999E-2</v>
      </c>
      <c r="AA134" s="78">
        <v>200</v>
      </c>
      <c r="AB134" s="78">
        <v>150</v>
      </c>
      <c r="AC134" s="78">
        <v>35</v>
      </c>
      <c r="AD134" s="78">
        <v>88.544279876918011</v>
      </c>
      <c r="AE134" s="78">
        <v>4.1596935076183561E-2</v>
      </c>
      <c r="AF134" s="78">
        <v>1</v>
      </c>
      <c r="AG134" s="78">
        <v>-1</v>
      </c>
      <c r="AH134" s="78">
        <v>0.24527997752358771</v>
      </c>
      <c r="AI134">
        <v>10.920480500347525</v>
      </c>
      <c r="AJ134" s="107">
        <f>INDEX(Pipes_result_save_V1!$K$2:$K$206,MATCH(W134,Pipes_result_save_V1!$I$2:$I$206,0)) *POWER(10,-3)</f>
        <v>-2.5545314788818361E-2</v>
      </c>
      <c r="AK134" s="78">
        <v>4.4473267180016995E-3</v>
      </c>
      <c r="AL134" s="78">
        <f t="shared" si="10"/>
        <v>-2.1097988070816663E-2</v>
      </c>
      <c r="BJ134">
        <v>0</v>
      </c>
      <c r="BK134">
        <v>42</v>
      </c>
      <c r="BL134" t="s">
        <v>540</v>
      </c>
      <c r="BM134" t="s">
        <v>425</v>
      </c>
      <c r="BN134" s="106" t="str">
        <f>INDEX(Pipes_result_save_V1!$G$2:$G$206,MATCH(BM134,Pipes_result_save_V1!$I$2:$I$206,0))</f>
        <v>N91</v>
      </c>
      <c r="BO134" s="106" t="str">
        <f>INDEX(Pipes_result_save_V1!$H$2:$H$206,MATCH(BM134,Pipes_result_save_V1!$I$2:$I$206,0))</f>
        <v>N92</v>
      </c>
      <c r="BP134">
        <v>0.119923</v>
      </c>
      <c r="BQ134">
        <v>400</v>
      </c>
      <c r="BR134">
        <v>150</v>
      </c>
      <c r="BS134">
        <v>129</v>
      </c>
      <c r="BT134">
        <v>11.152316016757153</v>
      </c>
      <c r="BU134">
        <v>-0.119923</v>
      </c>
      <c r="BV134">
        <v>-0.21952928768120558</v>
      </c>
      <c r="BW134">
        <v>3.3902440798311639</v>
      </c>
      <c r="BX134" s="107">
        <f>INDEX(Pipes_result_save_V1!$K$2:$K$206,MATCH(BM134,Pipes_result_save_V1!$I$2:$I$206,0)) *POWER(10,-3)</f>
        <v>1.0760909080505369E-2</v>
      </c>
      <c r="BY134" s="78">
        <v>6.3134524301300537E-3</v>
      </c>
      <c r="BZ134" s="78">
        <f t="shared" si="12"/>
        <v>4.447456650375315E-3</v>
      </c>
      <c r="CH134" t="s">
        <v>380</v>
      </c>
      <c r="CQ134">
        <v>2.2952384014795748</v>
      </c>
      <c r="CR134">
        <v>198.13258060074335</v>
      </c>
      <c r="CY134">
        <v>0</v>
      </c>
      <c r="CZ134">
        <v>42</v>
      </c>
      <c r="DA134" t="s">
        <v>539</v>
      </c>
      <c r="DB134" t="s">
        <v>316</v>
      </c>
      <c r="DC134" s="106" t="str">
        <f>INDEX(Pipes_result_save_V1!$G$2:$G$206,MATCH(DB134,Pipes_result_save_V1!$I$2:$I$206,0))</f>
        <v>N116</v>
      </c>
      <c r="DD134" s="106" t="str">
        <f>INDEX(Pipes_result_save_V1!$H$2:$H$206,MATCH(DB134,Pipes_result_save_V1!$I$2:$I$206,0))</f>
        <v>N115</v>
      </c>
      <c r="DE134">
        <v>3.2837000000000005E-2</v>
      </c>
      <c r="DF134">
        <v>250</v>
      </c>
      <c r="DG134">
        <v>150</v>
      </c>
      <c r="DH134">
        <v>61</v>
      </c>
      <c r="DI134">
        <v>52.044354632678385</v>
      </c>
      <c r="DJ134">
        <v>3.2837000000000005E-2</v>
      </c>
      <c r="DK134">
        <v>9.30419447617645E-2</v>
      </c>
      <c r="DL134">
        <v>5.2475464171144699</v>
      </c>
      <c r="DM134" s="107">
        <f>INDEX(Pipes_result_save_V1!$K$2:$K$206,MATCH(DB134,Pipes_result_save_V1!$I$2:$I$206,0)) *POWER(10,-3)</f>
        <v>-2.1272979676723481E-4</v>
      </c>
      <c r="DN134" s="78">
        <v>6.5067774447843396E-3</v>
      </c>
      <c r="DO134" s="78">
        <f t="shared" si="14"/>
        <v>6.2940476480171049E-3</v>
      </c>
    </row>
    <row r="135" spans="2:119" ht="30" x14ac:dyDescent="0.25">
      <c r="B135" s="106">
        <v>43</v>
      </c>
      <c r="C135" s="106" t="s">
        <v>540</v>
      </c>
      <c r="D135" s="106" t="s">
        <v>252</v>
      </c>
      <c r="E135" s="106" t="str">
        <f>INDEX(Pipes_result_save_V1!$G$2:$G$206,MATCH(D135,Pipes_result_save_V1!$I$2:$I$206,0))</f>
        <v>N166</v>
      </c>
      <c r="F135" s="106" t="str">
        <f>INDEX(Pipes_result_save_V1!$H$2:$H$206,MATCH(D135,Pipes_result_save_V1!$I$2:$I$206,0))</f>
        <v>N167</v>
      </c>
      <c r="G135" s="106">
        <v>0.23</v>
      </c>
      <c r="H135" s="107">
        <v>565</v>
      </c>
      <c r="I135" s="107">
        <v>150</v>
      </c>
      <c r="J135" s="107">
        <v>230</v>
      </c>
      <c r="K135" s="107">
        <v>3.6975105465835916</v>
      </c>
      <c r="L135" s="107">
        <v>-0.23</v>
      </c>
      <c r="M135" s="107">
        <v>-0.24312486288101076</v>
      </c>
      <c r="N135" s="107">
        <v>1.9576836785027469</v>
      </c>
      <c r="O135" s="107">
        <f>INDEX(Pipes_result_save_V1!$K$2:$K$206,MATCH(D135,Pipes_result_save_V1!$I$2:$I$206,0)) *POWER(10,-3)</f>
        <v>1.17913990020752E-2</v>
      </c>
      <c r="P135" s="78">
        <v>6.070937579094801E-3</v>
      </c>
      <c r="Q135" s="78">
        <f t="shared" si="9"/>
        <v>5.7204614229803994E-3</v>
      </c>
      <c r="R135" s="78"/>
      <c r="S135" s="78"/>
      <c r="T135" s="78">
        <v>42</v>
      </c>
      <c r="U135" s="78">
        <v>43</v>
      </c>
      <c r="V135" s="78" t="s">
        <v>540</v>
      </c>
      <c r="W135" s="78" t="s">
        <v>430</v>
      </c>
      <c r="X135" s="106" t="str">
        <f>INDEX(Pipes_result_save_V1!$G$2:$G$206,MATCH(W135,Pipes_result_save_V1!$I$2:$I$206,0))</f>
        <v>N164</v>
      </c>
      <c r="Y135" s="106" t="str">
        <f>INDEX(Pipes_result_save_V1!$H$2:$H$206,MATCH(W135,Pipes_result_save_V1!$I$2:$I$206,0))</f>
        <v>N165</v>
      </c>
      <c r="Z135" s="78">
        <v>2.9028999999999999E-2</v>
      </c>
      <c r="AA135" s="78">
        <v>200</v>
      </c>
      <c r="AB135" s="78">
        <v>150</v>
      </c>
      <c r="AC135" s="78">
        <v>88</v>
      </c>
      <c r="AD135" s="78">
        <v>222.62561797625102</v>
      </c>
      <c r="AE135" s="78">
        <v>9.4596935076183553E-2</v>
      </c>
      <c r="AF135" s="78">
        <v>1</v>
      </c>
      <c r="AG135" s="78">
        <v>-1</v>
      </c>
      <c r="AH135" s="78">
        <v>2.8242261078771005</v>
      </c>
      <c r="AI135">
        <v>55.29213761075917</v>
      </c>
      <c r="AJ135" s="107">
        <f>INDEX(Pipes_result_save_V1!$K$2:$K$206,MATCH(W135,Pipes_result_save_V1!$I$2:$I$206,0)) *POWER(10,-3)</f>
        <v>-2.624709701538086E-2</v>
      </c>
      <c r="AK135" s="78">
        <v>2.9347842678458646E-3</v>
      </c>
      <c r="AL135" s="78">
        <f t="shared" si="10"/>
        <v>-2.3312312747534994E-2</v>
      </c>
      <c r="BJ135">
        <v>0</v>
      </c>
      <c r="BK135">
        <v>43</v>
      </c>
      <c r="BL135" t="s">
        <v>540</v>
      </c>
      <c r="BM135" t="s">
        <v>183</v>
      </c>
      <c r="BN135" s="106" t="str">
        <f>INDEX(Pipes_result_save_V1!$G$2:$G$206,MATCH(BM135,Pipes_result_save_V1!$I$2:$I$206,0))</f>
        <v>N92</v>
      </c>
      <c r="BO135" s="106" t="str">
        <f>INDEX(Pipes_result_save_V1!$H$2:$H$206,MATCH(BM135,Pipes_result_save_V1!$I$2:$I$206,0))</f>
        <v>N93</v>
      </c>
      <c r="BP135">
        <v>0.119923</v>
      </c>
      <c r="BQ135">
        <v>400</v>
      </c>
      <c r="BR135">
        <v>150</v>
      </c>
      <c r="BS135">
        <v>111</v>
      </c>
      <c r="BT135">
        <v>9.5961788981398755</v>
      </c>
      <c r="BU135">
        <v>-0.119923</v>
      </c>
      <c r="BV135">
        <v>-0.18889729405126993</v>
      </c>
      <c r="BW135">
        <v>2.9171867663663504</v>
      </c>
      <c r="BX135" s="107">
        <f>INDEX(Pipes_result_save_V1!$K$2:$K$206,MATCH(BM135,Pipes_result_save_V1!$I$2:$I$206,0)) *POWER(10,-3)</f>
        <v>9.3915777206420893E-3</v>
      </c>
      <c r="BY135" s="78">
        <v>5.1921217048708466E-3</v>
      </c>
      <c r="BZ135" s="78">
        <f t="shared" si="12"/>
        <v>4.1994560157712427E-3</v>
      </c>
      <c r="CH135" t="s">
        <v>381</v>
      </c>
      <c r="CK135">
        <v>-1.158435626548824E-2</v>
      </c>
      <c r="CY135">
        <v>0</v>
      </c>
      <c r="CZ135">
        <v>43</v>
      </c>
      <c r="DA135" t="s">
        <v>539</v>
      </c>
      <c r="DB135" t="s">
        <v>412</v>
      </c>
      <c r="DC135" s="106" t="str">
        <f>INDEX(Pipes_result_save_V1!$G$2:$G$206,MATCH(DB135,Pipes_result_save_V1!$I$2:$I$206,0))</f>
        <v>N195</v>
      </c>
      <c r="DD135" s="106" t="str">
        <f>INDEX(Pipes_result_save_V1!$H$2:$H$206,MATCH(DB135,Pipes_result_save_V1!$I$2:$I$206,0))</f>
        <v>N116</v>
      </c>
      <c r="DE135">
        <v>3.2837000000000005E-2</v>
      </c>
      <c r="DF135">
        <v>250</v>
      </c>
      <c r="DG135">
        <v>150</v>
      </c>
      <c r="DH135">
        <v>76</v>
      </c>
      <c r="DI135">
        <v>64.84214675546815</v>
      </c>
      <c r="DJ135">
        <v>3.2837000000000005E-2</v>
      </c>
      <c r="DK135">
        <v>0.1159211115064607</v>
      </c>
      <c r="DL135">
        <v>6.5379266836180276</v>
      </c>
      <c r="DM135" s="107">
        <f>INDEX(Pipes_result_save_V1!$K$2:$K$206,MATCH(DB135,Pipes_result_save_V1!$I$2:$I$206,0)) *POWER(10,-3)</f>
        <v>5.689303874969482E-4</v>
      </c>
      <c r="DN135" s="78">
        <v>5.3893487469222137E-3</v>
      </c>
      <c r="DO135" s="78">
        <f t="shared" si="14"/>
        <v>-4.8204183594252655E-3</v>
      </c>
    </row>
    <row r="136" spans="2:119" ht="30" x14ac:dyDescent="0.25">
      <c r="B136" s="106">
        <v>44</v>
      </c>
      <c r="C136" s="106" t="s">
        <v>540</v>
      </c>
      <c r="D136" s="106" t="s">
        <v>253</v>
      </c>
      <c r="E136" s="106" t="str">
        <f>INDEX(Pipes_result_save_V1!$G$2:$G$206,MATCH(D136,Pipes_result_save_V1!$I$2:$I$206,0))</f>
        <v>N167</v>
      </c>
      <c r="F136" s="106" t="str">
        <f>INDEX(Pipes_result_save_V1!$H$2:$H$206,MATCH(D136,Pipes_result_save_V1!$I$2:$I$206,0))</f>
        <v>N168</v>
      </c>
      <c r="G136" s="106">
        <v>2.9028999999999999E-2</v>
      </c>
      <c r="H136" s="107">
        <v>200</v>
      </c>
      <c r="I136" s="107">
        <v>150</v>
      </c>
      <c r="J136" s="107">
        <v>145</v>
      </c>
      <c r="K136" s="107">
        <v>366.82630234723172</v>
      </c>
      <c r="L136" s="107">
        <v>-2.9028999999999999E-2</v>
      </c>
      <c r="M136" s="107">
        <v>-0.52194587745420518</v>
      </c>
      <c r="N136" s="107">
        <v>33.299244377870004</v>
      </c>
      <c r="O136" s="107">
        <f>INDEX(Pipes_result_save_V1!$K$2:$K$206,MATCH(D136,Pipes_result_save_V1!$I$2:$I$206,0)) *POWER(10,-3)</f>
        <v>9.6518192291259776E-3</v>
      </c>
      <c r="P136" s="78">
        <v>6.235923230736783E-3</v>
      </c>
      <c r="Q136" s="78">
        <f t="shared" si="9"/>
        <v>3.4158959983891946E-3</v>
      </c>
      <c r="R136" s="78"/>
      <c r="S136" s="78"/>
      <c r="T136" s="78">
        <v>44</v>
      </c>
      <c r="U136" s="78">
        <v>44</v>
      </c>
      <c r="V136" s="78" t="s">
        <v>540</v>
      </c>
      <c r="W136" s="78" t="s">
        <v>253</v>
      </c>
      <c r="X136" s="106" t="str">
        <f>INDEX(Pipes_result_save_V1!$G$2:$G$206,MATCH(W136,Pipes_result_save_V1!$I$2:$I$206,0))</f>
        <v>N167</v>
      </c>
      <c r="Y136" s="106" t="str">
        <f>INDEX(Pipes_result_save_V1!$H$2:$H$206,MATCH(W136,Pipes_result_save_V1!$I$2:$I$206,0))</f>
        <v>N168</v>
      </c>
      <c r="Z136" s="78">
        <v>2.9028999999999999E-2</v>
      </c>
      <c r="AA136" s="78">
        <v>200</v>
      </c>
      <c r="AB136" s="78">
        <v>150</v>
      </c>
      <c r="AC136" s="78">
        <v>145</v>
      </c>
      <c r="AD136" s="78">
        <v>366.82630234723172</v>
      </c>
      <c r="AE136" s="78">
        <v>-2.2432064923816445E-2</v>
      </c>
      <c r="AF136" s="78">
        <v>-1</v>
      </c>
      <c r="AG136" s="78">
        <v>-1</v>
      </c>
      <c r="AH136" s="78">
        <v>-0.3237951393825354</v>
      </c>
      <c r="AI136">
        <v>26.732652574475175</v>
      </c>
      <c r="AJ136" s="107">
        <f>INDEX(Pipes_result_save_V1!$K$2:$K$206,MATCH(W136,Pipes_result_save_V1!$I$2:$I$206,0)) *POWER(10,-3)</f>
        <v>9.6518192291259776E-3</v>
      </c>
      <c r="AK136" s="78">
        <v>3.934008477086714E-3</v>
      </c>
      <c r="AL136" s="78">
        <f t="shared" si="10"/>
        <v>5.7178107520392636E-3</v>
      </c>
      <c r="BJ136">
        <v>0</v>
      </c>
      <c r="BK136">
        <v>44</v>
      </c>
      <c r="BL136" t="s">
        <v>540</v>
      </c>
      <c r="BM136" t="s">
        <v>192</v>
      </c>
      <c r="BN136" s="106" t="str">
        <f>INDEX(Pipes_result_save_V1!$G$2:$G$206,MATCH(BM136,Pipes_result_save_V1!$I$2:$I$206,0))</f>
        <v>N93</v>
      </c>
      <c r="BO136" s="106" t="str">
        <f>INDEX(Pipes_result_save_V1!$H$2:$H$206,MATCH(BM136,Pipes_result_save_V1!$I$2:$I$206,0))</f>
        <v>N94</v>
      </c>
      <c r="BP136">
        <v>0.14499999999999999</v>
      </c>
      <c r="BQ136">
        <v>466</v>
      </c>
      <c r="BR136">
        <v>150</v>
      </c>
      <c r="BS136">
        <v>88</v>
      </c>
      <c r="BT136">
        <v>3.6156338752762309</v>
      </c>
      <c r="BU136">
        <v>-0.14499999999999999</v>
      </c>
      <c r="BV136">
        <v>-0.10116679388747182</v>
      </c>
      <c r="BW136">
        <v>1.2921441536523988</v>
      </c>
      <c r="BX136" s="107">
        <f>INDEX(Pipes_result_save_V1!$K$2:$K$206,MATCH(BM136,Pipes_result_save_V1!$I$2:$I$206,0)) *POWER(10,-3)</f>
        <v>8.256173133850098E-3</v>
      </c>
      <c r="BY136" s="78">
        <v>5.8606262622185722E-3</v>
      </c>
      <c r="BZ136" s="78">
        <f t="shared" si="12"/>
        <v>2.3955468716315258E-3</v>
      </c>
      <c r="CY136">
        <v>0</v>
      </c>
      <c r="CZ136">
        <v>44</v>
      </c>
      <c r="DA136" t="s">
        <v>539</v>
      </c>
      <c r="DB136" t="s">
        <v>308</v>
      </c>
      <c r="DC136" s="106" t="str">
        <f>INDEX(Pipes_result_save_V1!$G$2:$G$206,MATCH(DB136,Pipes_result_save_V1!$I$2:$I$206,0))</f>
        <v>N118</v>
      </c>
      <c r="DD136" s="106" t="str">
        <f>INDEX(Pipes_result_save_V1!$H$2:$H$206,MATCH(DB136,Pipes_result_save_V1!$I$2:$I$206,0))</f>
        <v>N117</v>
      </c>
      <c r="DE136">
        <v>3.2837000000000005E-2</v>
      </c>
      <c r="DF136">
        <v>250</v>
      </c>
      <c r="DG136">
        <v>150</v>
      </c>
      <c r="DH136">
        <v>132</v>
      </c>
      <c r="DI136">
        <v>112.62057068054995</v>
      </c>
      <c r="DJ136">
        <v>3.2837000000000005E-2</v>
      </c>
      <c r="DK136">
        <v>0.20133666735332648</v>
      </c>
      <c r="DL136">
        <v>11.355346345231313</v>
      </c>
      <c r="DM136" s="107">
        <f>INDEX(Pipes_result_save_V1!$K$2:$K$206,MATCH(DB136,Pipes_result_save_V1!$I$2:$I$206,0)) *POWER(10,-3)</f>
        <v>3.5129935741424561E-3</v>
      </c>
      <c r="DN136" s="78">
        <v>6.3061611368338856E-3</v>
      </c>
      <c r="DO136" s="78">
        <f t="shared" si="14"/>
        <v>-2.7931675626914295E-3</v>
      </c>
    </row>
    <row r="137" spans="2:119" ht="30" x14ac:dyDescent="0.25">
      <c r="B137" s="106">
        <v>45</v>
      </c>
      <c r="C137" s="106" t="s">
        <v>540</v>
      </c>
      <c r="D137" s="106" t="s">
        <v>235</v>
      </c>
      <c r="E137" s="106" t="str">
        <f>INDEX(Pipes_result_save_V1!$G$2:$G$206,MATCH(D137,Pipes_result_save_V1!$I$2:$I$206,0))</f>
        <v>N168</v>
      </c>
      <c r="F137" s="106" t="str">
        <f>INDEX(Pipes_result_save_V1!$H$2:$H$206,MATCH(D137,Pipes_result_save_V1!$I$2:$I$206,0))</f>
        <v>N169</v>
      </c>
      <c r="G137" s="106">
        <v>2.9028999999999999E-2</v>
      </c>
      <c r="H137" s="107">
        <v>200</v>
      </c>
      <c r="I137" s="107">
        <v>150</v>
      </c>
      <c r="J137" s="107">
        <v>129</v>
      </c>
      <c r="K137" s="107">
        <v>326.34891726064069</v>
      </c>
      <c r="L137" s="107">
        <v>-2.9028999999999999E-2</v>
      </c>
      <c r="M137" s="107">
        <v>-0.46435184959718945</v>
      </c>
      <c r="N137" s="107">
        <v>29.624844998242978</v>
      </c>
      <c r="O137" s="107">
        <f>INDEX(Pipes_result_save_V1!$K$2:$K$206,MATCH(D137,Pipes_result_save_V1!$I$2:$I$206,0)) *POWER(10,-3)</f>
        <v>8.0884981155395514E-3</v>
      </c>
      <c r="P137" s="78">
        <v>5.240119024098237E-3</v>
      </c>
      <c r="Q137" s="78">
        <f t="shared" si="9"/>
        <v>2.8483790914413144E-3</v>
      </c>
      <c r="R137" s="78"/>
      <c r="S137" s="78"/>
      <c r="T137" s="78">
        <v>45</v>
      </c>
      <c r="U137" s="78">
        <v>45</v>
      </c>
      <c r="V137" s="78" t="s">
        <v>540</v>
      </c>
      <c r="W137" s="78" t="s">
        <v>235</v>
      </c>
      <c r="X137" s="106" t="str">
        <f>INDEX(Pipes_result_save_V1!$G$2:$G$206,MATCH(W137,Pipes_result_save_V1!$I$2:$I$206,0))</f>
        <v>N168</v>
      </c>
      <c r="Y137" s="106" t="str">
        <f>INDEX(Pipes_result_save_V1!$H$2:$H$206,MATCH(W137,Pipes_result_save_V1!$I$2:$I$206,0))</f>
        <v>N169</v>
      </c>
      <c r="Z137" s="78">
        <v>2.9028999999999999E-2</v>
      </c>
      <c r="AA137" s="78">
        <v>200</v>
      </c>
      <c r="AB137" s="78">
        <v>150</v>
      </c>
      <c r="AC137" s="78">
        <v>129</v>
      </c>
      <c r="AD137" s="78">
        <v>326.34891726064069</v>
      </c>
      <c r="AE137" s="78">
        <v>-2.2432064923816445E-2</v>
      </c>
      <c r="AF137" s="78">
        <v>-1</v>
      </c>
      <c r="AG137" s="78">
        <v>-1</v>
      </c>
      <c r="AH137" s="78">
        <v>-0.28806602055411779</v>
      </c>
      <c r="AI137">
        <v>23.782842635222746</v>
      </c>
      <c r="AJ137" s="107">
        <f>INDEX(Pipes_result_save_V1!$K$2:$K$206,MATCH(W137,Pipes_result_save_V1!$I$2:$I$206,0)) *POWER(10,-3)</f>
        <v>8.0884981155395514E-3</v>
      </c>
      <c r="AK137" s="78">
        <v>6.8805551372415254E-4</v>
      </c>
      <c r="AL137" s="78">
        <f t="shared" si="10"/>
        <v>7.4004426018153989E-3</v>
      </c>
      <c r="BJ137">
        <v>0</v>
      </c>
      <c r="BK137">
        <v>45</v>
      </c>
      <c r="BL137" t="s">
        <v>540</v>
      </c>
      <c r="BM137" t="s">
        <v>230</v>
      </c>
      <c r="BN137" s="106" t="str">
        <f>INDEX(Pipes_result_save_V1!$G$2:$G$206,MATCH(BM137,Pipes_result_save_V1!$I$2:$I$206,0))</f>
        <v>N94</v>
      </c>
      <c r="BO137" s="106" t="str">
        <f>INDEX(Pipes_result_save_V1!$H$2:$H$206,MATCH(BM137,Pipes_result_save_V1!$I$2:$I$206,0))</f>
        <v>N95</v>
      </c>
      <c r="BP137">
        <v>0.129</v>
      </c>
      <c r="BQ137">
        <v>421</v>
      </c>
      <c r="BR137">
        <v>150</v>
      </c>
      <c r="BS137">
        <v>74</v>
      </c>
      <c r="BT137">
        <v>4.9861255025952351</v>
      </c>
      <c r="BU137">
        <v>-0.129</v>
      </c>
      <c r="BV137">
        <v>-0.11235058785450108</v>
      </c>
      <c r="BW137">
        <v>1.6129712302832246</v>
      </c>
      <c r="BX137" s="107">
        <f>INDEX(Pipes_result_save_V1!$K$2:$K$206,MATCH(BM137,Pipes_result_save_V1!$I$2:$I$206,0)) *POWER(10,-3)</f>
        <v>7.3318743705749513E-3</v>
      </c>
      <c r="BY137" s="78">
        <v>5.8083044804732907E-3</v>
      </c>
      <c r="BZ137" s="78">
        <f t="shared" si="12"/>
        <v>1.5235698901016606E-3</v>
      </c>
      <c r="CY137">
        <v>0</v>
      </c>
      <c r="CZ137">
        <v>45</v>
      </c>
      <c r="DA137" t="s">
        <v>539</v>
      </c>
      <c r="DB137" t="s">
        <v>411</v>
      </c>
      <c r="DC137" s="106" t="str">
        <f>INDEX(Pipes_result_save_V1!$G$2:$G$206,MATCH(DB137,Pipes_result_save_V1!$I$2:$I$206,0))</f>
        <v>N117</v>
      </c>
      <c r="DD137" s="106" t="str">
        <f>INDEX(Pipes_result_save_V1!$H$2:$H$206,MATCH(DB137,Pipes_result_save_V1!$I$2:$I$206,0))</f>
        <v>N195</v>
      </c>
      <c r="DE137">
        <v>3.2837000000000005E-2</v>
      </c>
      <c r="DF137">
        <v>250</v>
      </c>
      <c r="DG137">
        <v>150</v>
      </c>
      <c r="DH137">
        <v>154</v>
      </c>
      <c r="DI137">
        <v>131.39066579397493</v>
      </c>
      <c r="DJ137">
        <v>3.2837000000000005E-2</v>
      </c>
      <c r="DK137">
        <v>0.23489277857888088</v>
      </c>
      <c r="DL137">
        <v>13.24790406943653</v>
      </c>
      <c r="DM137" s="107">
        <f>INDEX(Pipes_result_save_V1!$K$2:$K$206,MATCH(DB137,Pipes_result_save_V1!$I$2:$I$206,0)) *POWER(10,-3)</f>
        <v>1.881206631660461E-3</v>
      </c>
      <c r="DN137" s="78">
        <v>5.6025911367785083E-3</v>
      </c>
      <c r="DO137" s="78">
        <f t="shared" si="14"/>
        <v>-3.7213845051180475E-3</v>
      </c>
    </row>
    <row r="138" spans="2:119" ht="30" x14ac:dyDescent="0.25">
      <c r="B138" s="106">
        <v>46</v>
      </c>
      <c r="C138" s="106" t="s">
        <v>540</v>
      </c>
      <c r="D138" s="106" t="s">
        <v>236</v>
      </c>
      <c r="E138" s="106" t="str">
        <f>INDEX(Pipes_result_save_V1!$G$2:$G$206,MATCH(D138,Pipes_result_save_V1!$I$2:$I$206,0))</f>
        <v>N169</v>
      </c>
      <c r="F138" s="106" t="str">
        <f>INDEX(Pipes_result_save_V1!$H$2:$H$206,MATCH(D138,Pipes_result_save_V1!$I$2:$I$206,0))</f>
        <v>N170</v>
      </c>
      <c r="G138" s="106">
        <v>2.9028999999999999E-2</v>
      </c>
      <c r="H138" s="107">
        <v>200</v>
      </c>
      <c r="I138" s="107">
        <v>150</v>
      </c>
      <c r="J138" s="107">
        <v>104</v>
      </c>
      <c r="K138" s="107">
        <v>263.10300306284211</v>
      </c>
      <c r="L138" s="107">
        <v>-2.9028999999999999E-2</v>
      </c>
      <c r="M138" s="107">
        <v>-0.37436118107060234</v>
      </c>
      <c r="N138" s="107">
        <v>23.883595967575733</v>
      </c>
      <c r="O138" s="107">
        <f>INDEX(Pipes_result_save_V1!$K$2:$K$206,MATCH(D138,Pipes_result_save_V1!$I$2:$I$206,0)) *POWER(10,-3)</f>
        <v>6.7591056823730466E-3</v>
      </c>
      <c r="P138" s="78">
        <v>5.9338494150622065E-3</v>
      </c>
      <c r="Q138" s="78">
        <f t="shared" si="9"/>
        <v>8.2525626731084004E-4</v>
      </c>
      <c r="R138" s="78"/>
      <c r="S138" s="78"/>
      <c r="T138" s="78">
        <v>46</v>
      </c>
      <c r="U138" s="78">
        <v>46</v>
      </c>
      <c r="V138" s="78" t="s">
        <v>540</v>
      </c>
      <c r="W138" s="78" t="s">
        <v>236</v>
      </c>
      <c r="X138" s="106" t="str">
        <f>INDEX(Pipes_result_save_V1!$G$2:$G$206,MATCH(W138,Pipes_result_save_V1!$I$2:$I$206,0))</f>
        <v>N169</v>
      </c>
      <c r="Y138" s="106" t="str">
        <f>INDEX(Pipes_result_save_V1!$H$2:$H$206,MATCH(W138,Pipes_result_save_V1!$I$2:$I$206,0))</f>
        <v>N170</v>
      </c>
      <c r="Z138" s="78">
        <v>2.9028999999999999E-2</v>
      </c>
      <c r="AA138" s="78">
        <v>200</v>
      </c>
      <c r="AB138" s="78">
        <v>150</v>
      </c>
      <c r="AC138" s="78">
        <v>104</v>
      </c>
      <c r="AD138" s="78">
        <v>263.10300306284211</v>
      </c>
      <c r="AE138" s="78">
        <v>-2.2432064923816445E-2</v>
      </c>
      <c r="AF138" s="78">
        <v>-1</v>
      </c>
      <c r="AG138" s="78">
        <v>-1</v>
      </c>
      <c r="AH138" s="78">
        <v>-0.23223927238471509</v>
      </c>
      <c r="AI138">
        <v>19.173764605140818</v>
      </c>
      <c r="AJ138" s="107">
        <f>INDEX(Pipes_result_save_V1!$K$2:$K$206,MATCH(W138,Pipes_result_save_V1!$I$2:$I$206,0)) *POWER(10,-3)</f>
        <v>6.7591056823730466E-3</v>
      </c>
      <c r="AK138" s="78">
        <v>4.0140195111003389E-3</v>
      </c>
      <c r="AL138" s="78">
        <f t="shared" si="10"/>
        <v>2.7450861712727077E-3</v>
      </c>
      <c r="BJ138">
        <v>0</v>
      </c>
      <c r="BK138">
        <v>46</v>
      </c>
      <c r="BL138" t="s">
        <v>540</v>
      </c>
      <c r="BM138" t="s">
        <v>215</v>
      </c>
      <c r="BN138" s="106" t="str">
        <f>INDEX(Pipes_result_save_V1!$G$2:$G$206,MATCH(BM138,Pipes_result_save_V1!$I$2:$I$206,0))</f>
        <v>N95</v>
      </c>
      <c r="BO138" s="106" t="str">
        <f>INDEX(Pipes_result_save_V1!$H$2:$H$206,MATCH(BM138,Pipes_result_save_V1!$I$2:$I$206,0))</f>
        <v>N96</v>
      </c>
      <c r="BP138">
        <v>0.104</v>
      </c>
      <c r="BQ138">
        <v>400</v>
      </c>
      <c r="BR138">
        <v>150</v>
      </c>
      <c r="BS138">
        <v>248</v>
      </c>
      <c r="BT138">
        <v>21.440111412060261</v>
      </c>
      <c r="BU138">
        <v>-0.104</v>
      </c>
      <c r="BV138">
        <v>-0.32416997102445538</v>
      </c>
      <c r="BW138">
        <v>5.7727190993970323</v>
      </c>
      <c r="BX138" s="107">
        <f>INDEX(Pipes_result_save_V1!$K$2:$K$206,MATCH(BM138,Pipes_result_save_V1!$I$2:$I$206,0)) *POWER(10,-3)</f>
        <v>5.4946870803833005E-3</v>
      </c>
      <c r="BY138" s="78">
        <v>6.0099784626388474E-3</v>
      </c>
      <c r="BZ138" s="78">
        <f t="shared" si="12"/>
        <v>-5.1529138225554685E-4</v>
      </c>
      <c r="CY138">
        <v>0</v>
      </c>
      <c r="CZ138">
        <v>46</v>
      </c>
      <c r="DA138" t="s">
        <v>539</v>
      </c>
      <c r="DB138" t="s">
        <v>309</v>
      </c>
      <c r="DC138" s="106" t="str">
        <f>INDEX(Pipes_result_save_V1!$G$2:$G$206,MATCH(DB138,Pipes_result_save_V1!$I$2:$I$206,0))</f>
        <v>N119</v>
      </c>
      <c r="DD138" s="106" t="str">
        <f>INDEX(Pipes_result_save_V1!$H$2:$H$206,MATCH(DB138,Pipes_result_save_V1!$I$2:$I$206,0))</f>
        <v>N118</v>
      </c>
      <c r="DE138">
        <v>3.2837000000000005E-2</v>
      </c>
      <c r="DF138">
        <v>250</v>
      </c>
      <c r="DG138">
        <v>150</v>
      </c>
      <c r="DH138">
        <v>212</v>
      </c>
      <c r="DI138">
        <v>180.87546200209536</v>
      </c>
      <c r="DJ138">
        <v>3.2837000000000005E-2</v>
      </c>
      <c r="DK138">
        <v>0.32335888999170614</v>
      </c>
      <c r="DL138">
        <v>18.237374433250288</v>
      </c>
      <c r="DM138" s="107">
        <f>INDEX(Pipes_result_save_V1!$K$2:$K$206,MATCH(DB138,Pipes_result_save_V1!$I$2:$I$206,0)) *POWER(10,-3)</f>
        <v>5.4757027626037595E-3</v>
      </c>
      <c r="DN138" s="78">
        <v>5.4766907074032777E-3</v>
      </c>
      <c r="DO138" s="78">
        <f t="shared" si="14"/>
        <v>-9.8794479951817143E-7</v>
      </c>
    </row>
    <row r="139" spans="2:119" ht="30" x14ac:dyDescent="0.25">
      <c r="B139" s="106">
        <v>47</v>
      </c>
      <c r="C139" s="106" t="s">
        <v>540</v>
      </c>
      <c r="D139" s="106" t="s">
        <v>237</v>
      </c>
      <c r="E139" s="106" t="str">
        <f>INDEX(Pipes_result_save_V1!$G$2:$G$206,MATCH(D139,Pipes_result_save_V1!$I$2:$I$206,0))</f>
        <v>N170</v>
      </c>
      <c r="F139" s="106" t="str">
        <f>INDEX(Pipes_result_save_V1!$H$2:$H$206,MATCH(D139,Pipes_result_save_V1!$I$2:$I$206,0))</f>
        <v>N171</v>
      </c>
      <c r="G139" s="106">
        <v>2.9028999999999999E-2</v>
      </c>
      <c r="H139" s="107">
        <v>200</v>
      </c>
      <c r="I139" s="107">
        <v>150</v>
      </c>
      <c r="J139" s="107">
        <v>79</v>
      </c>
      <c r="K139" s="107">
        <v>199.85708886504352</v>
      </c>
      <c r="L139" s="107">
        <v>-2.9028999999999999E-2</v>
      </c>
      <c r="M139" s="107">
        <v>-0.28437051254401524</v>
      </c>
      <c r="N139" s="107">
        <v>18.142346936908488</v>
      </c>
      <c r="O139" s="107">
        <f>INDEX(Pipes_result_save_V1!$K$2:$K$206,MATCH(D139,Pipes_result_save_V1!$I$2:$I$206,0)) *POWER(10,-3)</f>
        <v>5.7149901390075681E-3</v>
      </c>
      <c r="P139" s="78">
        <v>5.1643131572267926E-3</v>
      </c>
      <c r="Q139" s="78">
        <f t="shared" si="9"/>
        <v>5.5067698178077554E-4</v>
      </c>
      <c r="R139" s="78"/>
      <c r="S139" s="78"/>
      <c r="T139" s="78">
        <v>47</v>
      </c>
      <c r="U139" s="78">
        <v>47</v>
      </c>
      <c r="V139" s="78" t="s">
        <v>540</v>
      </c>
      <c r="W139" s="78" t="s">
        <v>237</v>
      </c>
      <c r="X139" s="106" t="str">
        <f>INDEX(Pipes_result_save_V1!$G$2:$G$206,MATCH(W139,Pipes_result_save_V1!$I$2:$I$206,0))</f>
        <v>N170</v>
      </c>
      <c r="Y139" s="106" t="str">
        <f>INDEX(Pipes_result_save_V1!$H$2:$H$206,MATCH(W139,Pipes_result_save_V1!$I$2:$I$206,0))</f>
        <v>N171</v>
      </c>
      <c r="Z139" s="78">
        <v>2.9028999999999999E-2</v>
      </c>
      <c r="AA139" s="78">
        <v>200</v>
      </c>
      <c r="AB139" s="78">
        <v>150</v>
      </c>
      <c r="AC139" s="78">
        <v>79</v>
      </c>
      <c r="AD139" s="78">
        <v>199.85708886504352</v>
      </c>
      <c r="AE139" s="78">
        <v>-2.2432064923816445E-2</v>
      </c>
      <c r="AF139" s="78">
        <v>-1</v>
      </c>
      <c r="AG139" s="78">
        <v>-1</v>
      </c>
      <c r="AH139" s="78">
        <v>-0.17641252421531242</v>
      </c>
      <c r="AI139">
        <v>14.564686575058891</v>
      </c>
      <c r="AJ139" s="107">
        <f>INDEX(Pipes_result_save_V1!$K$2:$K$206,MATCH(W139,Pipes_result_save_V1!$I$2:$I$206,0)) *POWER(10,-3)</f>
        <v>5.7149901390075681E-3</v>
      </c>
      <c r="AK139" s="78">
        <v>1.2265447451526544E-3</v>
      </c>
      <c r="AL139" s="78">
        <f t="shared" si="10"/>
        <v>4.4884453938549137E-3</v>
      </c>
      <c r="BJ139">
        <v>0</v>
      </c>
      <c r="BK139">
        <v>47</v>
      </c>
      <c r="BL139" t="s">
        <v>540</v>
      </c>
      <c r="BM139" t="s">
        <v>214</v>
      </c>
      <c r="BN139" s="106" t="str">
        <f>INDEX(Pipes_result_save_V1!$G$2:$G$206,MATCH(BM139,Pipes_result_save_V1!$I$2:$I$206,0))</f>
        <v>N96</v>
      </c>
      <c r="BO139" s="106" t="str">
        <f>INDEX(Pipes_result_save_V1!$H$2:$H$206,MATCH(BM139,Pipes_result_save_V1!$I$2:$I$206,0))</f>
        <v>N97</v>
      </c>
      <c r="BP139">
        <v>7.9000000000000001E-2</v>
      </c>
      <c r="BQ139">
        <v>350</v>
      </c>
      <c r="BR139">
        <v>150</v>
      </c>
      <c r="BS139">
        <v>116</v>
      </c>
      <c r="BT139">
        <v>19.218173946892797</v>
      </c>
      <c r="BU139">
        <v>-7.9000000000000001E-2</v>
      </c>
      <c r="BV139">
        <v>-0.17462945274308583</v>
      </c>
      <c r="BW139">
        <v>4.0938448921543662</v>
      </c>
      <c r="BX139" s="107">
        <f>INDEX(Pipes_result_save_V1!$K$2:$K$206,MATCH(BM139,Pipes_result_save_V1!$I$2:$I$206,0)) *POWER(10,-3)</f>
        <v>3.417867422103882E-3</v>
      </c>
      <c r="BY139" s="78">
        <v>6.2132982275733047E-3</v>
      </c>
      <c r="BZ139" s="78">
        <f t="shared" si="12"/>
        <v>-2.7954308054694227E-3</v>
      </c>
      <c r="CY139">
        <v>0</v>
      </c>
      <c r="CZ139">
        <v>47</v>
      </c>
      <c r="DA139" t="s">
        <v>539</v>
      </c>
      <c r="DB139" t="s">
        <v>310</v>
      </c>
      <c r="DC139" s="106" t="str">
        <f>INDEX(Pipes_result_save_V1!$G$2:$G$206,MATCH(DB139,Pipes_result_save_V1!$I$2:$I$206,0))</f>
        <v>N120</v>
      </c>
      <c r="DD139" s="106" t="str">
        <f>INDEX(Pipes_result_save_V1!$H$2:$H$206,MATCH(DB139,Pipes_result_save_V1!$I$2:$I$206,0))</f>
        <v>N119</v>
      </c>
      <c r="DE139">
        <v>3.2837000000000005E-2</v>
      </c>
      <c r="DF139">
        <v>250</v>
      </c>
      <c r="DG139">
        <v>150</v>
      </c>
      <c r="DH139">
        <v>173</v>
      </c>
      <c r="DI139">
        <v>147.60120248284198</v>
      </c>
      <c r="DJ139">
        <v>3.2837000000000005E-2</v>
      </c>
      <c r="DK139">
        <v>0.26387305645549608</v>
      </c>
      <c r="DL139">
        <v>14.882385740341039</v>
      </c>
      <c r="DM139" s="107">
        <f>INDEX(Pipes_result_save_V1!$K$2:$K$206,MATCH(DB139,Pipes_result_save_V1!$I$2:$I$206,0)) *POWER(10,-3)</f>
        <v>7.6723389625549315E-3</v>
      </c>
      <c r="DN139" s="78">
        <v>5.3526500938305393E-3</v>
      </c>
      <c r="DO139" s="78">
        <f t="shared" si="14"/>
        <v>2.3196888687243922E-3</v>
      </c>
    </row>
    <row r="140" spans="2:119" ht="30" x14ac:dyDescent="0.25">
      <c r="B140" s="106">
        <v>48</v>
      </c>
      <c r="C140" s="106" t="s">
        <v>540</v>
      </c>
      <c r="D140" s="106" t="s">
        <v>238</v>
      </c>
      <c r="E140" s="106" t="str">
        <f>INDEX(Pipes_result_save_V1!$G$2:$G$206,MATCH(D140,Pipes_result_save_V1!$I$2:$I$206,0))</f>
        <v>N171</v>
      </c>
      <c r="F140" s="106" t="str">
        <f>INDEX(Pipes_result_save_V1!$H$2:$H$206,MATCH(D140,Pipes_result_save_V1!$I$2:$I$206,0))</f>
        <v>N172</v>
      </c>
      <c r="G140" s="106">
        <v>2.9028999999999999E-2</v>
      </c>
      <c r="H140" s="107">
        <v>200</v>
      </c>
      <c r="I140" s="107">
        <v>150</v>
      </c>
      <c r="J140" s="107">
        <v>89</v>
      </c>
      <c r="K140" s="107">
        <v>225.15545454416295</v>
      </c>
      <c r="L140" s="107">
        <v>-2.9028999999999999E-2</v>
      </c>
      <c r="M140" s="107">
        <v>-0.32036677995465007</v>
      </c>
      <c r="N140" s="107">
        <v>20.438846549175388</v>
      </c>
      <c r="O140" s="107">
        <f>INDEX(Pipes_result_save_V1!$K$2:$K$206,MATCH(D140,Pipes_result_save_V1!$I$2:$I$206,0)) *POWER(10,-3)</f>
        <v>4.7564578056335446E-3</v>
      </c>
      <c r="P140" s="78">
        <v>5.7854335335074678E-3</v>
      </c>
      <c r="Q140" s="78">
        <f t="shared" si="9"/>
        <v>-1.0289757278739231E-3</v>
      </c>
      <c r="R140" s="78"/>
      <c r="S140" s="78"/>
      <c r="T140" s="78">
        <v>48</v>
      </c>
      <c r="U140" s="78">
        <v>48</v>
      </c>
      <c r="V140" s="78" t="s">
        <v>540</v>
      </c>
      <c r="W140" s="78" t="s">
        <v>238</v>
      </c>
      <c r="X140" s="106" t="str">
        <f>INDEX(Pipes_result_save_V1!$G$2:$G$206,MATCH(W140,Pipes_result_save_V1!$I$2:$I$206,0))</f>
        <v>N171</v>
      </c>
      <c r="Y140" s="106" t="str">
        <f>INDEX(Pipes_result_save_V1!$H$2:$H$206,MATCH(W140,Pipes_result_save_V1!$I$2:$I$206,0))</f>
        <v>N172</v>
      </c>
      <c r="Z140" s="78">
        <v>2.9028999999999999E-2</v>
      </c>
      <c r="AA140" s="78">
        <v>200</v>
      </c>
      <c r="AB140" s="78">
        <v>150</v>
      </c>
      <c r="AC140" s="78">
        <v>89</v>
      </c>
      <c r="AD140" s="78">
        <v>225.15545454416295</v>
      </c>
      <c r="AE140" s="78">
        <v>-2.2432064923816445E-2</v>
      </c>
      <c r="AF140" s="78">
        <v>-1</v>
      </c>
      <c r="AG140" s="78">
        <v>-1</v>
      </c>
      <c r="AH140" s="78">
        <v>-0.19874322348307349</v>
      </c>
      <c r="AI140">
        <v>16.408317787091661</v>
      </c>
      <c r="AJ140" s="107">
        <f>INDEX(Pipes_result_save_V1!$K$2:$K$206,MATCH(W140,Pipes_result_save_V1!$I$2:$I$206,0)) *POWER(10,-3)</f>
        <v>4.7564578056335446E-3</v>
      </c>
      <c r="AK140" s="78">
        <v>2.3783616915485427E-3</v>
      </c>
      <c r="AL140" s="78">
        <f t="shared" si="10"/>
        <v>2.378096114085002E-3</v>
      </c>
      <c r="BJ140">
        <v>0</v>
      </c>
      <c r="BK140">
        <v>48</v>
      </c>
      <c r="BL140" t="s">
        <v>540</v>
      </c>
      <c r="BM140" t="s">
        <v>213</v>
      </c>
      <c r="BN140" s="106" t="str">
        <f>INDEX(Pipes_result_save_V1!$G$2:$G$206,MATCH(BM140,Pipes_result_save_V1!$I$2:$I$206,0))</f>
        <v>N97</v>
      </c>
      <c r="BO140" s="106" t="str">
        <f>INDEX(Pipes_result_save_V1!$H$2:$H$206,MATCH(BM140,Pipes_result_save_V1!$I$2:$I$206,0))</f>
        <v>N98</v>
      </c>
      <c r="BP140">
        <v>8.8999999999999996E-2</v>
      </c>
      <c r="BQ140">
        <v>350</v>
      </c>
      <c r="BR140">
        <v>150</v>
      </c>
      <c r="BS140">
        <v>128</v>
      </c>
      <c r="BT140">
        <v>21.206260906916189</v>
      </c>
      <c r="BU140">
        <v>-8.8999999999999996E-2</v>
      </c>
      <c r="BV140">
        <v>-0.24028927809755118</v>
      </c>
      <c r="BW140">
        <v>5.0001768880524162</v>
      </c>
      <c r="BX140" s="107">
        <f>INDEX(Pipes_result_save_V1!$K$2:$K$206,MATCH(BM140,Pipes_result_save_V1!$I$2:$I$206,0)) *POWER(10,-3)</f>
        <v>2.0257134437561041E-3</v>
      </c>
      <c r="BY140" s="78">
        <v>6.2974204989752151E-3</v>
      </c>
      <c r="BZ140" s="78">
        <f t="shared" si="12"/>
        <v>-4.271707055219111E-3</v>
      </c>
      <c r="CY140">
        <v>0</v>
      </c>
      <c r="CZ140">
        <v>48</v>
      </c>
      <c r="DA140" t="s">
        <v>539</v>
      </c>
      <c r="DB140" t="s">
        <v>312</v>
      </c>
      <c r="DC140" s="106" t="str">
        <f>INDEX(Pipes_result_save_V1!$G$2:$G$206,MATCH(DB140,Pipes_result_save_V1!$I$2:$I$206,0))</f>
        <v>N121</v>
      </c>
      <c r="DD140" s="106" t="str">
        <f>INDEX(Pipes_result_save_V1!$H$2:$H$206,MATCH(DB140,Pipes_result_save_V1!$I$2:$I$206,0))</f>
        <v>N120</v>
      </c>
      <c r="DE140">
        <v>3.2835999999999997E-2</v>
      </c>
      <c r="DF140">
        <v>250</v>
      </c>
      <c r="DG140">
        <v>150</v>
      </c>
      <c r="DH140">
        <v>133</v>
      </c>
      <c r="DI140">
        <v>113.47375682206928</v>
      </c>
      <c r="DJ140">
        <v>3.2835999999999997E-2</v>
      </c>
      <c r="DK140">
        <v>0.20285050391304088</v>
      </c>
      <c r="DL140">
        <v>11.441074833930802</v>
      </c>
      <c r="DM140" s="107">
        <f>INDEX(Pipes_result_save_V1!$K$2:$K$206,MATCH(DB140,Pipes_result_save_V1!$I$2:$I$206,0)) *POWER(10,-3)</f>
        <v>9.4182367324829111E-3</v>
      </c>
      <c r="DN140" s="78">
        <v>5.2040221950044206E-3</v>
      </c>
      <c r="DO140" s="78">
        <f t="shared" si="14"/>
        <v>4.2142145374784905E-3</v>
      </c>
    </row>
    <row r="141" spans="2:119" ht="30" x14ac:dyDescent="0.25">
      <c r="B141" s="106">
        <v>49</v>
      </c>
      <c r="C141" s="106" t="s">
        <v>540</v>
      </c>
      <c r="D141" s="106" t="s">
        <v>239</v>
      </c>
      <c r="E141" s="106" t="str">
        <f>INDEX(Pipes_result_save_V1!$G$2:$G$206,MATCH(D141,Pipes_result_save_V1!$I$2:$I$206,0))</f>
        <v>N172</v>
      </c>
      <c r="F141" s="106" t="str">
        <f>INDEX(Pipes_result_save_V1!$H$2:$H$206,MATCH(D141,Pipes_result_save_V1!$I$2:$I$206,0))</f>
        <v>N173</v>
      </c>
      <c r="G141" s="106">
        <v>2.9028999999999999E-2</v>
      </c>
      <c r="H141" s="107">
        <v>200</v>
      </c>
      <c r="I141" s="107">
        <v>150</v>
      </c>
      <c r="J141" s="107">
        <v>89</v>
      </c>
      <c r="K141" s="107">
        <v>225.15545454416295</v>
      </c>
      <c r="L141" s="107">
        <v>-2.9028999999999999E-2</v>
      </c>
      <c r="M141" s="107">
        <v>-0.32036677995465007</v>
      </c>
      <c r="N141" s="107">
        <v>20.438846549175388</v>
      </c>
      <c r="O141" s="107">
        <f>INDEX(Pipes_result_save_V1!$K$2:$K$206,MATCH(D141,Pipes_result_save_V1!$I$2:$I$206,0)) *POWER(10,-3)</f>
        <v>3.7408702373504638E-3</v>
      </c>
      <c r="P141" s="78">
        <v>5.5641596830456157E-3</v>
      </c>
      <c r="Q141" s="78">
        <f t="shared" si="9"/>
        <v>-1.8232894456951519E-3</v>
      </c>
      <c r="R141" s="78"/>
      <c r="S141" s="78"/>
      <c r="T141" s="78">
        <v>49</v>
      </c>
      <c r="U141" s="78">
        <v>49</v>
      </c>
      <c r="V141" s="78" t="s">
        <v>540</v>
      </c>
      <c r="W141" s="78" t="s">
        <v>239</v>
      </c>
      <c r="X141" s="106" t="str">
        <f>INDEX(Pipes_result_save_V1!$G$2:$G$206,MATCH(W141,Pipes_result_save_V1!$I$2:$I$206,0))</f>
        <v>N172</v>
      </c>
      <c r="Y141" s="106" t="str">
        <f>INDEX(Pipes_result_save_V1!$H$2:$H$206,MATCH(W141,Pipes_result_save_V1!$I$2:$I$206,0))</f>
        <v>N173</v>
      </c>
      <c r="Z141" s="78">
        <v>2.9028999999999999E-2</v>
      </c>
      <c r="AA141" s="78">
        <v>200</v>
      </c>
      <c r="AB141" s="78">
        <v>150</v>
      </c>
      <c r="AC141" s="78">
        <v>89</v>
      </c>
      <c r="AD141" s="78">
        <v>225.15545454416295</v>
      </c>
      <c r="AE141" s="78">
        <v>-2.2432064923816445E-2</v>
      </c>
      <c r="AF141" s="78">
        <v>-1</v>
      </c>
      <c r="AG141" s="78">
        <v>-1</v>
      </c>
      <c r="AH141" s="78">
        <v>-0.19874322348307349</v>
      </c>
      <c r="AI141">
        <v>16.408317787091661</v>
      </c>
      <c r="AJ141" s="107">
        <f>INDEX(Pipes_result_save_V1!$K$2:$K$206,MATCH(W141,Pipes_result_save_V1!$I$2:$I$206,0)) *POWER(10,-3)</f>
        <v>3.7408702373504638E-3</v>
      </c>
      <c r="AK141" s="78">
        <v>4.256461127399404E-3</v>
      </c>
      <c r="AL141" s="78">
        <f t="shared" si="10"/>
        <v>-5.1559089004894016E-4</v>
      </c>
      <c r="BJ141">
        <v>0</v>
      </c>
      <c r="BK141">
        <v>49</v>
      </c>
      <c r="BL141" t="s">
        <v>540</v>
      </c>
      <c r="BM141" t="s">
        <v>212</v>
      </c>
      <c r="BN141" s="106" t="str">
        <f>INDEX(Pipes_result_save_V1!$G$2:$G$206,MATCH(BM141,Pipes_result_save_V1!$I$2:$I$206,0))</f>
        <v>N98</v>
      </c>
      <c r="BO141" s="106" t="str">
        <f>INDEX(Pipes_result_save_V1!$H$2:$H$206,MATCH(BM141,Pipes_result_save_V1!$I$2:$I$206,0))</f>
        <v>N99</v>
      </c>
      <c r="BP141">
        <v>8.8999999999999996E-2</v>
      </c>
      <c r="BQ141">
        <v>350</v>
      </c>
      <c r="BR141">
        <v>150</v>
      </c>
      <c r="BS141">
        <v>138</v>
      </c>
      <c r="BT141">
        <v>22.863000040269018</v>
      </c>
      <c r="BU141">
        <v>-8.8999999999999996E-2</v>
      </c>
      <c r="BV141">
        <v>-0.25906187794892238</v>
      </c>
      <c r="BW141">
        <v>5.3908157074315115</v>
      </c>
      <c r="BX141" s="107">
        <f>INDEX(Pipes_result_save_V1!$K$2:$K$206,MATCH(BM141,Pipes_result_save_V1!$I$2:$I$206,0)) *POWER(10,-3)</f>
        <v>5.0803762674331667E-4</v>
      </c>
      <c r="BY141" s="78">
        <v>5.3655740583200611E-3</v>
      </c>
      <c r="BZ141" s="78">
        <f t="shared" si="12"/>
        <v>-4.8575364315767448E-3</v>
      </c>
      <c r="DB141" t="s">
        <v>380</v>
      </c>
      <c r="DC141" s="233"/>
      <c r="DD141" s="233"/>
      <c r="DE141" s="233"/>
      <c r="DF141" s="233"/>
      <c r="DG141" s="233"/>
      <c r="DH141" s="233"/>
      <c r="DI141" s="233"/>
      <c r="DJ141" s="233"/>
      <c r="DK141">
        <v>-0.1490744251362402</v>
      </c>
      <c r="DL141">
        <v>254.61748802696457</v>
      </c>
    </row>
    <row r="142" spans="2:119" ht="30" x14ac:dyDescent="0.25">
      <c r="B142" s="106">
        <v>50</v>
      </c>
      <c r="C142" s="106" t="s">
        <v>540</v>
      </c>
      <c r="D142" s="106" t="s">
        <v>240</v>
      </c>
      <c r="E142" s="106" t="str">
        <f>INDEX(Pipes_result_save_V1!$G$2:$G$206,MATCH(D142,Pipes_result_save_V1!$I$2:$I$206,0))</f>
        <v>N173</v>
      </c>
      <c r="F142" s="106" t="str">
        <f>INDEX(Pipes_result_save_V1!$H$2:$H$206,MATCH(D142,Pipes_result_save_V1!$I$2:$I$206,0))</f>
        <v>N174</v>
      </c>
      <c r="G142" s="106">
        <v>2.9028999999999999E-2</v>
      </c>
      <c r="H142" s="107">
        <v>200</v>
      </c>
      <c r="I142" s="107">
        <v>150</v>
      </c>
      <c r="J142" s="107">
        <v>45</v>
      </c>
      <c r="K142" s="107">
        <v>113.84264555603744</v>
      </c>
      <c r="L142" s="107">
        <v>-2.9028999999999999E-2</v>
      </c>
      <c r="M142" s="107">
        <v>-0.16198320334785676</v>
      </c>
      <c r="N142" s="107">
        <v>10.334248255201038</v>
      </c>
      <c r="O142" s="107">
        <f>INDEX(Pipes_result_save_V1!$K$2:$K$206,MATCH(D142,Pipes_result_save_V1!$I$2:$I$206,0)) *POWER(10,-3)</f>
        <v>2.9763264656066891E-3</v>
      </c>
      <c r="P142" s="78">
        <v>5.7300114287608473E-3</v>
      </c>
      <c r="Q142" s="78">
        <f t="shared" si="9"/>
        <v>-2.7536849631541582E-3</v>
      </c>
      <c r="R142" s="78"/>
      <c r="S142" s="78"/>
      <c r="T142" s="78">
        <v>50</v>
      </c>
      <c r="U142" s="78">
        <v>50</v>
      </c>
      <c r="V142" s="78" t="s">
        <v>540</v>
      </c>
      <c r="W142" s="78" t="s">
        <v>240</v>
      </c>
      <c r="X142" s="106" t="str">
        <f>INDEX(Pipes_result_save_V1!$G$2:$G$206,MATCH(W142,Pipes_result_save_V1!$I$2:$I$206,0))</f>
        <v>N173</v>
      </c>
      <c r="Y142" s="106" t="str">
        <f>INDEX(Pipes_result_save_V1!$H$2:$H$206,MATCH(W142,Pipes_result_save_V1!$I$2:$I$206,0))</f>
        <v>N174</v>
      </c>
      <c r="Z142" s="78">
        <v>2.9028999999999999E-2</v>
      </c>
      <c r="AA142" s="78">
        <v>200</v>
      </c>
      <c r="AB142" s="78">
        <v>150</v>
      </c>
      <c r="AC142" s="78">
        <v>45</v>
      </c>
      <c r="AD142" s="78">
        <v>113.84264555603744</v>
      </c>
      <c r="AE142" s="78">
        <v>-2.2432064923816445E-2</v>
      </c>
      <c r="AF142" s="78">
        <v>-1</v>
      </c>
      <c r="AG142" s="78">
        <v>-1</v>
      </c>
      <c r="AH142" s="78">
        <v>-0.10048814670492479</v>
      </c>
      <c r="AI142">
        <v>8.2963404541474688</v>
      </c>
      <c r="AJ142" s="107">
        <f>INDEX(Pipes_result_save_V1!$K$2:$K$206,MATCH(W142,Pipes_result_save_V1!$I$2:$I$206,0)) *POWER(10,-3)</f>
        <v>2.9763264656066891E-3</v>
      </c>
      <c r="AK142" s="78">
        <v>4.8710106639339645E-3</v>
      </c>
      <c r="AL142" s="78">
        <f t="shared" si="10"/>
        <v>-1.8946841983272754E-3</v>
      </c>
      <c r="BJ142">
        <v>0</v>
      </c>
      <c r="BK142">
        <v>50</v>
      </c>
      <c r="BL142" t="s">
        <v>539</v>
      </c>
      <c r="BM142" t="s">
        <v>426</v>
      </c>
      <c r="BN142" s="106" t="str">
        <f>INDEX(Pipes_result_save_V1!$G$2:$G$206,MATCH(BM142,Pipes_result_save_V1!$I$2:$I$206,0))</f>
        <v>N99</v>
      </c>
      <c r="BO142" s="106" t="str">
        <f>INDEX(Pipes_result_save_V1!$H$2:$H$206,MATCH(BM142,Pipes_result_save_V1!$I$2:$I$206,0))</f>
        <v>N194</v>
      </c>
      <c r="BP142">
        <v>4.4999999999999998E-2</v>
      </c>
      <c r="BQ142">
        <v>250</v>
      </c>
      <c r="BR142">
        <v>150</v>
      </c>
      <c r="BS142">
        <v>184</v>
      </c>
      <c r="BT142">
        <v>156.98625003955448</v>
      </c>
      <c r="BU142">
        <v>4.4999999999999998E-2</v>
      </c>
      <c r="BV142">
        <v>0.50305004365010741</v>
      </c>
      <c r="BW142">
        <v>20.703304018666632</v>
      </c>
      <c r="BX142" s="107">
        <f>INDEX(Pipes_result_save_V1!$K$2:$K$206,MATCH(BM142,Pipes_result_save_V1!$I$2:$I$206,0)) *POWER(10,-3)</f>
        <v>-9.0544853210449226E-3</v>
      </c>
      <c r="BY142" s="78">
        <v>5.081636239368993E-3</v>
      </c>
      <c r="BZ142" s="78">
        <f t="shared" si="12"/>
        <v>-3.9728490816759296E-3</v>
      </c>
      <c r="DB142" t="s">
        <v>381</v>
      </c>
      <c r="DC142" s="233">
        <v>5.8548384202287344E-4</v>
      </c>
      <c r="DD142" s="233"/>
      <c r="DE142" s="233"/>
      <c r="DF142" s="233"/>
      <c r="DG142" s="233"/>
      <c r="DH142" s="233"/>
      <c r="DI142" s="233"/>
      <c r="DJ142" s="233"/>
      <c r="DK142" s="233"/>
      <c r="DL142" s="233"/>
    </row>
    <row r="143" spans="2:119" ht="30" x14ac:dyDescent="0.25">
      <c r="B143" s="106">
        <v>51</v>
      </c>
      <c r="C143" s="106" t="s">
        <v>540</v>
      </c>
      <c r="D143" s="106" t="s">
        <v>241</v>
      </c>
      <c r="E143" s="106" t="str">
        <f>INDEX(Pipes_result_save_V1!$G$2:$G$206,MATCH(D143,Pipes_result_save_V1!$I$2:$I$206,0))</f>
        <v>N174</v>
      </c>
      <c r="F143" s="106" t="str">
        <f>INDEX(Pipes_result_save_V1!$H$2:$H$206,MATCH(D143,Pipes_result_save_V1!$I$2:$I$206,0))</f>
        <v>N175</v>
      </c>
      <c r="G143" s="106">
        <v>2.9028999999999999E-2</v>
      </c>
      <c r="H143" s="107">
        <v>200</v>
      </c>
      <c r="I143" s="107">
        <v>150</v>
      </c>
      <c r="J143" s="107">
        <v>43</v>
      </c>
      <c r="K143" s="107">
        <v>108.78297242021355</v>
      </c>
      <c r="L143" s="107">
        <v>-2.9028999999999999E-2</v>
      </c>
      <c r="M143" s="107">
        <v>-0.1547839498657298</v>
      </c>
      <c r="N143" s="107">
        <v>9.8749483327476586</v>
      </c>
      <c r="O143" s="107">
        <f>INDEX(Pipes_result_save_V1!$K$2:$K$206,MATCH(D143,Pipes_result_save_V1!$I$2:$I$206,0)) *POWER(10,-3)</f>
        <v>2.4742381572723389E-3</v>
      </c>
      <c r="P143" s="78">
        <v>5.1530817219391841E-3</v>
      </c>
      <c r="Q143" s="78">
        <f t="shared" si="9"/>
        <v>-2.6788435646668452E-3</v>
      </c>
      <c r="R143" s="78"/>
      <c r="S143" s="78"/>
      <c r="T143" s="78">
        <v>51</v>
      </c>
      <c r="U143" s="78">
        <v>51</v>
      </c>
      <c r="V143" s="78" t="s">
        <v>540</v>
      </c>
      <c r="W143" s="78" t="s">
        <v>241</v>
      </c>
      <c r="X143" s="106" t="str">
        <f>INDEX(Pipes_result_save_V1!$G$2:$G$206,MATCH(W143,Pipes_result_save_V1!$I$2:$I$206,0))</f>
        <v>N174</v>
      </c>
      <c r="Y143" s="106" t="str">
        <f>INDEX(Pipes_result_save_V1!$H$2:$H$206,MATCH(W143,Pipes_result_save_V1!$I$2:$I$206,0))</f>
        <v>N175</v>
      </c>
      <c r="Z143" s="78">
        <v>2.9028999999999999E-2</v>
      </c>
      <c r="AA143" s="78">
        <v>200</v>
      </c>
      <c r="AB143" s="78">
        <v>150</v>
      </c>
      <c r="AC143" s="78">
        <v>43</v>
      </c>
      <c r="AD143" s="78">
        <v>108.78297242021355</v>
      </c>
      <c r="AE143" s="78">
        <v>-2.2432064923816445E-2</v>
      </c>
      <c r="AF143" s="78">
        <v>-1</v>
      </c>
      <c r="AG143" s="78">
        <v>-1</v>
      </c>
      <c r="AH143" s="78">
        <v>-9.6022006851372577E-2</v>
      </c>
      <c r="AI143">
        <v>7.9276142117409147</v>
      </c>
      <c r="AJ143" s="107">
        <f>INDEX(Pipes_result_save_V1!$K$2:$K$206,MATCH(W143,Pipes_result_save_V1!$I$2:$I$206,0)) *POWER(10,-3)</f>
        <v>2.4742381572723389E-3</v>
      </c>
      <c r="AK143" s="78">
        <v>8.7321639315801267E-4</v>
      </c>
      <c r="AL143" s="78">
        <f t="shared" si="10"/>
        <v>1.6010217641143263E-3</v>
      </c>
      <c r="BJ143">
        <v>0</v>
      </c>
      <c r="BK143">
        <v>51</v>
      </c>
      <c r="BL143" t="s">
        <v>539</v>
      </c>
      <c r="BM143" t="s">
        <v>277</v>
      </c>
      <c r="BN143" s="106" t="str">
        <f>INDEX(Pipes_result_save_V1!$G$2:$G$206,MATCH(BM143,Pipes_result_save_V1!$I$2:$I$206,0))</f>
        <v>N193</v>
      </c>
      <c r="BO143" s="106" t="str">
        <f>INDEX(Pipes_result_save_V1!$H$2:$H$206,MATCH(BM143,Pipes_result_save_V1!$I$2:$I$206,0))</f>
        <v>N192</v>
      </c>
      <c r="BP143">
        <v>4.2999999999999997E-2</v>
      </c>
      <c r="BQ143">
        <v>250</v>
      </c>
      <c r="BR143">
        <v>150</v>
      </c>
      <c r="BS143">
        <v>351</v>
      </c>
      <c r="BT143">
        <v>299.46833567328059</v>
      </c>
      <c r="BU143">
        <v>4.2999999999999997E-2</v>
      </c>
      <c r="BV143">
        <v>0.8821338523934692</v>
      </c>
      <c r="BW143">
        <v>37.993299875179169</v>
      </c>
      <c r="BX143" s="107">
        <f>INDEX(Pipes_result_save_V1!$K$2:$K$206,MATCH(BM143,Pipes_result_save_V1!$I$2:$I$206,0)) *POWER(10,-3)</f>
        <v>-1.403542900085449E-2</v>
      </c>
      <c r="BY143" s="78">
        <v>5.0636829601094606E-3</v>
      </c>
      <c r="BZ143" s="78">
        <f t="shared" si="12"/>
        <v>-8.9717460407450298E-3</v>
      </c>
    </row>
    <row r="144" spans="2:119" ht="30" x14ac:dyDescent="0.25">
      <c r="B144" s="106">
        <v>52</v>
      </c>
      <c r="C144" s="106" t="s">
        <v>540</v>
      </c>
      <c r="D144" s="106" t="s">
        <v>243</v>
      </c>
      <c r="E144" s="106" t="str">
        <f>INDEX(Pipes_result_save_V1!$G$2:$G$206,MATCH(D144,Pipes_result_save_V1!$I$2:$I$206,0))</f>
        <v>N175</v>
      </c>
      <c r="F144" s="106" t="str">
        <f>INDEX(Pipes_result_save_V1!$H$2:$H$206,MATCH(D144,Pipes_result_save_V1!$I$2:$I$206,0))</f>
        <v>N176</v>
      </c>
      <c r="G144" s="106">
        <v>2.9028999999999999E-2</v>
      </c>
      <c r="H144" s="107">
        <v>200</v>
      </c>
      <c r="I144" s="107">
        <v>150</v>
      </c>
      <c r="J144" s="107">
        <v>66</v>
      </c>
      <c r="K144" s="107">
        <v>166.96921348218822</v>
      </c>
      <c r="L144" s="107">
        <v>-2.9028999999999999E-2</v>
      </c>
      <c r="M144" s="107">
        <v>-0.23757536491018991</v>
      </c>
      <c r="N144" s="107">
        <v>15.156897440961519</v>
      </c>
      <c r="O144" s="107">
        <f>INDEX(Pipes_result_save_V1!$K$2:$K$206,MATCH(D144,Pipes_result_save_V1!$I$2:$I$206,0)) *POWER(10,-3)</f>
        <v>1.8523334264755249E-3</v>
      </c>
      <c r="P144" s="78">
        <v>6.0043545941770591E-3</v>
      </c>
      <c r="Q144" s="78">
        <f t="shared" si="9"/>
        <v>-4.1520211677015337E-3</v>
      </c>
      <c r="R144" s="78"/>
      <c r="S144" s="78"/>
      <c r="T144" s="78">
        <v>52</v>
      </c>
      <c r="U144" s="78">
        <v>52</v>
      </c>
      <c r="V144" s="78" t="s">
        <v>540</v>
      </c>
      <c r="W144" s="78" t="s">
        <v>243</v>
      </c>
      <c r="X144" s="106" t="str">
        <f>INDEX(Pipes_result_save_V1!$G$2:$G$206,MATCH(W144,Pipes_result_save_V1!$I$2:$I$206,0))</f>
        <v>N175</v>
      </c>
      <c r="Y144" s="106" t="str">
        <f>INDEX(Pipes_result_save_V1!$H$2:$H$206,MATCH(W144,Pipes_result_save_V1!$I$2:$I$206,0))</f>
        <v>N176</v>
      </c>
      <c r="Z144" s="78">
        <v>2.9028999999999999E-2</v>
      </c>
      <c r="AA144" s="78">
        <v>200</v>
      </c>
      <c r="AB144" s="78">
        <v>150</v>
      </c>
      <c r="AC144" s="78">
        <v>66</v>
      </c>
      <c r="AD144" s="78">
        <v>166.96921348218822</v>
      </c>
      <c r="AE144" s="78">
        <v>-2.2432064923816445E-2</v>
      </c>
      <c r="AF144" s="78">
        <v>-1</v>
      </c>
      <c r="AG144" s="78">
        <v>-1</v>
      </c>
      <c r="AH144" s="78">
        <v>-0.14738261516722301</v>
      </c>
      <c r="AI144">
        <v>12.167965999416285</v>
      </c>
      <c r="AJ144" s="107">
        <f>INDEX(Pipes_result_save_V1!$K$2:$K$206,MATCH(W144,Pipes_result_save_V1!$I$2:$I$206,0)) *POWER(10,-3)</f>
        <v>1.8523334264755249E-3</v>
      </c>
      <c r="AK144" s="78">
        <v>3.265057225500943E-3</v>
      </c>
      <c r="AL144" s="78">
        <f t="shared" si="10"/>
        <v>-1.4127237990254182E-3</v>
      </c>
      <c r="BJ144">
        <v>0</v>
      </c>
      <c r="BK144">
        <v>52</v>
      </c>
      <c r="BL144" t="s">
        <v>539</v>
      </c>
      <c r="BM144" t="s">
        <v>427</v>
      </c>
      <c r="BN144" s="106" t="str">
        <f>INDEX(Pipes_result_save_V1!$G$2:$G$206,MATCH(BM144,Pipes_result_save_V1!$I$2:$I$206,0))</f>
        <v>N194</v>
      </c>
      <c r="BO144" s="106" t="str">
        <f>INDEX(Pipes_result_save_V1!$H$2:$H$206,MATCH(BM144,Pipes_result_save_V1!$I$2:$I$206,0))</f>
        <v>N193</v>
      </c>
      <c r="BP144">
        <v>6.6000000000000003E-2</v>
      </c>
      <c r="BQ144">
        <v>300</v>
      </c>
      <c r="BR144">
        <v>150</v>
      </c>
      <c r="BS144">
        <v>169</v>
      </c>
      <c r="BT144">
        <v>59.32512303994173</v>
      </c>
      <c r="BU144">
        <v>6.6000000000000003E-2</v>
      </c>
      <c r="BV144">
        <v>0.38639724054184493</v>
      </c>
      <c r="BW144">
        <v>10.84254074974996</v>
      </c>
      <c r="BX144" s="107">
        <f>INDEX(Pipes_result_save_V1!$K$2:$K$206,MATCH(BM144,Pipes_result_save_V1!$I$2:$I$206,0)) *POWER(10,-3)</f>
        <v>-1.1068543434143071E-2</v>
      </c>
      <c r="BY144" s="78">
        <v>5.4817377810355205E-3</v>
      </c>
      <c r="BZ144" s="78">
        <f t="shared" si="12"/>
        <v>-5.5868056531075501E-3</v>
      </c>
    </row>
    <row r="145" spans="2:75" ht="30" x14ac:dyDescent="0.25">
      <c r="B145" s="106">
        <v>53</v>
      </c>
      <c r="C145" s="106" t="s">
        <v>540</v>
      </c>
      <c r="D145" s="106" t="s">
        <v>242</v>
      </c>
      <c r="E145" s="106" t="str">
        <f>INDEX(Pipes_result_save_V1!$G$2:$G$206,MATCH(D145,Pipes_result_save_V1!$I$2:$I$206,0))</f>
        <v>N176</v>
      </c>
      <c r="F145" s="106" t="str">
        <f>INDEX(Pipes_result_save_V1!$H$2:$H$206,MATCH(D145,Pipes_result_save_V1!$I$2:$I$206,0))</f>
        <v>N177</v>
      </c>
      <c r="G145" s="106">
        <v>2.9028999999999999E-2</v>
      </c>
      <c r="H145" s="107">
        <v>200</v>
      </c>
      <c r="I145" s="107">
        <v>150</v>
      </c>
      <c r="J145" s="107">
        <v>48</v>
      </c>
      <c r="K145" s="107">
        <v>121.43215525977327</v>
      </c>
      <c r="L145" s="107">
        <v>-2.9028999999999999E-2</v>
      </c>
      <c r="M145" s="107">
        <v>-0.17278208357104724</v>
      </c>
      <c r="N145" s="107">
        <v>11.023198138881106</v>
      </c>
      <c r="O145" s="107">
        <f>INDEX(Pipes_result_save_V1!$K$2:$K$206,MATCH(D145,Pipes_result_save_V1!$I$2:$I$206,0)) *POWER(10,-3)</f>
        <v>1.201900839805603E-3</v>
      </c>
      <c r="P145" s="78">
        <v>5.8491628632978574E-3</v>
      </c>
      <c r="Q145" s="78">
        <f t="shared" si="9"/>
        <v>-4.6472620234922542E-3</v>
      </c>
      <c r="R145" s="78"/>
      <c r="S145" s="78"/>
      <c r="T145" s="78">
        <v>53</v>
      </c>
      <c r="U145" s="78">
        <v>53</v>
      </c>
      <c r="V145" s="78" t="s">
        <v>540</v>
      </c>
      <c r="W145" s="78" t="s">
        <v>242</v>
      </c>
      <c r="X145" s="106" t="str">
        <f>INDEX(Pipes_result_save_V1!$G$2:$G$206,MATCH(W145,Pipes_result_save_V1!$I$2:$I$206,0))</f>
        <v>N176</v>
      </c>
      <c r="Y145" s="106" t="str">
        <f>INDEX(Pipes_result_save_V1!$H$2:$H$206,MATCH(W145,Pipes_result_save_V1!$I$2:$I$206,0))</f>
        <v>N177</v>
      </c>
      <c r="Z145" s="78">
        <v>2.9028999999999999E-2</v>
      </c>
      <c r="AA145" s="78">
        <v>200</v>
      </c>
      <c r="AB145" s="78">
        <v>150</v>
      </c>
      <c r="AC145" s="78">
        <v>48</v>
      </c>
      <c r="AD145" s="78">
        <v>121.43215525977327</v>
      </c>
      <c r="AE145" s="78">
        <v>-2.2432064923816445E-2</v>
      </c>
      <c r="AF145" s="78">
        <v>-1</v>
      </c>
      <c r="AG145" s="78">
        <v>-1</v>
      </c>
      <c r="AH145" s="78">
        <v>-0.10718735648525311</v>
      </c>
      <c r="AI145">
        <v>8.8494298177573008</v>
      </c>
      <c r="AJ145" s="107">
        <f>INDEX(Pipes_result_save_V1!$K$2:$K$206,MATCH(W145,Pipes_result_save_V1!$I$2:$I$206,0)) *POWER(10,-3)</f>
        <v>1.201900839805603E-3</v>
      </c>
      <c r="AK145" s="78">
        <v>1.708222169463907E-5</v>
      </c>
      <c r="AL145" s="78">
        <f t="shared" si="10"/>
        <v>1.1848186181109639E-3</v>
      </c>
      <c r="BJ145">
        <v>10</v>
      </c>
      <c r="BM145" t="s">
        <v>380</v>
      </c>
      <c r="BV145">
        <v>3.5097209813072223</v>
      </c>
      <c r="BW145">
        <v>379.17498629972198</v>
      </c>
    </row>
    <row r="146" spans="2:75" ht="30" x14ac:dyDescent="0.25">
      <c r="B146" s="106">
        <v>54</v>
      </c>
      <c r="C146" s="106" t="s">
        <v>540</v>
      </c>
      <c r="D146" s="106" t="s">
        <v>244</v>
      </c>
      <c r="E146" s="106" t="str">
        <f>INDEX(Pipes_result_save_V1!$G$2:$G$206,MATCH(D146,Pipes_result_save_V1!$I$2:$I$206,0))</f>
        <v>N177</v>
      </c>
      <c r="F146" s="106" t="str">
        <f>INDEX(Pipes_result_save_V1!$H$2:$H$206,MATCH(D146,Pipes_result_save_V1!$I$2:$I$206,0))</f>
        <v>N178</v>
      </c>
      <c r="G146" s="106">
        <v>2.9028999999999999E-2</v>
      </c>
      <c r="H146" s="107">
        <v>200</v>
      </c>
      <c r="I146" s="107">
        <v>150</v>
      </c>
      <c r="J146" s="107">
        <v>19</v>
      </c>
      <c r="K146" s="107">
        <v>48.06689479032692</v>
      </c>
      <c r="L146" s="107">
        <v>-2.9028999999999999E-2</v>
      </c>
      <c r="M146" s="107">
        <v>-6.8392908080206191E-2</v>
      </c>
      <c r="N146" s="107">
        <v>4.3633492633071045</v>
      </c>
      <c r="O146" s="107">
        <f>INDEX(Pipes_result_save_V1!$K$2:$K$206,MATCH(D146,Pipes_result_save_V1!$I$2:$I$206,0)) *POWER(10,-3)</f>
        <v>8.1962907314300543E-4</v>
      </c>
      <c r="P146" s="78">
        <v>6.3476425359372778E-3</v>
      </c>
      <c r="Q146" s="78">
        <f t="shared" si="9"/>
        <v>-5.5280134627942725E-3</v>
      </c>
      <c r="R146" s="78"/>
      <c r="S146" s="78"/>
      <c r="T146" s="78">
        <v>54</v>
      </c>
      <c r="U146" s="78">
        <v>54</v>
      </c>
      <c r="V146" s="78" t="s">
        <v>540</v>
      </c>
      <c r="W146" s="78" t="s">
        <v>244</v>
      </c>
      <c r="X146" s="106" t="str">
        <f>INDEX(Pipes_result_save_V1!$G$2:$G$206,MATCH(W146,Pipes_result_save_V1!$I$2:$I$206,0))</f>
        <v>N177</v>
      </c>
      <c r="Y146" s="106" t="str">
        <f>INDEX(Pipes_result_save_V1!$H$2:$H$206,MATCH(W146,Pipes_result_save_V1!$I$2:$I$206,0))</f>
        <v>N178</v>
      </c>
      <c r="Z146" s="78">
        <v>2.9028999999999999E-2</v>
      </c>
      <c r="AA146" s="78">
        <v>200</v>
      </c>
      <c r="AB146" s="78">
        <v>150</v>
      </c>
      <c r="AC146" s="78">
        <v>19</v>
      </c>
      <c r="AD146" s="78">
        <v>48.06689479032692</v>
      </c>
      <c r="AE146" s="78">
        <v>-2.2432064923816445E-2</v>
      </c>
      <c r="AF146" s="78">
        <v>-1</v>
      </c>
      <c r="AG146" s="78">
        <v>-1</v>
      </c>
      <c r="AH146" s="78">
        <v>-4.2428328608746027E-2</v>
      </c>
      <c r="AI146">
        <v>3.5028993028622648</v>
      </c>
      <c r="AJ146" s="107">
        <f>INDEX(Pipes_result_save_V1!$K$2:$K$206,MATCH(W146,Pipes_result_save_V1!$I$2:$I$206,0)) *POWER(10,-3)</f>
        <v>8.1962907314300543E-4</v>
      </c>
      <c r="AK146" s="78">
        <v>8.4633980498589369E-4</v>
      </c>
      <c r="AL146" s="78">
        <f t="shared" si="10"/>
        <v>-2.6710731842888259E-5</v>
      </c>
      <c r="BM146" t="s">
        <v>381</v>
      </c>
      <c r="BP146">
        <v>-9.2562038850657058E-3</v>
      </c>
    </row>
    <row r="147" spans="2:75" ht="30" x14ac:dyDescent="0.25">
      <c r="B147" s="106">
        <v>55</v>
      </c>
      <c r="C147" s="106" t="s">
        <v>540</v>
      </c>
      <c r="D147" s="106" t="s">
        <v>245</v>
      </c>
      <c r="E147" s="106" t="str">
        <f>INDEX(Pipes_result_save_V1!$G$2:$G$206,MATCH(D147,Pipes_result_save_V1!$I$2:$I$206,0))</f>
        <v>N178</v>
      </c>
      <c r="F147" s="106" t="str">
        <f>INDEX(Pipes_result_save_V1!$H$2:$H$206,MATCH(D147,Pipes_result_save_V1!$I$2:$I$206,0))</f>
        <v>N179</v>
      </c>
      <c r="G147" s="106">
        <v>2.9028999999999999E-2</v>
      </c>
      <c r="H147" s="107">
        <v>200</v>
      </c>
      <c r="I147" s="107">
        <v>150</v>
      </c>
      <c r="J147" s="107">
        <v>58</v>
      </c>
      <c r="K147" s="107">
        <v>146.73052093889271</v>
      </c>
      <c r="L147" s="107">
        <v>-2.9028999999999999E-2</v>
      </c>
      <c r="M147" s="107">
        <v>-0.20877835098168207</v>
      </c>
      <c r="N147" s="107">
        <v>13.319697751148006</v>
      </c>
      <c r="O147" s="107">
        <f>INDEX(Pipes_result_save_V1!$K$2:$K$206,MATCH(D147,Pipes_result_save_V1!$I$2:$I$206,0)) *POWER(10,-3)</f>
        <v>3.803018033504486E-4</v>
      </c>
      <c r="P147" s="78">
        <v>5.8926216561321926E-3</v>
      </c>
      <c r="Q147" s="78">
        <f t="shared" si="9"/>
        <v>-5.5123198527817444E-3</v>
      </c>
      <c r="R147" s="78"/>
      <c r="S147" s="78"/>
      <c r="T147" s="78">
        <v>55</v>
      </c>
      <c r="U147" s="78">
        <v>55</v>
      </c>
      <c r="V147" s="78" t="s">
        <v>540</v>
      </c>
      <c r="W147" s="78" t="s">
        <v>245</v>
      </c>
      <c r="X147" s="106" t="str">
        <f>INDEX(Pipes_result_save_V1!$G$2:$G$206,MATCH(W147,Pipes_result_save_V1!$I$2:$I$206,0))</f>
        <v>N178</v>
      </c>
      <c r="Y147" s="106" t="str">
        <f>INDEX(Pipes_result_save_V1!$H$2:$H$206,MATCH(W147,Pipes_result_save_V1!$I$2:$I$206,0))</f>
        <v>N179</v>
      </c>
      <c r="Z147" s="78">
        <v>2.9028999999999999E-2</v>
      </c>
      <c r="AA147" s="78">
        <v>200</v>
      </c>
      <c r="AB147" s="78">
        <v>150</v>
      </c>
      <c r="AC147" s="78">
        <v>58</v>
      </c>
      <c r="AD147" s="78">
        <v>146.73052093889271</v>
      </c>
      <c r="AE147" s="78">
        <v>-2.2432064923816445E-2</v>
      </c>
      <c r="AF147" s="78">
        <v>-1</v>
      </c>
      <c r="AG147" s="78">
        <v>-1</v>
      </c>
      <c r="AH147" s="78">
        <v>-0.12951805575301417</v>
      </c>
      <c r="AI147">
        <v>10.693061029790073</v>
      </c>
      <c r="AJ147" s="107">
        <f>INDEX(Pipes_result_save_V1!$K$2:$K$206,MATCH(W147,Pipes_result_save_V1!$I$2:$I$206,0)) *POWER(10,-3)</f>
        <v>3.803018033504486E-4</v>
      </c>
      <c r="AK147" s="78">
        <v>3.6039700558807442E-3</v>
      </c>
      <c r="AL147" s="78">
        <f t="shared" si="10"/>
        <v>-3.2236682525302956E-3</v>
      </c>
    </row>
    <row r="148" spans="2:75" ht="30" x14ac:dyDescent="0.25">
      <c r="B148" s="106">
        <v>56</v>
      </c>
      <c r="C148" s="106" t="s">
        <v>540</v>
      </c>
      <c r="D148" s="106" t="s">
        <v>246</v>
      </c>
      <c r="E148" s="106" t="str">
        <f>INDEX(Pipes_result_save_V1!$G$2:$G$206,MATCH(D148,Pipes_result_save_V1!$I$2:$I$206,0))</f>
        <v>N179</v>
      </c>
      <c r="F148" s="106" t="str">
        <f>INDEX(Pipes_result_save_V1!$H$2:$H$206,MATCH(D148,Pipes_result_save_V1!$I$2:$I$206,0))</f>
        <v>N180</v>
      </c>
      <c r="G148" s="106">
        <v>2.9028999999999999E-2</v>
      </c>
      <c r="H148" s="107">
        <v>200</v>
      </c>
      <c r="I148" s="107">
        <v>150</v>
      </c>
      <c r="J148" s="107">
        <v>84</v>
      </c>
      <c r="K148" s="107">
        <v>212.50627170460322</v>
      </c>
      <c r="L148" s="107">
        <v>-2.9028999999999999E-2</v>
      </c>
      <c r="M148" s="107">
        <v>-0.30236864624933263</v>
      </c>
      <c r="N148" s="107">
        <v>19.290596743041935</v>
      </c>
      <c r="O148" s="107">
        <f>INDEX(Pipes_result_save_V1!$K$2:$K$206,MATCH(D148,Pipes_result_save_V1!$I$2:$I$206,0)) *POWER(10,-3)</f>
        <v>-4.2988613247871402E-4</v>
      </c>
      <c r="P148" s="78">
        <v>5.2392112794422485E-3</v>
      </c>
      <c r="Q148" s="78">
        <f t="shared" si="9"/>
        <v>4.8093251469635348E-3</v>
      </c>
      <c r="R148" s="78"/>
      <c r="S148" s="78"/>
      <c r="T148" s="78">
        <v>56</v>
      </c>
      <c r="U148" s="78">
        <v>56</v>
      </c>
      <c r="V148" s="78" t="s">
        <v>540</v>
      </c>
      <c r="W148" s="78" t="s">
        <v>246</v>
      </c>
      <c r="X148" s="106" t="str">
        <f>INDEX(Pipes_result_save_V1!$G$2:$G$206,MATCH(W148,Pipes_result_save_V1!$I$2:$I$206,0))</f>
        <v>N179</v>
      </c>
      <c r="Y148" s="106" t="str">
        <f>INDEX(Pipes_result_save_V1!$H$2:$H$206,MATCH(W148,Pipes_result_save_V1!$I$2:$I$206,0))</f>
        <v>N180</v>
      </c>
      <c r="Z148" s="78">
        <v>2.9028999999999999E-2</v>
      </c>
      <c r="AA148" s="78">
        <v>200</v>
      </c>
      <c r="AB148" s="78">
        <v>150</v>
      </c>
      <c r="AC148" s="78">
        <v>84</v>
      </c>
      <c r="AD148" s="78">
        <v>212.50627170460322</v>
      </c>
      <c r="AE148" s="78">
        <v>-2.2432064923816445E-2</v>
      </c>
      <c r="AF148" s="78">
        <v>-1</v>
      </c>
      <c r="AG148" s="78">
        <v>-1</v>
      </c>
      <c r="AH148" s="78">
        <v>-0.18757787384919294</v>
      </c>
      <c r="AI148">
        <v>15.486502181075274</v>
      </c>
      <c r="AJ148" s="107">
        <f>INDEX(Pipes_result_save_V1!$K$2:$K$206,MATCH(W148,Pipes_result_save_V1!$I$2:$I$206,0)) *POWER(10,-3)</f>
        <v>-4.2988613247871402E-4</v>
      </c>
      <c r="AK148" s="78">
        <v>3.4680174907045789E-3</v>
      </c>
      <c r="AL148" s="78">
        <f t="shared" si="10"/>
        <v>3.0381313582258647E-3</v>
      </c>
    </row>
    <row r="149" spans="2:75" ht="30" x14ac:dyDescent="0.25">
      <c r="B149" s="106">
        <v>57</v>
      </c>
      <c r="C149" s="106" t="s">
        <v>540</v>
      </c>
      <c r="D149" s="106" t="s">
        <v>247</v>
      </c>
      <c r="E149" s="106" t="str">
        <f>INDEX(Pipes_result_save_V1!$G$2:$G$206,MATCH(D149,Pipes_result_save_V1!$I$2:$I$206,0))</f>
        <v>N180</v>
      </c>
      <c r="F149" s="106" t="str">
        <f>INDEX(Pipes_result_save_V1!$H$2:$H$206,MATCH(D149,Pipes_result_save_V1!$I$2:$I$206,0))</f>
        <v>N181</v>
      </c>
      <c r="G149" s="106">
        <v>2.9028999999999999E-2</v>
      </c>
      <c r="H149" s="107">
        <v>200</v>
      </c>
      <c r="I149" s="107">
        <v>150</v>
      </c>
      <c r="J149" s="107">
        <v>105</v>
      </c>
      <c r="K149" s="107">
        <v>265.63283963075406</v>
      </c>
      <c r="L149" s="107">
        <v>-2.9028999999999999E-2</v>
      </c>
      <c r="M149" s="107">
        <v>-0.37796080781166586</v>
      </c>
      <c r="N149" s="107">
        <v>24.113245928802424</v>
      </c>
      <c r="O149" s="107">
        <f>INDEX(Pipes_result_save_V1!$K$2:$K$206,MATCH(D149,Pipes_result_save_V1!$I$2:$I$206,0)) *POWER(10,-3)</f>
        <v>-1.508234858512878E-3</v>
      </c>
      <c r="P149" s="78">
        <v>6.2975312084214384E-3</v>
      </c>
      <c r="Q149" s="78">
        <f t="shared" si="9"/>
        <v>4.7892963499085606E-3</v>
      </c>
      <c r="R149" s="78"/>
      <c r="S149" s="78"/>
      <c r="T149" s="78">
        <v>57</v>
      </c>
      <c r="U149" s="78">
        <v>57</v>
      </c>
      <c r="V149" s="78" t="s">
        <v>540</v>
      </c>
      <c r="W149" s="78" t="s">
        <v>247</v>
      </c>
      <c r="X149" s="106" t="str">
        <f>INDEX(Pipes_result_save_V1!$G$2:$G$206,MATCH(W149,Pipes_result_save_V1!$I$2:$I$206,0))</f>
        <v>N180</v>
      </c>
      <c r="Y149" s="106" t="str">
        <f>INDEX(Pipes_result_save_V1!$H$2:$H$206,MATCH(W149,Pipes_result_save_V1!$I$2:$I$206,0))</f>
        <v>N181</v>
      </c>
      <c r="Z149" s="78">
        <v>2.9028999999999999E-2</v>
      </c>
      <c r="AA149" s="78">
        <v>200</v>
      </c>
      <c r="AB149" s="78">
        <v>150</v>
      </c>
      <c r="AC149" s="78">
        <v>105</v>
      </c>
      <c r="AD149" s="78">
        <v>265.63283963075406</v>
      </c>
      <c r="AE149" s="78">
        <v>-2.2432064923816445E-2</v>
      </c>
      <c r="AF149" s="78">
        <v>-1</v>
      </c>
      <c r="AG149" s="78">
        <v>-1</v>
      </c>
      <c r="AH149" s="78">
        <v>-0.23447234231149122</v>
      </c>
      <c r="AI149">
        <v>19.358127726344097</v>
      </c>
      <c r="AJ149" s="107">
        <f>INDEX(Pipes_result_save_V1!$K$2:$K$206,MATCH(W149,Pipes_result_save_V1!$I$2:$I$206,0)) *POWER(10,-3)</f>
        <v>-1.508234858512878E-3</v>
      </c>
      <c r="AK149" s="78">
        <v>7.6235847886750672E-4</v>
      </c>
      <c r="AL149" s="78">
        <f t="shared" si="10"/>
        <v>-7.4587637964537126E-4</v>
      </c>
    </row>
    <row r="150" spans="2:75" ht="30" x14ac:dyDescent="0.25">
      <c r="B150" s="106">
        <v>58</v>
      </c>
      <c r="C150" s="106" t="s">
        <v>540</v>
      </c>
      <c r="D150" s="106" t="s">
        <v>248</v>
      </c>
      <c r="E150" s="106" t="str">
        <f>INDEX(Pipes_result_save_V1!$G$2:$G$206,MATCH(D150,Pipes_result_save_V1!$I$2:$I$206,0))</f>
        <v>N181</v>
      </c>
      <c r="F150" s="106" t="str">
        <f>INDEX(Pipes_result_save_V1!$H$2:$H$206,MATCH(D150,Pipes_result_save_V1!$I$2:$I$206,0))</f>
        <v>N182</v>
      </c>
      <c r="G150" s="106">
        <v>2.9028999999999999E-2</v>
      </c>
      <c r="H150" s="107">
        <v>200</v>
      </c>
      <c r="I150" s="107">
        <v>150</v>
      </c>
      <c r="J150" s="107">
        <v>90</v>
      </c>
      <c r="K150" s="107">
        <v>227.68529111207488</v>
      </c>
      <c r="L150" s="107">
        <v>-2.9028999999999999E-2</v>
      </c>
      <c r="M150" s="107">
        <v>-0.32396640669571353</v>
      </c>
      <c r="N150" s="107">
        <v>20.668496510402075</v>
      </c>
      <c r="O150" s="107">
        <f>INDEX(Pipes_result_save_V1!$K$2:$K$206,MATCH(D150,Pipes_result_save_V1!$I$2:$I$206,0)) *POWER(10,-3)</f>
        <v>-2.6208169460296632E-3</v>
      </c>
      <c r="P150" s="78">
        <v>5.1389322853683129E-3</v>
      </c>
      <c r="Q150" s="78">
        <f t="shared" si="9"/>
        <v>2.5181153393386497E-3</v>
      </c>
      <c r="R150" s="78"/>
      <c r="S150" s="78"/>
      <c r="T150" s="78">
        <v>58</v>
      </c>
      <c r="U150" s="78">
        <v>58</v>
      </c>
      <c r="V150" s="78" t="s">
        <v>540</v>
      </c>
      <c r="W150" s="78" t="s">
        <v>248</v>
      </c>
      <c r="X150" s="106" t="str">
        <f>INDEX(Pipes_result_save_V1!$G$2:$G$206,MATCH(W150,Pipes_result_save_V1!$I$2:$I$206,0))</f>
        <v>N181</v>
      </c>
      <c r="Y150" s="106" t="str">
        <f>INDEX(Pipes_result_save_V1!$H$2:$H$206,MATCH(W150,Pipes_result_save_V1!$I$2:$I$206,0))</f>
        <v>N182</v>
      </c>
      <c r="Z150" s="78">
        <v>2.9028999999999999E-2</v>
      </c>
      <c r="AA150" s="78">
        <v>200</v>
      </c>
      <c r="AB150" s="78">
        <v>150</v>
      </c>
      <c r="AC150" s="78">
        <v>90</v>
      </c>
      <c r="AD150" s="78">
        <v>227.68529111207488</v>
      </c>
      <c r="AE150" s="78">
        <v>-2.2432064923816445E-2</v>
      </c>
      <c r="AF150" s="78">
        <v>-1</v>
      </c>
      <c r="AG150" s="78">
        <v>-1</v>
      </c>
      <c r="AH150" s="78">
        <v>-0.20097629340984957</v>
      </c>
      <c r="AI150">
        <v>16.592680908294938</v>
      </c>
      <c r="AJ150" s="107">
        <f>INDEX(Pipes_result_save_V1!$K$2:$K$206,MATCH(W150,Pipes_result_save_V1!$I$2:$I$206,0)) *POWER(10,-3)</f>
        <v>-2.6208169460296632E-3</v>
      </c>
      <c r="AK150" s="78">
        <v>2.9165432198665188E-3</v>
      </c>
      <c r="AL150" s="78">
        <f t="shared" si="10"/>
        <v>2.957262738368556E-4</v>
      </c>
    </row>
    <row r="151" spans="2:75" ht="30" x14ac:dyDescent="0.25">
      <c r="B151" s="106">
        <v>59</v>
      </c>
      <c r="C151" s="106" t="s">
        <v>540</v>
      </c>
      <c r="D151" s="106" t="s">
        <v>249</v>
      </c>
      <c r="E151" s="106" t="str">
        <f>INDEX(Pipes_result_save_V1!$G$2:$G$206,MATCH(D151,Pipes_result_save_V1!$I$2:$I$206,0))</f>
        <v>N182</v>
      </c>
      <c r="F151" s="106" t="str">
        <f>INDEX(Pipes_result_save_V1!$H$2:$H$206,MATCH(D151,Pipes_result_save_V1!$I$2:$I$206,0))</f>
        <v>N183</v>
      </c>
      <c r="G151" s="106">
        <v>2.9028999999999999E-2</v>
      </c>
      <c r="H151" s="107">
        <v>200</v>
      </c>
      <c r="I151" s="107">
        <v>150</v>
      </c>
      <c r="J151" s="107">
        <v>78</v>
      </c>
      <c r="K151" s="107">
        <v>197.32725229713157</v>
      </c>
      <c r="L151" s="107">
        <v>-2.9028999999999999E-2</v>
      </c>
      <c r="M151" s="107">
        <v>-0.28077088580295173</v>
      </c>
      <c r="N151" s="107">
        <v>17.912696975681797</v>
      </c>
      <c r="O151" s="107">
        <f>INDEX(Pipes_result_save_V1!$K$2:$K$206,MATCH(D151,Pipes_result_save_V1!$I$2:$I$206,0)) *POWER(10,-3)</f>
        <v>-3.5793492794036872E-3</v>
      </c>
      <c r="P151" s="78">
        <v>6.2953095200519232E-3</v>
      </c>
      <c r="Q151" s="78">
        <f t="shared" si="9"/>
        <v>2.715960240648236E-3</v>
      </c>
      <c r="R151" s="78"/>
      <c r="S151" s="78"/>
      <c r="T151" s="78">
        <v>59</v>
      </c>
      <c r="U151" s="78">
        <v>59</v>
      </c>
      <c r="V151" s="78" t="s">
        <v>540</v>
      </c>
      <c r="W151" s="78" t="s">
        <v>249</v>
      </c>
      <c r="X151" s="106" t="str">
        <f>INDEX(Pipes_result_save_V1!$G$2:$G$206,MATCH(W151,Pipes_result_save_V1!$I$2:$I$206,0))</f>
        <v>N182</v>
      </c>
      <c r="Y151" s="106" t="str">
        <f>INDEX(Pipes_result_save_V1!$H$2:$H$206,MATCH(W151,Pipes_result_save_V1!$I$2:$I$206,0))</f>
        <v>N183</v>
      </c>
      <c r="Z151" s="78">
        <v>2.9028999999999999E-2</v>
      </c>
      <c r="AA151" s="78">
        <v>200</v>
      </c>
      <c r="AB151" s="78">
        <v>150</v>
      </c>
      <c r="AC151" s="78">
        <v>78</v>
      </c>
      <c r="AD151" s="78">
        <v>197.32725229713157</v>
      </c>
      <c r="AE151" s="78">
        <v>-2.2432064923816445E-2</v>
      </c>
      <c r="AF151" s="78">
        <v>-1</v>
      </c>
      <c r="AG151" s="78">
        <v>-1</v>
      </c>
      <c r="AH151" s="78">
        <v>-0.17417945428853632</v>
      </c>
      <c r="AI151">
        <v>14.380323453855612</v>
      </c>
      <c r="AJ151" s="107">
        <f>INDEX(Pipes_result_save_V1!$K$2:$K$206,MATCH(W151,Pipes_result_save_V1!$I$2:$I$206,0)) *POWER(10,-3)</f>
        <v>-3.5793492794036872E-3</v>
      </c>
      <c r="AK151" s="78">
        <v>6.3839606588319935E-5</v>
      </c>
      <c r="AL151" s="78">
        <f t="shared" si="10"/>
        <v>-3.5155096728153672E-3</v>
      </c>
    </row>
    <row r="152" spans="2:75" ht="30" x14ac:dyDescent="0.25">
      <c r="B152" s="106">
        <v>60</v>
      </c>
      <c r="C152" s="106" t="s">
        <v>540</v>
      </c>
      <c r="D152" s="106" t="s">
        <v>250</v>
      </c>
      <c r="E152" s="106" t="str">
        <f>INDEX(Pipes_result_save_V1!$G$2:$G$206,MATCH(D152,Pipes_result_save_V1!$I$2:$I$206,0))</f>
        <v>N183</v>
      </c>
      <c r="F152" s="106" t="str">
        <f>INDEX(Pipes_result_save_V1!$H$2:$H$206,MATCH(D152,Pipes_result_save_V1!$I$2:$I$206,0))</f>
        <v>N184</v>
      </c>
      <c r="G152" s="106">
        <v>2.9028999999999999E-2</v>
      </c>
      <c r="H152" s="107">
        <v>200</v>
      </c>
      <c r="I152" s="107">
        <v>150</v>
      </c>
      <c r="J152" s="107">
        <v>83</v>
      </c>
      <c r="K152" s="107">
        <v>209.97643513669126</v>
      </c>
      <c r="L152" s="107">
        <v>-2.9028999999999999E-2</v>
      </c>
      <c r="M152" s="107">
        <v>-0.29876901950826917</v>
      </c>
      <c r="N152" s="107">
        <v>19.060946781815247</v>
      </c>
      <c r="O152" s="107">
        <f>INDEX(Pipes_result_save_V1!$K$2:$K$206,MATCH(D152,Pipes_result_save_V1!$I$2:$I$206,0)) *POWER(10,-3)</f>
        <v>-4.4979424476623547E-3</v>
      </c>
      <c r="P152" s="78">
        <v>5.4572649696420011E-3</v>
      </c>
      <c r="Q152" s="78">
        <f t="shared" si="9"/>
        <v>9.5932252197964644E-4</v>
      </c>
      <c r="R152" s="78"/>
      <c r="S152" s="78"/>
      <c r="T152" s="78">
        <v>60</v>
      </c>
      <c r="U152" s="78">
        <v>60</v>
      </c>
      <c r="V152" s="78" t="s">
        <v>540</v>
      </c>
      <c r="W152" s="78" t="s">
        <v>250</v>
      </c>
      <c r="X152" s="106" t="str">
        <f>INDEX(Pipes_result_save_V1!$G$2:$G$206,MATCH(W152,Pipes_result_save_V1!$I$2:$I$206,0))</f>
        <v>N183</v>
      </c>
      <c r="Y152" s="106" t="str">
        <f>INDEX(Pipes_result_save_V1!$H$2:$H$206,MATCH(W152,Pipes_result_save_V1!$I$2:$I$206,0))</f>
        <v>N184</v>
      </c>
      <c r="Z152" s="78">
        <v>2.9028999999999999E-2</v>
      </c>
      <c r="AA152" s="78">
        <v>200</v>
      </c>
      <c r="AB152" s="78">
        <v>150</v>
      </c>
      <c r="AC152" s="78">
        <v>83</v>
      </c>
      <c r="AD152" s="78">
        <v>209.97643513669126</v>
      </c>
      <c r="AE152" s="78">
        <v>-2.2432064923816445E-2</v>
      </c>
      <c r="AF152" s="78">
        <v>-1</v>
      </c>
      <c r="AG152" s="78">
        <v>-1</v>
      </c>
      <c r="AH152" s="78">
        <v>-0.18534480392241684</v>
      </c>
      <c r="AI152">
        <v>15.302139059871998</v>
      </c>
      <c r="AJ152" s="107">
        <f>INDEX(Pipes_result_save_V1!$K$2:$K$206,MATCH(W152,Pipes_result_save_V1!$I$2:$I$206,0)) *POWER(10,-3)</f>
        <v>-4.4979424476623547E-3</v>
      </c>
      <c r="AK152" s="78">
        <v>2.6362514008356499E-3</v>
      </c>
      <c r="AL152" s="78">
        <f t="shared" si="10"/>
        <v>-1.8616910468267048E-3</v>
      </c>
    </row>
    <row r="153" spans="2:75" ht="30" x14ac:dyDescent="0.25">
      <c r="B153" s="106">
        <v>61</v>
      </c>
      <c r="C153" s="106" t="s">
        <v>540</v>
      </c>
      <c r="D153" s="106" t="s">
        <v>432</v>
      </c>
      <c r="E153" s="106" t="str">
        <f>INDEX(Pipes_result_save_V1!$G$2:$G$206,MATCH(D153,Pipes_result_save_V1!$I$2:$I$206,0))</f>
        <v>N184</v>
      </c>
      <c r="F153" s="106" t="str">
        <f>INDEX(Pipes_result_save_V1!$H$2:$H$206,MATCH(D153,Pipes_result_save_V1!$I$2:$I$206,0))</f>
        <v>N185</v>
      </c>
      <c r="G153" s="106">
        <v>2.9028999999999999E-2</v>
      </c>
      <c r="H153" s="107">
        <v>200</v>
      </c>
      <c r="I153" s="107">
        <v>150</v>
      </c>
      <c r="J153" s="107">
        <v>175</v>
      </c>
      <c r="K153" s="107">
        <v>442.72139938459003</v>
      </c>
      <c r="L153" s="107">
        <v>-2.9028999999999999E-2</v>
      </c>
      <c r="M153" s="107">
        <v>-0.62993467968610972</v>
      </c>
      <c r="N153" s="107">
        <v>40.188743214670701</v>
      </c>
      <c r="O153" s="107">
        <f>INDEX(Pipes_result_save_V1!$K$2:$K$206,MATCH(D153,Pipes_result_save_V1!$I$2:$I$206,0)) *POWER(10,-3)</f>
        <v>-5.969974040985108E-3</v>
      </c>
      <c r="P153" s="78">
        <v>6.4293583862618693E-3</v>
      </c>
      <c r="Q153" s="78">
        <f t="shared" si="9"/>
        <v>4.5938434527676136E-4</v>
      </c>
      <c r="R153" s="78"/>
      <c r="S153" s="78"/>
      <c r="T153" s="78">
        <v>61</v>
      </c>
      <c r="U153" s="78">
        <v>61</v>
      </c>
      <c r="V153" s="78" t="s">
        <v>540</v>
      </c>
      <c r="W153" s="78" t="s">
        <v>432</v>
      </c>
      <c r="X153" s="106" t="str">
        <f>INDEX(Pipes_result_save_V1!$G$2:$G$206,MATCH(W153,Pipes_result_save_V1!$I$2:$I$206,0))</f>
        <v>N184</v>
      </c>
      <c r="Y153" s="106" t="str">
        <f>INDEX(Pipes_result_save_V1!$H$2:$H$206,MATCH(W153,Pipes_result_save_V1!$I$2:$I$206,0))</f>
        <v>N185</v>
      </c>
      <c r="Z153" s="78">
        <v>2.9028999999999999E-2</v>
      </c>
      <c r="AA153" s="78">
        <v>200</v>
      </c>
      <c r="AB153" s="78">
        <v>150</v>
      </c>
      <c r="AC153" s="78">
        <v>175</v>
      </c>
      <c r="AD153" s="78">
        <v>442.72139938459003</v>
      </c>
      <c r="AE153" s="78">
        <v>-2.2432064923816445E-2</v>
      </c>
      <c r="AF153" s="78">
        <v>-1</v>
      </c>
      <c r="AG153" s="78">
        <v>-1</v>
      </c>
      <c r="AH153" s="78">
        <v>-0.39078723718581865</v>
      </c>
      <c r="AI153">
        <v>32.263546210573487</v>
      </c>
      <c r="AJ153" s="107">
        <f>INDEX(Pipes_result_save_V1!$K$2:$K$206,MATCH(W153,Pipes_result_save_V1!$I$2:$I$206,0)) *POWER(10,-3)</f>
        <v>-5.969974040985108E-3</v>
      </c>
      <c r="AK153" s="78">
        <v>1.1151632808153651E-3</v>
      </c>
      <c r="AL153" s="78">
        <f t="shared" si="10"/>
        <v>-4.8548107601697425E-3</v>
      </c>
    </row>
    <row r="154" spans="2:75" ht="30" x14ac:dyDescent="0.25">
      <c r="B154" s="106">
        <v>62</v>
      </c>
      <c r="C154" s="106" t="s">
        <v>540</v>
      </c>
      <c r="D154" s="106" t="s">
        <v>269</v>
      </c>
      <c r="E154" s="106" t="str">
        <f>INDEX(Pipes_result_save_V1!$G$2:$G$206,MATCH(D154,Pipes_result_save_V1!$I$2:$I$206,0))</f>
        <v>N185</v>
      </c>
      <c r="F154" s="106" t="str">
        <f>INDEX(Pipes_result_save_V1!$H$2:$H$206,MATCH(D154,Pipes_result_save_V1!$I$2:$I$206,0))</f>
        <v>N186</v>
      </c>
      <c r="G154" s="106">
        <v>2.9028999999999999E-2</v>
      </c>
      <c r="H154" s="107">
        <v>200</v>
      </c>
      <c r="I154" s="107">
        <v>150</v>
      </c>
      <c r="J154" s="107">
        <v>169</v>
      </c>
      <c r="K154" s="107">
        <v>427.5423799771184</v>
      </c>
      <c r="L154" s="107">
        <v>-2.9028999999999999E-2</v>
      </c>
      <c r="M154" s="107">
        <v>-0.60833691923972877</v>
      </c>
      <c r="N154" s="107">
        <v>38.81084344731056</v>
      </c>
      <c r="O154" s="107">
        <f>INDEX(Pipes_result_save_V1!$K$2:$K$206,MATCH(D154,Pipes_result_save_V1!$I$2:$I$206,0)) *POWER(10,-3)</f>
        <v>-7.9326825141906743E-3</v>
      </c>
      <c r="P154" s="78">
        <v>5.7088382822617165E-3</v>
      </c>
      <c r="Q154" s="78">
        <f t="shared" si="9"/>
        <v>-2.2238442319289578E-3</v>
      </c>
      <c r="R154" s="78"/>
      <c r="S154" s="78"/>
      <c r="T154" s="78">
        <v>62</v>
      </c>
      <c r="U154" s="78">
        <v>62</v>
      </c>
      <c r="V154" s="78" t="s">
        <v>540</v>
      </c>
      <c r="W154" s="78" t="s">
        <v>269</v>
      </c>
      <c r="X154" s="106" t="str">
        <f>INDEX(Pipes_result_save_V1!$G$2:$G$206,MATCH(W154,Pipes_result_save_V1!$I$2:$I$206,0))</f>
        <v>N185</v>
      </c>
      <c r="Y154" s="106" t="str">
        <f>INDEX(Pipes_result_save_V1!$H$2:$H$206,MATCH(W154,Pipes_result_save_V1!$I$2:$I$206,0))</f>
        <v>N186</v>
      </c>
      <c r="Z154" s="78">
        <v>2.9028999999999999E-2</v>
      </c>
      <c r="AA154" s="78">
        <v>200</v>
      </c>
      <c r="AB154" s="78">
        <v>150</v>
      </c>
      <c r="AC154" s="78">
        <v>169</v>
      </c>
      <c r="AD154" s="78">
        <v>427.5423799771184</v>
      </c>
      <c r="AE154" s="78">
        <v>-2.2432064923816445E-2</v>
      </c>
      <c r="AF154" s="78">
        <v>-1</v>
      </c>
      <c r="AG154" s="78">
        <v>-1</v>
      </c>
      <c r="AH154" s="78">
        <v>-0.37738881762516202</v>
      </c>
      <c r="AI154">
        <v>31.157367483353827</v>
      </c>
      <c r="AJ154" s="107">
        <f>INDEX(Pipes_result_save_V1!$K$2:$K$206,MATCH(W154,Pipes_result_save_V1!$I$2:$I$206,0)) *POWER(10,-3)</f>
        <v>-7.9326825141906743E-3</v>
      </c>
      <c r="AK154" s="78">
        <v>2.5347452125473059E-3</v>
      </c>
      <c r="AL154" s="78">
        <f t="shared" si="10"/>
        <v>-5.3979373016433685E-3</v>
      </c>
    </row>
    <row r="155" spans="2:75" ht="30" x14ac:dyDescent="0.25">
      <c r="B155" s="106">
        <v>63</v>
      </c>
      <c r="C155" s="106" t="s">
        <v>540</v>
      </c>
      <c r="D155" s="106" t="s">
        <v>270</v>
      </c>
      <c r="E155" s="106" t="str">
        <f>INDEX(Pipes_result_save_V1!$G$2:$G$206,MATCH(D155,Pipes_result_save_V1!$I$2:$I$206,0))</f>
        <v>N186</v>
      </c>
      <c r="F155" s="106" t="str">
        <f>INDEX(Pipes_result_save_V1!$H$2:$H$206,MATCH(D155,Pipes_result_save_V1!$I$2:$I$206,0))</f>
        <v>N187</v>
      </c>
      <c r="G155" s="106">
        <v>2.9028999999999999E-2</v>
      </c>
      <c r="H155" s="107">
        <v>200</v>
      </c>
      <c r="I155" s="107">
        <v>150</v>
      </c>
      <c r="J155" s="107">
        <v>169</v>
      </c>
      <c r="K155" s="107">
        <v>427.5423799771184</v>
      </c>
      <c r="L155" s="107">
        <v>-2.9028999999999999E-2</v>
      </c>
      <c r="M155" s="107">
        <v>-0.60833691923972877</v>
      </c>
      <c r="N155" s="107">
        <v>38.81084344731056</v>
      </c>
      <c r="O155" s="107">
        <f>INDEX(Pipes_result_save_V1!$K$2:$K$206,MATCH(D155,Pipes_result_save_V1!$I$2:$I$206,0)) *POWER(10,-3)</f>
        <v>-9.8611583709716805E-3</v>
      </c>
      <c r="P155" s="78">
        <v>5.9730648656926462E-3</v>
      </c>
      <c r="Q155" s="78">
        <f t="shared" si="9"/>
        <v>-3.8880935052790343E-3</v>
      </c>
      <c r="R155" s="78"/>
      <c r="S155" s="78"/>
      <c r="T155" s="78">
        <v>63</v>
      </c>
      <c r="U155" s="78">
        <v>63</v>
      </c>
      <c r="V155" s="78" t="s">
        <v>540</v>
      </c>
      <c r="W155" s="78" t="s">
        <v>270</v>
      </c>
      <c r="X155" s="106" t="str">
        <f>INDEX(Pipes_result_save_V1!$G$2:$G$206,MATCH(W155,Pipes_result_save_V1!$I$2:$I$206,0))</f>
        <v>N186</v>
      </c>
      <c r="Y155" s="106" t="str">
        <f>INDEX(Pipes_result_save_V1!$H$2:$H$206,MATCH(W155,Pipes_result_save_V1!$I$2:$I$206,0))</f>
        <v>N187</v>
      </c>
      <c r="Z155" s="78">
        <v>2.9028999999999999E-2</v>
      </c>
      <c r="AA155" s="78">
        <v>200</v>
      </c>
      <c r="AB155" s="78">
        <v>150</v>
      </c>
      <c r="AC155" s="78">
        <v>169</v>
      </c>
      <c r="AD155" s="78">
        <v>427.5423799771184</v>
      </c>
      <c r="AE155" s="78">
        <v>-2.2432064923816445E-2</v>
      </c>
      <c r="AF155" s="78">
        <v>-1</v>
      </c>
      <c r="AG155" s="78">
        <v>-1</v>
      </c>
      <c r="AH155" s="78">
        <v>-0.37738881762516202</v>
      </c>
      <c r="AI155">
        <v>31.157367483353827</v>
      </c>
      <c r="AJ155" s="107">
        <f>INDEX(Pipes_result_save_V1!$K$2:$K$206,MATCH(W155,Pipes_result_save_V1!$I$2:$I$206,0)) *POWER(10,-3)</f>
        <v>-9.8611583709716805E-3</v>
      </c>
      <c r="AK155" s="78">
        <v>4.6527855039262753E-3</v>
      </c>
      <c r="AL155" s="78">
        <f t="shared" si="10"/>
        <v>-5.2083728670454053E-3</v>
      </c>
    </row>
    <row r="156" spans="2:75" ht="30" x14ac:dyDescent="0.25">
      <c r="B156" s="106">
        <v>64</v>
      </c>
      <c r="C156" s="106" t="s">
        <v>540</v>
      </c>
      <c r="D156" s="106" t="s">
        <v>272</v>
      </c>
      <c r="E156" s="106" t="str">
        <f>INDEX(Pipes_result_save_V1!$G$2:$G$206,MATCH(D156,Pipes_result_save_V1!$I$2:$I$206,0))</f>
        <v>N187</v>
      </c>
      <c r="F156" s="106" t="str">
        <f>INDEX(Pipes_result_save_V1!$H$2:$H$206,MATCH(D156,Pipes_result_save_V1!$I$2:$I$206,0))</f>
        <v>N188</v>
      </c>
      <c r="G156" s="106">
        <v>2.9028999999999999E-2</v>
      </c>
      <c r="H156" s="107">
        <v>200</v>
      </c>
      <c r="I156" s="107">
        <v>150</v>
      </c>
      <c r="J156" s="107">
        <v>134</v>
      </c>
      <c r="K156" s="107">
        <v>338.99810010020042</v>
      </c>
      <c r="L156" s="107">
        <v>-2.9028999999999999E-2</v>
      </c>
      <c r="M156" s="107">
        <v>-0.48234998330250689</v>
      </c>
      <c r="N156" s="107">
        <v>30.773094804376424</v>
      </c>
      <c r="O156" s="107">
        <f>INDEX(Pipes_result_save_V1!$K$2:$K$206,MATCH(D156,Pipes_result_save_V1!$I$2:$I$206,0)) *POWER(10,-3)</f>
        <v>-1.1589940071105961E-2</v>
      </c>
      <c r="P156" s="78">
        <v>5.4140706158563104E-3</v>
      </c>
      <c r="Q156" s="78">
        <f t="shared" si="9"/>
        <v>-6.175869455249651E-3</v>
      </c>
      <c r="R156" s="78"/>
      <c r="S156" s="78"/>
      <c r="T156" s="78">
        <v>64</v>
      </c>
      <c r="U156" s="78">
        <v>64</v>
      </c>
      <c r="V156" s="78" t="s">
        <v>540</v>
      </c>
      <c r="W156" s="78" t="s">
        <v>272</v>
      </c>
      <c r="X156" s="106" t="str">
        <f>INDEX(Pipes_result_save_V1!$G$2:$G$206,MATCH(W156,Pipes_result_save_V1!$I$2:$I$206,0))</f>
        <v>N187</v>
      </c>
      <c r="Y156" s="106" t="str">
        <f>INDEX(Pipes_result_save_V1!$H$2:$H$206,MATCH(W156,Pipes_result_save_V1!$I$2:$I$206,0))</f>
        <v>N188</v>
      </c>
      <c r="Z156" s="78">
        <v>2.9028999999999999E-2</v>
      </c>
      <c r="AA156" s="78">
        <v>200</v>
      </c>
      <c r="AB156" s="78">
        <v>150</v>
      </c>
      <c r="AC156" s="78">
        <v>134</v>
      </c>
      <c r="AD156" s="78">
        <v>338.99810010020042</v>
      </c>
      <c r="AE156" s="78">
        <v>-2.2432064923816445E-2</v>
      </c>
      <c r="AF156" s="78">
        <v>-1</v>
      </c>
      <c r="AG156" s="78">
        <v>-1</v>
      </c>
      <c r="AH156" s="78">
        <v>-0.29923137018799828</v>
      </c>
      <c r="AI156">
        <v>24.70465824123913</v>
      </c>
      <c r="AJ156" s="107">
        <f>INDEX(Pipes_result_save_V1!$K$2:$K$206,MATCH(W156,Pipes_result_save_V1!$I$2:$I$206,0)) *POWER(10,-3)</f>
        <v>-1.1589940071105961E-2</v>
      </c>
      <c r="AK156" s="78">
        <v>1.0804693333157063E-3</v>
      </c>
      <c r="AL156" s="78">
        <f t="shared" si="10"/>
        <v>-1.0509470737790256E-2</v>
      </c>
    </row>
    <row r="157" spans="2:75" ht="30" x14ac:dyDescent="0.25">
      <c r="B157" s="106">
        <v>65</v>
      </c>
      <c r="C157" s="106" t="s">
        <v>540</v>
      </c>
      <c r="D157" s="106" t="s">
        <v>271</v>
      </c>
      <c r="E157" s="106" t="str">
        <f>INDEX(Pipes_result_save_V1!$G$2:$G$206,MATCH(D157,Pipes_result_save_V1!$I$2:$I$206,0))</f>
        <v>N188</v>
      </c>
      <c r="F157" s="106" t="str">
        <f>INDEX(Pipes_result_save_V1!$H$2:$H$206,MATCH(D157,Pipes_result_save_V1!$I$2:$I$206,0))</f>
        <v>N189</v>
      </c>
      <c r="G157" s="106">
        <v>2.9028999999999999E-2</v>
      </c>
      <c r="H157" s="107">
        <v>200</v>
      </c>
      <c r="I157" s="107">
        <v>150</v>
      </c>
      <c r="J157" s="107">
        <v>263</v>
      </c>
      <c r="K157" s="107">
        <v>665.34701736084105</v>
      </c>
      <c r="L157" s="107">
        <v>-2.9028999999999999E-2</v>
      </c>
      <c r="M157" s="107">
        <v>-0.94670183289969634</v>
      </c>
      <c r="N157" s="107">
        <v>60.397939802619398</v>
      </c>
      <c r="O157" s="107">
        <f>INDEX(Pipes_result_save_V1!$K$2:$K$206,MATCH(D157,Pipes_result_save_V1!$I$2:$I$206,0)) *POWER(10,-3)</f>
        <v>-1.385504245758057E-2</v>
      </c>
      <c r="P157" s="78">
        <v>5.2847983206110311E-3</v>
      </c>
      <c r="Q157" s="78">
        <f t="shared" si="9"/>
        <v>-8.5702441369695393E-3</v>
      </c>
      <c r="R157" s="78"/>
      <c r="S157" s="78"/>
      <c r="T157" s="78">
        <v>65</v>
      </c>
      <c r="U157" s="78">
        <v>65</v>
      </c>
      <c r="V157" s="78" t="s">
        <v>540</v>
      </c>
      <c r="W157" s="78" t="s">
        <v>271</v>
      </c>
      <c r="X157" s="106" t="str">
        <f>INDEX(Pipes_result_save_V1!$G$2:$G$206,MATCH(W157,Pipes_result_save_V1!$I$2:$I$206,0))</f>
        <v>N188</v>
      </c>
      <c r="Y157" s="106" t="str">
        <f>INDEX(Pipes_result_save_V1!$H$2:$H$206,MATCH(W157,Pipes_result_save_V1!$I$2:$I$206,0))</f>
        <v>N189</v>
      </c>
      <c r="Z157" s="78">
        <v>2.9028999999999999E-2</v>
      </c>
      <c r="AA157" s="78">
        <v>200</v>
      </c>
      <c r="AB157" s="78">
        <v>150</v>
      </c>
      <c r="AC157" s="78">
        <v>263</v>
      </c>
      <c r="AD157" s="78">
        <v>665.34701736084105</v>
      </c>
      <c r="AE157" s="78">
        <v>-2.2432064923816445E-2</v>
      </c>
      <c r="AF157" s="78">
        <v>-1</v>
      </c>
      <c r="AG157" s="78">
        <v>-1</v>
      </c>
      <c r="AH157" s="78">
        <v>-0.58729739074211607</v>
      </c>
      <c r="AI157">
        <v>48.487500876461873</v>
      </c>
      <c r="AJ157" s="107">
        <f>INDEX(Pipes_result_save_V1!$K$2:$K$206,MATCH(W157,Pipes_result_save_V1!$I$2:$I$206,0)) *POWER(10,-3)</f>
        <v>-1.385504245758057E-2</v>
      </c>
      <c r="AK157" s="78">
        <v>3.7055250738890723E-3</v>
      </c>
      <c r="AL157" s="78">
        <f t="shared" si="10"/>
        <v>-1.0149517383691499E-2</v>
      </c>
    </row>
    <row r="158" spans="2:75" ht="30" x14ac:dyDescent="0.25">
      <c r="B158" s="106">
        <v>66</v>
      </c>
      <c r="C158" s="106" t="s">
        <v>540</v>
      </c>
      <c r="D158" s="106" t="s">
        <v>273</v>
      </c>
      <c r="E158" s="106" t="str">
        <f>INDEX(Pipes_result_save_V1!$G$2:$G$206,MATCH(D158,Pipes_result_save_V1!$I$2:$I$206,0))</f>
        <v>N189</v>
      </c>
      <c r="F158" s="106" t="str">
        <f>INDEX(Pipes_result_save_V1!$H$2:$H$206,MATCH(D158,Pipes_result_save_V1!$I$2:$I$206,0))</f>
        <v>N190</v>
      </c>
      <c r="G158" s="106">
        <v>2.9028999999999999E-2</v>
      </c>
      <c r="H158" s="107">
        <v>200</v>
      </c>
      <c r="I158" s="107">
        <v>150</v>
      </c>
      <c r="J158" s="107">
        <v>257</v>
      </c>
      <c r="K158" s="107">
        <v>650.16799795336942</v>
      </c>
      <c r="L158" s="107">
        <v>-2.9028999999999999E-2</v>
      </c>
      <c r="M158" s="107">
        <v>-0.92510407245331538</v>
      </c>
      <c r="N158" s="107">
        <v>59.020040035259257</v>
      </c>
      <c r="O158" s="107">
        <f>INDEX(Pipes_result_save_V1!$K$2:$K$206,MATCH(D158,Pipes_result_save_V1!$I$2:$I$206,0)) *POWER(10,-3)</f>
        <v>-1.6821928024291988E-2</v>
      </c>
      <c r="P158" s="78">
        <v>6.1713420649328237E-3</v>
      </c>
      <c r="Q158" s="78">
        <f t="shared" ref="Q158:Q162" si="16">(ABS(O158)-P158)*SIGN(O158)</f>
        <v>-1.0650585959359166E-2</v>
      </c>
      <c r="R158" s="78"/>
      <c r="S158" s="78"/>
      <c r="T158" s="78">
        <v>66</v>
      </c>
      <c r="U158" s="78">
        <v>66</v>
      </c>
      <c r="V158" s="78" t="s">
        <v>540</v>
      </c>
      <c r="W158" s="78" t="s">
        <v>273</v>
      </c>
      <c r="X158" s="106" t="str">
        <f>INDEX(Pipes_result_save_V1!$G$2:$G$206,MATCH(W158,Pipes_result_save_V1!$I$2:$I$206,0))</f>
        <v>N189</v>
      </c>
      <c r="Y158" s="106" t="str">
        <f>INDEX(Pipes_result_save_V1!$H$2:$H$206,MATCH(W158,Pipes_result_save_V1!$I$2:$I$206,0))</f>
        <v>N190</v>
      </c>
      <c r="Z158" s="78">
        <v>2.9028999999999999E-2</v>
      </c>
      <c r="AA158" s="78">
        <v>200</v>
      </c>
      <c r="AB158" s="78">
        <v>150</v>
      </c>
      <c r="AC158" s="78">
        <v>257</v>
      </c>
      <c r="AD158" s="78">
        <v>650.16799795336942</v>
      </c>
      <c r="AE158" s="78">
        <v>-2.2432064923816445E-2</v>
      </c>
      <c r="AF158" s="78">
        <v>-1</v>
      </c>
      <c r="AG158" s="78">
        <v>-1</v>
      </c>
      <c r="AH158" s="78">
        <v>-0.57389897118145938</v>
      </c>
      <c r="AI158">
        <v>47.381322149242209</v>
      </c>
      <c r="AJ158" s="107">
        <f>INDEX(Pipes_result_save_V1!$K$2:$K$206,MATCH(W158,Pipes_result_save_V1!$I$2:$I$206,0)) *POWER(10,-3)</f>
        <v>-1.6821928024291988E-2</v>
      </c>
      <c r="AK158" s="78">
        <v>2.0439464026063801E-5</v>
      </c>
      <c r="AL158" s="78">
        <f t="shared" ref="AL158:AL162" si="17">(ABS(AJ158)-AK158)*SIGN(AJ158)</f>
        <v>-1.6801488560265924E-2</v>
      </c>
    </row>
    <row r="159" spans="2:75" ht="30" x14ac:dyDescent="0.25">
      <c r="B159" s="106">
        <v>67</v>
      </c>
      <c r="C159" s="106" t="s">
        <v>540</v>
      </c>
      <c r="D159" s="106" t="s">
        <v>274</v>
      </c>
      <c r="E159" s="106" t="str">
        <f>INDEX(Pipes_result_save_V1!$G$2:$G$206,MATCH(D159,Pipes_result_save_V1!$I$2:$I$206,0))</f>
        <v>N190</v>
      </c>
      <c r="F159" s="106" t="str">
        <f>INDEX(Pipes_result_save_V1!$H$2:$H$206,MATCH(D159,Pipes_result_save_V1!$I$2:$I$206,0))</f>
        <v>N191</v>
      </c>
      <c r="G159" s="106">
        <v>2.9028999999999999E-2</v>
      </c>
      <c r="H159" s="107">
        <v>200</v>
      </c>
      <c r="I159" s="107">
        <v>150</v>
      </c>
      <c r="J159" s="107">
        <v>173</v>
      </c>
      <c r="K159" s="107">
        <v>437.66172624876617</v>
      </c>
      <c r="L159" s="107">
        <v>-2.9028999999999999E-2</v>
      </c>
      <c r="M159" s="107">
        <v>-0.6227354262039827</v>
      </c>
      <c r="N159" s="107">
        <v>39.729443292217326</v>
      </c>
      <c r="O159" s="107">
        <f>INDEX(Pipes_result_save_V1!$K$2:$K$206,MATCH(D159,Pipes_result_save_V1!$I$2:$I$206,0)) *POWER(10,-3)</f>
        <v>-1.9275314331054692E-2</v>
      </c>
      <c r="P159" s="78">
        <v>5.0840904189161686E-3</v>
      </c>
      <c r="Q159" s="78">
        <f t="shared" si="16"/>
        <v>-1.4191223912138524E-2</v>
      </c>
      <c r="R159" s="78"/>
      <c r="S159" s="78"/>
      <c r="T159" s="78">
        <v>67</v>
      </c>
      <c r="U159" s="78">
        <v>67</v>
      </c>
      <c r="V159" s="78" t="s">
        <v>540</v>
      </c>
      <c r="W159" s="78" t="s">
        <v>274</v>
      </c>
      <c r="X159" s="106" t="str">
        <f>INDEX(Pipes_result_save_V1!$G$2:$G$206,MATCH(W159,Pipes_result_save_V1!$I$2:$I$206,0))</f>
        <v>N190</v>
      </c>
      <c r="Y159" s="106" t="str">
        <f>INDEX(Pipes_result_save_V1!$H$2:$H$206,MATCH(W159,Pipes_result_save_V1!$I$2:$I$206,0))</f>
        <v>N191</v>
      </c>
      <c r="Z159" s="78">
        <v>2.9028999999999999E-2</v>
      </c>
      <c r="AA159" s="78">
        <v>200</v>
      </c>
      <c r="AB159" s="78">
        <v>150</v>
      </c>
      <c r="AC159" s="78">
        <v>173</v>
      </c>
      <c r="AD159" s="78">
        <v>437.66172624876617</v>
      </c>
      <c r="AE159" s="78">
        <v>-2.2432064923816445E-2</v>
      </c>
      <c r="AF159" s="78">
        <v>-1</v>
      </c>
      <c r="AG159" s="78">
        <v>-1</v>
      </c>
      <c r="AH159" s="78">
        <v>-0.38632109733226644</v>
      </c>
      <c r="AI159">
        <v>31.894819968166935</v>
      </c>
      <c r="AJ159" s="107">
        <f>INDEX(Pipes_result_save_V1!$K$2:$K$206,MATCH(W159,Pipes_result_save_V1!$I$2:$I$206,0)) *POWER(10,-3)</f>
        <v>-1.9275314331054692E-2</v>
      </c>
      <c r="AK159" s="78">
        <v>2.3847943325962812E-3</v>
      </c>
      <c r="AL159" s="78">
        <f t="shared" si="17"/>
        <v>-1.6890519998458413E-2</v>
      </c>
    </row>
    <row r="160" spans="2:75" ht="30" x14ac:dyDescent="0.25">
      <c r="B160" s="106">
        <v>68</v>
      </c>
      <c r="C160" s="106" t="s">
        <v>540</v>
      </c>
      <c r="D160" s="106" t="s">
        <v>275</v>
      </c>
      <c r="E160" s="106" t="str">
        <f>INDEX(Pipes_result_save_V1!$G$2:$G$206,MATCH(D160,Pipes_result_save_V1!$I$2:$I$206,0))</f>
        <v>N191</v>
      </c>
      <c r="F160" s="106" t="str">
        <f>INDEX(Pipes_result_save_V1!$H$2:$H$206,MATCH(D160,Pipes_result_save_V1!$I$2:$I$206,0))</f>
        <v>N192</v>
      </c>
      <c r="G160" s="106">
        <v>2.9028999999999999E-2</v>
      </c>
      <c r="H160" s="107">
        <v>200</v>
      </c>
      <c r="I160" s="107">
        <v>150</v>
      </c>
      <c r="J160" s="107">
        <v>47</v>
      </c>
      <c r="K160" s="107">
        <v>118.90231869186132</v>
      </c>
      <c r="L160" s="107">
        <v>-2.9028999999999999E-2</v>
      </c>
      <c r="M160" s="107">
        <v>-0.16918245682998373</v>
      </c>
      <c r="N160" s="107">
        <v>10.793548177654417</v>
      </c>
      <c r="O160" s="107">
        <f>INDEX(Pipes_result_save_V1!$K$2:$K$206,MATCH(D160,Pipes_result_save_V1!$I$2:$I$206,0)) *POWER(10,-3)</f>
        <v>-2.05305347442627E-2</v>
      </c>
      <c r="P160" s="78">
        <v>5.4959869416529123E-3</v>
      </c>
      <c r="Q160" s="78">
        <f t="shared" si="16"/>
        <v>-1.5034547802609786E-2</v>
      </c>
      <c r="R160" s="78"/>
      <c r="S160" s="78"/>
      <c r="T160" s="78">
        <v>68</v>
      </c>
      <c r="U160" s="78">
        <v>68</v>
      </c>
      <c r="V160" s="78" t="s">
        <v>540</v>
      </c>
      <c r="W160" s="78" t="s">
        <v>275</v>
      </c>
      <c r="X160" s="106" t="str">
        <f>INDEX(Pipes_result_save_V1!$G$2:$G$206,MATCH(W160,Pipes_result_save_V1!$I$2:$I$206,0))</f>
        <v>N191</v>
      </c>
      <c r="Y160" s="106" t="str">
        <f>INDEX(Pipes_result_save_V1!$H$2:$H$206,MATCH(W160,Pipes_result_save_V1!$I$2:$I$206,0))</f>
        <v>N192</v>
      </c>
      <c r="Z160" s="78">
        <v>2.9028999999999999E-2</v>
      </c>
      <c r="AA160" s="78">
        <v>200</v>
      </c>
      <c r="AB160" s="78">
        <v>150</v>
      </c>
      <c r="AC160" s="78">
        <v>47</v>
      </c>
      <c r="AD160" s="78">
        <v>118.90231869186132</v>
      </c>
      <c r="AE160" s="78">
        <v>-2.2432064923816445E-2</v>
      </c>
      <c r="AF160" s="78">
        <v>-1</v>
      </c>
      <c r="AG160" s="78">
        <v>-1</v>
      </c>
      <c r="AH160" s="78">
        <v>-0.10495428655847701</v>
      </c>
      <c r="AI160">
        <v>8.6650666965540228</v>
      </c>
      <c r="AJ160" s="107">
        <f>INDEX(Pipes_result_save_V1!$K$2:$K$206,MATCH(W160,Pipes_result_save_V1!$I$2:$I$206,0)) *POWER(10,-3)</f>
        <v>-2.05305347442627E-2</v>
      </c>
      <c r="AK160" s="78">
        <v>2.9079985138577924E-3</v>
      </c>
      <c r="AL160" s="78">
        <f t="shared" si="17"/>
        <v>-1.7622536230404908E-2</v>
      </c>
    </row>
    <row r="161" spans="2:38" ht="30" x14ac:dyDescent="0.25">
      <c r="B161" s="106">
        <v>69</v>
      </c>
      <c r="C161" s="106" t="s">
        <v>540</v>
      </c>
      <c r="D161" s="106" t="s">
        <v>277</v>
      </c>
      <c r="E161" s="106" t="str">
        <f>INDEX(Pipes_result_save_V1!$G$2:$G$206,MATCH(D161,Pipes_result_save_V1!$I$2:$I$206,0))</f>
        <v>N193</v>
      </c>
      <c r="F161" s="106" t="str">
        <f>INDEX(Pipes_result_save_V1!$H$2:$H$206,MATCH(D161,Pipes_result_save_V1!$I$2:$I$206,0))</f>
        <v>N192</v>
      </c>
      <c r="G161" s="106">
        <v>0.22842500000000002</v>
      </c>
      <c r="H161" s="107">
        <v>565</v>
      </c>
      <c r="I161" s="107">
        <v>150</v>
      </c>
      <c r="J161" s="107">
        <v>351</v>
      </c>
      <c r="K161" s="107">
        <v>5.6427226167427849</v>
      </c>
      <c r="L161" s="107">
        <v>-0.22842500000000002</v>
      </c>
      <c r="M161" s="107">
        <v>-0.36633795039434436</v>
      </c>
      <c r="N161" s="107">
        <v>2.9701559992572006</v>
      </c>
      <c r="O161" s="107">
        <f>INDEX(Pipes_result_save_V1!$K$2:$K$206,MATCH(D161,Pipes_result_save_V1!$I$2:$I$206,0)) *POWER(10,-3)</f>
        <v>-1.403542900085449E-2</v>
      </c>
      <c r="P161" s="78">
        <v>5.456823903032002E-3</v>
      </c>
      <c r="Q161" s="78">
        <f t="shared" si="16"/>
        <v>-8.5786050978224893E-3</v>
      </c>
      <c r="R161" s="78"/>
      <c r="S161" s="78"/>
      <c r="T161" s="78">
        <v>69</v>
      </c>
      <c r="U161" s="78">
        <v>69</v>
      </c>
      <c r="V161" s="78" t="s">
        <v>540</v>
      </c>
      <c r="W161" s="78" t="s">
        <v>277</v>
      </c>
      <c r="X161" s="106" t="str">
        <f>INDEX(Pipes_result_save_V1!$G$2:$G$206,MATCH(W161,Pipes_result_save_V1!$I$2:$I$206,0))</f>
        <v>N193</v>
      </c>
      <c r="Y161" s="106" t="str">
        <f>INDEX(Pipes_result_save_V1!$H$2:$H$206,MATCH(W161,Pipes_result_save_V1!$I$2:$I$206,0))</f>
        <v>N192</v>
      </c>
      <c r="Z161" s="78">
        <v>0.22842500000000002</v>
      </c>
      <c r="AA161" s="78">
        <v>565</v>
      </c>
      <c r="AB161" s="78">
        <v>150</v>
      </c>
      <c r="AC161" s="78">
        <v>351</v>
      </c>
      <c r="AD161" s="78">
        <v>5.6427226167427849</v>
      </c>
      <c r="AE161" s="78">
        <v>-0.22182806492381646</v>
      </c>
      <c r="AF161" s="78">
        <v>-1</v>
      </c>
      <c r="AG161" s="78">
        <v>-1</v>
      </c>
      <c r="AH161" s="78">
        <v>-0.34698543293187428</v>
      </c>
      <c r="AI161">
        <v>2.89691487869458</v>
      </c>
      <c r="AJ161" s="107">
        <f>INDEX(Pipes_result_save_V1!$K$2:$K$206,MATCH(W161,Pipes_result_save_V1!$I$2:$I$206,0)) *POWER(10,-3)</f>
        <v>-1.403542900085449E-2</v>
      </c>
      <c r="AK161" s="78">
        <v>4.4989139488919869E-3</v>
      </c>
      <c r="AL161" s="78">
        <f t="shared" si="17"/>
        <v>-9.5365150519625026E-3</v>
      </c>
    </row>
    <row r="162" spans="2:38" ht="30" x14ac:dyDescent="0.25">
      <c r="B162" s="106">
        <v>70</v>
      </c>
      <c r="C162" s="106" t="s">
        <v>540</v>
      </c>
      <c r="D162" s="106" t="s">
        <v>427</v>
      </c>
      <c r="E162" s="106" t="str">
        <f>INDEX(Pipes_result_save_V1!$G$2:$G$206,MATCH(D162,Pipes_result_save_V1!$I$2:$I$206,0))</f>
        <v>N194</v>
      </c>
      <c r="F162" s="106" t="str">
        <f>INDEX(Pipes_result_save_V1!$H$2:$H$206,MATCH(D162,Pipes_result_save_V1!$I$2:$I$206,0))</f>
        <v>N193</v>
      </c>
      <c r="G162" s="106">
        <v>0.22842500000000002</v>
      </c>
      <c r="H162" s="107">
        <v>565</v>
      </c>
      <c r="I162" s="107">
        <v>150</v>
      </c>
      <c r="J162" s="107">
        <v>169</v>
      </c>
      <c r="K162" s="107">
        <v>2.7168664450983777</v>
      </c>
      <c r="L162" s="107">
        <v>-0.22842500000000002</v>
      </c>
      <c r="M162" s="107">
        <v>-0.17638493907875838</v>
      </c>
      <c r="N162" s="107">
        <v>1.4300751107534666</v>
      </c>
      <c r="O162" s="107">
        <f>INDEX(Pipes_result_save_V1!$K$2:$K$206,MATCH(D162,Pipes_result_save_V1!$I$2:$I$206,0)) *POWER(10,-3)</f>
        <v>-1.1068543434143071E-2</v>
      </c>
      <c r="P162" s="78">
        <v>6.5543548446075697E-3</v>
      </c>
      <c r="Q162" s="78">
        <f t="shared" si="16"/>
        <v>-4.5141885895355009E-3</v>
      </c>
      <c r="R162" s="78"/>
      <c r="S162" s="78"/>
      <c r="T162" s="78">
        <v>70</v>
      </c>
      <c r="U162" s="78">
        <v>70</v>
      </c>
      <c r="V162" s="78" t="s">
        <v>540</v>
      </c>
      <c r="W162" s="78" t="s">
        <v>427</v>
      </c>
      <c r="X162" s="106" t="str">
        <f>INDEX(Pipes_result_save_V1!$G$2:$G$206,MATCH(W162,Pipes_result_save_V1!$I$2:$I$206,0))</f>
        <v>N194</v>
      </c>
      <c r="Y162" s="106" t="str">
        <f>INDEX(Pipes_result_save_V1!$H$2:$H$206,MATCH(W162,Pipes_result_save_V1!$I$2:$I$206,0))</f>
        <v>N193</v>
      </c>
      <c r="Z162" s="78">
        <v>0.22842500000000002</v>
      </c>
      <c r="AA162" s="78">
        <v>565</v>
      </c>
      <c r="AB162" s="78">
        <v>150</v>
      </c>
      <c r="AC162" s="78">
        <v>169</v>
      </c>
      <c r="AD162" s="78">
        <v>2.7168664450983777</v>
      </c>
      <c r="AE162" s="78">
        <v>-0.22182806492381646</v>
      </c>
      <c r="AF162" s="78">
        <v>-1</v>
      </c>
      <c r="AG162" s="78">
        <v>-1</v>
      </c>
      <c r="AH162" s="78">
        <v>-0.16706706030053203</v>
      </c>
      <c r="AI162">
        <v>1.3948108675196123</v>
      </c>
      <c r="AJ162" s="107">
        <f>INDEX(Pipes_result_save_V1!$K$2:$K$206,MATCH(W162,Pipes_result_save_V1!$I$2:$I$206,0)) *POWER(10,-3)</f>
        <v>-1.1068543434143071E-2</v>
      </c>
      <c r="AK162" s="78">
        <v>1.3429046318283954E-3</v>
      </c>
      <c r="AL162" s="78">
        <f t="shared" si="17"/>
        <v>-9.7256388023146748E-3</v>
      </c>
    </row>
    <row r="163" spans="2:38" x14ac:dyDescent="0.25">
      <c r="B163" s="106">
        <v>71</v>
      </c>
      <c r="C163" s="106" t="s">
        <v>380</v>
      </c>
      <c r="D163" s="233"/>
      <c r="E163" s="233"/>
      <c r="F163" s="233"/>
      <c r="G163" s="233"/>
      <c r="H163" s="233"/>
      <c r="I163" s="233"/>
      <c r="J163" s="233"/>
      <c r="K163" s="233"/>
      <c r="L163" s="233"/>
      <c r="M163" s="107">
        <v>-5.070376541099133</v>
      </c>
      <c r="N163" s="107">
        <v>768.59579221938282</v>
      </c>
      <c r="O163" s="107"/>
      <c r="P163" s="78"/>
      <c r="Q163" s="78"/>
      <c r="R163" s="78"/>
      <c r="S163" s="78"/>
      <c r="T163" s="78">
        <v>44</v>
      </c>
      <c r="U163" s="78">
        <v>71</v>
      </c>
      <c r="V163" s="78" t="s">
        <v>380</v>
      </c>
      <c r="W163" s="249"/>
      <c r="X163" s="249"/>
      <c r="Y163" s="249"/>
      <c r="Z163" s="249"/>
      <c r="AA163" s="249"/>
      <c r="AB163" s="249"/>
      <c r="AC163" s="249"/>
      <c r="AD163" s="249"/>
      <c r="AE163" s="249"/>
      <c r="AF163" s="249"/>
      <c r="AG163" s="249"/>
      <c r="AH163" s="78">
        <v>35.649147910678835</v>
      </c>
      <c r="AI163">
        <v>1560.3548127119159</v>
      </c>
    </row>
    <row r="164" spans="2:38" x14ac:dyDescent="0.25">
      <c r="B164" s="106">
        <v>72</v>
      </c>
      <c r="C164" s="106" t="s">
        <v>381</v>
      </c>
      <c r="D164" s="233">
        <v>6.5969350761835542E-3</v>
      </c>
      <c r="E164" s="233"/>
      <c r="F164" s="233"/>
      <c r="G164" s="233"/>
      <c r="H164" s="233"/>
      <c r="I164" s="233"/>
      <c r="J164" s="233"/>
      <c r="K164" s="233"/>
      <c r="L164" s="233"/>
      <c r="M164" s="233"/>
      <c r="N164" s="233"/>
      <c r="O164" s="107"/>
      <c r="P164" s="78"/>
      <c r="Q164" s="78"/>
      <c r="R164" s="78"/>
      <c r="S164" s="78"/>
      <c r="T164" s="78"/>
      <c r="U164" s="78">
        <v>72</v>
      </c>
      <c r="V164" s="78" t="s">
        <v>381</v>
      </c>
      <c r="W164" s="249">
        <v>-2.284682151793423E-2</v>
      </c>
      <c r="X164" s="249"/>
      <c r="Y164" s="249"/>
      <c r="Z164" s="249"/>
      <c r="AA164" s="249"/>
      <c r="AB164" s="249"/>
      <c r="AC164" s="249"/>
      <c r="AD164" s="249"/>
      <c r="AE164" s="249"/>
      <c r="AF164" s="249"/>
      <c r="AG164" s="249"/>
      <c r="AH164" s="249"/>
      <c r="AI164" s="249"/>
    </row>
    <row r="165" spans="2:38" x14ac:dyDescent="0.25"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</row>
    <row r="166" spans="2:38" x14ac:dyDescent="0.25"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</row>
    <row r="167" spans="2:38" x14ac:dyDescent="0.25"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</row>
    <row r="168" spans="2:38" x14ac:dyDescent="0.25"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</row>
    <row r="169" spans="2:38" x14ac:dyDescent="0.25"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</row>
    <row r="170" spans="2:38" x14ac:dyDescent="0.25"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</row>
    <row r="171" spans="2:38" x14ac:dyDescent="0.25"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</row>
    <row r="172" spans="2:38" x14ac:dyDescent="0.25"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</row>
    <row r="173" spans="2:38" x14ac:dyDescent="0.25"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</row>
    <row r="174" spans="2:38" x14ac:dyDescent="0.25"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</row>
    <row r="175" spans="2:38" x14ac:dyDescent="0.25"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</row>
    <row r="176" spans="2:38" x14ac:dyDescent="0.25"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</row>
    <row r="177" spans="8:34" x14ac:dyDescent="0.25"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</row>
    <row r="178" spans="8:34" x14ac:dyDescent="0.25"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</row>
    <row r="179" spans="8:34" x14ac:dyDescent="0.25"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</row>
    <row r="180" spans="8:34" x14ac:dyDescent="0.25"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</row>
    <row r="181" spans="8:34" x14ac:dyDescent="0.25"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</row>
    <row r="182" spans="8:34" x14ac:dyDescent="0.25"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</row>
    <row r="183" spans="8:34" x14ac:dyDescent="0.25"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</row>
    <row r="184" spans="8:34" x14ac:dyDescent="0.25"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</row>
    <row r="185" spans="8:34" x14ac:dyDescent="0.25"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</row>
    <row r="186" spans="8:34" x14ac:dyDescent="0.25"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</row>
    <row r="187" spans="8:34" x14ac:dyDescent="0.25"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</row>
    <row r="188" spans="8:34" x14ac:dyDescent="0.25"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</row>
    <row r="189" spans="8:34" x14ac:dyDescent="0.25"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</row>
    <row r="190" spans="8:34" x14ac:dyDescent="0.25"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</row>
    <row r="191" spans="8:34" x14ac:dyDescent="0.25"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</row>
    <row r="192" spans="8:34" x14ac:dyDescent="0.25"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</row>
    <row r="193" spans="8:34" x14ac:dyDescent="0.25"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</row>
    <row r="194" spans="8:34" x14ac:dyDescent="0.25"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</row>
    <row r="195" spans="8:34" x14ac:dyDescent="0.25"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</row>
    <row r="196" spans="8:34" x14ac:dyDescent="0.25"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</row>
    <row r="197" spans="8:34" x14ac:dyDescent="0.25"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</row>
    <row r="198" spans="8:34" x14ac:dyDescent="0.25"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</row>
    <row r="199" spans="8:34" x14ac:dyDescent="0.25"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</row>
    <row r="200" spans="8:34" x14ac:dyDescent="0.25"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</row>
    <row r="201" spans="8:34" x14ac:dyDescent="0.25"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</row>
    <row r="202" spans="8:34" x14ac:dyDescent="0.25"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</row>
    <row r="203" spans="8:34" x14ac:dyDescent="0.25"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</row>
    <row r="204" spans="8:34" x14ac:dyDescent="0.25"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</row>
    <row r="205" spans="8:34" x14ac:dyDescent="0.25"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</row>
  </sheetData>
  <mergeCells count="24">
    <mergeCell ref="DC141:DJ141"/>
    <mergeCell ref="DC142:DL142"/>
    <mergeCell ref="D163:L163"/>
    <mergeCell ref="W163:AG163"/>
    <mergeCell ref="D164:N164"/>
    <mergeCell ref="W164:AI164"/>
    <mergeCell ref="AT131:BC131"/>
    <mergeCell ref="DC56:DJ56"/>
    <mergeCell ref="DC57:DL57"/>
    <mergeCell ref="D78:L78"/>
    <mergeCell ref="W78:AG78"/>
    <mergeCell ref="D79:N79"/>
    <mergeCell ref="W79:AI79"/>
    <mergeCell ref="C91:Q91"/>
    <mergeCell ref="V91:AL91"/>
    <mergeCell ref="AQ91:BD91"/>
    <mergeCell ref="BL91:BX91"/>
    <mergeCell ref="AT130:BA130"/>
    <mergeCell ref="AT46:BC46"/>
    <mergeCell ref="C6:Q6"/>
    <mergeCell ref="V6:AL6"/>
    <mergeCell ref="AQ6:BD6"/>
    <mergeCell ref="BL6:BX6"/>
    <mergeCell ref="AT45:BA4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1C32-842E-47F6-8F4F-03E0C99FC6F0}">
  <dimension ref="F6:Z34"/>
  <sheetViews>
    <sheetView topLeftCell="D1" workbookViewId="0">
      <selection activeCell="AK27" sqref="AK27"/>
    </sheetView>
  </sheetViews>
  <sheetFormatPr baseColWidth="10" defaultRowHeight="15" x14ac:dyDescent="0.25"/>
  <cols>
    <col min="6" max="6" width="38.85546875" bestFit="1" customWidth="1"/>
    <col min="7" max="7" width="20.28515625" customWidth="1"/>
    <col min="8" max="8" width="17.85546875" customWidth="1"/>
    <col min="9" max="9" width="14.85546875" customWidth="1"/>
    <col min="10" max="10" width="17.140625" customWidth="1"/>
    <col min="14" max="14" width="18" customWidth="1"/>
    <col min="15" max="15" width="16.140625" customWidth="1"/>
    <col min="16" max="16" width="23.5703125" customWidth="1"/>
    <col min="17" max="17" width="22" customWidth="1"/>
    <col min="18" max="18" width="18.42578125" customWidth="1"/>
    <col min="19" max="19" width="19.42578125" customWidth="1"/>
    <col min="20" max="20" width="20.5703125" customWidth="1"/>
    <col min="24" max="24" width="73.28515625" bestFit="1" customWidth="1"/>
  </cols>
  <sheetData>
    <row r="6" spans="6:26" ht="32.25" x14ac:dyDescent="0.3">
      <c r="F6" s="123" t="s">
        <v>925</v>
      </c>
      <c r="G6" s="123" t="s">
        <v>981</v>
      </c>
      <c r="H6" s="123" t="s">
        <v>985</v>
      </c>
      <c r="I6" s="123" t="s">
        <v>986</v>
      </c>
      <c r="J6" s="123" t="s">
        <v>988</v>
      </c>
      <c r="N6" s="123" t="s">
        <v>925</v>
      </c>
      <c r="O6" s="123" t="s">
        <v>984</v>
      </c>
      <c r="P6" s="123" t="s">
        <v>981</v>
      </c>
      <c r="Q6" s="123" t="s">
        <v>987</v>
      </c>
      <c r="R6" s="123" t="s">
        <v>989</v>
      </c>
      <c r="S6" s="123" t="s">
        <v>990</v>
      </c>
      <c r="T6" s="123" t="s">
        <v>991</v>
      </c>
      <c r="X6" s="253" t="s">
        <v>992</v>
      </c>
      <c r="Y6" s="254"/>
      <c r="Z6" s="254"/>
    </row>
    <row r="7" spans="6:26" ht="15.6" customHeight="1" x14ac:dyDescent="0.25">
      <c r="F7" s="251" t="s">
        <v>980</v>
      </c>
      <c r="G7" s="112" t="s">
        <v>1010</v>
      </c>
      <c r="H7" s="125"/>
      <c r="I7" s="125">
        <v>2639</v>
      </c>
      <c r="J7" s="125">
        <f>H7+I7</f>
        <v>2639</v>
      </c>
      <c r="N7" s="252" t="s">
        <v>980</v>
      </c>
      <c r="O7" s="116">
        <v>80</v>
      </c>
      <c r="P7" s="116">
        <f>INDEX(REF_TABLE!$F$7:$F$32,MATCH(O7,REF_TABLE!$D$7:$D$32,0))</f>
        <v>89</v>
      </c>
      <c r="Q7" s="116">
        <f t="shared" ref="Q7:Q18" si="0">0.4+(P7*0.001)</f>
        <v>0.48899999999999999</v>
      </c>
      <c r="R7" s="116">
        <f t="shared" ref="R7:R18" si="1">0.81+(P7*0.001)</f>
        <v>0.89900000000000002</v>
      </c>
      <c r="S7" s="112">
        <f t="shared" ref="S7:T18" si="2">ROUNDUP(Q7,1)</f>
        <v>0.5</v>
      </c>
      <c r="T7" s="112">
        <f t="shared" si="2"/>
        <v>0.9</v>
      </c>
      <c r="X7" s="112" t="s">
        <v>993</v>
      </c>
      <c r="Y7" s="112" t="s">
        <v>994</v>
      </c>
      <c r="Z7" s="112" t="s">
        <v>995</v>
      </c>
    </row>
    <row r="8" spans="6:26" ht="15.75" x14ac:dyDescent="0.25">
      <c r="F8" s="251"/>
      <c r="G8" s="112" t="s">
        <v>982</v>
      </c>
      <c r="H8" s="125"/>
      <c r="I8" s="41">
        <v>264</v>
      </c>
      <c r="J8" s="125">
        <f t="shared" ref="J8:J18" si="3">H8+I8</f>
        <v>264</v>
      </c>
      <c r="N8" s="252"/>
      <c r="O8" s="112">
        <v>125</v>
      </c>
      <c r="P8" s="116">
        <f>INDEX(REF_TABLE!$F$7:$F$32,MATCH(O8,REF_TABLE!$D$7:$D$32,0))</f>
        <v>140</v>
      </c>
      <c r="Q8" s="116">
        <f t="shared" si="0"/>
        <v>0.54</v>
      </c>
      <c r="R8" s="116">
        <f t="shared" si="1"/>
        <v>0.95000000000000007</v>
      </c>
      <c r="S8" s="112">
        <f t="shared" si="2"/>
        <v>0.6</v>
      </c>
      <c r="T8" s="112">
        <f t="shared" si="2"/>
        <v>1</v>
      </c>
      <c r="X8" s="112" t="s">
        <v>996</v>
      </c>
      <c r="Y8" s="112"/>
      <c r="Z8" s="112"/>
    </row>
    <row r="9" spans="6:26" ht="15.75" x14ac:dyDescent="0.25">
      <c r="F9" s="251"/>
      <c r="G9" s="41" t="s">
        <v>1012</v>
      </c>
      <c r="H9" s="125"/>
      <c r="I9" s="41">
        <v>120</v>
      </c>
      <c r="J9" s="125">
        <f t="shared" si="3"/>
        <v>120</v>
      </c>
      <c r="N9" s="252"/>
      <c r="O9" s="112">
        <v>130</v>
      </c>
      <c r="P9" s="116">
        <v>140</v>
      </c>
      <c r="Q9" s="116">
        <f t="shared" si="0"/>
        <v>0.54</v>
      </c>
      <c r="R9" s="116">
        <f t="shared" si="1"/>
        <v>0.95000000000000007</v>
      </c>
      <c r="S9" s="112">
        <f t="shared" si="2"/>
        <v>0.6</v>
      </c>
      <c r="T9" s="112">
        <f t="shared" si="2"/>
        <v>1</v>
      </c>
      <c r="X9" s="112" t="s">
        <v>1016</v>
      </c>
      <c r="Y9" s="112" t="s">
        <v>997</v>
      </c>
      <c r="Z9" s="112">
        <v>1</v>
      </c>
    </row>
    <row r="10" spans="6:26" ht="15.75" x14ac:dyDescent="0.25">
      <c r="F10" s="251"/>
      <c r="G10" s="112" t="s">
        <v>1013</v>
      </c>
      <c r="H10" s="115">
        <v>6930</v>
      </c>
      <c r="I10" s="115"/>
      <c r="J10" s="125">
        <f t="shared" si="3"/>
        <v>6930</v>
      </c>
      <c r="N10" s="252"/>
      <c r="O10" s="112">
        <v>200</v>
      </c>
      <c r="P10" s="116">
        <f>INDEX(REF_TABLE!$F$7:$F$32,MATCH(O10,REF_TABLE!$D$7:$D$32,0))</f>
        <v>219</v>
      </c>
      <c r="Q10" s="116">
        <f t="shared" si="0"/>
        <v>0.61899999999999999</v>
      </c>
      <c r="R10" s="116">
        <f t="shared" si="1"/>
        <v>1.0290000000000001</v>
      </c>
      <c r="S10" s="112">
        <f t="shared" si="2"/>
        <v>0.7</v>
      </c>
      <c r="T10" s="112">
        <f t="shared" si="2"/>
        <v>1.1000000000000001</v>
      </c>
      <c r="X10" s="112" t="s">
        <v>1017</v>
      </c>
      <c r="Y10" s="112" t="s">
        <v>997</v>
      </c>
      <c r="Z10" s="112">
        <v>1</v>
      </c>
    </row>
    <row r="11" spans="6:26" ht="15.75" x14ac:dyDescent="0.25">
      <c r="F11" s="251"/>
      <c r="G11" s="112" t="s">
        <v>1014</v>
      </c>
      <c r="H11" s="115">
        <v>8835</v>
      </c>
      <c r="I11" s="115"/>
      <c r="J11" s="125">
        <f t="shared" si="3"/>
        <v>8835</v>
      </c>
      <c r="N11" s="252"/>
      <c r="O11" s="112">
        <v>250</v>
      </c>
      <c r="P11" s="116">
        <f>INDEX(REF_TABLE!$F$7:$F$32,MATCH(O11,REF_TABLE!$D$7:$D$32,0))</f>
        <v>273</v>
      </c>
      <c r="Q11" s="116">
        <f t="shared" si="0"/>
        <v>0.67300000000000004</v>
      </c>
      <c r="R11" s="116">
        <f t="shared" si="1"/>
        <v>1.0830000000000002</v>
      </c>
      <c r="S11" s="112">
        <f t="shared" si="2"/>
        <v>0.7</v>
      </c>
      <c r="T11" s="112">
        <f t="shared" si="2"/>
        <v>1.1000000000000001</v>
      </c>
      <c r="X11" s="112" t="s">
        <v>1018</v>
      </c>
      <c r="Y11" s="112" t="s">
        <v>997</v>
      </c>
      <c r="Z11" s="112">
        <v>1</v>
      </c>
    </row>
    <row r="12" spans="6:26" ht="15.75" x14ac:dyDescent="0.25">
      <c r="F12" s="251"/>
      <c r="G12" s="112" t="s">
        <v>1003</v>
      </c>
      <c r="H12" s="41">
        <v>5389</v>
      </c>
      <c r="I12" s="115"/>
      <c r="J12" s="125">
        <f t="shared" si="3"/>
        <v>5389</v>
      </c>
      <c r="N12" s="252"/>
      <c r="O12" s="112">
        <v>300</v>
      </c>
      <c r="P12" s="116">
        <f>INDEX(REF_TABLE!$F$7:$F$32,MATCH(O12,REF_TABLE!$D$7:$D$32,0))</f>
        <v>325</v>
      </c>
      <c r="Q12" s="116">
        <f t="shared" si="0"/>
        <v>0.72500000000000009</v>
      </c>
      <c r="R12" s="116">
        <f t="shared" si="1"/>
        <v>1.135</v>
      </c>
      <c r="S12" s="112">
        <f t="shared" si="2"/>
        <v>0.79999999999999993</v>
      </c>
      <c r="T12" s="112">
        <f t="shared" si="2"/>
        <v>1.2000000000000002</v>
      </c>
      <c r="X12" s="112" t="s">
        <v>1019</v>
      </c>
      <c r="Y12" s="112" t="s">
        <v>997</v>
      </c>
      <c r="Z12" s="112">
        <v>1</v>
      </c>
    </row>
    <row r="13" spans="6:26" ht="15.75" x14ac:dyDescent="0.25">
      <c r="F13" s="251"/>
      <c r="G13" s="115" t="s">
        <v>1004</v>
      </c>
      <c r="H13" s="115">
        <v>8850</v>
      </c>
      <c r="I13" s="115"/>
      <c r="J13" s="125">
        <f t="shared" si="3"/>
        <v>8850</v>
      </c>
      <c r="N13" s="252"/>
      <c r="O13" s="112">
        <v>350</v>
      </c>
      <c r="P13" s="116">
        <f>INDEX(REF_TABLE!$F$7:$F$32,MATCH(O13,REF_TABLE!$D$7:$D$32,0))</f>
        <v>377</v>
      </c>
      <c r="Q13" s="116">
        <f t="shared" si="0"/>
        <v>0.77700000000000002</v>
      </c>
      <c r="R13" s="116">
        <f t="shared" si="1"/>
        <v>1.1870000000000001</v>
      </c>
      <c r="S13" s="112">
        <f t="shared" si="2"/>
        <v>0.79999999999999993</v>
      </c>
      <c r="T13" s="112">
        <f t="shared" si="2"/>
        <v>1.2000000000000002</v>
      </c>
      <c r="X13" s="112" t="s">
        <v>998</v>
      </c>
      <c r="Y13" s="112"/>
      <c r="Z13" s="112"/>
    </row>
    <row r="14" spans="6:26" ht="15.75" x14ac:dyDescent="0.25">
      <c r="F14" s="251"/>
      <c r="G14" s="115" t="s">
        <v>1005</v>
      </c>
      <c r="H14" s="115">
        <v>2506</v>
      </c>
      <c r="I14" s="115"/>
      <c r="J14" s="125">
        <f t="shared" si="3"/>
        <v>2506</v>
      </c>
      <c r="N14" s="252"/>
      <c r="O14" s="112">
        <v>400</v>
      </c>
      <c r="P14" s="116">
        <f>INDEX(REF_TABLE!$F$7:$F$32,MATCH(O14,REF_TABLE!$D$7:$D$32,0))</f>
        <v>426</v>
      </c>
      <c r="Q14" s="116">
        <f t="shared" si="0"/>
        <v>0.82600000000000007</v>
      </c>
      <c r="R14" s="116">
        <f t="shared" si="1"/>
        <v>1.236</v>
      </c>
      <c r="S14" s="112">
        <f t="shared" si="2"/>
        <v>0.9</v>
      </c>
      <c r="T14" s="112">
        <f t="shared" si="2"/>
        <v>1.3</v>
      </c>
      <c r="X14" s="112" t="s">
        <v>999</v>
      </c>
      <c r="Y14" s="112"/>
      <c r="Z14" s="112"/>
    </row>
    <row r="15" spans="6:26" ht="15.75" x14ac:dyDescent="0.25">
      <c r="F15" s="251"/>
      <c r="G15" s="125" t="s">
        <v>1006</v>
      </c>
      <c r="H15" s="115">
        <v>598</v>
      </c>
      <c r="I15" s="115"/>
      <c r="J15" s="125">
        <f t="shared" si="3"/>
        <v>598</v>
      </c>
      <c r="N15" s="252"/>
      <c r="O15" s="112">
        <v>450</v>
      </c>
      <c r="P15" s="116">
        <f>INDEX(REF_TABLE!$F$7:$F$32,MATCH(O15,REF_TABLE!$D$7:$D$32,0))</f>
        <v>470</v>
      </c>
      <c r="Q15" s="116">
        <f t="shared" si="0"/>
        <v>0.87000000000000011</v>
      </c>
      <c r="R15" s="116">
        <f t="shared" si="1"/>
        <v>1.28</v>
      </c>
      <c r="S15" s="112">
        <f t="shared" si="2"/>
        <v>0.9</v>
      </c>
      <c r="T15" s="112">
        <f t="shared" si="2"/>
        <v>1.3</v>
      </c>
      <c r="X15" s="112" t="s">
        <v>1375</v>
      </c>
      <c r="Y15" s="112" t="s">
        <v>997</v>
      </c>
      <c r="Z15" s="112">
        <v>1</v>
      </c>
    </row>
    <row r="16" spans="6:26" ht="15.75" x14ac:dyDescent="0.25">
      <c r="F16" s="251"/>
      <c r="G16" s="41" t="s">
        <v>1007</v>
      </c>
      <c r="H16" s="115">
        <v>7186</v>
      </c>
      <c r="I16" s="115"/>
      <c r="J16" s="125">
        <f t="shared" si="3"/>
        <v>7186</v>
      </c>
      <c r="N16" s="252"/>
      <c r="O16" s="112">
        <v>500</v>
      </c>
      <c r="P16" s="116">
        <f>INDEX(REF_TABLE!$F$7:$F$32,MATCH(O16,REF_TABLE!$D$7:$D$32,0))</f>
        <v>520</v>
      </c>
      <c r="Q16" s="116">
        <f t="shared" si="0"/>
        <v>0.92</v>
      </c>
      <c r="R16" s="116">
        <f t="shared" si="1"/>
        <v>1.33</v>
      </c>
      <c r="S16" s="112">
        <f t="shared" si="2"/>
        <v>1</v>
      </c>
      <c r="T16" s="112">
        <f t="shared" si="2"/>
        <v>1.4000000000000001</v>
      </c>
      <c r="X16" s="112" t="s">
        <v>1376</v>
      </c>
      <c r="Y16" s="112" t="s">
        <v>997</v>
      </c>
      <c r="Z16" s="112">
        <v>1</v>
      </c>
    </row>
    <row r="17" spans="6:26" ht="15.75" x14ac:dyDescent="0.25">
      <c r="F17" s="251"/>
      <c r="G17" s="41" t="s">
        <v>1008</v>
      </c>
      <c r="H17" s="115">
        <v>3114</v>
      </c>
      <c r="I17" s="115"/>
      <c r="J17" s="125">
        <f t="shared" si="3"/>
        <v>3114</v>
      </c>
      <c r="N17" s="252"/>
      <c r="O17" s="112">
        <v>600</v>
      </c>
      <c r="P17" s="116">
        <f>INDEX(REF_TABLE!$F$7:$F$32,MATCH(O17,REF_TABLE!$D$7:$D$32,0))</f>
        <v>630</v>
      </c>
      <c r="Q17" s="116">
        <f t="shared" si="0"/>
        <v>1.03</v>
      </c>
      <c r="R17" s="116">
        <f t="shared" si="1"/>
        <v>1.44</v>
      </c>
      <c r="S17" s="112">
        <f t="shared" si="2"/>
        <v>1.1000000000000001</v>
      </c>
      <c r="T17" s="112">
        <f t="shared" si="2"/>
        <v>1.5</v>
      </c>
      <c r="X17" s="112" t="s">
        <v>1000</v>
      </c>
      <c r="Y17" s="112" t="s">
        <v>997</v>
      </c>
      <c r="Z17" s="112">
        <v>1</v>
      </c>
    </row>
    <row r="18" spans="6:26" ht="15.75" x14ac:dyDescent="0.25">
      <c r="F18" s="251"/>
      <c r="G18" s="41" t="s">
        <v>1009</v>
      </c>
      <c r="H18" s="115">
        <v>620</v>
      </c>
      <c r="I18" s="115"/>
      <c r="J18" s="125">
        <f t="shared" si="3"/>
        <v>620</v>
      </c>
      <c r="N18" s="252"/>
      <c r="O18" s="112">
        <v>800</v>
      </c>
      <c r="P18" s="116">
        <f>INDEX(REF_TABLE!$F$7:$F$32,MATCH(O18,REF_TABLE!$D$7:$D$32,0))</f>
        <v>711</v>
      </c>
      <c r="Q18" s="116">
        <f t="shared" si="0"/>
        <v>1.111</v>
      </c>
      <c r="R18" s="116">
        <f t="shared" si="1"/>
        <v>1.5209999999999999</v>
      </c>
      <c r="S18" s="112">
        <f t="shared" si="2"/>
        <v>1.2000000000000002</v>
      </c>
      <c r="T18" s="112">
        <f t="shared" si="2"/>
        <v>1.6</v>
      </c>
      <c r="X18" s="112" t="s">
        <v>1001</v>
      </c>
      <c r="Y18" s="112"/>
      <c r="Z18" s="112"/>
    </row>
    <row r="19" spans="6:26" ht="15.75" x14ac:dyDescent="0.25">
      <c r="F19" s="124"/>
      <c r="G19" s="126" t="s">
        <v>983</v>
      </c>
      <c r="H19" s="115">
        <f>SUM(H7:H18)</f>
        <v>44028</v>
      </c>
      <c r="I19" s="115">
        <f>SUM(I7:I18)</f>
        <v>3023</v>
      </c>
      <c r="J19" s="115">
        <f>SUM(J7:J18)</f>
        <v>47051</v>
      </c>
      <c r="X19" s="112" t="s">
        <v>1015</v>
      </c>
      <c r="Y19" s="112" t="s">
        <v>997</v>
      </c>
      <c r="Z19" s="112">
        <v>2</v>
      </c>
    </row>
    <row r="20" spans="6:26" ht="15.75" x14ac:dyDescent="0.25">
      <c r="X20" s="112" t="s">
        <v>1022</v>
      </c>
      <c r="Y20" s="112" t="s">
        <v>997</v>
      </c>
      <c r="Z20" s="112">
        <v>2</v>
      </c>
    </row>
    <row r="21" spans="6:26" ht="15.75" x14ac:dyDescent="0.25">
      <c r="X21" s="112" t="s">
        <v>1002</v>
      </c>
      <c r="Y21" s="112" t="s">
        <v>997</v>
      </c>
      <c r="Z21" s="112">
        <v>3</v>
      </c>
    </row>
    <row r="24" spans="6:26" ht="15.75" x14ac:dyDescent="0.25">
      <c r="H24" s="121"/>
    </row>
    <row r="25" spans="6:26" ht="15.75" x14ac:dyDescent="0.25">
      <c r="H25" s="20"/>
    </row>
    <row r="26" spans="6:26" ht="15.75" x14ac:dyDescent="0.25">
      <c r="H26" s="20"/>
    </row>
    <row r="27" spans="6:26" ht="15.75" x14ac:dyDescent="0.25">
      <c r="H27" s="122"/>
    </row>
    <row r="28" spans="6:26" ht="15.75" x14ac:dyDescent="0.25">
      <c r="H28" s="20"/>
    </row>
    <row r="29" spans="6:26" ht="15.75" x14ac:dyDescent="0.25">
      <c r="H29" s="122"/>
    </row>
    <row r="30" spans="6:26" ht="15.75" x14ac:dyDescent="0.25">
      <c r="H30" s="122"/>
    </row>
    <row r="31" spans="6:26" ht="15.75" x14ac:dyDescent="0.25">
      <c r="H31" s="122"/>
    </row>
    <row r="32" spans="6:26" ht="15.75" x14ac:dyDescent="0.25">
      <c r="H32" s="122"/>
    </row>
    <row r="33" spans="8:8" ht="15.75" x14ac:dyDescent="0.25">
      <c r="H33" s="122"/>
    </row>
    <row r="34" spans="8:8" ht="15.75" x14ac:dyDescent="0.25">
      <c r="H34" s="122"/>
    </row>
  </sheetData>
  <mergeCells count="3">
    <mergeCell ref="F7:F18"/>
    <mergeCell ref="N7:N18"/>
    <mergeCell ref="X6:Z6"/>
  </mergeCells>
  <phoneticPr fontId="4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09DA-612B-4BC4-A0E5-1C145A7F47F2}">
  <dimension ref="C8:I54"/>
  <sheetViews>
    <sheetView topLeftCell="B19" workbookViewId="0">
      <selection activeCell="AK27" sqref="AK27"/>
    </sheetView>
  </sheetViews>
  <sheetFormatPr baseColWidth="10" defaultRowHeight="15" x14ac:dyDescent="0.25"/>
  <cols>
    <col min="3" max="3" width="34.140625" bestFit="1" customWidth="1"/>
    <col min="4" max="4" width="63.140625" bestFit="1" customWidth="1"/>
    <col min="7" max="7" width="28.5703125" bestFit="1" customWidth="1"/>
    <col min="9" max="9" width="14.42578125" bestFit="1" customWidth="1"/>
  </cols>
  <sheetData>
    <row r="8" spans="3:9" ht="15.75" x14ac:dyDescent="0.25">
      <c r="C8" s="255" t="s">
        <v>1074</v>
      </c>
      <c r="D8" s="255"/>
      <c r="E8" s="20"/>
      <c r="F8" s="20"/>
      <c r="G8" s="20"/>
      <c r="H8" s="20"/>
      <c r="I8" s="20"/>
    </row>
    <row r="9" spans="3:9" ht="15.75" x14ac:dyDescent="0.25">
      <c r="C9" s="132" t="s">
        <v>1023</v>
      </c>
      <c r="D9" s="132" t="s">
        <v>1024</v>
      </c>
      <c r="E9" s="20"/>
      <c r="F9" s="20"/>
      <c r="G9" s="128" t="s">
        <v>1025</v>
      </c>
      <c r="H9" s="128" t="s">
        <v>2</v>
      </c>
      <c r="I9" s="128" t="s">
        <v>1026</v>
      </c>
    </row>
    <row r="10" spans="3:9" ht="18.75" x14ac:dyDescent="0.25">
      <c r="C10" s="133" t="s">
        <v>1027</v>
      </c>
      <c r="D10" s="133" t="s">
        <v>1028</v>
      </c>
      <c r="E10" s="20"/>
      <c r="F10" s="20"/>
      <c r="G10" s="129" t="s">
        <v>1029</v>
      </c>
      <c r="H10" s="129" t="s">
        <v>1030</v>
      </c>
      <c r="I10" s="130">
        <f>FORAGE_POMPE!H17</f>
        <v>2.2222222222222222E-3</v>
      </c>
    </row>
    <row r="11" spans="3:9" ht="18.75" x14ac:dyDescent="0.25">
      <c r="C11" s="133" t="s">
        <v>1031</v>
      </c>
      <c r="D11" s="134" t="s">
        <v>1044</v>
      </c>
      <c r="E11" s="20"/>
      <c r="F11" s="20"/>
      <c r="G11" s="129" t="s">
        <v>1029</v>
      </c>
      <c r="H11" s="129" t="s">
        <v>1085</v>
      </c>
      <c r="I11" s="130">
        <v>8</v>
      </c>
    </row>
    <row r="12" spans="3:9" ht="15.75" x14ac:dyDescent="0.25">
      <c r="C12" s="135" t="s">
        <v>1032</v>
      </c>
      <c r="D12" s="135" t="s">
        <v>1045</v>
      </c>
      <c r="E12" s="20"/>
      <c r="F12" s="20"/>
      <c r="G12" s="129" t="s">
        <v>924</v>
      </c>
      <c r="H12" s="129" t="s">
        <v>942</v>
      </c>
      <c r="I12" s="131">
        <v>187</v>
      </c>
    </row>
    <row r="13" spans="3:9" ht="15.75" x14ac:dyDescent="0.25">
      <c r="C13" s="135" t="s">
        <v>1050</v>
      </c>
      <c r="D13" s="135" t="s">
        <v>1051</v>
      </c>
      <c r="E13" s="20"/>
      <c r="F13" s="20"/>
      <c r="G13" s="129" t="s">
        <v>1033</v>
      </c>
      <c r="H13" s="129" t="s">
        <v>1034</v>
      </c>
      <c r="I13" s="131">
        <f>(1000*9.81*I10*I12)/1000</f>
        <v>4.0766</v>
      </c>
    </row>
    <row r="14" spans="3:9" ht="15.75" x14ac:dyDescent="0.25">
      <c r="C14" s="135" t="s">
        <v>1036</v>
      </c>
      <c r="D14" s="135" t="s">
        <v>1052</v>
      </c>
      <c r="E14" s="20"/>
      <c r="F14" s="20"/>
      <c r="G14" s="129" t="s">
        <v>1035</v>
      </c>
      <c r="H14" s="129" t="s">
        <v>7</v>
      </c>
      <c r="I14" s="129">
        <v>80</v>
      </c>
    </row>
    <row r="15" spans="3:9" ht="15.75" x14ac:dyDescent="0.25">
      <c r="C15" s="135" t="s">
        <v>1053</v>
      </c>
      <c r="D15" s="135" t="s">
        <v>1046</v>
      </c>
      <c r="E15" s="20"/>
      <c r="F15" s="20"/>
      <c r="G15" s="129" t="s">
        <v>1037</v>
      </c>
      <c r="H15" s="129" t="s">
        <v>7</v>
      </c>
      <c r="I15" s="129">
        <v>70</v>
      </c>
    </row>
    <row r="16" spans="3:9" ht="30.75" x14ac:dyDescent="0.25">
      <c r="C16" s="135" t="s">
        <v>1054</v>
      </c>
      <c r="D16" s="135" t="s">
        <v>1047</v>
      </c>
      <c r="E16" s="20"/>
      <c r="F16" s="20"/>
      <c r="G16" s="129" t="s">
        <v>1075</v>
      </c>
      <c r="H16" s="129" t="s">
        <v>1034</v>
      </c>
      <c r="I16" s="131">
        <f>I13/((I14/100)*(I15/100))</f>
        <v>7.279642857142858</v>
      </c>
    </row>
    <row r="17" spans="3:9" ht="15.75" x14ac:dyDescent="0.25">
      <c r="C17" s="135" t="s">
        <v>1038</v>
      </c>
      <c r="D17" s="135" t="s">
        <v>1039</v>
      </c>
      <c r="E17" s="20"/>
      <c r="F17" s="20"/>
      <c r="G17" s="20"/>
      <c r="H17" s="20"/>
      <c r="I17" s="20"/>
    </row>
    <row r="18" spans="3:9" ht="15.75" x14ac:dyDescent="0.25">
      <c r="C18" s="135" t="s">
        <v>1040</v>
      </c>
      <c r="D18" s="135" t="s">
        <v>1048</v>
      </c>
      <c r="E18" s="20"/>
      <c r="F18" s="20"/>
      <c r="G18" s="20"/>
      <c r="H18" s="20"/>
      <c r="I18" s="20"/>
    </row>
    <row r="19" spans="3:9" ht="15.75" x14ac:dyDescent="0.25">
      <c r="C19" s="135" t="s">
        <v>1041</v>
      </c>
      <c r="D19" s="135" t="s">
        <v>1055</v>
      </c>
      <c r="E19" s="20"/>
      <c r="F19" s="20"/>
      <c r="G19" s="20"/>
      <c r="H19" s="20"/>
      <c r="I19" s="20"/>
    </row>
    <row r="20" spans="3:9" ht="15.75" x14ac:dyDescent="0.25">
      <c r="C20" s="135" t="s">
        <v>1056</v>
      </c>
      <c r="D20" s="135" t="s">
        <v>1049</v>
      </c>
      <c r="E20" s="20"/>
      <c r="F20" s="20"/>
      <c r="G20" s="20" t="s">
        <v>1042</v>
      </c>
      <c r="H20" s="20" t="s">
        <v>1043</v>
      </c>
      <c r="I20" s="20">
        <f xml:space="preserve"> (2 * 0.002725 * I11 * I12) / (I14% * I15% *E21)</f>
        <v>17.12857142857143</v>
      </c>
    </row>
    <row r="21" spans="3:9" ht="15.75" x14ac:dyDescent="0.25">
      <c r="C21" s="135" t="s">
        <v>1057</v>
      </c>
      <c r="D21" s="135" t="s">
        <v>1058</v>
      </c>
      <c r="E21" s="20">
        <v>0.85</v>
      </c>
      <c r="F21" s="20"/>
      <c r="G21" s="20"/>
      <c r="H21" s="20"/>
      <c r="I21" s="20"/>
    </row>
    <row r="22" spans="3:9" ht="30.75" x14ac:dyDescent="0.25">
      <c r="C22" s="135" t="s">
        <v>1059</v>
      </c>
      <c r="D22" s="135" t="s">
        <v>1084</v>
      </c>
      <c r="E22" s="20"/>
      <c r="F22" s="20"/>
      <c r="G22" s="20"/>
      <c r="H22" s="20"/>
      <c r="I22" s="20"/>
    </row>
    <row r="23" spans="3:9" ht="30.75" x14ac:dyDescent="0.25">
      <c r="C23" s="135" t="s">
        <v>1060</v>
      </c>
      <c r="D23" s="135" t="s">
        <v>1061</v>
      </c>
      <c r="E23" s="20"/>
      <c r="F23" s="20"/>
      <c r="G23" s="20"/>
      <c r="H23" s="20"/>
      <c r="I23" s="20"/>
    </row>
    <row r="24" spans="3:9" ht="15.75" x14ac:dyDescent="0.25">
      <c r="C24" s="135" t="s">
        <v>1062</v>
      </c>
      <c r="D24" s="135" t="s">
        <v>1063</v>
      </c>
      <c r="G24" s="20"/>
      <c r="H24" s="20"/>
      <c r="I24" s="20"/>
    </row>
    <row r="25" spans="3:9" ht="15.75" x14ac:dyDescent="0.25">
      <c r="C25" s="135" t="s">
        <v>1064</v>
      </c>
      <c r="D25" s="135" t="s">
        <v>1065</v>
      </c>
    </row>
    <row r="26" spans="3:9" ht="15.75" x14ac:dyDescent="0.25">
      <c r="C26" s="135" t="s">
        <v>1066</v>
      </c>
      <c r="D26" s="135" t="s">
        <v>1067</v>
      </c>
    </row>
    <row r="27" spans="3:9" ht="30.75" x14ac:dyDescent="0.25">
      <c r="C27" s="135" t="s">
        <v>1068</v>
      </c>
      <c r="D27" s="135" t="s">
        <v>1069</v>
      </c>
    </row>
    <row r="28" spans="3:9" ht="15.75" x14ac:dyDescent="0.25">
      <c r="C28" s="135" t="s">
        <v>1070</v>
      </c>
      <c r="D28" s="135" t="s">
        <v>1071</v>
      </c>
    </row>
    <row r="29" spans="3:9" ht="15.75" x14ac:dyDescent="0.25">
      <c r="C29" s="135" t="s">
        <v>1072</v>
      </c>
      <c r="D29" s="135" t="s">
        <v>1073</v>
      </c>
      <c r="E29">
        <v>5300</v>
      </c>
    </row>
    <row r="30" spans="3:9" ht="15.75" x14ac:dyDescent="0.25">
      <c r="C30" s="20"/>
      <c r="D30" s="20"/>
    </row>
    <row r="33" spans="3:9" ht="15.75" x14ac:dyDescent="0.25">
      <c r="C33" s="256" t="s">
        <v>1083</v>
      </c>
      <c r="D33" s="256"/>
    </row>
    <row r="34" spans="3:9" ht="15.75" x14ac:dyDescent="0.25">
      <c r="C34" s="136" t="s">
        <v>1023</v>
      </c>
      <c r="D34" s="136" t="s">
        <v>1024</v>
      </c>
    </row>
    <row r="35" spans="3:9" ht="15.75" x14ac:dyDescent="0.25">
      <c r="C35" s="135" t="s">
        <v>1027</v>
      </c>
      <c r="D35" s="135" t="s">
        <v>1076</v>
      </c>
    </row>
    <row r="36" spans="3:9" ht="15.75" x14ac:dyDescent="0.25">
      <c r="C36" s="135" t="s">
        <v>1031</v>
      </c>
      <c r="D36" s="135" t="s">
        <v>1077</v>
      </c>
      <c r="G36" s="128" t="s">
        <v>1025</v>
      </c>
      <c r="H36" s="128" t="s">
        <v>2</v>
      </c>
      <c r="I36" s="128" t="s">
        <v>1026</v>
      </c>
    </row>
    <row r="37" spans="3:9" ht="18.75" x14ac:dyDescent="0.25">
      <c r="C37" s="135" t="s">
        <v>1032</v>
      </c>
      <c r="D37" s="135" t="s">
        <v>1045</v>
      </c>
      <c r="G37" s="129" t="s">
        <v>1029</v>
      </c>
      <c r="H37" s="129" t="s">
        <v>1030</v>
      </c>
      <c r="I37" s="130">
        <f>FORAGE_POMPE!J17</f>
        <v>2.2222222222222222E-3</v>
      </c>
    </row>
    <row r="38" spans="3:9" ht="18.75" x14ac:dyDescent="0.25">
      <c r="C38" s="135" t="s">
        <v>1050</v>
      </c>
      <c r="D38" s="135" t="s">
        <v>1078</v>
      </c>
      <c r="G38" s="129" t="s">
        <v>1029</v>
      </c>
      <c r="H38" s="129" t="s">
        <v>1085</v>
      </c>
      <c r="I38" s="130">
        <v>8</v>
      </c>
    </row>
    <row r="39" spans="3:9" ht="15.75" x14ac:dyDescent="0.25">
      <c r="C39" s="135" t="s">
        <v>1036</v>
      </c>
      <c r="D39" s="135" t="s">
        <v>1079</v>
      </c>
      <c r="G39" s="129" t="s">
        <v>924</v>
      </c>
      <c r="H39" s="129" t="s">
        <v>942</v>
      </c>
      <c r="I39" s="131">
        <f>FORAGE_POMPE!J28</f>
        <v>167.49865407914734</v>
      </c>
    </row>
    <row r="40" spans="3:9" ht="15.75" x14ac:dyDescent="0.25">
      <c r="C40" s="135" t="s">
        <v>1053</v>
      </c>
      <c r="D40" s="135" t="s">
        <v>1046</v>
      </c>
      <c r="G40" s="129" t="s">
        <v>1033</v>
      </c>
      <c r="H40" s="129" t="s">
        <v>1034</v>
      </c>
      <c r="I40" s="131">
        <f>(1000*9.81*I37*I39)/1000</f>
        <v>3.6514706589254122</v>
      </c>
    </row>
    <row r="41" spans="3:9" ht="30.75" x14ac:dyDescent="0.25">
      <c r="C41" s="135" t="s">
        <v>1054</v>
      </c>
      <c r="D41" s="135" t="s">
        <v>1080</v>
      </c>
      <c r="G41" s="129" t="s">
        <v>1035</v>
      </c>
      <c r="H41" s="129" t="s">
        <v>7</v>
      </c>
      <c r="I41" s="129">
        <v>80</v>
      </c>
    </row>
    <row r="42" spans="3:9" ht="15.75" x14ac:dyDescent="0.25">
      <c r="C42" s="135" t="s">
        <v>1038</v>
      </c>
      <c r="D42" s="135" t="s">
        <v>1039</v>
      </c>
      <c r="G42" s="129" t="s">
        <v>1037</v>
      </c>
      <c r="H42" s="129" t="s">
        <v>7</v>
      </c>
      <c r="I42" s="129">
        <v>70</v>
      </c>
    </row>
    <row r="43" spans="3:9" ht="15.75" x14ac:dyDescent="0.25">
      <c r="C43" s="135" t="s">
        <v>1040</v>
      </c>
      <c r="D43" s="135" t="s">
        <v>1048</v>
      </c>
      <c r="G43" s="129" t="s">
        <v>1075</v>
      </c>
      <c r="H43" s="129" t="s">
        <v>1034</v>
      </c>
      <c r="I43" s="131">
        <f>I40/((I41/100)*(I42/100))</f>
        <v>6.5204833195096654</v>
      </c>
    </row>
    <row r="44" spans="3:9" ht="15.75" x14ac:dyDescent="0.25">
      <c r="C44" s="135" t="s">
        <v>1041</v>
      </c>
      <c r="D44" s="135" t="s">
        <v>1055</v>
      </c>
      <c r="G44" s="20"/>
      <c r="H44" s="20"/>
      <c r="I44" s="20"/>
    </row>
    <row r="45" spans="3:9" ht="15.75" x14ac:dyDescent="0.25">
      <c r="C45" s="135" t="s">
        <v>1056</v>
      </c>
      <c r="D45" s="135" t="s">
        <v>1049</v>
      </c>
      <c r="G45" s="20"/>
      <c r="H45" s="20"/>
      <c r="I45" s="20"/>
    </row>
    <row r="46" spans="3:9" ht="15.75" x14ac:dyDescent="0.25">
      <c r="C46" s="135" t="s">
        <v>1057</v>
      </c>
      <c r="D46" s="135" t="s">
        <v>1058</v>
      </c>
      <c r="E46">
        <v>0.85</v>
      </c>
      <c r="G46" s="20"/>
      <c r="H46" s="20"/>
      <c r="I46" s="20"/>
    </row>
    <row r="47" spans="3:9" ht="15.75" x14ac:dyDescent="0.25">
      <c r="C47" s="135" t="s">
        <v>1059</v>
      </c>
      <c r="D47" s="135" t="s">
        <v>1081</v>
      </c>
      <c r="G47" s="20" t="s">
        <v>1042</v>
      </c>
      <c r="H47" s="20" t="s">
        <v>1043</v>
      </c>
      <c r="I47" s="20">
        <f>(2 * 0.002725 * I38 * I39) / (I41% * I42% * E46)</f>
        <v>15.34231369296392</v>
      </c>
    </row>
    <row r="48" spans="3:9" ht="30.75" x14ac:dyDescent="0.25">
      <c r="C48" s="135" t="s">
        <v>1060</v>
      </c>
      <c r="D48" s="135" t="s">
        <v>1061</v>
      </c>
    </row>
    <row r="49" spans="3:5" ht="15.75" x14ac:dyDescent="0.25">
      <c r="C49" s="135" t="s">
        <v>1062</v>
      </c>
      <c r="D49" s="135" t="s">
        <v>1063</v>
      </c>
    </row>
    <row r="50" spans="3:5" ht="15.75" x14ac:dyDescent="0.25">
      <c r="C50" s="135" t="s">
        <v>1064</v>
      </c>
      <c r="D50" s="135" t="s">
        <v>1065</v>
      </c>
    </row>
    <row r="51" spans="3:5" ht="15.75" x14ac:dyDescent="0.25">
      <c r="C51" s="135" t="s">
        <v>1066</v>
      </c>
      <c r="D51" s="135" t="s">
        <v>1067</v>
      </c>
    </row>
    <row r="52" spans="3:5" ht="30.75" x14ac:dyDescent="0.25">
      <c r="C52" s="135" t="s">
        <v>1068</v>
      </c>
      <c r="D52" s="135" t="s">
        <v>1069</v>
      </c>
    </row>
    <row r="53" spans="3:5" ht="15.75" x14ac:dyDescent="0.25">
      <c r="C53" s="135" t="s">
        <v>1070</v>
      </c>
      <c r="D53" s="135" t="s">
        <v>1071</v>
      </c>
    </row>
    <row r="54" spans="3:5" ht="15.75" x14ac:dyDescent="0.25">
      <c r="C54" s="135" t="s">
        <v>1072</v>
      </c>
      <c r="D54" s="135" t="s">
        <v>1082</v>
      </c>
      <c r="E54">
        <v>5300</v>
      </c>
    </row>
  </sheetData>
  <mergeCells count="2">
    <mergeCell ref="C8:D8"/>
    <mergeCell ref="C33:D33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D8ECF-7570-4942-B820-952277FB95A5}">
  <dimension ref="D4:AV157"/>
  <sheetViews>
    <sheetView topLeftCell="AH1" workbookViewId="0">
      <selection activeCell="AM11" sqref="AM11"/>
    </sheetView>
  </sheetViews>
  <sheetFormatPr baseColWidth="10" defaultRowHeight="15" x14ac:dyDescent="0.25"/>
  <cols>
    <col min="4" max="4" width="27.5703125" bestFit="1" customWidth="1"/>
    <col min="5" max="5" width="21.140625" customWidth="1"/>
    <col min="6" max="6" width="23.85546875" customWidth="1"/>
    <col min="7" max="7" width="20.28515625" bestFit="1" customWidth="1"/>
    <col min="8" max="8" width="21.140625" customWidth="1"/>
    <col min="13" max="14" width="27.85546875" customWidth="1"/>
    <col min="15" max="15" width="22.85546875" customWidth="1"/>
    <col min="16" max="16" width="21.5703125" customWidth="1"/>
    <col min="17" max="17" width="22.140625" customWidth="1"/>
    <col min="18" max="18" width="19.42578125" customWidth="1"/>
    <col min="22" max="22" width="25.85546875" bestFit="1" customWidth="1"/>
    <col min="23" max="23" width="17.5703125" bestFit="1" customWidth="1"/>
    <col min="24" max="24" width="20.7109375" customWidth="1"/>
    <col min="25" max="25" width="15.140625" customWidth="1"/>
    <col min="26" max="26" width="19.140625" customWidth="1"/>
    <col min="33" max="33" width="39.140625" customWidth="1"/>
    <col min="35" max="35" width="10.42578125" customWidth="1"/>
    <col min="36" max="36" width="16.42578125" customWidth="1"/>
    <col min="37" max="37" width="18.42578125" customWidth="1"/>
    <col min="43" max="43" width="8.85546875" bestFit="1" customWidth="1"/>
    <col min="44" max="44" width="59.7109375" customWidth="1"/>
    <col min="45" max="45" width="6.140625" bestFit="1" customWidth="1"/>
    <col min="46" max="46" width="14" bestFit="1" customWidth="1"/>
    <col min="47" max="48" width="21.5703125" bestFit="1" customWidth="1"/>
  </cols>
  <sheetData>
    <row r="4" spans="4:48" x14ac:dyDescent="0.25">
      <c r="F4" s="257" t="s">
        <v>1086</v>
      </c>
      <c r="G4" s="257"/>
      <c r="H4" s="257"/>
      <c r="O4" s="257" t="s">
        <v>1396</v>
      </c>
      <c r="P4" s="257"/>
      <c r="Q4" s="257"/>
      <c r="W4" s="257" t="s">
        <v>1422</v>
      </c>
      <c r="X4" s="257"/>
      <c r="Y4" s="257"/>
    </row>
    <row r="5" spans="4:48" ht="31.5" x14ac:dyDescent="0.25">
      <c r="D5" s="137" t="s">
        <v>1087</v>
      </c>
      <c r="E5" s="138" t="s">
        <v>1088</v>
      </c>
      <c r="F5" s="138" t="s">
        <v>1089</v>
      </c>
      <c r="G5" s="139" t="s">
        <v>1090</v>
      </c>
      <c r="H5" s="138" t="s">
        <v>1091</v>
      </c>
      <c r="M5" s="151" t="s">
        <v>1397</v>
      </c>
      <c r="N5" s="151" t="s">
        <v>1408</v>
      </c>
      <c r="O5" s="152" t="s">
        <v>1398</v>
      </c>
      <c r="P5" s="153" t="s">
        <v>1399</v>
      </c>
      <c r="Q5" s="138" t="s">
        <v>1410</v>
      </c>
      <c r="R5" s="138" t="s">
        <v>1409</v>
      </c>
      <c r="V5" s="162" t="s">
        <v>1411</v>
      </c>
      <c r="W5" s="152" t="s">
        <v>1412</v>
      </c>
      <c r="X5" s="153" t="s">
        <v>1399</v>
      </c>
      <c r="Y5" s="63" t="s">
        <v>1413</v>
      </c>
      <c r="Z5" s="138" t="s">
        <v>1400</v>
      </c>
      <c r="AF5" s="164" t="s">
        <v>1423</v>
      </c>
      <c r="AG5" s="164" t="s">
        <v>1023</v>
      </c>
      <c r="AH5" s="164" t="s">
        <v>994</v>
      </c>
      <c r="AI5" s="164" t="s">
        <v>995</v>
      </c>
      <c r="AJ5" s="164" t="s">
        <v>1424</v>
      </c>
      <c r="AK5" s="164" t="s">
        <v>1425</v>
      </c>
      <c r="AQ5" s="148" t="s">
        <v>1097</v>
      </c>
      <c r="AR5" s="167" t="s">
        <v>993</v>
      </c>
      <c r="AS5" s="148" t="s">
        <v>994</v>
      </c>
      <c r="AT5" s="148" t="s">
        <v>995</v>
      </c>
      <c r="AU5" s="168" t="s">
        <v>1098</v>
      </c>
      <c r="AV5" s="148" t="s">
        <v>1099</v>
      </c>
    </row>
    <row r="6" spans="4:48" ht="15.75" x14ac:dyDescent="0.25">
      <c r="D6" s="140" t="s">
        <v>1092</v>
      </c>
      <c r="E6" s="141">
        <v>15</v>
      </c>
      <c r="F6" s="142">
        <v>6.7</v>
      </c>
      <c r="G6" s="143">
        <v>13000000</v>
      </c>
      <c r="H6" s="144">
        <v>866667</v>
      </c>
      <c r="M6" s="154" t="s">
        <v>1401</v>
      </c>
      <c r="N6" s="154">
        <v>3</v>
      </c>
      <c r="O6" s="155">
        <v>250000</v>
      </c>
      <c r="P6" s="156">
        <f t="shared" ref="P6:P11" si="0">O6*12</f>
        <v>3000000</v>
      </c>
      <c r="Q6" s="157">
        <f t="shared" ref="Q6:Q11" si="1">P6*20</f>
        <v>60000000</v>
      </c>
      <c r="R6">
        <f>Q6*N6</f>
        <v>180000000</v>
      </c>
      <c r="V6" s="140" t="s">
        <v>1414</v>
      </c>
      <c r="W6" s="160">
        <f t="shared" ref="W6:W12" si="2">X6/12</f>
        <v>1412786.5458250002</v>
      </c>
      <c r="X6" s="160">
        <f t="shared" ref="X6:X12" si="3">Z6/20</f>
        <v>16953438.549900003</v>
      </c>
      <c r="Y6" s="63">
        <v>10</v>
      </c>
      <c r="Z6" s="160">
        <f>Y6%*(AV49+(18%*AV49))</f>
        <v>339068770.99800003</v>
      </c>
      <c r="AF6" s="164">
        <v>1</v>
      </c>
      <c r="AG6" s="164" t="s">
        <v>1426</v>
      </c>
      <c r="AH6" s="164" t="s">
        <v>1427</v>
      </c>
      <c r="AI6" s="164">
        <v>1</v>
      </c>
      <c r="AJ6" s="165">
        <f>AV12</f>
        <v>16000000</v>
      </c>
      <c r="AK6" s="165">
        <f>AJ6*AI6</f>
        <v>16000000</v>
      </c>
      <c r="AQ6" s="149">
        <v>1</v>
      </c>
      <c r="AR6" s="169" t="s">
        <v>1100</v>
      </c>
      <c r="AS6" s="149"/>
      <c r="AT6" s="149"/>
      <c r="AU6" s="170"/>
      <c r="AV6" s="149"/>
    </row>
    <row r="7" spans="4:48" ht="15.75" x14ac:dyDescent="0.25">
      <c r="D7" s="140" t="s">
        <v>1394</v>
      </c>
      <c r="E7" s="140">
        <v>10</v>
      </c>
      <c r="F7" s="140">
        <f>100/E7</f>
        <v>10</v>
      </c>
      <c r="G7" s="143">
        <f>AV52 + (18%*AV52)</f>
        <v>7629880</v>
      </c>
      <c r="H7" s="146">
        <f>G7*F7/100</f>
        <v>762988</v>
      </c>
      <c r="M7" s="154" t="s">
        <v>1402</v>
      </c>
      <c r="N7" s="154">
        <v>4</v>
      </c>
      <c r="O7" s="155">
        <v>200000</v>
      </c>
      <c r="P7" s="156">
        <f t="shared" si="0"/>
        <v>2400000</v>
      </c>
      <c r="Q7" s="157">
        <f t="shared" si="1"/>
        <v>48000000</v>
      </c>
      <c r="R7">
        <f t="shared" ref="R7:R11" si="4">Q7*N7</f>
        <v>192000000</v>
      </c>
      <c r="V7" s="140" t="s">
        <v>1415</v>
      </c>
      <c r="W7" s="160">
        <f t="shared" si="2"/>
        <v>1524166.6666666667</v>
      </c>
      <c r="X7" s="160">
        <f t="shared" si="3"/>
        <v>18290000</v>
      </c>
      <c r="Y7" s="63">
        <v>10</v>
      </c>
      <c r="Z7" s="160">
        <f>Y7%*(AV71+(18%*AV71))</f>
        <v>365800000</v>
      </c>
      <c r="AF7" s="164">
        <v>2</v>
      </c>
      <c r="AG7" s="164" t="s">
        <v>1428</v>
      </c>
      <c r="AH7" s="164" t="s">
        <v>1427</v>
      </c>
      <c r="AI7" s="164">
        <v>1</v>
      </c>
      <c r="AJ7" s="165">
        <f>AV49</f>
        <v>2873464161</v>
      </c>
      <c r="AK7" s="165">
        <f>AJ7*AI7</f>
        <v>2873464161</v>
      </c>
      <c r="AQ7" s="148" t="s">
        <v>1101</v>
      </c>
      <c r="AR7" s="167" t="s">
        <v>1102</v>
      </c>
      <c r="AS7" s="148" t="s">
        <v>1103</v>
      </c>
      <c r="AT7" s="148">
        <v>1</v>
      </c>
      <c r="AU7" s="171">
        <v>1500000</v>
      </c>
      <c r="AV7" s="171">
        <v>1500000</v>
      </c>
    </row>
    <row r="8" spans="4:48" ht="30" x14ac:dyDescent="0.25">
      <c r="D8" s="140" t="s">
        <v>1395</v>
      </c>
      <c r="E8" s="140">
        <v>10</v>
      </c>
      <c r="F8" s="140">
        <f>100/E8</f>
        <v>10</v>
      </c>
      <c r="G8" s="143">
        <f>AV53 + (18%*AV53)</f>
        <v>3814940</v>
      </c>
      <c r="H8" s="146">
        <f>G8*F8/100</f>
        <v>381494</v>
      </c>
      <c r="M8" s="158" t="s">
        <v>1403</v>
      </c>
      <c r="N8" s="158">
        <v>10</v>
      </c>
      <c r="O8" s="159">
        <v>150000</v>
      </c>
      <c r="P8" s="159">
        <f t="shared" si="0"/>
        <v>1800000</v>
      </c>
      <c r="Q8" s="160">
        <f t="shared" si="1"/>
        <v>36000000</v>
      </c>
      <c r="R8">
        <f t="shared" si="4"/>
        <v>360000000</v>
      </c>
      <c r="V8" s="140" t="s">
        <v>1416</v>
      </c>
      <c r="W8" s="160">
        <f t="shared" si="2"/>
        <v>10833.333333333334</v>
      </c>
      <c r="X8" s="160">
        <f t="shared" si="3"/>
        <v>130000</v>
      </c>
      <c r="Y8" s="63">
        <v>20</v>
      </c>
      <c r="Z8" s="160">
        <f>Y8%*G6</f>
        <v>2600000</v>
      </c>
      <c r="AF8" s="164">
        <v>3</v>
      </c>
      <c r="AG8" s="164" t="s">
        <v>1429</v>
      </c>
      <c r="AH8" s="164" t="s">
        <v>1427</v>
      </c>
      <c r="AI8" s="164">
        <v>1</v>
      </c>
      <c r="AJ8" s="165">
        <f>AV66</f>
        <v>55533000</v>
      </c>
      <c r="AK8" s="165">
        <f>AJ8*AI8</f>
        <v>55533000</v>
      </c>
      <c r="AQ8" s="148" t="s">
        <v>1104</v>
      </c>
      <c r="AR8" s="167" t="s">
        <v>1105</v>
      </c>
      <c r="AS8" s="148" t="s">
        <v>1103</v>
      </c>
      <c r="AT8" s="148">
        <v>1</v>
      </c>
      <c r="AU8" s="171">
        <v>11000000</v>
      </c>
      <c r="AV8" s="171">
        <v>11000000</v>
      </c>
    </row>
    <row r="9" spans="4:48" ht="30" x14ac:dyDescent="0.25">
      <c r="D9" s="140" t="s">
        <v>1093</v>
      </c>
      <c r="E9" s="140">
        <v>10</v>
      </c>
      <c r="F9" s="140">
        <f>100/E9</f>
        <v>10</v>
      </c>
      <c r="G9" s="145">
        <f>AV55 +(18%* AV55)</f>
        <v>3540000</v>
      </c>
      <c r="H9" s="146">
        <f t="shared" ref="H9:H11" si="5">G9*F9/100</f>
        <v>354000</v>
      </c>
      <c r="M9" s="158" t="s">
        <v>1404</v>
      </c>
      <c r="N9" s="158">
        <v>5</v>
      </c>
      <c r="O9" s="159">
        <v>100000</v>
      </c>
      <c r="P9" s="159">
        <f t="shared" si="0"/>
        <v>1200000</v>
      </c>
      <c r="Q9" s="160">
        <f t="shared" si="1"/>
        <v>24000000</v>
      </c>
      <c r="R9">
        <f t="shared" si="4"/>
        <v>120000000</v>
      </c>
      <c r="V9" s="140" t="s">
        <v>1417</v>
      </c>
      <c r="W9" s="160">
        <f t="shared" si="2"/>
        <v>1246670</v>
      </c>
      <c r="X9" s="160">
        <f t="shared" si="3"/>
        <v>14960040</v>
      </c>
      <c r="Y9" s="63">
        <v>20</v>
      </c>
      <c r="Z9" s="160">
        <f>Y9*((AU60+AU62+AU64+AU65)+18%*(AU60+AU62+AU64+AU65))</f>
        <v>299200800</v>
      </c>
      <c r="AF9" s="164">
        <v>4</v>
      </c>
      <c r="AG9" s="164" t="s">
        <v>1434</v>
      </c>
      <c r="AH9" s="164" t="s">
        <v>1427</v>
      </c>
      <c r="AI9" s="164">
        <v>1</v>
      </c>
      <c r="AJ9" s="165">
        <f>AV72</f>
        <v>3122000000</v>
      </c>
      <c r="AK9" s="165">
        <f>AJ9*AI9</f>
        <v>3122000000</v>
      </c>
      <c r="AQ9" s="148" t="s">
        <v>1106</v>
      </c>
      <c r="AR9" s="167" t="s">
        <v>1107</v>
      </c>
      <c r="AS9" s="148" t="s">
        <v>1103</v>
      </c>
      <c r="AT9" s="148">
        <v>1</v>
      </c>
      <c r="AU9" s="171">
        <v>1450000</v>
      </c>
      <c r="AV9" s="171">
        <v>1450000</v>
      </c>
    </row>
    <row r="10" spans="4:48" ht="15.75" x14ac:dyDescent="0.25">
      <c r="D10" s="140" t="s">
        <v>1094</v>
      </c>
      <c r="E10" s="140">
        <v>10</v>
      </c>
      <c r="F10" s="140">
        <f>100/E10</f>
        <v>10</v>
      </c>
      <c r="G10" s="145">
        <f>AV57 +(18%*AV57)</f>
        <v>2124000</v>
      </c>
      <c r="H10" s="146">
        <f t="shared" si="5"/>
        <v>212400</v>
      </c>
      <c r="M10" s="158" t="s">
        <v>1405</v>
      </c>
      <c r="N10" s="158">
        <v>5</v>
      </c>
      <c r="O10" s="159">
        <v>220000</v>
      </c>
      <c r="P10" s="159">
        <f t="shared" si="0"/>
        <v>2640000</v>
      </c>
      <c r="Q10" s="160">
        <f>P10*2</f>
        <v>5280000</v>
      </c>
      <c r="R10">
        <f t="shared" si="4"/>
        <v>26400000</v>
      </c>
      <c r="V10" s="140" t="s">
        <v>1418</v>
      </c>
      <c r="W10" s="160">
        <f t="shared" si="2"/>
        <v>4768.6750000000002</v>
      </c>
      <c r="X10" s="160">
        <f t="shared" si="3"/>
        <v>57224.1</v>
      </c>
      <c r="Y10" s="63">
        <v>10</v>
      </c>
      <c r="Z10" s="160">
        <f>Y10%*((AV52+AV53)+18%*((AV52+AV53)))</f>
        <v>1144482</v>
      </c>
      <c r="AF10" s="164">
        <v>5</v>
      </c>
      <c r="AG10" s="164" t="s">
        <v>1430</v>
      </c>
      <c r="AH10" s="164" t="s">
        <v>1427</v>
      </c>
      <c r="AI10" s="164">
        <v>1</v>
      </c>
      <c r="AJ10" s="165">
        <f>AV155</f>
        <v>107816520</v>
      </c>
      <c r="AK10" s="165">
        <f>AJ10*AI10</f>
        <v>107816520</v>
      </c>
      <c r="AQ10" s="148" t="s">
        <v>1108</v>
      </c>
      <c r="AR10" s="167" t="s">
        <v>1109</v>
      </c>
      <c r="AS10" s="148" t="s">
        <v>1103</v>
      </c>
      <c r="AT10" s="148">
        <v>1</v>
      </c>
      <c r="AU10" s="171">
        <v>250000</v>
      </c>
      <c r="AV10" s="171">
        <v>250000</v>
      </c>
    </row>
    <row r="11" spans="4:48" ht="15.75" x14ac:dyDescent="0.25">
      <c r="D11" s="140" t="s">
        <v>1095</v>
      </c>
      <c r="E11" s="140">
        <v>10</v>
      </c>
      <c r="F11" s="140">
        <f>100/E11</f>
        <v>10</v>
      </c>
      <c r="G11" s="145">
        <f>AV60 +(18%*AV60)</f>
        <v>20100120</v>
      </c>
      <c r="H11" s="146">
        <f t="shared" si="5"/>
        <v>2010012</v>
      </c>
      <c r="M11" s="158" t="s">
        <v>1406</v>
      </c>
      <c r="N11" s="158">
        <v>3</v>
      </c>
      <c r="O11" s="159">
        <v>80000</v>
      </c>
      <c r="P11" s="159">
        <f t="shared" si="0"/>
        <v>960000</v>
      </c>
      <c r="Q11" s="160">
        <f t="shared" si="1"/>
        <v>19200000</v>
      </c>
      <c r="R11">
        <f t="shared" si="4"/>
        <v>57600000</v>
      </c>
      <c r="V11" s="140" t="s">
        <v>1419</v>
      </c>
      <c r="W11" s="160">
        <f t="shared" si="2"/>
        <v>12500</v>
      </c>
      <c r="X11" s="160">
        <f t="shared" si="3"/>
        <v>150000</v>
      </c>
      <c r="Y11" s="63"/>
      <c r="Z11" s="160">
        <f>AV58</f>
        <v>3000000</v>
      </c>
      <c r="AF11" s="164"/>
      <c r="AG11" s="164" t="s">
        <v>1431</v>
      </c>
      <c r="AH11" s="164" t="s">
        <v>1427</v>
      </c>
      <c r="AI11" s="164"/>
      <c r="AJ11" s="164"/>
      <c r="AK11" s="165">
        <f>SUM(AK6:AK10)</f>
        <v>6174813681</v>
      </c>
      <c r="AQ11" s="148" t="s">
        <v>1110</v>
      </c>
      <c r="AR11" s="167" t="s">
        <v>1111</v>
      </c>
      <c r="AS11" s="148" t="s">
        <v>1103</v>
      </c>
      <c r="AT11" s="148">
        <v>1</v>
      </c>
      <c r="AU11" s="171">
        <v>1800000</v>
      </c>
      <c r="AV11" s="171">
        <v>1800000</v>
      </c>
    </row>
    <row r="12" spans="4:48" ht="15.75" x14ac:dyDescent="0.25">
      <c r="D12" s="258" t="s">
        <v>1096</v>
      </c>
      <c r="E12" s="258"/>
      <c r="F12" s="258"/>
      <c r="G12" s="258"/>
      <c r="H12" s="147">
        <f>SUM(H6:H11)*20</f>
        <v>91751220</v>
      </c>
      <c r="M12" s="259" t="s">
        <v>1407</v>
      </c>
      <c r="N12" s="260"/>
      <c r="O12" s="260"/>
      <c r="P12" s="261"/>
      <c r="Q12" s="161"/>
      <c r="R12">
        <f>SUM(R6:R11)</f>
        <v>936000000</v>
      </c>
      <c r="V12" s="140" t="s">
        <v>1420</v>
      </c>
      <c r="W12" s="160">
        <f t="shared" si="2"/>
        <v>10000</v>
      </c>
      <c r="X12" s="160">
        <f t="shared" si="3"/>
        <v>120000</v>
      </c>
      <c r="Y12" s="63"/>
      <c r="Z12" s="160">
        <v>2400000</v>
      </c>
      <c r="AF12" s="164"/>
      <c r="AG12" s="164" t="s">
        <v>1432</v>
      </c>
      <c r="AH12" s="164" t="s">
        <v>1427</v>
      </c>
      <c r="AI12" s="166">
        <v>0.18</v>
      </c>
      <c r="AJ12" s="164"/>
      <c r="AK12" s="165">
        <f>AK11*AI12</f>
        <v>1111466462.5799999</v>
      </c>
      <c r="AQ12" s="148"/>
      <c r="AR12" s="172" t="s">
        <v>1112</v>
      </c>
      <c r="AS12" s="148"/>
      <c r="AT12" s="148"/>
      <c r="AU12" s="171"/>
      <c r="AV12" s="171">
        <v>16000000</v>
      </c>
    </row>
    <row r="13" spans="4:48" ht="15.75" x14ac:dyDescent="0.25">
      <c r="V13" s="258" t="s">
        <v>1421</v>
      </c>
      <c r="W13" s="258"/>
      <c r="X13" s="258"/>
      <c r="Y13" s="63"/>
      <c r="Z13" s="163">
        <f>Z6+Z7+Z8+Z9+Z10+Z11+Z12</f>
        <v>1013214052.998</v>
      </c>
      <c r="AF13" s="164"/>
      <c r="AG13" s="164" t="s">
        <v>1433</v>
      </c>
      <c r="AH13" s="164" t="s">
        <v>1427</v>
      </c>
      <c r="AI13" s="164"/>
      <c r="AJ13" s="164"/>
      <c r="AK13" s="165">
        <f>AK12+AK11</f>
        <v>7286280143.5799999</v>
      </c>
      <c r="AQ13" s="149">
        <v>2</v>
      </c>
      <c r="AR13" s="169" t="s">
        <v>1113</v>
      </c>
      <c r="AS13" s="149"/>
      <c r="AT13" s="149"/>
      <c r="AU13" s="173"/>
      <c r="AV13" s="173"/>
    </row>
    <row r="14" spans="4:48" ht="30" x14ac:dyDescent="0.25">
      <c r="AQ14" s="148"/>
      <c r="AR14" s="167" t="s">
        <v>1114</v>
      </c>
      <c r="AS14" s="148"/>
      <c r="AT14" s="148"/>
      <c r="AU14" s="171"/>
      <c r="AV14" s="171"/>
    </row>
    <row r="15" spans="4:48" x14ac:dyDescent="0.25">
      <c r="AK15">
        <v>7286280143.5799999</v>
      </c>
      <c r="AQ15" s="148" t="s">
        <v>1115</v>
      </c>
      <c r="AR15" s="167" t="s">
        <v>1116</v>
      </c>
      <c r="AS15" s="148"/>
      <c r="AT15" s="148"/>
      <c r="AU15" s="171"/>
      <c r="AV15" s="171"/>
    </row>
    <row r="16" spans="4:48" ht="45" x14ac:dyDescent="0.25">
      <c r="AQ16" s="148"/>
      <c r="AR16" s="167" t="s">
        <v>1117</v>
      </c>
      <c r="AS16" s="148"/>
      <c r="AT16" s="148"/>
      <c r="AU16" s="171"/>
      <c r="AV16" s="171"/>
    </row>
    <row r="17" spans="43:48" x14ac:dyDescent="0.25">
      <c r="AQ17" s="148" t="s">
        <v>1118</v>
      </c>
      <c r="AR17" s="167" t="s">
        <v>1013</v>
      </c>
      <c r="AS17" s="148" t="s">
        <v>1119</v>
      </c>
      <c r="AT17" s="171">
        <v>6930</v>
      </c>
      <c r="AU17" s="171">
        <v>17933</v>
      </c>
      <c r="AV17" s="171">
        <f t="shared" ref="AV17:AV25" si="6">AU17*AT17</f>
        <v>124275690</v>
      </c>
    </row>
    <row r="18" spans="43:48" x14ac:dyDescent="0.25">
      <c r="AQ18" s="148" t="s">
        <v>1120</v>
      </c>
      <c r="AR18" s="167" t="s">
        <v>1014</v>
      </c>
      <c r="AS18" s="148" t="s">
        <v>1119</v>
      </c>
      <c r="AT18" s="171">
        <v>8835</v>
      </c>
      <c r="AU18" s="171">
        <v>28400</v>
      </c>
      <c r="AV18" s="171">
        <f t="shared" si="6"/>
        <v>250914000</v>
      </c>
    </row>
    <row r="19" spans="43:48" x14ac:dyDescent="0.25">
      <c r="AQ19" s="148" t="s">
        <v>1121</v>
      </c>
      <c r="AR19" s="174" t="s">
        <v>1003</v>
      </c>
      <c r="AS19" s="148" t="s">
        <v>1119</v>
      </c>
      <c r="AT19" s="171">
        <v>5389</v>
      </c>
      <c r="AU19" s="171">
        <v>40900</v>
      </c>
      <c r="AV19" s="171">
        <f t="shared" si="6"/>
        <v>220410100</v>
      </c>
    </row>
    <row r="20" spans="43:48" x14ac:dyDescent="0.25">
      <c r="AQ20" s="148" t="s">
        <v>1123</v>
      </c>
      <c r="AR20" s="175" t="s">
        <v>1004</v>
      </c>
      <c r="AS20" s="148" t="s">
        <v>1119</v>
      </c>
      <c r="AT20" s="171">
        <v>8850</v>
      </c>
      <c r="AU20" s="171">
        <v>55650</v>
      </c>
      <c r="AV20" s="171">
        <f t="shared" si="6"/>
        <v>492502500</v>
      </c>
    </row>
    <row r="21" spans="43:48" x14ac:dyDescent="0.25">
      <c r="AQ21" s="148" t="s">
        <v>1124</v>
      </c>
      <c r="AR21" s="175" t="s">
        <v>1005</v>
      </c>
      <c r="AS21" s="148" t="s">
        <v>1119</v>
      </c>
      <c r="AT21" s="171">
        <v>2506</v>
      </c>
      <c r="AU21" s="171">
        <v>72700</v>
      </c>
      <c r="AV21" s="171">
        <f t="shared" si="6"/>
        <v>182186200</v>
      </c>
    </row>
    <row r="22" spans="43:48" x14ac:dyDescent="0.25">
      <c r="AQ22" s="148" t="s">
        <v>1125</v>
      </c>
      <c r="AR22" s="176" t="s">
        <v>1006</v>
      </c>
      <c r="AS22" s="148" t="s">
        <v>1119</v>
      </c>
      <c r="AT22" s="171">
        <v>598</v>
      </c>
      <c r="AU22" s="171">
        <v>92000</v>
      </c>
      <c r="AV22" s="171">
        <f t="shared" si="6"/>
        <v>55016000</v>
      </c>
    </row>
    <row r="23" spans="43:48" x14ac:dyDescent="0.25">
      <c r="AQ23" s="148" t="s">
        <v>1126</v>
      </c>
      <c r="AR23" s="177" t="s">
        <v>1007</v>
      </c>
      <c r="AS23" s="148" t="s">
        <v>1119</v>
      </c>
      <c r="AT23" s="171">
        <v>7186</v>
      </c>
      <c r="AU23" s="171">
        <v>113600</v>
      </c>
      <c r="AV23" s="171">
        <f t="shared" si="6"/>
        <v>816329600</v>
      </c>
    </row>
    <row r="24" spans="43:48" x14ac:dyDescent="0.25">
      <c r="AQ24" s="148" t="s">
        <v>1127</v>
      </c>
      <c r="AR24" s="177" t="s">
        <v>1008</v>
      </c>
      <c r="AS24" s="148" t="s">
        <v>1119</v>
      </c>
      <c r="AT24" s="171">
        <v>3114</v>
      </c>
      <c r="AU24" s="171">
        <v>163600</v>
      </c>
      <c r="AV24" s="171">
        <f t="shared" si="6"/>
        <v>509450400</v>
      </c>
    </row>
    <row r="25" spans="43:48" x14ac:dyDescent="0.25">
      <c r="AQ25" s="148" t="s">
        <v>1128</v>
      </c>
      <c r="AR25" s="177" t="s">
        <v>1009</v>
      </c>
      <c r="AS25" s="148" t="s">
        <v>1119</v>
      </c>
      <c r="AT25" s="171">
        <v>620</v>
      </c>
      <c r="AU25" s="171">
        <v>290800</v>
      </c>
      <c r="AV25" s="171">
        <f t="shared" si="6"/>
        <v>180296000</v>
      </c>
    </row>
    <row r="26" spans="43:48" x14ac:dyDescent="0.25">
      <c r="AQ26" s="148" t="s">
        <v>1129</v>
      </c>
      <c r="AR26" s="167" t="s">
        <v>1130</v>
      </c>
      <c r="AS26" s="148"/>
      <c r="AT26" s="148"/>
      <c r="AU26" s="171"/>
      <c r="AV26" s="171"/>
    </row>
    <row r="27" spans="43:48" ht="45" x14ac:dyDescent="0.25">
      <c r="AQ27" s="148"/>
      <c r="AR27" s="167" t="s">
        <v>1131</v>
      </c>
      <c r="AS27" s="148" t="s">
        <v>1119</v>
      </c>
      <c r="AT27" s="148"/>
      <c r="AU27" s="171"/>
      <c r="AV27" s="171"/>
    </row>
    <row r="28" spans="43:48" x14ac:dyDescent="0.25">
      <c r="AQ28" s="148" t="s">
        <v>1132</v>
      </c>
      <c r="AR28" s="167" t="s">
        <v>1010</v>
      </c>
      <c r="AS28" s="148" t="s">
        <v>1119</v>
      </c>
      <c r="AT28" s="148">
        <v>2639</v>
      </c>
      <c r="AU28" s="171">
        <v>4753</v>
      </c>
      <c r="AV28" s="171">
        <f>AU28*AT28</f>
        <v>12543167</v>
      </c>
    </row>
    <row r="29" spans="43:48" x14ac:dyDescent="0.25">
      <c r="AQ29" s="148" t="s">
        <v>1355</v>
      </c>
      <c r="AR29" s="167" t="s">
        <v>1011</v>
      </c>
      <c r="AS29" s="148" t="s">
        <v>1119</v>
      </c>
      <c r="AT29" s="148">
        <v>264</v>
      </c>
      <c r="AU29" s="171">
        <v>7925</v>
      </c>
      <c r="AV29" s="171">
        <f>AU29*AT29</f>
        <v>2092200</v>
      </c>
    </row>
    <row r="30" spans="43:48" x14ac:dyDescent="0.25">
      <c r="AQ30" s="148" t="s">
        <v>1356</v>
      </c>
      <c r="AR30" s="177" t="s">
        <v>1012</v>
      </c>
      <c r="AS30" s="148" t="s">
        <v>1119</v>
      </c>
      <c r="AT30" s="148">
        <v>120</v>
      </c>
      <c r="AU30" s="171">
        <v>8440</v>
      </c>
      <c r="AV30" s="171">
        <f>AU30*AT30</f>
        <v>1012800</v>
      </c>
    </row>
    <row r="31" spans="43:48" x14ac:dyDescent="0.25">
      <c r="AQ31" s="148" t="s">
        <v>1133</v>
      </c>
      <c r="AR31" s="167" t="s">
        <v>996</v>
      </c>
      <c r="AS31" s="148"/>
      <c r="AT31" s="148"/>
      <c r="AU31" s="171"/>
      <c r="AV31" s="171"/>
    </row>
    <row r="32" spans="43:48" ht="45" x14ac:dyDescent="0.25">
      <c r="AQ32" s="148"/>
      <c r="AR32" s="167" t="s">
        <v>1134</v>
      </c>
      <c r="AS32" s="148"/>
      <c r="AT32" s="148"/>
      <c r="AU32" s="171"/>
      <c r="AV32" s="171"/>
    </row>
    <row r="33" spans="39:48" x14ac:dyDescent="0.25">
      <c r="AQ33" s="148" t="s">
        <v>1135</v>
      </c>
      <c r="AR33" s="174" t="s">
        <v>1016</v>
      </c>
      <c r="AS33" s="148" t="s">
        <v>997</v>
      </c>
      <c r="AT33" s="148">
        <v>1</v>
      </c>
      <c r="AU33" s="171">
        <v>343306</v>
      </c>
      <c r="AV33" s="171">
        <v>160000</v>
      </c>
    </row>
    <row r="34" spans="39:48" x14ac:dyDescent="0.25">
      <c r="AQ34" s="148" t="s">
        <v>1136</v>
      </c>
      <c r="AR34" s="174" t="s">
        <v>1017</v>
      </c>
      <c r="AS34" s="148" t="s">
        <v>997</v>
      </c>
      <c r="AT34" s="148">
        <v>1</v>
      </c>
      <c r="AU34" s="171">
        <v>968131</v>
      </c>
      <c r="AV34" s="171">
        <v>160000</v>
      </c>
    </row>
    <row r="35" spans="39:48" x14ac:dyDescent="0.25">
      <c r="AQ35" s="148" t="s">
        <v>1137</v>
      </c>
      <c r="AR35" s="174" t="s">
        <v>1018</v>
      </c>
      <c r="AS35" s="148" t="s">
        <v>997</v>
      </c>
      <c r="AT35" s="148">
        <v>1</v>
      </c>
      <c r="AU35" s="171">
        <v>1260000</v>
      </c>
      <c r="AV35" s="171">
        <v>242033</v>
      </c>
    </row>
    <row r="36" spans="39:48" x14ac:dyDescent="0.25">
      <c r="AQ36" s="148" t="s">
        <v>1138</v>
      </c>
      <c r="AR36" s="174" t="s">
        <v>1019</v>
      </c>
      <c r="AS36" s="148" t="s">
        <v>997</v>
      </c>
      <c r="AT36" s="148">
        <v>1</v>
      </c>
      <c r="AU36" s="171">
        <v>4995900</v>
      </c>
      <c r="AV36" s="171">
        <v>486447</v>
      </c>
    </row>
    <row r="37" spans="39:48" x14ac:dyDescent="0.25">
      <c r="AQ37" s="148" t="s">
        <v>1139</v>
      </c>
      <c r="AR37" s="167" t="s">
        <v>998</v>
      </c>
      <c r="AS37" s="148"/>
      <c r="AT37" s="148"/>
      <c r="AU37" s="171"/>
      <c r="AV37" s="171"/>
    </row>
    <row r="38" spans="39:48" ht="30" x14ac:dyDescent="0.25">
      <c r="AQ38" s="148" t="s">
        <v>1140</v>
      </c>
      <c r="AR38" s="167" t="s">
        <v>1141</v>
      </c>
      <c r="AS38" s="148"/>
      <c r="AT38" s="148"/>
      <c r="AU38" s="171"/>
      <c r="AV38" s="171"/>
    </row>
    <row r="39" spans="39:48" x14ac:dyDescent="0.25">
      <c r="AQ39" s="148" t="s">
        <v>1142</v>
      </c>
      <c r="AR39" s="178" t="s">
        <v>1375</v>
      </c>
      <c r="AS39" s="148" t="s">
        <v>997</v>
      </c>
      <c r="AT39" s="148">
        <v>2</v>
      </c>
      <c r="AU39" s="171">
        <v>435980</v>
      </c>
      <c r="AV39" s="171">
        <f>AU39*AT39</f>
        <v>871960</v>
      </c>
    </row>
    <row r="40" spans="39:48" ht="30" x14ac:dyDescent="0.25">
      <c r="AQ40" s="148" t="s">
        <v>1143</v>
      </c>
      <c r="AR40" s="167" t="s">
        <v>1144</v>
      </c>
      <c r="AS40" s="148" t="s">
        <v>997</v>
      </c>
      <c r="AT40" s="148">
        <v>1</v>
      </c>
      <c r="AU40" s="171">
        <v>179900</v>
      </c>
      <c r="AV40" s="171">
        <v>179900</v>
      </c>
    </row>
    <row r="41" spans="39:48" ht="30" x14ac:dyDescent="0.25">
      <c r="AQ41" s="148" t="s">
        <v>1145</v>
      </c>
      <c r="AR41" s="167" t="s">
        <v>1146</v>
      </c>
      <c r="AS41" s="148"/>
      <c r="AT41" s="148"/>
      <c r="AU41" s="171"/>
      <c r="AV41" s="171"/>
    </row>
    <row r="42" spans="39:48" x14ac:dyDescent="0.25">
      <c r="AQ42" s="148" t="s">
        <v>1147</v>
      </c>
      <c r="AR42" s="179" t="s">
        <v>1387</v>
      </c>
      <c r="AS42" s="148" t="s">
        <v>997</v>
      </c>
      <c r="AT42" s="148">
        <v>1</v>
      </c>
      <c r="AU42" s="171">
        <v>256728</v>
      </c>
      <c r="AV42" s="171">
        <f>AU42</f>
        <v>256728</v>
      </c>
    </row>
    <row r="43" spans="39:48" x14ac:dyDescent="0.25">
      <c r="AQ43" s="148" t="s">
        <v>1148</v>
      </c>
      <c r="AR43" s="179" t="s">
        <v>1388</v>
      </c>
      <c r="AS43" s="148" t="s">
        <v>997</v>
      </c>
      <c r="AT43" s="148">
        <v>1</v>
      </c>
      <c r="AU43" s="171">
        <v>210836</v>
      </c>
      <c r="AV43" s="171">
        <f>AU43</f>
        <v>210836</v>
      </c>
    </row>
    <row r="44" spans="39:48" ht="30" x14ac:dyDescent="0.25">
      <c r="AQ44" s="148" t="s">
        <v>1386</v>
      </c>
      <c r="AR44" s="167" t="s">
        <v>1149</v>
      </c>
      <c r="AS44" s="148" t="s">
        <v>997</v>
      </c>
      <c r="AT44" s="148">
        <v>2</v>
      </c>
      <c r="AU44" s="171">
        <v>221000</v>
      </c>
      <c r="AV44" s="171">
        <f>AU44*AT44</f>
        <v>442000</v>
      </c>
    </row>
    <row r="45" spans="39:48" x14ac:dyDescent="0.25">
      <c r="AQ45" s="148" t="s">
        <v>1150</v>
      </c>
      <c r="AR45" s="167" t="s">
        <v>1151</v>
      </c>
      <c r="AS45" s="148"/>
      <c r="AT45" s="148"/>
      <c r="AU45" s="171"/>
      <c r="AV45" s="171"/>
    </row>
    <row r="46" spans="39:48" x14ac:dyDescent="0.25">
      <c r="AQ46" s="148" t="s">
        <v>1152</v>
      </c>
      <c r="AR46" s="167" t="s">
        <v>1153</v>
      </c>
      <c r="AS46" s="148" t="s">
        <v>1154</v>
      </c>
      <c r="AT46" s="148">
        <v>1</v>
      </c>
      <c r="AU46" s="171">
        <v>11060000</v>
      </c>
      <c r="AV46" s="171">
        <f>AU46</f>
        <v>11060000</v>
      </c>
    </row>
    <row r="47" spans="39:48" x14ac:dyDescent="0.25">
      <c r="AQ47" s="148" t="s">
        <v>1155</v>
      </c>
      <c r="AR47" s="167" t="s">
        <v>1156</v>
      </c>
      <c r="AS47" s="148" t="s">
        <v>1154</v>
      </c>
      <c r="AT47" s="148">
        <v>1</v>
      </c>
      <c r="AU47" s="171">
        <v>11135600</v>
      </c>
      <c r="AV47" s="171">
        <f t="shared" ref="AV47:AV48" si="7">AU47</f>
        <v>11135600</v>
      </c>
    </row>
    <row r="48" spans="39:48" x14ac:dyDescent="0.25">
      <c r="AM48" s="150"/>
      <c r="AN48" s="150"/>
      <c r="AO48" s="150"/>
      <c r="AQ48" s="148" t="s">
        <v>1157</v>
      </c>
      <c r="AR48" s="167" t="s">
        <v>1158</v>
      </c>
      <c r="AS48" s="148" t="s">
        <v>1154</v>
      </c>
      <c r="AT48" s="148">
        <v>1</v>
      </c>
      <c r="AU48" s="171">
        <v>1230000</v>
      </c>
      <c r="AV48" s="171">
        <f t="shared" si="7"/>
        <v>1230000</v>
      </c>
    </row>
    <row r="49" spans="39:48" ht="15.75" x14ac:dyDescent="0.25">
      <c r="AM49" s="150"/>
      <c r="AN49" s="150"/>
      <c r="AO49" s="150"/>
      <c r="AQ49" s="148"/>
      <c r="AR49" s="172" t="s">
        <v>1159</v>
      </c>
      <c r="AS49" s="148"/>
      <c r="AT49" s="148"/>
      <c r="AU49" s="171"/>
      <c r="AV49" s="171">
        <f>SUM(AV14:AV48)</f>
        <v>2873464161</v>
      </c>
    </row>
    <row r="50" spans="39:48" x14ac:dyDescent="0.25">
      <c r="AQ50" s="149">
        <v>3</v>
      </c>
      <c r="AR50" s="169" t="s">
        <v>1160</v>
      </c>
      <c r="AS50" s="149"/>
      <c r="AT50" s="149"/>
      <c r="AU50" s="173"/>
      <c r="AV50" s="173"/>
    </row>
    <row r="51" spans="39:48" ht="30" x14ac:dyDescent="0.25">
      <c r="AQ51" s="148"/>
      <c r="AR51" s="167" t="s">
        <v>1161</v>
      </c>
      <c r="AS51" s="148"/>
      <c r="AT51" s="148"/>
      <c r="AU51" s="171"/>
      <c r="AV51" s="171"/>
    </row>
    <row r="52" spans="39:48" x14ac:dyDescent="0.25">
      <c r="AQ52" s="148" t="s">
        <v>1162</v>
      </c>
      <c r="AR52" s="167" t="s">
        <v>1392</v>
      </c>
      <c r="AS52" s="148"/>
      <c r="AT52" s="148">
        <v>2</v>
      </c>
      <c r="AU52" s="171">
        <f>'DIMENTIONEMENT POMPE'!E29*610</f>
        <v>3233000</v>
      </c>
      <c r="AV52" s="171">
        <f>AT52*AU52</f>
        <v>6466000</v>
      </c>
    </row>
    <row r="53" spans="39:48" ht="30" x14ac:dyDescent="0.25">
      <c r="AQ53" s="148" t="s">
        <v>1164</v>
      </c>
      <c r="AR53" s="167" t="s">
        <v>1393</v>
      </c>
      <c r="AS53" s="148" t="s">
        <v>997</v>
      </c>
      <c r="AT53" s="148">
        <v>1</v>
      </c>
      <c r="AU53" s="171">
        <f>'DIMENTIONEMENT POMPE'!E54*610</f>
        <v>3233000</v>
      </c>
      <c r="AV53" s="171">
        <f>AT53*AU53</f>
        <v>3233000</v>
      </c>
    </row>
    <row r="54" spans="39:48" ht="60" x14ac:dyDescent="0.25">
      <c r="AQ54" s="148"/>
      <c r="AR54" s="167" t="s">
        <v>1163</v>
      </c>
      <c r="AS54" s="148"/>
      <c r="AT54" s="148"/>
      <c r="AU54" s="171"/>
      <c r="AV54" s="171"/>
    </row>
    <row r="55" spans="39:48" x14ac:dyDescent="0.25">
      <c r="AQ55" s="148" t="s">
        <v>1165</v>
      </c>
      <c r="AR55" s="167" t="s">
        <v>1389</v>
      </c>
      <c r="AS55" s="148" t="s">
        <v>1154</v>
      </c>
      <c r="AT55" s="148">
        <v>1</v>
      </c>
      <c r="AU55" s="171">
        <v>3000000</v>
      </c>
      <c r="AV55" s="171">
        <v>3000000</v>
      </c>
    </row>
    <row r="56" spans="39:48" x14ac:dyDescent="0.25">
      <c r="AQ56" s="148" t="s">
        <v>1170</v>
      </c>
      <c r="AR56" s="167" t="s">
        <v>1166</v>
      </c>
      <c r="AS56" s="148"/>
      <c r="AT56" s="148"/>
      <c r="AU56" s="171"/>
      <c r="AV56" s="171"/>
    </row>
    <row r="57" spans="39:48" ht="30" x14ac:dyDescent="0.25">
      <c r="AQ57" s="148" t="s">
        <v>1172</v>
      </c>
      <c r="AR57" s="167" t="s">
        <v>1167</v>
      </c>
      <c r="AS57" s="148" t="s">
        <v>1154</v>
      </c>
      <c r="AT57" s="148">
        <v>3</v>
      </c>
      <c r="AU57" s="171">
        <v>600000</v>
      </c>
      <c r="AV57" s="171">
        <f>AU57*AT57</f>
        <v>1800000</v>
      </c>
    </row>
    <row r="58" spans="39:48" x14ac:dyDescent="0.25">
      <c r="AQ58" s="148" t="s">
        <v>1458</v>
      </c>
      <c r="AR58" s="167" t="s">
        <v>1168</v>
      </c>
      <c r="AS58" s="148" t="s">
        <v>1169</v>
      </c>
      <c r="AT58" s="148">
        <v>600</v>
      </c>
      <c r="AU58" s="171">
        <v>5000</v>
      </c>
      <c r="AV58" s="171">
        <f>AU58*AT58</f>
        <v>3000000</v>
      </c>
    </row>
    <row r="59" spans="39:48" x14ac:dyDescent="0.25">
      <c r="AQ59" s="148" t="s">
        <v>1170</v>
      </c>
      <c r="AR59" s="167" t="s">
        <v>1171</v>
      </c>
      <c r="AS59" s="148"/>
      <c r="AT59" s="148"/>
      <c r="AU59" s="171"/>
      <c r="AV59" s="171"/>
    </row>
    <row r="60" spans="39:48" ht="30" x14ac:dyDescent="0.25">
      <c r="AQ60" s="148" t="s">
        <v>1172</v>
      </c>
      <c r="AR60" s="167" t="s">
        <v>1173</v>
      </c>
      <c r="AS60" s="148" t="s">
        <v>1154</v>
      </c>
      <c r="AT60" s="148">
        <v>3</v>
      </c>
      <c r="AU60" s="171">
        <v>5678000</v>
      </c>
      <c r="AV60" s="171">
        <f t="shared" ref="AV60:AV65" si="8">AU60*AT60</f>
        <v>17034000</v>
      </c>
    </row>
    <row r="61" spans="39:48" x14ac:dyDescent="0.25">
      <c r="AQ61" s="148" t="s">
        <v>1174</v>
      </c>
      <c r="AR61" s="167" t="s">
        <v>1175</v>
      </c>
      <c r="AS61" s="148"/>
      <c r="AT61" s="148"/>
      <c r="AU61" s="171"/>
      <c r="AV61" s="171"/>
    </row>
    <row r="62" spans="39:48" x14ac:dyDescent="0.25">
      <c r="AQ62" s="148" t="s">
        <v>1176</v>
      </c>
      <c r="AR62" s="167" t="s">
        <v>1177</v>
      </c>
      <c r="AS62" s="148" t="s">
        <v>1154</v>
      </c>
      <c r="AT62" s="148">
        <v>3</v>
      </c>
      <c r="AU62" s="171">
        <v>2000000</v>
      </c>
      <c r="AV62" s="171">
        <f t="shared" si="8"/>
        <v>6000000</v>
      </c>
    </row>
    <row r="63" spans="39:48" ht="30" x14ac:dyDescent="0.25">
      <c r="AQ63" s="148" t="s">
        <v>1178</v>
      </c>
      <c r="AR63" s="167" t="s">
        <v>1179</v>
      </c>
      <c r="AS63" s="148"/>
      <c r="AT63" s="148"/>
      <c r="AU63" s="171"/>
      <c r="AV63" s="171"/>
    </row>
    <row r="64" spans="39:48" x14ac:dyDescent="0.25">
      <c r="AQ64" s="148" t="s">
        <v>1180</v>
      </c>
      <c r="AR64" s="167" t="s">
        <v>1181</v>
      </c>
      <c r="AS64" s="148" t="s">
        <v>1154</v>
      </c>
      <c r="AT64" s="148">
        <v>3</v>
      </c>
      <c r="AU64" s="171">
        <v>4000000</v>
      </c>
      <c r="AV64" s="171">
        <f t="shared" si="8"/>
        <v>12000000</v>
      </c>
    </row>
    <row r="65" spans="43:48" x14ac:dyDescent="0.25">
      <c r="AQ65" s="148" t="s">
        <v>1182</v>
      </c>
      <c r="AR65" s="167" t="s">
        <v>1183</v>
      </c>
      <c r="AS65" s="148" t="s">
        <v>1154</v>
      </c>
      <c r="AT65" s="148">
        <v>3</v>
      </c>
      <c r="AU65" s="171">
        <v>1000000</v>
      </c>
      <c r="AV65" s="171">
        <f t="shared" si="8"/>
        <v>3000000</v>
      </c>
    </row>
    <row r="66" spans="43:48" ht="15.75" x14ac:dyDescent="0.25">
      <c r="AQ66" s="148"/>
      <c r="AR66" s="172" t="s">
        <v>1184</v>
      </c>
      <c r="AS66" s="148"/>
      <c r="AT66" s="148"/>
      <c r="AU66" s="171"/>
      <c r="AV66" s="171">
        <f>SUM(AV51:AV65)</f>
        <v>55533000</v>
      </c>
    </row>
    <row r="67" spans="43:48" x14ac:dyDescent="0.25">
      <c r="AQ67" s="149">
        <v>4</v>
      </c>
      <c r="AR67" s="169" t="s">
        <v>1390</v>
      </c>
      <c r="AS67" s="149"/>
      <c r="AT67" s="149"/>
      <c r="AU67" s="173"/>
      <c r="AV67" s="173"/>
    </row>
    <row r="68" spans="43:48" x14ac:dyDescent="0.25">
      <c r="AQ68" s="148" t="s">
        <v>1185</v>
      </c>
      <c r="AR68" s="167" t="s">
        <v>1186</v>
      </c>
      <c r="AS68" s="148"/>
      <c r="AT68" s="148"/>
      <c r="AU68" s="171"/>
      <c r="AV68" s="171"/>
    </row>
    <row r="69" spans="43:48" x14ac:dyDescent="0.25">
      <c r="AQ69" s="148" t="s">
        <v>1187</v>
      </c>
      <c r="AR69" s="167" t="s">
        <v>1188</v>
      </c>
      <c r="AS69" s="148" t="s">
        <v>1154</v>
      </c>
      <c r="AT69" s="148">
        <v>1</v>
      </c>
      <c r="AU69" s="171">
        <v>10000000</v>
      </c>
      <c r="AV69" s="171">
        <f>AU69</f>
        <v>10000000</v>
      </c>
    </row>
    <row r="70" spans="43:48" ht="30" x14ac:dyDescent="0.25">
      <c r="AQ70" s="148" t="s">
        <v>1189</v>
      </c>
      <c r="AR70" s="167" t="s">
        <v>1190</v>
      </c>
      <c r="AS70" s="148" t="s">
        <v>1154</v>
      </c>
      <c r="AT70" s="148">
        <v>1</v>
      </c>
      <c r="AU70" s="171">
        <v>12000000</v>
      </c>
      <c r="AV70" s="171">
        <f t="shared" ref="AV70:AV71" si="9">AU70</f>
        <v>12000000</v>
      </c>
    </row>
    <row r="71" spans="43:48" ht="30" x14ac:dyDescent="0.25">
      <c r="AQ71" s="148" t="s">
        <v>1191</v>
      </c>
      <c r="AR71" s="167" t="s">
        <v>1391</v>
      </c>
      <c r="AS71" s="148" t="s">
        <v>1154</v>
      </c>
      <c r="AT71" s="148">
        <v>1</v>
      </c>
      <c r="AU71" s="171">
        <v>3100000000</v>
      </c>
      <c r="AV71" s="171">
        <f t="shared" si="9"/>
        <v>3100000000</v>
      </c>
    </row>
    <row r="72" spans="43:48" ht="30" x14ac:dyDescent="0.25">
      <c r="AQ72" s="148"/>
      <c r="AR72" s="167" t="s">
        <v>1459</v>
      </c>
      <c r="AS72" s="148"/>
      <c r="AT72" s="148"/>
      <c r="AU72" s="171"/>
      <c r="AV72" s="171">
        <f>SUM(AV69:AV71)</f>
        <v>3122000000</v>
      </c>
    </row>
    <row r="73" spans="43:48" x14ac:dyDescent="0.25">
      <c r="AQ73" s="149">
        <v>5</v>
      </c>
      <c r="AR73" s="169" t="s">
        <v>1192</v>
      </c>
      <c r="AS73" s="149"/>
      <c r="AT73" s="149"/>
      <c r="AU73" s="173"/>
      <c r="AV73" s="173"/>
    </row>
    <row r="74" spans="43:48" x14ac:dyDescent="0.25">
      <c r="AQ74" s="148" t="s">
        <v>1193</v>
      </c>
      <c r="AR74" s="167" t="s">
        <v>1194</v>
      </c>
      <c r="AS74" s="148" t="s">
        <v>382</v>
      </c>
      <c r="AT74" s="148" t="s">
        <v>382</v>
      </c>
      <c r="AU74" s="171"/>
      <c r="AV74" s="171"/>
    </row>
    <row r="75" spans="43:48" x14ac:dyDescent="0.25">
      <c r="AQ75" s="148" t="s">
        <v>1195</v>
      </c>
      <c r="AR75" s="167" t="s">
        <v>1196</v>
      </c>
      <c r="AS75" s="148" t="s">
        <v>382</v>
      </c>
      <c r="AT75" s="148" t="s">
        <v>382</v>
      </c>
      <c r="AU75" s="171"/>
      <c r="AV75" s="171"/>
    </row>
    <row r="76" spans="43:48" x14ac:dyDescent="0.25">
      <c r="AQ76" s="148" t="s">
        <v>1197</v>
      </c>
      <c r="AR76" s="167" t="s">
        <v>1198</v>
      </c>
      <c r="AS76" s="148" t="s">
        <v>1199</v>
      </c>
      <c r="AT76" s="148">
        <v>12</v>
      </c>
      <c r="AU76" s="171">
        <v>2500</v>
      </c>
      <c r="AV76" s="171">
        <v>30000</v>
      </c>
    </row>
    <row r="77" spans="43:48" x14ac:dyDescent="0.25">
      <c r="AQ77" s="148" t="s">
        <v>1200</v>
      </c>
      <c r="AR77" s="167" t="s">
        <v>1201</v>
      </c>
      <c r="AS77" s="148" t="s">
        <v>1199</v>
      </c>
      <c r="AT77" s="148">
        <v>13.5</v>
      </c>
      <c r="AU77" s="171">
        <v>1000</v>
      </c>
      <c r="AV77" s="171">
        <v>13500</v>
      </c>
    </row>
    <row r="78" spans="43:48" x14ac:dyDescent="0.25">
      <c r="AQ78" s="148" t="s">
        <v>1202</v>
      </c>
      <c r="AR78" s="167" t="s">
        <v>1203</v>
      </c>
      <c r="AS78" s="148" t="s">
        <v>1199</v>
      </c>
      <c r="AT78" s="148">
        <v>10.48</v>
      </c>
      <c r="AU78" s="171">
        <v>500</v>
      </c>
      <c r="AV78" s="171">
        <v>5240</v>
      </c>
    </row>
    <row r="79" spans="43:48" x14ac:dyDescent="0.25">
      <c r="AQ79" s="148" t="s">
        <v>1204</v>
      </c>
      <c r="AR79" s="167" t="s">
        <v>1205</v>
      </c>
      <c r="AS79" s="148" t="s">
        <v>1199</v>
      </c>
      <c r="AT79" s="148">
        <v>9.5</v>
      </c>
      <c r="AU79" s="171">
        <v>7500</v>
      </c>
      <c r="AV79" s="171">
        <v>71250</v>
      </c>
    </row>
    <row r="80" spans="43:48" x14ac:dyDescent="0.25">
      <c r="AQ80" s="148" t="s">
        <v>1206</v>
      </c>
      <c r="AR80" s="167" t="s">
        <v>1207</v>
      </c>
      <c r="AS80" s="148" t="s">
        <v>382</v>
      </c>
      <c r="AT80" s="148" t="s">
        <v>382</v>
      </c>
      <c r="AU80" s="171"/>
      <c r="AV80" s="171"/>
    </row>
    <row r="81" spans="43:48" x14ac:dyDescent="0.25">
      <c r="AQ81" s="148" t="s">
        <v>1208</v>
      </c>
      <c r="AR81" s="167" t="s">
        <v>1209</v>
      </c>
      <c r="AS81" s="148" t="s">
        <v>1199</v>
      </c>
      <c r="AT81" s="148">
        <v>0.9</v>
      </c>
      <c r="AU81" s="171">
        <v>70000</v>
      </c>
      <c r="AV81" s="171">
        <v>63000</v>
      </c>
    </row>
    <row r="82" spans="43:48" x14ac:dyDescent="0.25">
      <c r="AQ82" s="148" t="s">
        <v>1210</v>
      </c>
      <c r="AR82" s="167" t="s">
        <v>1211</v>
      </c>
      <c r="AS82" s="148" t="s">
        <v>1199</v>
      </c>
      <c r="AT82" s="148">
        <v>2</v>
      </c>
      <c r="AU82" s="171">
        <v>110000</v>
      </c>
      <c r="AV82" s="171">
        <v>220000</v>
      </c>
    </row>
    <row r="83" spans="43:48" x14ac:dyDescent="0.25">
      <c r="AQ83" s="148" t="s">
        <v>1212</v>
      </c>
      <c r="AR83" s="167" t="s">
        <v>1213</v>
      </c>
      <c r="AS83" s="148" t="s">
        <v>1199</v>
      </c>
      <c r="AT83" s="148">
        <v>0.42</v>
      </c>
      <c r="AU83" s="171">
        <v>115000</v>
      </c>
      <c r="AV83" s="171">
        <v>48300</v>
      </c>
    </row>
    <row r="84" spans="43:48" x14ac:dyDescent="0.25">
      <c r="AQ84" s="148" t="s">
        <v>1214</v>
      </c>
      <c r="AR84" s="167" t="s">
        <v>1215</v>
      </c>
      <c r="AS84" s="148" t="s">
        <v>1199</v>
      </c>
      <c r="AT84" s="148">
        <v>1.22</v>
      </c>
      <c r="AU84" s="171">
        <v>115000</v>
      </c>
      <c r="AV84" s="171">
        <v>140300</v>
      </c>
    </row>
    <row r="85" spans="43:48" x14ac:dyDescent="0.25">
      <c r="AQ85" s="148" t="s">
        <v>1216</v>
      </c>
      <c r="AR85" s="167" t="s">
        <v>1217</v>
      </c>
      <c r="AS85" s="148" t="s">
        <v>1199</v>
      </c>
      <c r="AT85" s="148">
        <v>0.9</v>
      </c>
      <c r="AU85" s="171">
        <v>115000</v>
      </c>
      <c r="AV85" s="171">
        <v>103500</v>
      </c>
    </row>
    <row r="86" spans="43:48" x14ac:dyDescent="0.25">
      <c r="AQ86" s="148" t="s">
        <v>1218</v>
      </c>
      <c r="AR86" s="167" t="s">
        <v>1219</v>
      </c>
      <c r="AS86" s="148" t="s">
        <v>1199</v>
      </c>
      <c r="AT86" s="148">
        <v>1.3</v>
      </c>
      <c r="AU86" s="171">
        <v>110000</v>
      </c>
      <c r="AV86" s="171">
        <v>143000</v>
      </c>
    </row>
    <row r="87" spans="43:48" x14ac:dyDescent="0.25">
      <c r="AQ87" s="148" t="s">
        <v>1220</v>
      </c>
      <c r="AR87" s="167" t="s">
        <v>1221</v>
      </c>
      <c r="AS87" s="148" t="s">
        <v>1199</v>
      </c>
      <c r="AT87" s="148">
        <v>3.4</v>
      </c>
      <c r="AU87" s="171">
        <v>90000</v>
      </c>
      <c r="AV87" s="171">
        <v>306000</v>
      </c>
    </row>
    <row r="88" spans="43:48" ht="45" x14ac:dyDescent="0.25">
      <c r="AQ88" s="148" t="s">
        <v>1222</v>
      </c>
      <c r="AR88" s="167" t="s">
        <v>1223</v>
      </c>
      <c r="AS88" s="148" t="s">
        <v>1224</v>
      </c>
      <c r="AT88" s="148">
        <v>8.6999999999999993</v>
      </c>
      <c r="AU88" s="171">
        <v>50000</v>
      </c>
      <c r="AV88" s="171">
        <v>434999.99999999994</v>
      </c>
    </row>
    <row r="89" spans="43:48" ht="45" x14ac:dyDescent="0.25">
      <c r="AQ89" s="148" t="s">
        <v>1225</v>
      </c>
      <c r="AR89" s="167" t="s">
        <v>1226</v>
      </c>
      <c r="AS89" s="148" t="s">
        <v>1199</v>
      </c>
      <c r="AT89" s="148">
        <v>0.37</v>
      </c>
      <c r="AU89" s="171">
        <v>105000</v>
      </c>
      <c r="AV89" s="171">
        <v>38850</v>
      </c>
    </row>
    <row r="90" spans="43:48" ht="30" x14ac:dyDescent="0.25">
      <c r="AQ90" s="148" t="s">
        <v>1227</v>
      </c>
      <c r="AR90" s="167" t="s">
        <v>1228</v>
      </c>
      <c r="AS90" s="148" t="s">
        <v>1199</v>
      </c>
      <c r="AT90" s="148">
        <v>0.75</v>
      </c>
      <c r="AU90" s="171">
        <v>105000</v>
      </c>
      <c r="AV90" s="171">
        <v>78750</v>
      </c>
    </row>
    <row r="91" spans="43:48" x14ac:dyDescent="0.25">
      <c r="AQ91" s="148" t="s">
        <v>1229</v>
      </c>
      <c r="AR91" s="167" t="s">
        <v>1230</v>
      </c>
      <c r="AS91" s="148" t="s">
        <v>1231</v>
      </c>
      <c r="AT91" s="148">
        <v>1</v>
      </c>
      <c r="AU91" s="171">
        <v>70000</v>
      </c>
      <c r="AV91" s="171">
        <v>70000</v>
      </c>
    </row>
    <row r="92" spans="43:48" x14ac:dyDescent="0.25">
      <c r="AQ92" s="148" t="s">
        <v>1232</v>
      </c>
      <c r="AR92" s="167" t="s">
        <v>1233</v>
      </c>
      <c r="AS92" s="148" t="s">
        <v>382</v>
      </c>
      <c r="AT92" s="148" t="s">
        <v>382</v>
      </c>
      <c r="AU92" s="171"/>
      <c r="AV92" s="171"/>
    </row>
    <row r="93" spans="43:48" ht="30" x14ac:dyDescent="0.25">
      <c r="AQ93" s="148" t="s">
        <v>1234</v>
      </c>
      <c r="AR93" s="167" t="s">
        <v>1235</v>
      </c>
      <c r="AS93" s="148" t="s">
        <v>1236</v>
      </c>
      <c r="AT93" s="148">
        <v>30.2</v>
      </c>
      <c r="AU93" s="171">
        <v>7500</v>
      </c>
      <c r="AV93" s="171">
        <v>226500</v>
      </c>
    </row>
    <row r="94" spans="43:48" x14ac:dyDescent="0.25">
      <c r="AQ94" s="148" t="s">
        <v>1237</v>
      </c>
      <c r="AR94" s="167" t="s">
        <v>1238</v>
      </c>
      <c r="AS94" s="148" t="s">
        <v>1236</v>
      </c>
      <c r="AT94" s="148">
        <v>85.25</v>
      </c>
      <c r="AU94" s="171">
        <v>6500</v>
      </c>
      <c r="AV94" s="171">
        <v>554125</v>
      </c>
    </row>
    <row r="95" spans="43:48" x14ac:dyDescent="0.25">
      <c r="AQ95" s="148" t="s">
        <v>1239</v>
      </c>
      <c r="AR95" s="167" t="s">
        <v>1240</v>
      </c>
      <c r="AS95" s="148" t="s">
        <v>1236</v>
      </c>
      <c r="AT95" s="148">
        <v>185.23</v>
      </c>
      <c r="AU95" s="171">
        <v>3500</v>
      </c>
      <c r="AV95" s="171">
        <v>648305</v>
      </c>
    </row>
    <row r="96" spans="43:48" x14ac:dyDescent="0.25">
      <c r="AQ96" s="148" t="s">
        <v>1241</v>
      </c>
      <c r="AR96" s="167" t="s">
        <v>1242</v>
      </c>
      <c r="AS96" s="148" t="s">
        <v>1236</v>
      </c>
      <c r="AT96" s="148">
        <v>30</v>
      </c>
      <c r="AU96" s="171">
        <v>5000</v>
      </c>
      <c r="AV96" s="171">
        <v>150000</v>
      </c>
    </row>
    <row r="97" spans="43:48" ht="30" x14ac:dyDescent="0.25">
      <c r="AQ97" s="148" t="s">
        <v>1243</v>
      </c>
      <c r="AR97" s="167" t="s">
        <v>1244</v>
      </c>
      <c r="AS97" s="148" t="s">
        <v>1231</v>
      </c>
      <c r="AT97" s="148">
        <v>3</v>
      </c>
      <c r="AU97" s="171">
        <v>40000</v>
      </c>
      <c r="AV97" s="171">
        <v>120000</v>
      </c>
    </row>
    <row r="98" spans="43:48" x14ac:dyDescent="0.25">
      <c r="AQ98" s="148" t="s">
        <v>1245</v>
      </c>
      <c r="AR98" s="167" t="s">
        <v>1246</v>
      </c>
      <c r="AS98" s="148" t="s">
        <v>382</v>
      </c>
      <c r="AT98" s="148" t="s">
        <v>382</v>
      </c>
      <c r="AU98" s="171"/>
      <c r="AV98" s="171"/>
    </row>
    <row r="99" spans="43:48" ht="30" x14ac:dyDescent="0.25">
      <c r="AQ99" s="148" t="s">
        <v>1247</v>
      </c>
      <c r="AR99" s="167" t="s">
        <v>1248</v>
      </c>
      <c r="AS99" s="148" t="s">
        <v>1236</v>
      </c>
      <c r="AT99" s="148">
        <v>60</v>
      </c>
      <c r="AU99" s="171">
        <v>20000</v>
      </c>
      <c r="AV99" s="171">
        <v>1200000</v>
      </c>
    </row>
    <row r="100" spans="43:48" ht="30" x14ac:dyDescent="0.25">
      <c r="AQ100" s="148" t="s">
        <v>1249</v>
      </c>
      <c r="AR100" s="167" t="s">
        <v>1250</v>
      </c>
      <c r="AS100" s="148" t="s">
        <v>1231</v>
      </c>
      <c r="AT100" s="148">
        <v>3</v>
      </c>
      <c r="AU100" s="171">
        <v>135000</v>
      </c>
      <c r="AV100" s="171">
        <v>405000</v>
      </c>
    </row>
    <row r="101" spans="43:48" ht="45" x14ac:dyDescent="0.25">
      <c r="AQ101" s="148" t="s">
        <v>1251</v>
      </c>
      <c r="AR101" s="167" t="s">
        <v>1252</v>
      </c>
      <c r="AS101" s="148" t="s">
        <v>1231</v>
      </c>
      <c r="AT101" s="148">
        <v>5</v>
      </c>
      <c r="AU101" s="171">
        <v>70000</v>
      </c>
      <c r="AV101" s="171">
        <v>350000</v>
      </c>
    </row>
    <row r="102" spans="43:48" x14ac:dyDescent="0.25">
      <c r="AQ102" s="148" t="s">
        <v>1253</v>
      </c>
      <c r="AR102" s="167" t="s">
        <v>1254</v>
      </c>
      <c r="AS102" s="148" t="s">
        <v>382</v>
      </c>
      <c r="AT102" s="148" t="s">
        <v>382</v>
      </c>
      <c r="AU102" s="171"/>
      <c r="AV102" s="171"/>
    </row>
    <row r="103" spans="43:48" x14ac:dyDescent="0.25">
      <c r="AQ103" s="148" t="s">
        <v>1255</v>
      </c>
      <c r="AR103" s="167" t="s">
        <v>1256</v>
      </c>
      <c r="AS103" s="148" t="s">
        <v>1236</v>
      </c>
      <c r="AT103" s="148">
        <v>75.2</v>
      </c>
      <c r="AU103" s="171">
        <v>3000</v>
      </c>
      <c r="AV103" s="171">
        <v>225600</v>
      </c>
    </row>
    <row r="104" spans="43:48" x14ac:dyDescent="0.25">
      <c r="AQ104" s="148" t="s">
        <v>1257</v>
      </c>
      <c r="AR104" s="167" t="s">
        <v>1258</v>
      </c>
      <c r="AS104" s="148" t="s">
        <v>1236</v>
      </c>
      <c r="AT104" s="148">
        <v>90</v>
      </c>
      <c r="AU104" s="171">
        <v>4500</v>
      </c>
      <c r="AV104" s="171">
        <v>405000</v>
      </c>
    </row>
    <row r="105" spans="43:48" ht="15.75" x14ac:dyDescent="0.25">
      <c r="AQ105" s="148" t="s">
        <v>1259</v>
      </c>
      <c r="AR105" s="172" t="s">
        <v>1260</v>
      </c>
      <c r="AS105" s="148" t="s">
        <v>382</v>
      </c>
      <c r="AT105" s="148" t="s">
        <v>382</v>
      </c>
      <c r="AU105" s="171"/>
      <c r="AV105" s="171"/>
    </row>
    <row r="106" spans="43:48" x14ac:dyDescent="0.25">
      <c r="AQ106" s="148" t="s">
        <v>1261</v>
      </c>
      <c r="AR106" s="167" t="s">
        <v>1262</v>
      </c>
      <c r="AS106" s="148" t="s">
        <v>1103</v>
      </c>
      <c r="AT106" s="148">
        <v>1</v>
      </c>
      <c r="AU106" s="171">
        <v>100000</v>
      </c>
      <c r="AV106" s="171">
        <v>100000</v>
      </c>
    </row>
    <row r="107" spans="43:48" x14ac:dyDescent="0.25">
      <c r="AQ107" s="148" t="s">
        <v>1263</v>
      </c>
      <c r="AR107" s="167" t="s">
        <v>1196</v>
      </c>
      <c r="AS107" s="148" t="s">
        <v>382</v>
      </c>
      <c r="AT107" s="148" t="s">
        <v>382</v>
      </c>
      <c r="AU107" s="171"/>
      <c r="AV107" s="171"/>
    </row>
    <row r="108" spans="43:48" x14ac:dyDescent="0.25">
      <c r="AQ108" s="148" t="s">
        <v>1264</v>
      </c>
      <c r="AR108" s="167" t="s">
        <v>1265</v>
      </c>
      <c r="AS108" s="148" t="s">
        <v>1266</v>
      </c>
      <c r="AT108" s="148">
        <v>1.1000000000000001</v>
      </c>
      <c r="AU108" s="171">
        <v>2500</v>
      </c>
      <c r="AV108" s="171">
        <v>2750</v>
      </c>
    </row>
    <row r="109" spans="43:48" x14ac:dyDescent="0.25">
      <c r="AQ109" s="148" t="s">
        <v>1267</v>
      </c>
      <c r="AR109" s="167" t="s">
        <v>1268</v>
      </c>
      <c r="AS109" s="148" t="s">
        <v>1266</v>
      </c>
      <c r="AT109" s="148">
        <v>40</v>
      </c>
      <c r="AU109" s="171">
        <v>1000</v>
      </c>
      <c r="AV109" s="171">
        <v>40000</v>
      </c>
    </row>
    <row r="110" spans="43:48" x14ac:dyDescent="0.25">
      <c r="AQ110" s="148" t="s">
        <v>1269</v>
      </c>
      <c r="AR110" s="167" t="s">
        <v>1203</v>
      </c>
      <c r="AS110" s="148" t="s">
        <v>1266</v>
      </c>
      <c r="AT110" s="148">
        <v>32</v>
      </c>
      <c r="AU110" s="171">
        <v>500</v>
      </c>
      <c r="AV110" s="171">
        <v>16000</v>
      </c>
    </row>
    <row r="111" spans="43:48" x14ac:dyDescent="0.25">
      <c r="AQ111" s="148" t="s">
        <v>1270</v>
      </c>
      <c r="AR111" s="167" t="s">
        <v>1271</v>
      </c>
      <c r="AS111" s="148" t="s">
        <v>382</v>
      </c>
      <c r="AT111" s="148" t="s">
        <v>382</v>
      </c>
      <c r="AU111" s="171"/>
      <c r="AV111" s="171"/>
    </row>
    <row r="112" spans="43:48" x14ac:dyDescent="0.25">
      <c r="AQ112" s="148" t="s">
        <v>1272</v>
      </c>
      <c r="AR112" s="167" t="s">
        <v>1209</v>
      </c>
      <c r="AS112" s="148" t="s">
        <v>1266</v>
      </c>
      <c r="AT112" s="148">
        <v>1.76</v>
      </c>
      <c r="AU112" s="171">
        <v>70000</v>
      </c>
      <c r="AV112" s="171">
        <v>123200</v>
      </c>
    </row>
    <row r="113" spans="43:48" x14ac:dyDescent="0.25">
      <c r="AQ113" s="148" t="s">
        <v>1273</v>
      </c>
      <c r="AR113" s="167" t="s">
        <v>1274</v>
      </c>
      <c r="AS113" s="148" t="s">
        <v>1266</v>
      </c>
      <c r="AT113" s="148">
        <v>1.1000000000000001</v>
      </c>
      <c r="AU113" s="171">
        <v>110000</v>
      </c>
      <c r="AV113" s="171">
        <v>121000</v>
      </c>
    </row>
    <row r="114" spans="43:48" x14ac:dyDescent="0.25">
      <c r="AQ114" s="148" t="s">
        <v>1275</v>
      </c>
      <c r="AR114" s="167" t="s">
        <v>1217</v>
      </c>
      <c r="AS114" s="148" t="s">
        <v>1266</v>
      </c>
      <c r="AT114" s="148">
        <v>0.9</v>
      </c>
      <c r="AU114" s="171">
        <v>115000</v>
      </c>
      <c r="AV114" s="171">
        <v>103500</v>
      </c>
    </row>
    <row r="115" spans="43:48" x14ac:dyDescent="0.25">
      <c r="AQ115" s="148" t="s">
        <v>1276</v>
      </c>
      <c r="AR115" s="167" t="s">
        <v>1215</v>
      </c>
      <c r="AS115" s="148" t="s">
        <v>1266</v>
      </c>
      <c r="AT115" s="148">
        <v>6</v>
      </c>
      <c r="AU115" s="171">
        <v>115000</v>
      </c>
      <c r="AV115" s="171">
        <v>690000</v>
      </c>
    </row>
    <row r="116" spans="43:48" x14ac:dyDescent="0.25">
      <c r="AQ116" s="148" t="s">
        <v>1277</v>
      </c>
      <c r="AR116" s="167" t="s">
        <v>1233</v>
      </c>
      <c r="AS116" s="148" t="s">
        <v>382</v>
      </c>
      <c r="AT116" s="148" t="s">
        <v>382</v>
      </c>
      <c r="AU116" s="171"/>
      <c r="AV116" s="171"/>
    </row>
    <row r="117" spans="43:48" ht="30" x14ac:dyDescent="0.25">
      <c r="AQ117" s="148" t="s">
        <v>1278</v>
      </c>
      <c r="AR117" s="167" t="s">
        <v>1279</v>
      </c>
      <c r="AS117" s="148" t="s">
        <v>1236</v>
      </c>
      <c r="AT117" s="148">
        <v>21.12</v>
      </c>
      <c r="AU117" s="171">
        <v>3000</v>
      </c>
      <c r="AV117" s="171">
        <v>63360</v>
      </c>
    </row>
    <row r="118" spans="43:48" x14ac:dyDescent="0.25">
      <c r="AQ118" s="148" t="s">
        <v>1280</v>
      </c>
      <c r="AR118" s="167" t="s">
        <v>1281</v>
      </c>
      <c r="AS118" s="148" t="s">
        <v>1236</v>
      </c>
      <c r="AT118" s="148">
        <v>80</v>
      </c>
      <c r="AU118" s="171">
        <v>6500</v>
      </c>
      <c r="AV118" s="171">
        <v>520000</v>
      </c>
    </row>
    <row r="119" spans="43:48" x14ac:dyDescent="0.25">
      <c r="AQ119" s="148" t="s">
        <v>1282</v>
      </c>
      <c r="AR119" s="167" t="s">
        <v>1283</v>
      </c>
      <c r="AS119" s="148" t="s">
        <v>1236</v>
      </c>
      <c r="AT119" s="148">
        <v>80</v>
      </c>
      <c r="AU119" s="171">
        <v>6000</v>
      </c>
      <c r="AV119" s="171">
        <v>480000</v>
      </c>
    </row>
    <row r="120" spans="43:48" x14ac:dyDescent="0.25">
      <c r="AQ120" s="148" t="s">
        <v>1284</v>
      </c>
      <c r="AR120" s="167" t="s">
        <v>1285</v>
      </c>
      <c r="AS120" s="148" t="s">
        <v>1236</v>
      </c>
      <c r="AT120" s="148">
        <v>200</v>
      </c>
      <c r="AU120" s="171">
        <v>3000</v>
      </c>
      <c r="AV120" s="171">
        <v>600000</v>
      </c>
    </row>
    <row r="121" spans="43:48" x14ac:dyDescent="0.25">
      <c r="AQ121" s="148" t="s">
        <v>1286</v>
      </c>
      <c r="AR121" s="167" t="s">
        <v>1246</v>
      </c>
      <c r="AS121" s="148" t="s">
        <v>382</v>
      </c>
      <c r="AT121" s="148" t="s">
        <v>382</v>
      </c>
      <c r="AU121" s="171"/>
      <c r="AV121" s="171"/>
    </row>
    <row r="122" spans="43:48" ht="30" x14ac:dyDescent="0.25">
      <c r="AQ122" s="148" t="s">
        <v>1287</v>
      </c>
      <c r="AR122" s="167" t="s">
        <v>1288</v>
      </c>
      <c r="AS122" s="148" t="s">
        <v>1231</v>
      </c>
      <c r="AT122" s="148">
        <v>44</v>
      </c>
      <c r="AU122" s="171">
        <v>50000</v>
      </c>
      <c r="AV122" s="171">
        <v>2200000</v>
      </c>
    </row>
    <row r="123" spans="43:48" ht="30" x14ac:dyDescent="0.25">
      <c r="AQ123" s="148" t="s">
        <v>1289</v>
      </c>
      <c r="AR123" s="167" t="s">
        <v>1290</v>
      </c>
      <c r="AS123" s="148" t="s">
        <v>1231</v>
      </c>
      <c r="AT123" s="148">
        <v>16</v>
      </c>
      <c r="AU123" s="171">
        <v>60000</v>
      </c>
      <c r="AV123" s="171">
        <v>960000</v>
      </c>
    </row>
    <row r="124" spans="43:48" ht="30" x14ac:dyDescent="0.25">
      <c r="AQ124" s="148" t="s">
        <v>1291</v>
      </c>
      <c r="AR124" s="167" t="s">
        <v>1292</v>
      </c>
      <c r="AS124" s="148" t="s">
        <v>1236</v>
      </c>
      <c r="AT124" s="148">
        <v>307.2</v>
      </c>
      <c r="AU124" s="171">
        <v>5000</v>
      </c>
      <c r="AV124" s="171">
        <v>1536000</v>
      </c>
    </row>
    <row r="125" spans="43:48" ht="30" x14ac:dyDescent="0.25">
      <c r="AQ125" s="148" t="s">
        <v>1293</v>
      </c>
      <c r="AR125" s="167" t="s">
        <v>1294</v>
      </c>
      <c r="AS125" s="148" t="s">
        <v>1231</v>
      </c>
      <c r="AT125" s="148">
        <v>2</v>
      </c>
      <c r="AU125" s="171">
        <v>700000</v>
      </c>
      <c r="AV125" s="171">
        <v>1400000</v>
      </c>
    </row>
    <row r="126" spans="43:48" ht="30" x14ac:dyDescent="0.25">
      <c r="AQ126" s="148" t="s">
        <v>1295</v>
      </c>
      <c r="AR126" s="167" t="s">
        <v>1296</v>
      </c>
      <c r="AS126" s="148" t="s">
        <v>1231</v>
      </c>
      <c r="AT126" s="148">
        <v>2</v>
      </c>
      <c r="AU126" s="171">
        <v>250000</v>
      </c>
      <c r="AV126" s="171">
        <v>500000</v>
      </c>
    </row>
    <row r="127" spans="43:48" x14ac:dyDescent="0.25">
      <c r="AQ127" s="148" t="s">
        <v>1297</v>
      </c>
      <c r="AR127" s="167" t="s">
        <v>1254</v>
      </c>
      <c r="AS127" s="148" t="s">
        <v>382</v>
      </c>
      <c r="AT127" s="148" t="s">
        <v>382</v>
      </c>
      <c r="AU127" s="171"/>
      <c r="AV127" s="171"/>
    </row>
    <row r="128" spans="43:48" x14ac:dyDescent="0.25">
      <c r="AQ128" s="148" t="s">
        <v>1298</v>
      </c>
      <c r="AR128" s="167" t="s">
        <v>1299</v>
      </c>
      <c r="AS128" s="148" t="s">
        <v>1236</v>
      </c>
      <c r="AT128" s="148">
        <v>21.12</v>
      </c>
      <c r="AU128" s="171">
        <v>3000</v>
      </c>
      <c r="AV128" s="171">
        <v>63360</v>
      </c>
    </row>
    <row r="129" spans="43:48" x14ac:dyDescent="0.25">
      <c r="AQ129" s="148" t="s">
        <v>1300</v>
      </c>
      <c r="AR129" s="167" t="s">
        <v>1301</v>
      </c>
      <c r="AS129" s="148" t="s">
        <v>1236</v>
      </c>
      <c r="AT129" s="148">
        <v>35</v>
      </c>
      <c r="AU129" s="171">
        <v>3000</v>
      </c>
      <c r="AV129" s="171">
        <v>105000</v>
      </c>
    </row>
    <row r="130" spans="43:48" x14ac:dyDescent="0.25">
      <c r="AQ130" s="148" t="s">
        <v>1302</v>
      </c>
      <c r="AR130" s="167" t="s">
        <v>1303</v>
      </c>
      <c r="AS130" s="148" t="s">
        <v>1236</v>
      </c>
      <c r="AT130" s="148">
        <v>80</v>
      </c>
      <c r="AU130" s="171">
        <v>3000</v>
      </c>
      <c r="AV130" s="171">
        <v>240000</v>
      </c>
    </row>
    <row r="131" spans="43:48" x14ac:dyDescent="0.25">
      <c r="AQ131" s="148" t="s">
        <v>1304</v>
      </c>
      <c r="AR131" s="167" t="s">
        <v>1305</v>
      </c>
      <c r="AS131" s="148" t="s">
        <v>382</v>
      </c>
      <c r="AT131" s="148" t="s">
        <v>382</v>
      </c>
      <c r="AU131" s="171"/>
      <c r="AV131" s="171"/>
    </row>
    <row r="132" spans="43:48" ht="30" x14ac:dyDescent="0.25">
      <c r="AQ132" s="148" t="s">
        <v>1306</v>
      </c>
      <c r="AR132" s="167" t="s">
        <v>1307</v>
      </c>
      <c r="AS132" s="148" t="s">
        <v>1236</v>
      </c>
      <c r="AT132" s="148">
        <v>940</v>
      </c>
      <c r="AU132" s="171">
        <v>500</v>
      </c>
      <c r="AV132" s="171">
        <v>470000</v>
      </c>
    </row>
    <row r="133" spans="43:48" x14ac:dyDescent="0.25">
      <c r="AQ133" s="148" t="s">
        <v>1308</v>
      </c>
      <c r="AR133" s="167" t="s">
        <v>1309</v>
      </c>
      <c r="AS133" s="148" t="s">
        <v>1236</v>
      </c>
      <c r="AT133" s="148">
        <v>843</v>
      </c>
      <c r="AU133" s="171">
        <v>10000</v>
      </c>
      <c r="AV133" s="171">
        <v>8430000</v>
      </c>
    </row>
    <row r="134" spans="43:48" x14ac:dyDescent="0.25">
      <c r="AQ134" s="148" t="s">
        <v>1310</v>
      </c>
      <c r="AR134" s="167" t="s">
        <v>1311</v>
      </c>
      <c r="AS134" s="148" t="s">
        <v>1236</v>
      </c>
      <c r="AT134" s="148">
        <v>375</v>
      </c>
      <c r="AU134" s="171">
        <v>1000</v>
      </c>
      <c r="AV134" s="171">
        <v>375000</v>
      </c>
    </row>
    <row r="135" spans="43:48" x14ac:dyDescent="0.25">
      <c r="AQ135" s="148" t="s">
        <v>1312</v>
      </c>
      <c r="AR135" s="167" t="s">
        <v>1313</v>
      </c>
      <c r="AS135" s="148" t="s">
        <v>382</v>
      </c>
      <c r="AT135" s="148" t="s">
        <v>382</v>
      </c>
      <c r="AU135" s="171"/>
      <c r="AV135" s="171"/>
    </row>
    <row r="136" spans="43:48" x14ac:dyDescent="0.25">
      <c r="AQ136" s="148" t="s">
        <v>1314</v>
      </c>
      <c r="AR136" s="167" t="s">
        <v>1196</v>
      </c>
      <c r="AS136" s="148" t="s">
        <v>382</v>
      </c>
      <c r="AT136" s="148" t="s">
        <v>382</v>
      </c>
      <c r="AU136" s="171"/>
      <c r="AV136" s="171"/>
    </row>
    <row r="137" spans="43:48" x14ac:dyDescent="0.25">
      <c r="AQ137" s="148" t="s">
        <v>1315</v>
      </c>
      <c r="AR137" s="167" t="s">
        <v>1198</v>
      </c>
      <c r="AS137" s="148" t="s">
        <v>1199</v>
      </c>
      <c r="AT137" s="148">
        <v>12.5</v>
      </c>
      <c r="AU137" s="171">
        <v>2500</v>
      </c>
      <c r="AV137" s="171">
        <v>31250</v>
      </c>
    </row>
    <row r="138" spans="43:48" x14ac:dyDescent="0.25">
      <c r="AQ138" s="148" t="s">
        <v>1316</v>
      </c>
      <c r="AR138" s="167" t="s">
        <v>1201</v>
      </c>
      <c r="AS138" s="148" t="s">
        <v>1199</v>
      </c>
      <c r="AT138" s="148">
        <v>14.6</v>
      </c>
      <c r="AU138" s="171">
        <v>1000</v>
      </c>
      <c r="AV138" s="171">
        <v>14600</v>
      </c>
    </row>
    <row r="139" spans="43:48" x14ac:dyDescent="0.25">
      <c r="AQ139" s="148" t="s">
        <v>1317</v>
      </c>
      <c r="AR139" s="167" t="s">
        <v>1203</v>
      </c>
      <c r="AS139" s="148" t="s">
        <v>1199</v>
      </c>
      <c r="AT139" s="148">
        <v>13.8</v>
      </c>
      <c r="AU139" s="171">
        <v>500</v>
      </c>
      <c r="AV139" s="171">
        <v>6900</v>
      </c>
    </row>
    <row r="140" spans="43:48" x14ac:dyDescent="0.25">
      <c r="AQ140" s="148" t="s">
        <v>1318</v>
      </c>
      <c r="AR140" s="167" t="s">
        <v>1205</v>
      </c>
      <c r="AS140" s="148" t="s">
        <v>1199</v>
      </c>
      <c r="AT140" s="148">
        <v>10.5</v>
      </c>
      <c r="AU140" s="171">
        <v>7500</v>
      </c>
      <c r="AV140" s="171">
        <v>78750</v>
      </c>
    </row>
    <row r="141" spans="43:48" x14ac:dyDescent="0.25">
      <c r="AQ141" s="148" t="s">
        <v>1319</v>
      </c>
      <c r="AR141" s="167" t="s">
        <v>1320</v>
      </c>
      <c r="AS141" s="148" t="s">
        <v>382</v>
      </c>
      <c r="AT141" s="148" t="s">
        <v>382</v>
      </c>
      <c r="AU141" s="171"/>
      <c r="AV141" s="171"/>
    </row>
    <row r="142" spans="43:48" x14ac:dyDescent="0.25">
      <c r="AQ142" s="148" t="s">
        <v>1321</v>
      </c>
      <c r="AR142" s="167" t="s">
        <v>1209</v>
      </c>
      <c r="AS142" s="148" t="s">
        <v>1199</v>
      </c>
      <c r="AT142" s="148">
        <v>1</v>
      </c>
      <c r="AU142" s="171">
        <v>70000</v>
      </c>
      <c r="AV142" s="171">
        <v>70000</v>
      </c>
    </row>
    <row r="143" spans="43:48" x14ac:dyDescent="0.25">
      <c r="AQ143" s="148" t="s">
        <v>1322</v>
      </c>
      <c r="AR143" s="167" t="s">
        <v>1211</v>
      </c>
      <c r="AS143" s="148" t="s">
        <v>1199</v>
      </c>
      <c r="AT143" s="148">
        <v>3.5</v>
      </c>
      <c r="AU143" s="171">
        <v>110000</v>
      </c>
      <c r="AV143" s="171">
        <v>385000</v>
      </c>
    </row>
    <row r="144" spans="43:48" x14ac:dyDescent="0.25">
      <c r="AQ144" s="148" t="s">
        <v>1323</v>
      </c>
      <c r="AR144" s="167" t="s">
        <v>1213</v>
      </c>
      <c r="AS144" s="148" t="s">
        <v>1199</v>
      </c>
      <c r="AT144" s="148">
        <v>0.5</v>
      </c>
      <c r="AU144" s="171">
        <v>115000</v>
      </c>
      <c r="AV144" s="171">
        <v>57500</v>
      </c>
    </row>
    <row r="145" spans="43:48" x14ac:dyDescent="0.25">
      <c r="AQ145" s="148" t="s">
        <v>1324</v>
      </c>
      <c r="AR145" s="167" t="s">
        <v>1215</v>
      </c>
      <c r="AS145" s="148" t="s">
        <v>1199</v>
      </c>
      <c r="AT145" s="148">
        <v>1.37</v>
      </c>
      <c r="AU145" s="171">
        <v>115000</v>
      </c>
      <c r="AV145" s="171">
        <v>157550</v>
      </c>
    </row>
    <row r="146" spans="43:48" x14ac:dyDescent="0.25">
      <c r="AQ146" s="148" t="s">
        <v>1325</v>
      </c>
      <c r="AR146" s="167" t="s">
        <v>1217</v>
      </c>
      <c r="AS146" s="148" t="s">
        <v>1199</v>
      </c>
      <c r="AT146" s="148">
        <v>1.02</v>
      </c>
      <c r="AU146" s="171">
        <v>115000</v>
      </c>
      <c r="AV146" s="171">
        <v>117300</v>
      </c>
    </row>
    <row r="147" spans="43:48" x14ac:dyDescent="0.25">
      <c r="AQ147" s="148" t="s">
        <v>1326</v>
      </c>
      <c r="AR147" s="167" t="s">
        <v>1219</v>
      </c>
      <c r="AS147" s="148" t="s">
        <v>1199</v>
      </c>
      <c r="AT147" s="148">
        <v>1.36</v>
      </c>
      <c r="AU147" s="171">
        <v>110000</v>
      </c>
      <c r="AV147" s="171">
        <v>149600</v>
      </c>
    </row>
    <row r="148" spans="43:48" x14ac:dyDescent="0.25">
      <c r="AQ148" s="148" t="s">
        <v>1327</v>
      </c>
      <c r="AR148" s="167" t="s">
        <v>1328</v>
      </c>
      <c r="AS148" s="148"/>
      <c r="AT148" s="148"/>
      <c r="AU148" s="171"/>
      <c r="AV148" s="171"/>
    </row>
    <row r="149" spans="43:48" x14ac:dyDescent="0.25">
      <c r="AQ149" s="148" t="s">
        <v>1329</v>
      </c>
      <c r="AR149" s="167" t="s">
        <v>1301</v>
      </c>
      <c r="AS149" s="148" t="s">
        <v>1236</v>
      </c>
      <c r="AT149" s="148">
        <v>36</v>
      </c>
      <c r="AU149" s="171">
        <v>3000</v>
      </c>
      <c r="AV149" s="171">
        <v>108000</v>
      </c>
    </row>
    <row r="150" spans="43:48" x14ac:dyDescent="0.25">
      <c r="AQ150" s="148" t="s">
        <v>1330</v>
      </c>
      <c r="AR150" s="167" t="s">
        <v>1303</v>
      </c>
      <c r="AS150" s="148" t="s">
        <v>1236</v>
      </c>
      <c r="AT150" s="148">
        <v>80</v>
      </c>
      <c r="AU150" s="171">
        <v>3000</v>
      </c>
      <c r="AV150" s="171">
        <v>240000</v>
      </c>
    </row>
    <row r="151" spans="43:48" x14ac:dyDescent="0.25">
      <c r="AQ151" s="148" t="s">
        <v>1331</v>
      </c>
      <c r="AR151" s="167" t="s">
        <v>1305</v>
      </c>
      <c r="AS151" s="148" t="s">
        <v>382</v>
      </c>
      <c r="AT151" s="148" t="s">
        <v>382</v>
      </c>
      <c r="AU151" s="171"/>
      <c r="AV151" s="171"/>
    </row>
    <row r="152" spans="43:48" ht="30" x14ac:dyDescent="0.25">
      <c r="AQ152" s="148" t="s">
        <v>1332</v>
      </c>
      <c r="AR152" s="167" t="s">
        <v>1307</v>
      </c>
      <c r="AS152" s="148" t="s">
        <v>1236</v>
      </c>
      <c r="AT152" s="148">
        <v>950</v>
      </c>
      <c r="AU152" s="171">
        <v>500</v>
      </c>
      <c r="AV152" s="171">
        <v>475000</v>
      </c>
    </row>
    <row r="153" spans="43:48" x14ac:dyDescent="0.25">
      <c r="AQ153" s="148" t="s">
        <v>1333</v>
      </c>
      <c r="AR153" s="167" t="s">
        <v>1309</v>
      </c>
      <c r="AS153" s="148" t="s">
        <v>1236</v>
      </c>
      <c r="AT153" s="148">
        <v>850</v>
      </c>
      <c r="AU153" s="171">
        <v>10000</v>
      </c>
      <c r="AV153" s="171">
        <v>8500000</v>
      </c>
    </row>
    <row r="154" spans="43:48" x14ac:dyDescent="0.25">
      <c r="AQ154" s="148" t="s">
        <v>1334</v>
      </c>
      <c r="AR154" s="167" t="s">
        <v>1311</v>
      </c>
      <c r="AS154" s="148" t="s">
        <v>1236</v>
      </c>
      <c r="AT154" s="148">
        <v>357</v>
      </c>
      <c r="AU154" s="171">
        <v>1000</v>
      </c>
      <c r="AV154" s="171">
        <v>357000</v>
      </c>
    </row>
    <row r="155" spans="43:48" x14ac:dyDescent="0.25">
      <c r="AQ155" s="180" t="s">
        <v>382</v>
      </c>
      <c r="AR155" s="181" t="s">
        <v>1335</v>
      </c>
      <c r="AS155" s="180" t="s">
        <v>382</v>
      </c>
      <c r="AT155" s="180" t="s">
        <v>382</v>
      </c>
      <c r="AU155" s="182"/>
      <c r="AV155" s="182">
        <f>35938840*3</f>
        <v>107816520</v>
      </c>
    </row>
    <row r="156" spans="43:48" x14ac:dyDescent="0.25">
      <c r="AQ156" s="148"/>
      <c r="AR156" s="167" t="s">
        <v>1336</v>
      </c>
      <c r="AS156" s="148"/>
      <c r="AT156" s="148"/>
      <c r="AU156" s="171"/>
      <c r="AV156" s="171">
        <f>AV155+AV72+AV66+AV49+AV12</f>
        <v>6174813681</v>
      </c>
    </row>
    <row r="157" spans="43:48" x14ac:dyDescent="0.25">
      <c r="AQ157" s="148"/>
      <c r="AR157" s="167" t="s">
        <v>1337</v>
      </c>
      <c r="AS157" s="148"/>
      <c r="AT157" s="148"/>
      <c r="AU157" s="171"/>
      <c r="AV157" s="171">
        <f>AV156+(18%*AV156)</f>
        <v>7286280143.5799999</v>
      </c>
    </row>
  </sheetData>
  <mergeCells count="6">
    <mergeCell ref="W4:Y4"/>
    <mergeCell ref="V13:X13"/>
    <mergeCell ref="F4:H4"/>
    <mergeCell ref="D12:G12"/>
    <mergeCell ref="O4:Q4"/>
    <mergeCell ref="M12:P12"/>
  </mergeCells>
  <phoneticPr fontId="4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4989-69AC-4376-98CC-DF908DE968A4}">
  <dimension ref="A2:EB73"/>
  <sheetViews>
    <sheetView workbookViewId="0">
      <selection activeCell="F4" sqref="F4"/>
    </sheetView>
  </sheetViews>
  <sheetFormatPr baseColWidth="10" defaultRowHeight="15" x14ac:dyDescent="0.25"/>
  <cols>
    <col min="5" max="5" width="15.42578125" bestFit="1" customWidth="1"/>
    <col min="6" max="6" width="15.42578125" customWidth="1"/>
    <col min="7" max="7" width="16.28515625" bestFit="1" customWidth="1"/>
    <col min="8" max="8" width="15.85546875" bestFit="1" customWidth="1"/>
    <col min="9" max="9" width="24.5703125" bestFit="1" customWidth="1"/>
    <col min="10" max="10" width="24.5703125" customWidth="1"/>
    <col min="11" max="11" width="15.140625" bestFit="1" customWidth="1"/>
    <col min="12" max="12" width="14.42578125" bestFit="1" customWidth="1"/>
    <col min="13" max="14" width="19.28515625" bestFit="1" customWidth="1"/>
    <col min="15" max="16" width="13.42578125" bestFit="1" customWidth="1"/>
    <col min="23" max="23" width="15.42578125" bestFit="1" customWidth="1"/>
    <col min="24" max="24" width="15.42578125" customWidth="1"/>
    <col min="25" max="25" width="16.28515625" bestFit="1" customWidth="1"/>
    <col min="26" max="26" width="15.85546875" bestFit="1" customWidth="1"/>
    <col min="27" max="27" width="15.140625" bestFit="1" customWidth="1"/>
    <col min="28" max="28" width="22.7109375" bestFit="1" customWidth="1"/>
    <col min="29" max="29" width="15.140625" bestFit="1" customWidth="1"/>
    <col min="30" max="30" width="14.42578125" bestFit="1" customWidth="1"/>
    <col min="31" max="31" width="19.28515625" bestFit="1" customWidth="1"/>
    <col min="32" max="32" width="17.42578125" bestFit="1" customWidth="1"/>
    <col min="34" max="34" width="12.5703125" bestFit="1" customWidth="1"/>
    <col min="41" max="41" width="7.140625" bestFit="1" customWidth="1"/>
    <col min="42" max="42" width="15.42578125" bestFit="1" customWidth="1"/>
    <col min="43" max="43" width="15.42578125" customWidth="1"/>
    <col min="44" max="44" width="16.28515625" bestFit="1" customWidth="1"/>
    <col min="45" max="45" width="15.85546875" bestFit="1" customWidth="1"/>
    <col min="46" max="46" width="15.140625" bestFit="1" customWidth="1"/>
    <col min="47" max="47" width="22.7109375" bestFit="1" customWidth="1"/>
    <col min="48" max="48" width="15.140625" bestFit="1" customWidth="1"/>
    <col min="49" max="49" width="14.42578125" bestFit="1" customWidth="1"/>
    <col min="50" max="50" width="11.85546875" bestFit="1" customWidth="1"/>
    <col min="51" max="51" width="11.85546875" customWidth="1"/>
    <col min="52" max="52" width="13.42578125" bestFit="1" customWidth="1"/>
    <col min="62" max="62" width="15.42578125" bestFit="1" customWidth="1"/>
    <col min="63" max="63" width="15.42578125" customWidth="1"/>
    <col min="64" max="64" width="16.28515625" bestFit="1" customWidth="1"/>
    <col min="65" max="65" width="15.85546875" bestFit="1" customWidth="1"/>
    <col min="66" max="66" width="15.140625" bestFit="1" customWidth="1"/>
    <col min="67" max="67" width="22.7109375" bestFit="1" customWidth="1"/>
    <col min="68" max="68" width="15.140625" bestFit="1" customWidth="1"/>
    <col min="69" max="69" width="14.42578125" bestFit="1" customWidth="1"/>
    <col min="70" max="70" width="19.28515625" bestFit="1" customWidth="1"/>
    <col min="71" max="71" width="17.42578125" bestFit="1" customWidth="1"/>
    <col min="72" max="72" width="13.42578125" bestFit="1" customWidth="1"/>
    <col min="73" max="73" width="12.5703125" bestFit="1" customWidth="1"/>
    <col min="82" max="82" width="7.140625" bestFit="1" customWidth="1"/>
    <col min="83" max="83" width="15.42578125" bestFit="1" customWidth="1"/>
    <col min="84" max="84" width="15.42578125" customWidth="1"/>
    <col min="85" max="85" width="16.28515625" bestFit="1" customWidth="1"/>
    <col min="86" max="86" width="15.85546875" bestFit="1" customWidth="1"/>
    <col min="87" max="87" width="15.140625" bestFit="1" customWidth="1"/>
    <col min="88" max="90" width="15.140625" customWidth="1"/>
    <col min="91" max="91" width="11.85546875" bestFit="1" customWidth="1"/>
    <col min="92" max="92" width="11.85546875" customWidth="1"/>
    <col min="93" max="93" width="11.85546875" bestFit="1" customWidth="1"/>
    <col min="102" max="102" width="15.42578125" bestFit="1" customWidth="1"/>
    <col min="103" max="103" width="14.5703125" bestFit="1" customWidth="1"/>
    <col min="104" max="104" width="16.28515625" bestFit="1" customWidth="1"/>
    <col min="105" max="105" width="15.85546875" bestFit="1" customWidth="1"/>
    <col min="107" max="107" width="22.7109375" bestFit="1" customWidth="1"/>
    <col min="108" max="108" width="15.140625" bestFit="1" customWidth="1"/>
    <col min="109" max="109" width="14.42578125" bestFit="1" customWidth="1"/>
    <col min="110" max="110" width="19.28515625" bestFit="1" customWidth="1"/>
    <col min="111" max="111" width="17.42578125" bestFit="1" customWidth="1"/>
    <col min="112" max="112" width="13.42578125" bestFit="1" customWidth="1"/>
    <col min="113" max="113" width="12.5703125" bestFit="1" customWidth="1"/>
    <col min="121" max="121" width="13.7109375" bestFit="1" customWidth="1"/>
    <col min="122" max="122" width="14.5703125" bestFit="1" customWidth="1"/>
    <col min="123" max="123" width="16.28515625" bestFit="1" customWidth="1"/>
    <col min="125" max="125" width="24.5703125" bestFit="1" customWidth="1"/>
    <col min="126" max="126" width="22.7109375" bestFit="1" customWidth="1"/>
    <col min="127" max="127" width="15.140625" bestFit="1" customWidth="1"/>
    <col min="128" max="128" width="14.42578125" bestFit="1" customWidth="1"/>
    <col min="129" max="129" width="19.28515625" bestFit="1" customWidth="1"/>
    <col min="130" max="130" width="17.42578125" bestFit="1" customWidth="1"/>
    <col min="132" max="132" width="12.5703125" bestFit="1" customWidth="1"/>
  </cols>
  <sheetData>
    <row r="2" spans="1:132" x14ac:dyDescent="0.25">
      <c r="A2" s="63"/>
      <c r="B2" s="63" t="s">
        <v>111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S2" s="63"/>
      <c r="T2" s="63" t="s">
        <v>203</v>
      </c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L2" s="63"/>
      <c r="AM2" s="63" t="s">
        <v>233</v>
      </c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F2" s="63"/>
      <c r="BG2" s="63" t="s">
        <v>255</v>
      </c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CA2" s="63"/>
      <c r="CB2" s="63" t="s">
        <v>279</v>
      </c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T2" s="63"/>
      <c r="CU2" s="63" t="s">
        <v>305</v>
      </c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M2" s="63"/>
      <c r="DN2" s="63" t="s">
        <v>317</v>
      </c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</row>
    <row r="3" spans="1:132" x14ac:dyDescent="0.25">
      <c r="A3" s="63" t="s">
        <v>544</v>
      </c>
      <c r="B3" s="63" t="s">
        <v>102</v>
      </c>
      <c r="C3" s="63" t="s">
        <v>905</v>
      </c>
      <c r="D3" s="63" t="s">
        <v>906</v>
      </c>
      <c r="E3" s="63" t="s">
        <v>344</v>
      </c>
      <c r="F3" s="63" t="s">
        <v>1437</v>
      </c>
      <c r="G3" s="63" t="s">
        <v>1435</v>
      </c>
      <c r="H3" s="63" t="s">
        <v>1436</v>
      </c>
      <c r="I3" s="63" t="s">
        <v>1438</v>
      </c>
      <c r="J3" s="63" t="s">
        <v>1439</v>
      </c>
      <c r="K3" s="63" t="s">
        <v>1440</v>
      </c>
      <c r="L3" s="63" t="s">
        <v>1441</v>
      </c>
      <c r="M3" s="63" t="s">
        <v>1442</v>
      </c>
      <c r="N3" s="63" t="s">
        <v>1443</v>
      </c>
      <c r="O3" s="63" t="s">
        <v>1444</v>
      </c>
      <c r="P3" s="63" t="s">
        <v>1445</v>
      </c>
      <c r="S3" s="63" t="s">
        <v>544</v>
      </c>
      <c r="T3" s="63" t="s">
        <v>102</v>
      </c>
      <c r="U3" s="63" t="s">
        <v>905</v>
      </c>
      <c r="V3" s="63" t="s">
        <v>906</v>
      </c>
      <c r="W3" s="63" t="s">
        <v>344</v>
      </c>
      <c r="X3" s="63" t="s">
        <v>1437</v>
      </c>
      <c r="Y3" s="63" t="s">
        <v>1435</v>
      </c>
      <c r="Z3" s="63" t="s">
        <v>1436</v>
      </c>
      <c r="AA3" s="63" t="s">
        <v>1438</v>
      </c>
      <c r="AB3" s="63" t="s">
        <v>1439</v>
      </c>
      <c r="AC3" s="63" t="s">
        <v>1440</v>
      </c>
      <c r="AD3" s="63" t="s">
        <v>1441</v>
      </c>
      <c r="AE3" s="63" t="s">
        <v>1442</v>
      </c>
      <c r="AF3" s="63" t="s">
        <v>1443</v>
      </c>
      <c r="AG3" s="63" t="s">
        <v>1444</v>
      </c>
      <c r="AH3" s="63" t="s">
        <v>1445</v>
      </c>
      <c r="AL3" s="63" t="s">
        <v>544</v>
      </c>
      <c r="AM3" s="63" t="s">
        <v>102</v>
      </c>
      <c r="AN3" s="63" t="s">
        <v>905</v>
      </c>
      <c r="AO3" s="63" t="s">
        <v>906</v>
      </c>
      <c r="AP3" s="63" t="s">
        <v>344</v>
      </c>
      <c r="AQ3" s="63" t="s">
        <v>1437</v>
      </c>
      <c r="AR3" s="63" t="s">
        <v>1435</v>
      </c>
      <c r="AS3" s="63" t="s">
        <v>1436</v>
      </c>
      <c r="AT3" s="63" t="s">
        <v>1438</v>
      </c>
      <c r="AU3" s="63" t="s">
        <v>1439</v>
      </c>
      <c r="AV3" s="63" t="s">
        <v>1440</v>
      </c>
      <c r="AW3" s="63" t="s">
        <v>1441</v>
      </c>
      <c r="AX3" s="63" t="s">
        <v>1442</v>
      </c>
      <c r="AY3" s="63" t="s">
        <v>1443</v>
      </c>
      <c r="AZ3" s="63" t="s">
        <v>1444</v>
      </c>
      <c r="BA3" s="63" t="s">
        <v>1445</v>
      </c>
      <c r="BF3" s="63" t="s">
        <v>544</v>
      </c>
      <c r="BG3" s="63" t="s">
        <v>102</v>
      </c>
      <c r="BH3" s="63" t="s">
        <v>905</v>
      </c>
      <c r="BI3" s="63" t="s">
        <v>906</v>
      </c>
      <c r="BJ3" s="63" t="s">
        <v>344</v>
      </c>
      <c r="BK3" s="63" t="s">
        <v>1437</v>
      </c>
      <c r="BL3" s="63" t="s">
        <v>1435</v>
      </c>
      <c r="BM3" s="63" t="s">
        <v>1436</v>
      </c>
      <c r="BN3" s="63" t="s">
        <v>1438</v>
      </c>
      <c r="BO3" s="63" t="s">
        <v>1439</v>
      </c>
      <c r="BP3" s="63" t="s">
        <v>1440</v>
      </c>
      <c r="BQ3" s="63" t="s">
        <v>1441</v>
      </c>
      <c r="BR3" s="63" t="s">
        <v>1442</v>
      </c>
      <c r="BS3" s="63" t="s">
        <v>1443</v>
      </c>
      <c r="BT3" s="63" t="s">
        <v>1444</v>
      </c>
      <c r="BU3" s="63" t="s">
        <v>1445</v>
      </c>
      <c r="CA3" s="63" t="s">
        <v>544</v>
      </c>
      <c r="CB3" s="63" t="s">
        <v>102</v>
      </c>
      <c r="CC3" s="63" t="s">
        <v>905</v>
      </c>
      <c r="CD3" s="63" t="s">
        <v>906</v>
      </c>
      <c r="CE3" s="63" t="s">
        <v>344</v>
      </c>
      <c r="CF3" s="63" t="s">
        <v>1437</v>
      </c>
      <c r="CG3" s="63" t="s">
        <v>1435</v>
      </c>
      <c r="CH3" s="63" t="s">
        <v>1436</v>
      </c>
      <c r="CI3" s="63" t="s">
        <v>1438</v>
      </c>
      <c r="CJ3" s="63" t="s">
        <v>1439</v>
      </c>
      <c r="CK3" s="63" t="s">
        <v>1440</v>
      </c>
      <c r="CL3" s="63" t="s">
        <v>1441</v>
      </c>
      <c r="CM3" s="63" t="s">
        <v>1442</v>
      </c>
      <c r="CN3" s="63" t="s">
        <v>1443</v>
      </c>
      <c r="CO3" s="63" t="s">
        <v>1444</v>
      </c>
      <c r="CP3" s="63" t="s">
        <v>1445</v>
      </c>
      <c r="CT3" s="63" t="s">
        <v>544</v>
      </c>
      <c r="CU3" s="63" t="s">
        <v>102</v>
      </c>
      <c r="CV3" s="63" t="s">
        <v>905</v>
      </c>
      <c r="CW3" s="63" t="s">
        <v>906</v>
      </c>
      <c r="CX3" s="63" t="s">
        <v>344</v>
      </c>
      <c r="CY3" s="63" t="s">
        <v>1437</v>
      </c>
      <c r="CZ3" s="63" t="s">
        <v>1435</v>
      </c>
      <c r="DA3" s="63" t="s">
        <v>1436</v>
      </c>
      <c r="DB3" s="63" t="s">
        <v>1438</v>
      </c>
      <c r="DC3" s="63" t="s">
        <v>1439</v>
      </c>
      <c r="DD3" s="63" t="s">
        <v>1440</v>
      </c>
      <c r="DE3" s="63" t="s">
        <v>1441</v>
      </c>
      <c r="DF3" s="63" t="s">
        <v>1442</v>
      </c>
      <c r="DG3" s="63" t="s">
        <v>1443</v>
      </c>
      <c r="DH3" s="63" t="s">
        <v>1444</v>
      </c>
      <c r="DI3" s="63" t="s">
        <v>1445</v>
      </c>
      <c r="DM3" s="63" t="s">
        <v>544</v>
      </c>
      <c r="DN3" s="63" t="s">
        <v>102</v>
      </c>
      <c r="DO3" s="63" t="s">
        <v>905</v>
      </c>
      <c r="DP3" s="63" t="s">
        <v>906</v>
      </c>
      <c r="DQ3" s="63" t="s">
        <v>344</v>
      </c>
      <c r="DR3" s="63" t="s">
        <v>1437</v>
      </c>
      <c r="DS3" s="63" t="s">
        <v>1435</v>
      </c>
      <c r="DT3" s="63" t="s">
        <v>1436</v>
      </c>
      <c r="DU3" s="63" t="s">
        <v>1438</v>
      </c>
      <c r="DV3" s="63" t="s">
        <v>1439</v>
      </c>
      <c r="DW3" s="63" t="s">
        <v>1440</v>
      </c>
      <c r="DX3" s="63" t="s">
        <v>1441</v>
      </c>
      <c r="DY3" s="63" t="s">
        <v>1442</v>
      </c>
      <c r="DZ3" s="63" t="s">
        <v>1443</v>
      </c>
      <c r="EA3" s="63" t="s">
        <v>1444</v>
      </c>
      <c r="EB3" s="63" t="s">
        <v>1445</v>
      </c>
    </row>
    <row r="4" spans="1:132" x14ac:dyDescent="0.25">
      <c r="A4" s="63">
        <f>MATCH(D4,Pipes_result_save_V1!$H$2:$H$206,0)</f>
        <v>76</v>
      </c>
      <c r="B4" s="63" t="s">
        <v>884</v>
      </c>
      <c r="C4" s="63" t="s">
        <v>745</v>
      </c>
      <c r="D4" s="63" t="s">
        <v>664</v>
      </c>
      <c r="E4" s="63">
        <v>349.70415157754883</v>
      </c>
      <c r="F4" s="63" cm="1">
        <f t="array" ref="F4">INDEX(Pipes_result_save_V1!$C$2:$C$206,'COMPARAISON EPANET'!A4)</f>
        <v>204.2</v>
      </c>
      <c r="G4" s="63">
        <v>350</v>
      </c>
      <c r="H4" s="63" cm="1">
        <f t="array" ref="H4">INDEX(Pipes_result_save_V1!$O$2:$O$206,A4)</f>
        <v>200</v>
      </c>
      <c r="I4" s="63">
        <v>2.0853796048124752E-2</v>
      </c>
      <c r="J4" s="63" cm="1">
        <f t="array" ref="J4">INDEX(Pipes_result_save_V1!$R$2:$R$206,A4)/1000</f>
        <v>2.7296918869018551E-2</v>
      </c>
      <c r="K4" s="63">
        <v>1.3546876421588928E-2</v>
      </c>
      <c r="L4" s="63" cm="1">
        <f t="array" ref="L4">INDEX(Pipes_result_save_V1!$L$2:$L$206,A4)</f>
        <v>0.83350831270217896</v>
      </c>
      <c r="M4" s="63">
        <v>0.20734410255996347</v>
      </c>
      <c r="N4" s="63" cm="1">
        <f t="array" ref="N4">INDEX(Pipes_result_save_V1!$M$2:$M$206,A4)</f>
        <v>2.953453540802002</v>
      </c>
      <c r="O4" s="63">
        <v>25.999151909734536</v>
      </c>
      <c r="P4" s="63">
        <f>INDEX('Junctions — junctions'!$I$2:$I$197,MATCH(D4,'Junctions — junctions'!$B$2:$B$197,0))</f>
        <v>58.451694488525391</v>
      </c>
      <c r="S4" s="63">
        <f>MATCH(V4,Pipes_result_save_V1!$H$2:$H$206,0)</f>
        <v>184</v>
      </c>
      <c r="T4" s="63" t="s">
        <v>184</v>
      </c>
      <c r="U4" s="63" t="s">
        <v>662</v>
      </c>
      <c r="V4" s="63" t="s">
        <v>661</v>
      </c>
      <c r="W4" s="63">
        <v>340.27714444529937</v>
      </c>
      <c r="X4" s="63" cm="1">
        <f t="array" ref="X4">INDEX(Pipes_result_save_V1!$C$2:$C$206,'COMPARAISON EPANET'!S4)</f>
        <v>252</v>
      </c>
      <c r="Y4" s="63">
        <v>350</v>
      </c>
      <c r="Z4" s="63" cm="1">
        <f t="array" ref="Z4">INDEX(Pipes_result_save_V1!$O$2:$O$206,S4)</f>
        <v>250</v>
      </c>
      <c r="AA4" s="63">
        <v>5.3203589470187704E-2</v>
      </c>
      <c r="AB4" s="63" cm="1">
        <f t="array" ref="AB4">INDEX(Pipes_result_save_V1!$R$2:$R$206,S4)/1000</f>
        <v>5.1448749542236327E-2</v>
      </c>
      <c r="AC4" s="63">
        <v>3.456169083433587E-2</v>
      </c>
      <c r="AD4" s="63" cm="1">
        <f t="array" ref="AD4">INDEX(Pipes_result_save_V1!$L$2:$L$206,S4)</f>
        <v>1.0315291881561279</v>
      </c>
      <c r="AE4" s="63">
        <v>0.13273035727434446</v>
      </c>
      <c r="AF4" s="63" cm="1">
        <f t="array" ref="AF4">INDEX(Pipes_result_save_V1!$M$2:$M$206,S4)</f>
        <v>3.417511940002441</v>
      </c>
      <c r="AG4" s="63">
        <v>68.739901850435103</v>
      </c>
      <c r="AH4" s="63">
        <f>INDEX('Junctions — junctions'!$I$2:$I$197,MATCH(V4,'Junctions — junctions'!$B$2:$B$197,0))</f>
        <v>57.888214111328118</v>
      </c>
      <c r="AL4" s="63">
        <f>MATCH(AO4,Pipes_result_save_V1!$H$2:$H$206,0)</f>
        <v>139</v>
      </c>
      <c r="AM4" s="63" t="s">
        <v>421</v>
      </c>
      <c r="AN4" s="63" t="s">
        <v>622</v>
      </c>
      <c r="AO4" s="63" t="s">
        <v>652</v>
      </c>
      <c r="AP4" s="63">
        <v>204.52212438525402</v>
      </c>
      <c r="AQ4" s="63" cm="1">
        <f t="array" ref="AQ4">INDEX(Pipes_result_save_V1!$C$2:$C$206,'COMPARAISON EPANET'!AL4)</f>
        <v>252</v>
      </c>
      <c r="AR4" s="63">
        <v>250</v>
      </c>
      <c r="AS4" s="63" cm="1">
        <f t="array" ref="AS4">INDEX(Pipes_result_save_V1!$O$2:$O$206,AL4)</f>
        <v>250</v>
      </c>
      <c r="AT4" s="63">
        <v>5.8552051240535904E-2</v>
      </c>
      <c r="AU4" s="63" cm="1">
        <f t="array" ref="AU4">INDEX(Pipes_result_save_V1!$R$2:$R$206,AL4)/1000</f>
        <v>6.4305412292480463E-2</v>
      </c>
      <c r="AV4" s="63">
        <v>7.4550787064809859E-2</v>
      </c>
      <c r="AW4" s="63" cm="1">
        <f t="array" ref="AW4">INDEX(Pipes_result_save_V1!$L$2:$L$206,AL4)</f>
        <v>1.289300680160522</v>
      </c>
      <c r="AX4" s="63">
        <v>6.405805386727606E-2</v>
      </c>
      <c r="AY4" s="63" cm="1">
        <f t="array" ref="AY4">INDEX(Pipes_result_save_V1!$M$2:$M$206,AL4)</f>
        <v>5.3390045166015616</v>
      </c>
      <c r="AZ4" s="63">
        <v>24.692059970204831</v>
      </c>
      <c r="BA4" s="63">
        <f>INDEX('Junctions — junctions'!$I$2:$I$197,MATCH(AO4,'Junctions — junctions'!$B$2:$B$197,0))</f>
        <v>72.551666259765625</v>
      </c>
      <c r="BF4" s="63">
        <f>MATCH(BI4,Pipes_result_save_V1!$H$2:$H$206,0)</f>
        <v>15</v>
      </c>
      <c r="BG4" s="63" t="s">
        <v>414</v>
      </c>
      <c r="BH4" s="63" t="s">
        <v>632</v>
      </c>
      <c r="BI4" s="63" t="s">
        <v>622</v>
      </c>
      <c r="BJ4" s="63">
        <v>204.52212438525402</v>
      </c>
      <c r="BK4" s="63" cm="1">
        <f t="array" ref="BK4">INDEX(Pipes_result_save_V1!$C$2:$C$206,'COMPARAISON EPANET'!BF4)</f>
        <v>156.4</v>
      </c>
      <c r="BL4" s="63">
        <v>250</v>
      </c>
      <c r="BM4" s="63" cm="1">
        <f t="array" ref="BM4">INDEX(Pipes_result_save_V1!$O$2:$O$206,BF4)</f>
        <v>150</v>
      </c>
      <c r="BN4" s="63">
        <v>2.7423581976117752E-2</v>
      </c>
      <c r="BO4" s="63" cm="1">
        <f t="array" ref="BO4">INDEX(Pipes_result_save_V1!$R$2:$R$206,BF4)/1000</f>
        <v>8.0635652542114262E-3</v>
      </c>
      <c r="BP4" s="63">
        <v>3.4916789030279581E-2</v>
      </c>
      <c r="BQ4" s="63" cm="1">
        <f t="array" ref="BQ4">INDEX(Pipes_result_save_V1!$L$2:$L$206,BF4)</f>
        <v>0.41972163319587708</v>
      </c>
      <c r="BR4" s="63">
        <v>0.34011776220006096</v>
      </c>
      <c r="BS4" s="63" cm="1">
        <f t="array" ref="BS4">INDEX(Pipes_result_save_V1!$M$2:$M$206,BF4)</f>
        <v>1.068596720695496</v>
      </c>
      <c r="BT4" s="63">
        <v>22.402184920703466</v>
      </c>
      <c r="BU4" s="63">
        <f>INDEX('Junctions — junctions'!$I$2:$I$197,MATCH(BI4,'Junctions — junctions'!$B$2:$B$197,0))</f>
        <v>67.037513732910156</v>
      </c>
      <c r="CA4" s="63">
        <f>MATCH(CD4,Pipes_result_save_V1!$H$2:$H$206,0)</f>
        <v>125</v>
      </c>
      <c r="CB4" s="63" t="s">
        <v>404</v>
      </c>
      <c r="CC4" s="63" t="s">
        <v>611</v>
      </c>
      <c r="CD4" s="63" t="s">
        <v>597</v>
      </c>
      <c r="CE4" s="63">
        <v>460.62820576799743</v>
      </c>
      <c r="CF4" s="63" cm="1">
        <f t="array" ref="CF4">INDEX(Pipes_result_save_V1!$C$2:$C$206,'COMPARAISON EPANET'!CA4)</f>
        <v>394.6</v>
      </c>
      <c r="CG4" s="63">
        <v>500</v>
      </c>
      <c r="CH4" s="63" cm="1">
        <f t="array" ref="CH4">INDEX(Pipes_result_save_V1!$O$2:$O$206,CA4)</f>
        <v>400</v>
      </c>
      <c r="CI4" s="63">
        <v>6.5377785544237496E-2</v>
      </c>
      <c r="CJ4" s="63" cm="1">
        <f t="array" ref="CJ4">INDEX(Pipes_result_save_V1!$R$2:$R$206,CA4)/1000</f>
        <v>7.1654319763183594E-2</v>
      </c>
      <c r="CK4" s="63">
        <v>0.31356904893752557</v>
      </c>
      <c r="CL4" s="63" cm="1">
        <f t="array" ref="CL4">INDEX(Pipes_result_save_V1!$L$2:$L$206,CA4)</f>
        <v>0.58591687679290771</v>
      </c>
      <c r="CM4" s="63">
        <v>2.3957886813551679E-2</v>
      </c>
      <c r="CN4" s="63" cm="1">
        <f t="array" ref="CN4">INDEX(Pipes_result_save_V1!$M$2:$M$206,CA4)</f>
        <v>0.60648518800735474</v>
      </c>
      <c r="CO4" s="63">
        <v>19.153510656719984</v>
      </c>
      <c r="CP4" s="63">
        <f>INDEX('Junctions — junctions'!$I$2:$I$197,MATCH(CD4,'Junctions — junctions'!$B$2:$B$197,0))</f>
        <v>62.517715454101563</v>
      </c>
      <c r="CT4" s="63">
        <f>MATCH(CW4,Pipes_result_save_V1!$H$2:$H$206,0)</f>
        <v>92</v>
      </c>
      <c r="CU4" s="63" t="s">
        <v>399</v>
      </c>
      <c r="CV4" s="63" t="s">
        <v>598</v>
      </c>
      <c r="CW4" s="63" t="s">
        <v>583</v>
      </c>
      <c r="CX4" s="63">
        <v>460.62820576799743</v>
      </c>
      <c r="CY4" s="63" cm="1">
        <f t="array" ref="CY4">INDEX(Pipes_result_save_V1!$C$2:$C$206,'COMPARAISON EPANET'!CT4)</f>
        <v>489.4</v>
      </c>
      <c r="CZ4" s="63">
        <v>500</v>
      </c>
      <c r="DA4" s="63" cm="1">
        <f t="array" ref="DA4">INDEX(Pipes_result_save_V1!$O$2:$O$206,CT4)</f>
        <v>500</v>
      </c>
      <c r="DB4" s="63">
        <v>0.20358511062185727</v>
      </c>
      <c r="DC4" s="63" cm="1">
        <f t="array" ref="DC4">INDEX(Pipes_result_save_V1!$R$2:$R$206,CT4)/1000</f>
        <v>0.20916310119628909</v>
      </c>
      <c r="DD4" s="63">
        <v>7.4604378178311698E-2</v>
      </c>
      <c r="DE4" s="63" cm="1">
        <f t="array" ref="DE4">INDEX(Pipes_result_save_V1!$L$2:$L$206,CT4)</f>
        <v>1.111897826194763</v>
      </c>
      <c r="DF4" s="63">
        <v>0.13820815901037856</v>
      </c>
      <c r="DG4" s="63" cm="1">
        <f t="array" ref="DG4">INDEX(Pipes_result_save_V1!$M$2:$M$206,CT4)</f>
        <v>1.6392097473144529</v>
      </c>
      <c r="DH4" s="63">
        <v>21.713131055137946</v>
      </c>
      <c r="DI4" s="63">
        <f>INDEX('Junctions — junctions'!$I$2:$I$197,MATCH(CW4,'Junctions — junctions'!$B$2:$B$197,0))</f>
        <v>68.799537658691406</v>
      </c>
      <c r="DM4" s="63">
        <f>MATCH(DP4,Pipes_result_save_V1!$H$2:$H$206,0)</f>
        <v>205</v>
      </c>
      <c r="DN4" s="63" t="s">
        <v>405</v>
      </c>
      <c r="DO4" s="63" t="s">
        <v>419</v>
      </c>
      <c r="DP4" s="63" t="s">
        <v>581</v>
      </c>
      <c r="DQ4" s="63">
        <v>650.44815515748121</v>
      </c>
      <c r="DR4" s="63" cm="1">
        <f t="array" ref="DR4">INDEX(Pipes_result_save_V1!$C$2:$C$206,'COMPARAISON EPANET'!DM4)</f>
        <v>700</v>
      </c>
      <c r="DS4" s="63">
        <v>800</v>
      </c>
      <c r="DT4" s="63" cm="1">
        <f t="array" ref="DT4">INDEX(Pipes_result_save_V1!$O$2:$O$206,DM4)</f>
        <v>800</v>
      </c>
      <c r="DU4" s="63">
        <v>0.32198880906494448</v>
      </c>
      <c r="DV4" s="63" cm="1">
        <f t="array" ref="DV4">INDEX(Pipes_result_save_V1!$R$2:$R$206,DM4)/1000</f>
        <v>0.3321200561523438</v>
      </c>
      <c r="DW4" s="63">
        <v>5.2291949574447348E-2</v>
      </c>
      <c r="DX4" s="63" cm="1">
        <f t="array" ref="DX4">INDEX(Pipes_result_save_V1!$L$2:$L$206,DM4)</f>
        <v>0.8629920482635498</v>
      </c>
      <c r="DY4" s="63">
        <v>0.3321200561523438</v>
      </c>
      <c r="DZ4" s="63" cm="1">
        <f t="array" ref="DZ4">INDEX(Pipes_result_save_V1!$M$2:$M$206,DM4)</f>
        <v>0.61288028955459595</v>
      </c>
      <c r="EA4" s="63">
        <v>22.206922716379164</v>
      </c>
      <c r="EB4" s="63">
        <f>INDEX('Junctions — junctions'!$I$2:$I$197,MATCH(DP4,'Junctions — junctions'!$B$2:$B$197,0))</f>
        <v>69.97137451171875</v>
      </c>
    </row>
    <row r="5" spans="1:132" x14ac:dyDescent="0.25">
      <c r="A5" s="63">
        <f>MATCH(D5,Pipes_result_save_V1!$H$2:$H$206,0)</f>
        <v>187</v>
      </c>
      <c r="B5" s="63" t="s">
        <v>201</v>
      </c>
      <c r="C5" s="63" t="s">
        <v>664</v>
      </c>
      <c r="D5" s="63" t="s">
        <v>665</v>
      </c>
      <c r="E5" s="63">
        <v>347.87800775595855</v>
      </c>
      <c r="F5" s="63" cm="1">
        <f t="array" ref="F5">INDEX(Pipes_result_save_V1!$C$2:$C$206,'COMPARAISON EPANET'!A5)</f>
        <v>156.4</v>
      </c>
      <c r="G5" s="63">
        <v>350</v>
      </c>
      <c r="H5" s="63" cm="1">
        <f t="array" ref="H5">INDEX(Pipes_result_save_V1!$O$2:$O$206,A5)</f>
        <v>150</v>
      </c>
      <c r="I5" s="63">
        <v>1.4931447295270297E-2</v>
      </c>
      <c r="J5" s="63" cm="1">
        <f t="array" ref="J5">INDEX(Pipes_result_save_V1!$R$2:$R$206,A5)/1000</f>
        <v>2.0083776473999018E-2</v>
      </c>
      <c r="K5" s="63">
        <v>9.69964752880971E-3</v>
      </c>
      <c r="L5" s="63" cm="1">
        <f t="array" ref="L5">INDEX(Pipes_result_save_V1!$L$2:$L$206,A5)</f>
        <v>1.045393109321594</v>
      </c>
      <c r="M5" s="63">
        <v>0.2012434958680151</v>
      </c>
      <c r="N5" s="63" cm="1">
        <f t="array" ref="N5">INDEX(Pipes_result_save_V1!$M$2:$M$206,A5)</f>
        <v>6.6291894912719727</v>
      </c>
      <c r="O5" s="63">
        <v>27.797908413866523</v>
      </c>
      <c r="P5" s="63">
        <f>INDEX('Junctions — junctions'!$I$2:$I$197,MATCH(D5,'Junctions — junctions'!$B$2:$B$197,0))</f>
        <v>59.821258544921882</v>
      </c>
      <c r="S5" s="63">
        <f>MATCH(V5,Pipes_result_save_V1!$H$2:$H$206,0)</f>
        <v>182</v>
      </c>
      <c r="T5" s="63" t="s">
        <v>422</v>
      </c>
      <c r="U5" s="63" t="s">
        <v>661</v>
      </c>
      <c r="V5" s="63" t="s">
        <v>715</v>
      </c>
      <c r="W5" s="63">
        <v>271.95447352229712</v>
      </c>
      <c r="X5" s="63" cm="1">
        <f t="array" ref="X5">INDEX(Pipes_result_save_V1!$C$2:$C$206,'COMPARAISON EPANET'!S5)</f>
        <v>72.8</v>
      </c>
      <c r="Y5" s="63">
        <v>300</v>
      </c>
      <c r="Z5" s="63" cm="1">
        <f t="array" ref="Z5">INDEX(Pipes_result_save_V1!$O$2:$O$206,S5)</f>
        <v>75</v>
      </c>
      <c r="AA5" s="63">
        <v>1.7481161244201236E-3</v>
      </c>
      <c r="AB5" s="63" cm="1">
        <f t="array" ref="AB5">INDEX(Pipes_result_save_V1!$R$2:$R$206,S5)/1000</f>
        <v>2.2272217273712159E-3</v>
      </c>
      <c r="AC5" s="63">
        <v>1.5456740127783855E-3</v>
      </c>
      <c r="AD5" s="63" cm="1">
        <f t="array" ref="AD5">INDEX(Pipes_result_save_V1!$L$2:$L$206,S5)</f>
        <v>0.53506731986999512</v>
      </c>
      <c r="AE5" s="63">
        <v>0.15867451177943664</v>
      </c>
      <c r="AF5" s="63" cm="1">
        <f t="array" ref="AF5">INDEX(Pipes_result_save_V1!$M$2:$M$206,S5)</f>
        <v>4.812995433807373</v>
      </c>
      <c r="AG5" s="63">
        <v>72.581227338655665</v>
      </c>
      <c r="AH5" s="63">
        <f>INDEX('Junctions — junctions'!$I$2:$I$197,MATCH(V5,'Junctions — junctions'!$B$2:$B$197,0))</f>
        <v>61.467079162597663</v>
      </c>
      <c r="AL5" s="63">
        <f>MATCH(AO5,Pipes_result_save_V1!$H$2:$H$206,0)</f>
        <v>15</v>
      </c>
      <c r="AM5" s="63" t="s">
        <v>413</v>
      </c>
      <c r="AN5" s="63" t="s">
        <v>691</v>
      </c>
      <c r="AO5" s="63" t="s">
        <v>622</v>
      </c>
      <c r="AP5" s="63">
        <v>204.52212438525402</v>
      </c>
      <c r="AQ5" s="63" cm="1">
        <f t="array" ref="AQ5">INDEX(Pipes_result_save_V1!$C$2:$C$206,'COMPARAISON EPANET'!AL5)</f>
        <v>156.4</v>
      </c>
      <c r="AR5" s="63">
        <v>250</v>
      </c>
      <c r="AS5" s="63" cm="1">
        <f t="array" ref="AS5">INDEX(Pipes_result_save_V1!$O$2:$O$206,AL5)</f>
        <v>150</v>
      </c>
      <c r="AT5" s="63">
        <v>2.2231279922193658E-3</v>
      </c>
      <c r="AU5" s="63" cm="1">
        <f t="array" ref="AU5">INDEX(Pipes_result_save_V1!$R$2:$R$206,AL5)/1000</f>
        <v>8.0635652542114262E-3</v>
      </c>
      <c r="AV5" s="63">
        <v>2.8305744727013817E-3</v>
      </c>
      <c r="AW5" s="63" cm="1">
        <f t="array" ref="AW5">INDEX(Pipes_result_save_V1!$L$2:$L$206,AL5)</f>
        <v>0.41972163319587708</v>
      </c>
      <c r="AX5" s="63">
        <v>6.405805386727606E-2</v>
      </c>
      <c r="AY5" s="63" cm="1">
        <f t="array" ref="AY5">INDEX(Pipes_result_save_V1!$M$2:$M$206,AL5)</f>
        <v>1.068596720695496</v>
      </c>
      <c r="AZ5" s="63">
        <v>18.628001916337553</v>
      </c>
      <c r="BA5" s="63">
        <f>INDEX('Junctions — junctions'!$I$2:$I$197,MATCH(AO5,'Junctions — junctions'!$B$2:$B$197,0))</f>
        <v>67.037513732910156</v>
      </c>
      <c r="BF5" s="63">
        <f>MATCH(BI5,Pipes_result_save_V1!$H$2:$H$206,0)</f>
        <v>139</v>
      </c>
      <c r="BG5" s="63" t="s">
        <v>421</v>
      </c>
      <c r="BH5" s="63" t="s">
        <v>622</v>
      </c>
      <c r="BI5" s="63" t="s">
        <v>652</v>
      </c>
      <c r="BJ5" s="63">
        <v>204.52212438525402</v>
      </c>
      <c r="BK5" s="63" cm="1">
        <f t="array" ref="BK5">INDEX(Pipes_result_save_V1!$C$2:$C$206,'COMPARAISON EPANET'!BF5)</f>
        <v>252</v>
      </c>
      <c r="BL5" s="63">
        <v>250</v>
      </c>
      <c r="BM5" s="63" cm="1">
        <f t="array" ref="BM5">INDEX(Pipes_result_save_V1!$O$2:$O$206,BF5)</f>
        <v>250</v>
      </c>
      <c r="BN5" s="63">
        <v>5.9282533295733179E-2</v>
      </c>
      <c r="BO5" s="63" cm="1">
        <f t="array" ref="BO5">INDEX(Pipes_result_save_V1!$R$2:$R$206,BF5)/1000</f>
        <v>6.4305412292480463E-2</v>
      </c>
      <c r="BP5" s="63">
        <v>7.5480865704206437E-2</v>
      </c>
      <c r="BQ5" s="63" cm="1">
        <f t="array" ref="BQ5">INDEX(Pipes_result_save_V1!$L$2:$L$206,BF5)</f>
        <v>1.289300680160522</v>
      </c>
      <c r="BR5" s="63">
        <v>0.18412084510295368</v>
      </c>
      <c r="BS5" s="63" cm="1">
        <f t="array" ref="BS5">INDEX(Pipes_result_save_V1!$M$2:$M$206,BF5)</f>
        <v>5.3390045166015616</v>
      </c>
      <c r="BT5" s="63">
        <v>28.218064075600513</v>
      </c>
      <c r="BU5" s="63">
        <f>INDEX('Junctions — junctions'!$I$2:$I$197,MATCH(BI5,'Junctions — junctions'!$B$2:$B$197,0))</f>
        <v>72.551666259765625</v>
      </c>
      <c r="CA5" s="63">
        <f>MATCH(CD5,Pipes_result_save_V1!$H$2:$H$206,0)</f>
        <v>125</v>
      </c>
      <c r="CB5" s="63" t="s">
        <v>416</v>
      </c>
      <c r="CC5" s="63" t="s">
        <v>623</v>
      </c>
      <c r="CD5" s="63" t="s">
        <v>597</v>
      </c>
      <c r="CE5" s="63">
        <v>460.62820576799743</v>
      </c>
      <c r="CF5" s="63" cm="1">
        <f t="array" ref="CF5">INDEX(Pipes_result_save_V1!$C$2:$C$206,'COMPARAISON EPANET'!CA5)</f>
        <v>394.6</v>
      </c>
      <c r="CG5" s="63">
        <v>500</v>
      </c>
      <c r="CH5" s="63" cm="1">
        <f t="array" ref="CH5">INDEX(Pipes_result_save_V1!$O$2:$O$206,CA5)</f>
        <v>400</v>
      </c>
      <c r="CI5" s="63">
        <v>5.5659685744731499E-2</v>
      </c>
      <c r="CJ5" s="63" cm="1">
        <f t="array" ref="CJ5">INDEX(Pipes_result_save_V1!$R$2:$R$206,CA5)/1000</f>
        <v>7.1654319763183594E-2</v>
      </c>
      <c r="CK5" s="63">
        <v>0.34477734290761108</v>
      </c>
      <c r="CL5" s="63" cm="1">
        <f t="array" ref="CL5">INDEX(Pipes_result_save_V1!$L$2:$L$206,CA5)</f>
        <v>0.58591687679290771</v>
      </c>
      <c r="CM5" s="63">
        <v>2.0396659814178562E-2</v>
      </c>
      <c r="CN5" s="63" cm="1">
        <f t="array" ref="CN5">INDEX(Pipes_result_save_V1!$M$2:$M$206,CA5)</f>
        <v>0.60648518800735474</v>
      </c>
      <c r="CO5" s="63">
        <v>18.808733313812375</v>
      </c>
      <c r="CP5" s="63">
        <f>INDEX('Junctions — junctions'!$I$2:$I$197,MATCH(CD5,'Junctions — junctions'!$B$2:$B$197,0))</f>
        <v>62.517715454101563</v>
      </c>
      <c r="CT5" s="63">
        <f>MATCH(CW5,Pipes_result_save_V1!$H$2:$H$206,0)</f>
        <v>123</v>
      </c>
      <c r="CU5" s="63" t="s">
        <v>400</v>
      </c>
      <c r="CV5" s="63" t="s">
        <v>583</v>
      </c>
      <c r="CW5" s="63" t="s">
        <v>584</v>
      </c>
      <c r="CX5" s="63">
        <v>460.62820576799743</v>
      </c>
      <c r="CY5" s="63" cm="1">
        <f t="array" ref="CY5">INDEX(Pipes_result_save_V1!$C$2:$C$206,'COMPARAISON EPANET'!CT5)</f>
        <v>489.4</v>
      </c>
      <c r="CZ5" s="63">
        <v>500</v>
      </c>
      <c r="DA5" s="63" cm="1">
        <f t="array" ref="DA5">INDEX(Pipes_result_save_V1!$O$2:$O$206,CT5)</f>
        <v>500</v>
      </c>
      <c r="DB5" s="63">
        <v>0.11250103723254895</v>
      </c>
      <c r="DC5" s="63" cm="1">
        <f t="array" ref="DC5">INDEX(Pipes_result_save_V1!$R$2:$R$206,CT5)/1000</f>
        <v>0.11761656188964839</v>
      </c>
      <c r="DD5" s="63">
        <v>4.1226344606010254E-2</v>
      </c>
      <c r="DE5" s="63" cm="1">
        <f t="array" ref="DE5">INDEX(Pipes_result_save_V1!$L$2:$L$206,CT5)</f>
        <v>0.62524229288101196</v>
      </c>
      <c r="DF5" s="63">
        <v>0.26898577183740346</v>
      </c>
      <c r="DG5" s="63" cm="1">
        <f t="array" ref="DG5">INDEX(Pipes_result_save_V1!$M$2:$M$206,CT5)</f>
        <v>0.51831406354904175</v>
      </c>
      <c r="DH5" s="63">
        <v>18.444145283300543</v>
      </c>
      <c r="DI5" s="63">
        <f>INDEX('Junctions — junctions'!$I$2:$I$197,MATCH(CW5,'Junctions — junctions'!$B$2:$B$197,0))</f>
        <v>65.705513000488281</v>
      </c>
      <c r="DM5" s="63">
        <f>MATCH(DP5,Pipes_result_save_V1!$H$2:$H$206,0)</f>
        <v>1</v>
      </c>
      <c r="DN5" s="63" t="s">
        <v>406</v>
      </c>
      <c r="DO5" s="63" t="s">
        <v>581</v>
      </c>
      <c r="DP5" s="63" t="s">
        <v>582</v>
      </c>
      <c r="DQ5" s="63">
        <v>650.44815515748121</v>
      </c>
      <c r="DR5" s="63" cm="1">
        <f t="array" ref="DR5">INDEX(Pipes_result_save_V1!$C$2:$C$206,'COMPARAISON EPANET'!DM5)</f>
        <v>700</v>
      </c>
      <c r="DS5" s="63">
        <v>800</v>
      </c>
      <c r="DT5" s="63" cm="1">
        <f t="array" ref="DT5">INDEX(Pipes_result_save_V1!$O$2:$O$206,DM5)</f>
        <v>800</v>
      </c>
      <c r="DU5" s="63">
        <v>0.32499284472378759</v>
      </c>
      <c r="DV5" s="63" cm="1">
        <f t="array" ref="DV5">INDEX(Pipes_result_save_V1!$R$2:$R$206,DM5)/1000</f>
        <v>0.33091619873046879</v>
      </c>
      <c r="DW5" s="63">
        <v>5.2779813987028162E-2</v>
      </c>
      <c r="DX5" s="63" cm="1">
        <f t="array" ref="DX5">INDEX(Pipes_result_save_V1!$L$2:$L$206,DM5)</f>
        <v>0.85986387729644775</v>
      </c>
      <c r="DY5" s="63">
        <v>0.33091619873046879</v>
      </c>
      <c r="DZ5" s="63" cm="1">
        <f t="array" ref="DZ5">INDEX(Pipes_result_save_V1!$M$2:$M$206,DM5)</f>
        <v>0.60834449529647827</v>
      </c>
      <c r="EA5" s="63">
        <v>17.876006517648698</v>
      </c>
      <c r="EB5" s="63">
        <f>INDEX('Junctions — junctions'!$I$2:$I$197,MATCH(DP5,'Junctions — junctions'!$B$2:$B$197,0))</f>
        <v>65.900077819824219</v>
      </c>
    </row>
    <row r="6" spans="1:132" x14ac:dyDescent="0.25">
      <c r="A6" s="63">
        <f>MATCH(D6,Pipes_result_save_V1!$H$2:$H$206,0)</f>
        <v>188</v>
      </c>
      <c r="B6" s="63" t="s">
        <v>199</v>
      </c>
      <c r="C6" s="63" t="s">
        <v>665</v>
      </c>
      <c r="D6" s="63" t="s">
        <v>666</v>
      </c>
      <c r="E6" s="63">
        <v>304.94857037416716</v>
      </c>
      <c r="F6" s="63" cm="1">
        <f t="array" ref="F6">INDEX(Pipes_result_save_V1!$C$2:$C$206,'COMPARAISON EPANET'!A6)</f>
        <v>156.4</v>
      </c>
      <c r="G6" s="63">
        <v>350</v>
      </c>
      <c r="H6" s="63" cm="1">
        <f t="array" ref="H6">INDEX(Pipes_result_save_V1!$O$2:$O$206,A6)</f>
        <v>150</v>
      </c>
      <c r="I6" s="63">
        <v>1.3589568371156142E-2</v>
      </c>
      <c r="J6" s="63" cm="1">
        <f t="array" ref="J6">INDEX(Pipes_result_save_V1!$R$2:$R$206,A6)/1000</f>
        <v>1.9125244140625001E-2</v>
      </c>
      <c r="K6" s="63">
        <v>8.8279468602235796E-3</v>
      </c>
      <c r="L6" s="63" cm="1">
        <f t="array" ref="L6">INDEX(Pipes_result_save_V1!$L$2:$L$206,A6)</f>
        <v>0.99549990892410278</v>
      </c>
      <c r="M6" s="63">
        <v>9.4940371718878883E-2</v>
      </c>
      <c r="N6" s="63" cm="1">
        <f t="array" ref="N6">INDEX(Pipes_result_save_V1!$M$2:$M$206,A6)</f>
        <v>6.0115623474121094</v>
      </c>
      <c r="O6" s="63">
        <v>31.702968042147642</v>
      </c>
      <c r="P6" s="63">
        <f>INDEX('Junctions — junctions'!$I$2:$I$197,MATCH(D6,'Junctions — junctions'!$B$2:$B$197,0))</f>
        <v>63.380611419677727</v>
      </c>
      <c r="S6" s="63">
        <f>MATCH(V6,Pipes_result_save_V1!$H$2:$H$206,0)</f>
        <v>185</v>
      </c>
      <c r="T6" s="63" t="s">
        <v>200</v>
      </c>
      <c r="U6" s="63" t="s">
        <v>663</v>
      </c>
      <c r="V6" s="63" t="s">
        <v>662</v>
      </c>
      <c r="W6" s="63">
        <v>340.27714444529937</v>
      </c>
      <c r="X6" s="63" cm="1">
        <f t="array" ref="X6">INDEX(Pipes_result_save_V1!$C$2:$C$206,'COMPARAISON EPANET'!S6)</f>
        <v>252</v>
      </c>
      <c r="Y6" s="63">
        <v>350</v>
      </c>
      <c r="Z6" s="63" cm="1">
        <f t="array" ref="Z6">INDEX(Pipes_result_save_V1!$O$2:$O$206,S6)</f>
        <v>250</v>
      </c>
      <c r="AA6" s="63">
        <v>4.865934652743583E-2</v>
      </c>
      <c r="AB6" s="63" cm="1">
        <f t="array" ref="AB6">INDEX(Pipes_result_save_V1!$R$2:$R$206,S6)/1000</f>
        <v>5.0193531036376957E-2</v>
      </c>
      <c r="AC6" s="63">
        <v>3.1609696030460675E-2</v>
      </c>
      <c r="AD6" s="63" cm="1">
        <f t="array" ref="AD6">INDEX(Pipes_result_save_V1!$L$2:$L$206,S6)</f>
        <v>1.0063624382019041</v>
      </c>
      <c r="AE6" s="63">
        <v>0.29669138684853463</v>
      </c>
      <c r="AF6" s="63" cm="1">
        <f t="array" ref="AF6">INDEX(Pipes_result_save_V1!$M$2:$M$206,S6)</f>
        <v>3.252838134765625</v>
      </c>
      <c r="AG6" s="63">
        <v>71.284535951807129</v>
      </c>
      <c r="AH6" s="63">
        <f>INDEX('Junctions — junctions'!$I$2:$I$197,MATCH(V6,'Junctions — junctions'!$B$2:$B$197,0))</f>
        <v>60.654457092285163</v>
      </c>
      <c r="AL6" s="63">
        <f>MATCH(AO6,Pipes_result_save_V1!$H$2:$H$206,0)</f>
        <v>173</v>
      </c>
      <c r="AM6" s="63" t="s">
        <v>181</v>
      </c>
      <c r="AN6" s="63" t="s">
        <v>652</v>
      </c>
      <c r="AO6" s="63" t="s">
        <v>653</v>
      </c>
      <c r="AP6" s="63">
        <v>204.52523865872314</v>
      </c>
      <c r="AQ6" s="63" cm="1">
        <f t="array" ref="AQ6">INDEX(Pipes_result_save_V1!$C$2:$C$206,'COMPARAISON EPANET'!AL6)</f>
        <v>252</v>
      </c>
      <c r="AR6" s="63">
        <v>250</v>
      </c>
      <c r="AS6" s="63" cm="1">
        <f t="array" ref="AS6">INDEX(Pipes_result_save_V1!$O$2:$O$206,AL6)</f>
        <v>250</v>
      </c>
      <c r="AT6" s="63">
        <v>5.8128399703610577E-2</v>
      </c>
      <c r="AU6" s="63" cm="1">
        <f t="array" ref="AU6">INDEX(Pipes_result_save_V1!$R$2:$R$206,AL6)/1000</f>
        <v>6.3329761505126952E-2</v>
      </c>
      <c r="AV6" s="63">
        <v>7.4011377174808698E-2</v>
      </c>
      <c r="AW6" s="63" cm="1">
        <f t="array" ref="AW6">INDEX(Pipes_result_save_V1!$L$2:$L$206,AL6)</f>
        <v>1.2697392702102659</v>
      </c>
      <c r="AX6" s="63">
        <v>0.10982000037454172</v>
      </c>
      <c r="AY6" s="63" cm="1">
        <f t="array" ref="AY6">INDEX(Pipes_result_save_V1!$M$2:$M$206,AL6)</f>
        <v>5.1782503128051758</v>
      </c>
      <c r="AZ6" s="63">
        <v>18.518181915963012</v>
      </c>
      <c r="BA6" s="63">
        <f>INDEX('Junctions — junctions'!$I$2:$I$197,MATCH(AO6,'Junctions — junctions'!$B$2:$B$197,0))</f>
        <v>66.137924194335938</v>
      </c>
      <c r="BF6" s="63">
        <f>MATCH(BI6,Pipes_result_save_V1!$H$2:$H$206,0)</f>
        <v>151</v>
      </c>
      <c r="BG6" s="63" t="s">
        <v>159</v>
      </c>
      <c r="BH6" s="63" t="s">
        <v>633</v>
      </c>
      <c r="BI6" s="63" t="s">
        <v>632</v>
      </c>
      <c r="BJ6" s="63">
        <v>204.52523865872314</v>
      </c>
      <c r="BK6" s="63" cm="1">
        <f t="array" ref="BK6">INDEX(Pipes_result_save_V1!$C$2:$C$206,'COMPARAISON EPANET'!BF6)</f>
        <v>204.2</v>
      </c>
      <c r="BL6" s="63">
        <v>250</v>
      </c>
      <c r="BM6" s="63" cm="1">
        <f t="array" ref="BM6">INDEX(Pipes_result_save_V1!$O$2:$O$206,BF6)</f>
        <v>200</v>
      </c>
      <c r="BN6" s="63">
        <v>2.5814466937594732E-2</v>
      </c>
      <c r="BO6" s="63" cm="1">
        <f t="array" ref="BO6">INDEX(Pipes_result_save_V1!$R$2:$R$206,BF6)/1000</f>
        <v>3.1705240249633788E-2</v>
      </c>
      <c r="BP6" s="63">
        <v>3.2868000131204028E-2</v>
      </c>
      <c r="BQ6" s="63" cm="1">
        <f t="array" ref="BQ6">INDEX(Pipes_result_save_V1!$L$2:$L$206,BF6)</f>
        <v>0.96811586618423462</v>
      </c>
      <c r="BR6" s="63">
        <v>0.14337611160009611</v>
      </c>
      <c r="BS6" s="63" cm="1">
        <f t="array" ref="BS6">INDEX(Pipes_result_save_V1!$M$2:$M$206,BF6)</f>
        <v>3.984466552734375</v>
      </c>
      <c r="BT6" s="63">
        <v>23.074687964000418</v>
      </c>
      <c r="BU6" s="63">
        <f>INDEX('Junctions — junctions'!$I$2:$I$197,MATCH(BI6,'Junctions — junctions'!$B$2:$B$197,0))</f>
        <v>67.044265747070313</v>
      </c>
      <c r="CA6" s="63">
        <f>MATCH(CD6,Pipes_result_save_V1!$H$2:$H$206,0)</f>
        <v>127</v>
      </c>
      <c r="CB6" s="63" t="s">
        <v>138</v>
      </c>
      <c r="CC6" s="63" t="s">
        <v>612</v>
      </c>
      <c r="CD6" s="63" t="s">
        <v>611</v>
      </c>
      <c r="CE6" s="63">
        <v>325.71332790434337</v>
      </c>
      <c r="CF6" s="63" cm="1">
        <f t="array" ref="CF6">INDEX(Pipes_result_save_V1!$C$2:$C$206,'COMPARAISON EPANET'!CA6)</f>
        <v>394.6</v>
      </c>
      <c r="CG6" s="63">
        <v>350</v>
      </c>
      <c r="CH6" s="63" cm="1">
        <f t="array" ref="CH6">INDEX(Pipes_result_save_V1!$O$2:$O$206,CA6)</f>
        <v>400</v>
      </c>
      <c r="CI6" s="63">
        <v>0.11428186390622889</v>
      </c>
      <c r="CJ6" s="63" cm="1">
        <f t="array" ref="CJ6">INDEX(Pipes_result_save_V1!$R$2:$R$206,CA6)/1000</f>
        <v>0.11996421051025391</v>
      </c>
      <c r="CK6" s="63">
        <v>0.21413381180980889</v>
      </c>
      <c r="CL6" s="63" cm="1">
        <f t="array" ref="CL6">INDEX(Pipes_result_save_V1!$L$2:$L$206,CA6)</f>
        <v>0.98094642162322998</v>
      </c>
      <c r="CM6" s="63">
        <v>7.4238871618088134E-2</v>
      </c>
      <c r="CN6" s="63" cm="1">
        <f t="array" ref="CN6">INDEX(Pipes_result_save_V1!$M$2:$M$206,CA6)</f>
        <v>1.6999664306640621</v>
      </c>
      <c r="CO6" s="63">
        <v>20.594599502002566</v>
      </c>
      <c r="CP6" s="63">
        <f>INDEX('Junctions — junctions'!$I$2:$I$197,MATCH(CD6,'Junctions — junctions'!$B$2:$B$197,0))</f>
        <v>64.645866394042969</v>
      </c>
      <c r="CT6" s="63">
        <f>MATCH(CW6,Pipes_result_save_V1!$H$2:$H$206,0)</f>
        <v>135</v>
      </c>
      <c r="CU6" s="63" t="s">
        <v>401</v>
      </c>
      <c r="CV6" s="63" t="s">
        <v>584</v>
      </c>
      <c r="CW6" s="63" t="s">
        <v>585</v>
      </c>
      <c r="CX6" s="63">
        <v>460.62820576799743</v>
      </c>
      <c r="CY6" s="63" cm="1">
        <f t="array" ref="CY6">INDEX(Pipes_result_save_V1!$C$2:$C$206,'COMPARAISON EPANET'!CT6)</f>
        <v>489.4</v>
      </c>
      <c r="CZ6" s="63">
        <v>500</v>
      </c>
      <c r="DA6" s="63" cm="1">
        <f t="array" ref="DA6">INDEX(Pipes_result_save_V1!$O$2:$O$206,CT6)</f>
        <v>500</v>
      </c>
      <c r="DB6" s="63">
        <v>0.11074163199615725</v>
      </c>
      <c r="DC6" s="63" cm="1">
        <f t="array" ref="DC6">INDEX(Pipes_result_save_V1!$R$2:$R$206,CT6)/1000</f>
        <v>0.1158250274658203</v>
      </c>
      <c r="DD6" s="63">
        <v>4.0581605247499541E-2</v>
      </c>
      <c r="DE6" s="63" cm="1">
        <f t="array" ref="DE6">INDEX(Pipes_result_save_V1!$L$2:$L$206,CT6)</f>
        <v>0.6157185435295105</v>
      </c>
      <c r="DF6" s="63">
        <v>0.19765252847720807</v>
      </c>
      <c r="DG6" s="63" cm="1">
        <f t="array" ref="DG6">INDEX(Pipes_result_save_V1!$M$2:$M$206,CT6)</f>
        <v>0.50261640548706055</v>
      </c>
      <c r="DH6" s="63">
        <v>15.246492754823334</v>
      </c>
      <c r="DI6" s="63">
        <f>INDEX('Junctions — junctions'!$I$2:$I$197,MATCH(CW6,'Junctions — junctions'!$B$2:$B$197,0))</f>
        <v>62.638618469238281</v>
      </c>
      <c r="DM6" s="63">
        <f>MATCH(DP6,Pipes_result_save_V1!$H$2:$H$206,0)</f>
        <v>92</v>
      </c>
      <c r="DN6" s="63" t="s">
        <v>407</v>
      </c>
      <c r="DO6" s="63" t="s">
        <v>582</v>
      </c>
      <c r="DP6" s="63" t="s">
        <v>583</v>
      </c>
      <c r="DQ6" s="63">
        <v>650.44815515748121</v>
      </c>
      <c r="DR6" s="63" cm="1">
        <f t="array" ref="DR6">INDEX(Pipes_result_save_V1!$C$2:$C$206,'COMPARAISON EPANET'!DM6)</f>
        <v>489.4</v>
      </c>
      <c r="DS6" s="63">
        <v>800</v>
      </c>
      <c r="DT6" s="63" cm="1">
        <f t="array" ref="DT6">INDEX(Pipes_result_save_V1!$O$2:$O$206,DM6)</f>
        <v>500</v>
      </c>
      <c r="DU6" s="63">
        <v>0.31882539428588624</v>
      </c>
      <c r="DV6" s="63" cm="1">
        <f t="array" ref="DV6">INDEX(Pipes_result_save_V1!$R$2:$R$206,DM6)/1000</f>
        <v>0.20916310119628909</v>
      </c>
      <c r="DW6" s="63">
        <v>5.1778201514103395E-2</v>
      </c>
      <c r="DX6" s="63" cm="1">
        <f t="array" ref="DX6">INDEX(Pipes_result_save_V1!$L$2:$L$206,DM6)</f>
        <v>1.111897826194763</v>
      </c>
      <c r="DY6" s="63">
        <v>0.32929580688476562</v>
      </c>
      <c r="DZ6" s="63" cm="1">
        <f t="array" ref="DZ6">INDEX(Pipes_result_save_V1!$M$2:$M$206,DM6)</f>
        <v>1.6392097473144529</v>
      </c>
      <c r="EA6" s="63">
        <v>20.546710710763932</v>
      </c>
      <c r="EB6" s="63">
        <f>INDEX('Junctions — junctions'!$I$2:$I$197,MATCH(DP6,'Junctions — junctions'!$B$2:$B$197,0))</f>
        <v>68.799537658691406</v>
      </c>
    </row>
    <row r="7" spans="1:132" x14ac:dyDescent="0.25">
      <c r="A7" s="63">
        <f>MATCH(D7,Pipes_result_save_V1!$H$2:$H$206,0)</f>
        <v>189</v>
      </c>
      <c r="B7" s="63" t="s">
        <v>198</v>
      </c>
      <c r="C7" s="63" t="s">
        <v>666</v>
      </c>
      <c r="D7" s="63" t="s">
        <v>667</v>
      </c>
      <c r="E7" s="63">
        <v>313.19190917793884</v>
      </c>
      <c r="F7" s="63" cm="1">
        <f t="array" ref="F7">INDEX(Pipes_result_save_V1!$C$2:$C$206,'COMPARAISON EPANET'!A7)</f>
        <v>156.4</v>
      </c>
      <c r="G7" s="63">
        <v>350</v>
      </c>
      <c r="H7" s="63" cm="1">
        <f t="array" ref="H7">INDEX(Pipes_result_save_V1!$O$2:$O$206,A7)</f>
        <v>150</v>
      </c>
      <c r="I7" s="63">
        <v>1.2254391611317524E-2</v>
      </c>
      <c r="J7" s="63" cm="1">
        <f t="array" ref="J7">INDEX(Pipes_result_save_V1!$R$2:$R$206,A7)/1000</f>
        <v>1.8269411087036128E-2</v>
      </c>
      <c r="K7" s="63">
        <v>7.960599998061391E-3</v>
      </c>
      <c r="L7" s="63" cm="1">
        <f t="array" ref="L7">INDEX(Pipes_result_save_V1!$L$2:$L$206,A7)</f>
        <v>0.95095252990722656</v>
      </c>
      <c r="M7" s="63">
        <v>0.11054158283193545</v>
      </c>
      <c r="N7" s="63" cm="1">
        <f t="array" ref="N7">INDEX(Pipes_result_save_V1!$M$2:$M$206,A7)</f>
        <v>5.4855637550354004</v>
      </c>
      <c r="O7" s="63">
        <v>25.592426459315707</v>
      </c>
      <c r="P7" s="63">
        <f>INDEX('Junctions — junctions'!$I$2:$I$197,MATCH(D7,'Junctions — junctions'!$B$2:$B$197,0))</f>
        <v>56.957672119140618</v>
      </c>
      <c r="S7" s="63">
        <f>MATCH(V7,Pipes_result_save_V1!$H$2:$H$206,0)</f>
        <v>186</v>
      </c>
      <c r="T7" s="63" t="s">
        <v>202</v>
      </c>
      <c r="U7" s="63" t="s">
        <v>664</v>
      </c>
      <c r="V7" s="63" t="s">
        <v>663</v>
      </c>
      <c r="W7" s="63">
        <v>340.27714444529937</v>
      </c>
      <c r="X7" s="63" cm="1">
        <f t="array" ref="X7">INDEX(Pipes_result_save_V1!$C$2:$C$206,'COMPARAISON EPANET'!S7)</f>
        <v>204.2</v>
      </c>
      <c r="Y7" s="63">
        <v>350</v>
      </c>
      <c r="Z7" s="63" cm="1">
        <f t="array" ref="Z7">INDEX(Pipes_result_save_V1!$O$2:$O$206,S7)</f>
        <v>200</v>
      </c>
      <c r="AA7" s="63">
        <v>4.5250482127863388E-2</v>
      </c>
      <c r="AB7" s="63" cm="1">
        <f t="array" ref="AB7">INDEX(Pipes_result_save_V1!$R$2:$R$206,S7)/1000</f>
        <v>4.8898372650146474E-2</v>
      </c>
      <c r="AC7" s="63">
        <v>2.9395256767105821E-2</v>
      </c>
      <c r="AD7" s="63" cm="1">
        <f t="array" ref="AD7">INDEX(Pipes_result_save_V1!$L$2:$L$206,S7)</f>
        <v>1.4931061267852781</v>
      </c>
      <c r="AE7" s="63">
        <v>0.14639377640552698</v>
      </c>
      <c r="AF7" s="63" cm="1">
        <f t="array" ref="AF7">INDEX(Pipes_result_save_V1!$M$2:$M$206,S7)</f>
        <v>9.477630615234375</v>
      </c>
      <c r="AG7" s="63">
        <v>71.138142175401597</v>
      </c>
      <c r="AH7" s="63">
        <f>INDEX('Junctions — junctions'!$I$2:$I$197,MATCH(V7,'Junctions — junctions'!$B$2:$B$197,0))</f>
        <v>60.158725738525391</v>
      </c>
      <c r="AL7" s="63">
        <f>MATCH(AO7,Pipes_result_save_V1!$H$2:$H$206,0)</f>
        <v>174</v>
      </c>
      <c r="AM7" s="63" t="s">
        <v>179</v>
      </c>
      <c r="AN7" s="63" t="s">
        <v>653</v>
      </c>
      <c r="AO7" s="63" t="s">
        <v>654</v>
      </c>
      <c r="AP7" s="63">
        <v>204.52523865872314</v>
      </c>
      <c r="AQ7" s="63" cm="1">
        <f t="array" ref="AQ7">INDEX(Pipes_result_save_V1!$C$2:$C$206,'COMPARAISON EPANET'!AL7)</f>
        <v>252</v>
      </c>
      <c r="AR7" s="63">
        <v>250</v>
      </c>
      <c r="AS7" s="63" cm="1">
        <f t="array" ref="AS7">INDEX(Pipes_result_save_V1!$O$2:$O$206,AL7)</f>
        <v>250</v>
      </c>
      <c r="AT7" s="63">
        <v>5.6346826009918811E-2</v>
      </c>
      <c r="AU7" s="63" cm="1">
        <f t="array" ref="AU7">INDEX(Pipes_result_save_V1!$R$2:$R$206,AL7)/1000</f>
        <v>6.2376930236816411E-2</v>
      </c>
      <c r="AV7" s="63">
        <v>7.1743007096140454E-2</v>
      </c>
      <c r="AW7" s="63" cm="1">
        <f t="array" ref="AW7">INDEX(Pipes_result_save_V1!$L$2:$L$206,AL7)</f>
        <v>1.2506353855133061</v>
      </c>
      <c r="AX7" s="63">
        <v>0.11134527815752146</v>
      </c>
      <c r="AY7" s="63" cm="1">
        <f t="array" ref="AY7">INDEX(Pipes_result_save_V1!$M$2:$M$206,AL7)</f>
        <v>5.0235886573791504</v>
      </c>
      <c r="AZ7" s="63">
        <v>21.40683663780549</v>
      </c>
      <c r="BA7" s="63">
        <f>INDEX('Junctions — junctions'!$I$2:$I$197,MATCH(AO7,'Junctions — junctions'!$B$2:$B$197,0))</f>
        <v>68.699363708496094</v>
      </c>
      <c r="BF7" s="63">
        <f>MATCH(BI7,Pipes_result_save_V1!$H$2:$H$206,0)</f>
        <v>152</v>
      </c>
      <c r="BG7" s="63" t="s">
        <v>158</v>
      </c>
      <c r="BH7" s="63" t="s">
        <v>634</v>
      </c>
      <c r="BI7" s="63" t="s">
        <v>633</v>
      </c>
      <c r="BJ7" s="63">
        <v>204.52523865872314</v>
      </c>
      <c r="BK7" s="63" cm="1">
        <f t="array" ref="BK7">INDEX(Pipes_result_save_V1!$C$2:$C$206,'COMPARAISON EPANET'!BF7)</f>
        <v>204.2</v>
      </c>
      <c r="BL7" s="63">
        <v>250</v>
      </c>
      <c r="BM7" s="63" cm="1">
        <f t="array" ref="BM7">INDEX(Pipes_result_save_V1!$O$2:$O$206,BF7)</f>
        <v>200</v>
      </c>
      <c r="BN7" s="63">
        <v>2.3921677366659139E-2</v>
      </c>
      <c r="BO7" s="63" cm="1">
        <f t="array" ref="BO7">INDEX(Pipes_result_save_V1!$R$2:$R$206,BF7)/1000</f>
        <v>3.0079156875610351E-2</v>
      </c>
      <c r="BP7" s="63">
        <v>3.0458025599626529E-2</v>
      </c>
      <c r="BQ7" s="63" cm="1">
        <f t="array" ref="BQ7">INDEX(Pipes_result_save_V1!$L$2:$L$206,BF7)</f>
        <v>0.91846358776092529</v>
      </c>
      <c r="BR7" s="63">
        <v>0.29132805654913152</v>
      </c>
      <c r="BS7" s="63" cm="1">
        <f t="array" ref="BS7">INDEX(Pipes_result_save_V1!$M$2:$M$206,BF7)</f>
        <v>3.5862553119659419</v>
      </c>
      <c r="BT7" s="63">
        <v>17.783359907451285</v>
      </c>
      <c r="BU7" s="63">
        <f>INDEX('Junctions — junctions'!$I$2:$I$197,MATCH(BI7,'Junctions — junctions'!$B$2:$B$197,0))</f>
        <v>61.668533325195313</v>
      </c>
      <c r="CA7" s="63">
        <f>MATCH(CD7,Pipes_result_save_V1!$H$2:$H$206,0)</f>
        <v>128</v>
      </c>
      <c r="CB7" s="63" t="s">
        <v>137</v>
      </c>
      <c r="CC7" s="63" t="s">
        <v>613</v>
      </c>
      <c r="CD7" s="63" t="s">
        <v>612</v>
      </c>
      <c r="CE7" s="63">
        <v>325.71332790434337</v>
      </c>
      <c r="CF7" s="63" cm="1">
        <f t="array" ref="CF7">INDEX(Pipes_result_save_V1!$C$2:$C$206,'COMPARAISON EPANET'!CA7)</f>
        <v>394.6</v>
      </c>
      <c r="CG7" s="63">
        <v>350</v>
      </c>
      <c r="CH7" s="63" cm="1">
        <f t="array" ref="CH7">INDEX(Pipes_result_save_V1!$O$2:$O$206,CA7)</f>
        <v>400</v>
      </c>
      <c r="CI7" s="63">
        <v>0.11223274732166122</v>
      </c>
      <c r="CJ7" s="63" cm="1">
        <f t="array" ref="CJ7">INDEX(Pipes_result_save_V1!$R$2:$R$206,CA7)/1000</f>
        <v>0.11833242034912109</v>
      </c>
      <c r="CK7" s="63">
        <v>0.26061246863674414</v>
      </c>
      <c r="CL7" s="63" cm="1">
        <f t="array" ref="CL7">INDEX(Pipes_result_save_V1!$L$2:$L$206,CA7)</f>
        <v>0.96760332584381104</v>
      </c>
      <c r="CM7" s="63">
        <v>7.2907740869494142E-2</v>
      </c>
      <c r="CN7" s="63" cm="1">
        <f t="array" ref="CN7">INDEX(Pipes_result_save_V1!$M$2:$M$206,CA7)</f>
        <v>1.653968811035156</v>
      </c>
      <c r="CO7" s="63">
        <v>17.333987033365823</v>
      </c>
      <c r="CP7" s="63">
        <f>INDEX('Junctions — junctions'!$I$2:$I$197,MATCH(CD7,'Junctions — junctions'!$B$2:$B$197,0))</f>
        <v>61.426399230957031</v>
      </c>
      <c r="CT7" s="63">
        <f>MATCH(CW7,Pipes_result_save_V1!$H$2:$H$206,0)</f>
        <v>147</v>
      </c>
      <c r="CU7" s="63" t="s">
        <v>403</v>
      </c>
      <c r="CV7" s="63" t="s">
        <v>585</v>
      </c>
      <c r="CW7" s="63" t="s">
        <v>586</v>
      </c>
      <c r="CX7" s="63">
        <v>460.62820576799743</v>
      </c>
      <c r="CY7" s="63" cm="1">
        <f t="array" ref="CY7">INDEX(Pipes_result_save_V1!$C$2:$C$206,'COMPARAISON EPANET'!CT7)</f>
        <v>489.4</v>
      </c>
      <c r="CZ7" s="63">
        <v>500</v>
      </c>
      <c r="DA7" s="63" cm="1">
        <f t="array" ref="DA7">INDEX(Pipes_result_save_V1!$O$2:$O$206,CT7)</f>
        <v>500</v>
      </c>
      <c r="DB7" s="63">
        <v>0.10929918444651684</v>
      </c>
      <c r="DC7" s="63" cm="1">
        <f t="array" ref="DC7">INDEX(Pipes_result_save_V1!$R$2:$R$206,CT7)/1000</f>
        <v>0.1146382675170898</v>
      </c>
      <c r="DD7" s="63">
        <v>4.0053015989832103E-2</v>
      </c>
      <c r="DE7" s="63" cm="1">
        <f t="array" ref="DE7">INDEX(Pipes_result_save_V1!$L$2:$L$206,CT7)</f>
        <v>0.6094098687171936</v>
      </c>
      <c r="DF7" s="63">
        <v>0.11145819275030529</v>
      </c>
      <c r="DG7" s="63" cm="1">
        <f t="array" ref="DG7">INDEX(Pipes_result_save_V1!$M$2:$M$206,CT7)</f>
        <v>0.49247503280639648</v>
      </c>
      <c r="DH7" s="63">
        <v>16.135034562073031</v>
      </c>
      <c r="DI7" s="63">
        <f>INDEX('Junctions — junctions'!$I$2:$I$197,MATCH(CW7,'Junctions — junctions'!$B$2:$B$197,0))</f>
        <v>63.601482391357422</v>
      </c>
      <c r="DM7" s="63">
        <f>MATCH(DP7,Pipes_result_save_V1!$H$2:$H$206,0)</f>
        <v>92</v>
      </c>
      <c r="DN7" s="63" t="s">
        <v>399</v>
      </c>
      <c r="DO7" s="63" t="s">
        <v>598</v>
      </c>
      <c r="DP7" s="63" t="s">
        <v>583</v>
      </c>
      <c r="DQ7" s="63">
        <v>460.62820576799743</v>
      </c>
      <c r="DR7" s="63" cm="1">
        <f t="array" ref="DR7">INDEX(Pipes_result_save_V1!$C$2:$C$206,'COMPARAISON EPANET'!DM7)</f>
        <v>489.4</v>
      </c>
      <c r="DS7" s="63">
        <v>500</v>
      </c>
      <c r="DT7" s="63" cm="1">
        <f t="array" ref="DT7">INDEX(Pipes_result_save_V1!$O$2:$O$206,DM7)</f>
        <v>500</v>
      </c>
      <c r="DU7" s="63">
        <v>0.19722380121522018</v>
      </c>
      <c r="DV7" s="63" cm="1">
        <f t="array" ref="DV7">INDEX(Pipes_result_save_V1!$R$2:$R$206,DM7)/1000</f>
        <v>0.20916310119628909</v>
      </c>
      <c r="DW7" s="63">
        <v>7.2273257148721765E-2</v>
      </c>
      <c r="DX7" s="63" cm="1">
        <f t="array" ref="DX7">INDEX(Pipes_result_save_V1!$L$2:$L$206,DM7)</f>
        <v>1.111897826194763</v>
      </c>
      <c r="DY7" s="63">
        <v>0.20916310119628909</v>
      </c>
      <c r="DZ7" s="63" cm="1">
        <f t="array" ref="DZ7">INDEX(Pipes_result_save_V1!$M$2:$M$206,DM7)</f>
        <v>1.6392097473144529</v>
      </c>
      <c r="EA7" s="63">
        <v>20.337547609567643</v>
      </c>
      <c r="EB7" s="63">
        <f>INDEX('Junctions — junctions'!$I$2:$I$197,MATCH(DP7,'Junctions — junctions'!$B$2:$B$197,0))</f>
        <v>68.799537658691406</v>
      </c>
    </row>
    <row r="8" spans="1:132" x14ac:dyDescent="0.25">
      <c r="A8" s="63">
        <f>MATCH(D8,Pipes_result_save_V1!$H$2:$H$206,0)</f>
        <v>190</v>
      </c>
      <c r="B8" s="63" t="s">
        <v>197</v>
      </c>
      <c r="C8" s="63" t="s">
        <v>667</v>
      </c>
      <c r="D8" s="63" t="s">
        <v>668</v>
      </c>
      <c r="E8" s="63">
        <v>564.33264798310029</v>
      </c>
      <c r="F8" s="63" cm="1">
        <f t="array" ref="F8">INDEX(Pipes_result_save_V1!$C$2:$C$206,'COMPARAISON EPANET'!A8)</f>
        <v>156.4</v>
      </c>
      <c r="G8" s="63">
        <v>600</v>
      </c>
      <c r="H8" s="63" cm="1">
        <f t="array" ref="H8">INDEX(Pipes_result_save_V1!$O$2:$O$206,A8)</f>
        <v>150</v>
      </c>
      <c r="I8" s="63">
        <v>1.0448243431330108E-2</v>
      </c>
      <c r="J8" s="63" cm="1">
        <f t="array" ref="J8">INDEX(Pipes_result_save_V1!$R$2:$R$206,A8)/1000</f>
        <v>1.6403696060180661E-2</v>
      </c>
      <c r="K8" s="63">
        <v>2.6045729324514267E-3</v>
      </c>
      <c r="L8" s="63" cm="1">
        <f t="array" ref="L8">INDEX(Pipes_result_save_V1!$L$2:$L$206,A8)</f>
        <v>0.85383903980255127</v>
      </c>
      <c r="M8" s="63">
        <v>0.30839440487044523</v>
      </c>
      <c r="N8" s="63" cm="1">
        <f t="array" ref="N8">INDEX(Pipes_result_save_V1!$M$2:$M$206,A8)</f>
        <v>4.4223670959472656</v>
      </c>
      <c r="O8" s="63">
        <v>26.284032054445262</v>
      </c>
      <c r="P8" s="63">
        <f>INDEX('Junctions — junctions'!$I$2:$I$197,MATCH(D8,'Junctions — junctions'!$B$2:$B$197,0))</f>
        <v>56.850753784179688</v>
      </c>
      <c r="S8" s="63">
        <f>MATCH(V8,Pipes_result_save_V1!$H$2:$H$206,0)</f>
        <v>76</v>
      </c>
      <c r="T8" s="63" t="s">
        <v>884</v>
      </c>
      <c r="U8" s="63" t="s">
        <v>745</v>
      </c>
      <c r="V8" s="63" t="s">
        <v>664</v>
      </c>
      <c r="W8" s="63">
        <v>192.30085240163368</v>
      </c>
      <c r="X8" s="63" cm="1">
        <f t="array" ref="X8">INDEX(Pipes_result_save_V1!$C$2:$C$206,'COMPARAISON EPANET'!S8)</f>
        <v>204.2</v>
      </c>
      <c r="Y8" s="63">
        <v>200</v>
      </c>
      <c r="Z8" s="63" cm="1">
        <f t="array" ref="Z8">INDEX(Pipes_result_save_V1!$O$2:$O$206,S8)</f>
        <v>200</v>
      </c>
      <c r="AA8" s="63">
        <v>2.6121357490103962E-2</v>
      </c>
      <c r="AB8" s="63" cm="1">
        <f t="array" ref="AB8">INDEX(Pipes_result_save_V1!$R$2:$R$206,S8)/1000</f>
        <v>2.7296918869018551E-2</v>
      </c>
      <c r="AC8" s="63">
        <v>5.1966789560256875E-2</v>
      </c>
      <c r="AD8" s="63" cm="1">
        <f t="array" ref="AD8">INDEX(Pipes_result_save_V1!$L$2:$L$206,S8)</f>
        <v>0.83350831270217896</v>
      </c>
      <c r="AE8" s="63">
        <v>0.34556416714209448</v>
      </c>
      <c r="AF8" s="63" cm="1">
        <f t="array" ref="AF8">INDEX(Pipes_result_save_V1!$M$2:$M$206,S8)</f>
        <v>2.953453540802002</v>
      </c>
      <c r="AG8" s="63">
        <v>69.792578008259511</v>
      </c>
      <c r="AH8" s="63">
        <f>INDEX('Junctions — junctions'!$I$2:$I$197,MATCH(V8,'Junctions — junctions'!$B$2:$B$197,0))</f>
        <v>58.451694488525391</v>
      </c>
      <c r="AL8" s="63">
        <f>MATCH(AO8,Pipes_result_save_V1!$H$2:$H$206,0)</f>
        <v>175</v>
      </c>
      <c r="AM8" s="63" t="s">
        <v>180</v>
      </c>
      <c r="AN8" s="63" t="s">
        <v>654</v>
      </c>
      <c r="AO8" s="63" t="s">
        <v>655</v>
      </c>
      <c r="AP8" s="63">
        <v>204.52523865872314</v>
      </c>
      <c r="AQ8" s="63" cm="1">
        <f t="array" ref="AQ8">INDEX(Pipes_result_save_V1!$C$2:$C$206,'COMPARAISON EPANET'!AL8)</f>
        <v>252</v>
      </c>
      <c r="AR8" s="63">
        <v>250</v>
      </c>
      <c r="AS8" s="63" cm="1">
        <f t="array" ref="AS8">INDEX(Pipes_result_save_V1!$O$2:$O$206,AL8)</f>
        <v>250</v>
      </c>
      <c r="AT8" s="63">
        <v>5.5297319636705394E-2</v>
      </c>
      <c r="AU8" s="63" cm="1">
        <f t="array" ref="AU8">INDEX(Pipes_result_save_V1!$R$2:$R$206,AL8)/1000</f>
        <v>6.1372756958007813E-2</v>
      </c>
      <c r="AV8" s="63">
        <v>7.0406734079313554E-2</v>
      </c>
      <c r="AW8" s="63" cm="1">
        <f t="array" ref="AW8">INDEX(Pipes_result_save_V1!$L$2:$L$206,AL8)</f>
        <v>1.2305020093917849</v>
      </c>
      <c r="AX8" s="63">
        <v>0.1128705559405012</v>
      </c>
      <c r="AY8" s="63" cm="1">
        <f t="array" ref="AY8">INDEX(Pipes_result_save_V1!$M$2:$M$206,AL8)</f>
        <v>4.8631472587585449</v>
      </c>
      <c r="AZ8" s="63">
        <v>16.293966081864987</v>
      </c>
      <c r="BA8" s="63">
        <f>INDEX('Junctions — junctions'!$I$2:$I$197,MATCH(AO8,'Junctions — junctions'!$B$2:$B$197,0))</f>
        <v>63.266544342041023</v>
      </c>
      <c r="BF8" s="63">
        <f>MATCH(BI8,Pipes_result_save_V1!$H$2:$H$206,0)</f>
        <v>153</v>
      </c>
      <c r="BG8" s="63" t="s">
        <v>130</v>
      </c>
      <c r="BH8" s="63" t="s">
        <v>635</v>
      </c>
      <c r="BI8" s="63" t="s">
        <v>634</v>
      </c>
      <c r="BJ8" s="63">
        <v>204.52523865872314</v>
      </c>
      <c r="BK8" s="63" cm="1">
        <f t="array" ref="BK8">INDEX(Pipes_result_save_V1!$C$2:$C$206,'COMPARAISON EPANET'!BF8)</f>
        <v>204.2</v>
      </c>
      <c r="BL8" s="63">
        <v>250</v>
      </c>
      <c r="BM8" s="63" cm="1">
        <f t="array" ref="BM8">INDEX(Pipes_result_save_V1!$O$2:$O$206,BF8)</f>
        <v>200</v>
      </c>
      <c r="BN8" s="63">
        <v>2.3091157934404437E-2</v>
      </c>
      <c r="BO8" s="63" cm="1">
        <f t="array" ref="BO8">INDEX(Pipes_result_save_V1!$R$2:$R$206,BF8)/1000</f>
        <v>2.8550071716308589E-2</v>
      </c>
      <c r="BP8" s="63">
        <v>2.9400575415808847E-2</v>
      </c>
      <c r="BQ8" s="63" cm="1">
        <f t="array" ref="BQ8">INDEX(Pipes_result_save_V1!$L$2:$L$206,BF8)</f>
        <v>0.87177318334579468</v>
      </c>
      <c r="BR8" s="63">
        <v>0.11744638928944044</v>
      </c>
      <c r="BS8" s="63" cm="1">
        <f t="array" ref="BS8">INDEX(Pipes_result_save_V1!$M$2:$M$206,BF8)</f>
        <v>3.2308585643768311</v>
      </c>
      <c r="BT8" s="63">
        <v>17.665913518161844</v>
      </c>
      <c r="BU8" s="63">
        <f>INDEX('Junctions — junctions'!$I$2:$I$197,MATCH(BI8,'Junctions — junctions'!$B$2:$B$197,0))</f>
        <v>60.982124328613281</v>
      </c>
      <c r="CA8" s="63">
        <f>MATCH(CD8,Pipes_result_save_V1!$H$2:$H$206,0)</f>
        <v>129</v>
      </c>
      <c r="CB8" s="63" t="s">
        <v>136</v>
      </c>
      <c r="CC8" s="63" t="s">
        <v>614</v>
      </c>
      <c r="CD8" s="63" t="s">
        <v>613</v>
      </c>
      <c r="CE8" s="63">
        <v>325.71332790434337</v>
      </c>
      <c r="CF8" s="63" cm="1">
        <f t="array" ref="CF8">INDEX(Pipes_result_save_V1!$C$2:$C$206,'COMPARAISON EPANET'!CA8)</f>
        <v>394.6</v>
      </c>
      <c r="CG8" s="63">
        <v>350</v>
      </c>
      <c r="CH8" s="63" cm="1">
        <f t="array" ref="CH8">INDEX(Pipes_result_save_V1!$O$2:$O$206,CA8)</f>
        <v>400</v>
      </c>
      <c r="CI8" s="63">
        <v>0.11064153554303832</v>
      </c>
      <c r="CJ8" s="63" cm="1">
        <f t="array" ref="CJ8">INDEX(Pipes_result_save_V1!$R$2:$R$206,CA8)/1000</f>
        <v>0.11696879577636721</v>
      </c>
      <c r="CK8" s="63">
        <v>0.13611606642173896</v>
      </c>
      <c r="CL8" s="63" cm="1">
        <f t="array" ref="CL8">INDEX(Pipes_result_save_V1!$L$2:$L$206,CA8)</f>
        <v>0.95645296573638916</v>
      </c>
      <c r="CM8" s="63">
        <v>7.1874070583478292E-2</v>
      </c>
      <c r="CN8" s="63" cm="1">
        <f t="array" ref="CN8">INDEX(Pipes_result_save_V1!$M$2:$M$206,CA8)</f>
        <v>1.616180419921875</v>
      </c>
      <c r="CO8" s="63">
        <v>23.197870966944084</v>
      </c>
      <c r="CP8" s="63">
        <f>INDEX('Junctions — junctions'!$I$2:$I$197,MATCH(CD8,'Junctions — junctions'!$B$2:$B$197,0))</f>
        <v>67.16705322265625</v>
      </c>
      <c r="CT8" s="63">
        <f>MATCH(CW8,Pipes_result_save_V1!$H$2:$H$206,0)</f>
        <v>158</v>
      </c>
      <c r="CU8" s="63" t="s">
        <v>396</v>
      </c>
      <c r="CV8" s="63" t="s">
        <v>586</v>
      </c>
      <c r="CW8" s="63" t="s">
        <v>587</v>
      </c>
      <c r="CX8" s="63">
        <v>460.62820576799743</v>
      </c>
      <c r="CY8" s="63" cm="1">
        <f t="array" ref="CY8">INDEX(Pipes_result_save_V1!$C$2:$C$206,'COMPARAISON EPANET'!CT8)</f>
        <v>489.4</v>
      </c>
      <c r="CZ8" s="63">
        <v>500</v>
      </c>
      <c r="DA8" s="63" cm="1">
        <f t="array" ref="DA8">INDEX(Pipes_result_save_V1!$O$2:$O$206,CT8)</f>
        <v>500</v>
      </c>
      <c r="DB8" s="63">
        <v>0.10808934592303014</v>
      </c>
      <c r="DC8" s="63" cm="1">
        <f t="array" ref="DC8">INDEX(Pipes_result_save_V1!$R$2:$R$206,CT8)/1000</f>
        <v>0.1136740341186523</v>
      </c>
      <c r="DD8" s="63">
        <v>3.9609667011779669E-2</v>
      </c>
      <c r="DE8" s="63" cm="1">
        <f t="array" ref="DE8">INDEX(Pipes_result_save_V1!$L$2:$L$206,CT8)</f>
        <v>0.60428404808044434</v>
      </c>
      <c r="DF8" s="63">
        <v>0.13969426824704931</v>
      </c>
      <c r="DG8" s="63" cm="1">
        <f t="array" ref="DG8">INDEX(Pipes_result_save_V1!$M$2:$M$206,CT8)</f>
        <v>0.48410746455192571</v>
      </c>
      <c r="DH8" s="63">
        <v>17.995340293825979</v>
      </c>
      <c r="DI8" s="63">
        <f>INDEX('Junctions — junctions'!$I$2:$I$197,MATCH(CW8,'Junctions — junctions'!$B$2:$B$197,0))</f>
        <v>65.5560302734375</v>
      </c>
      <c r="DM8" s="63">
        <f>MATCH(DP8,Pipes_result_save_V1!$H$2:$H$206,0)</f>
        <v>123</v>
      </c>
      <c r="DN8" s="63" t="s">
        <v>400</v>
      </c>
      <c r="DO8" s="63" t="s">
        <v>583</v>
      </c>
      <c r="DP8" s="63" t="s">
        <v>584</v>
      </c>
      <c r="DQ8" s="63">
        <v>460.62820576799743</v>
      </c>
      <c r="DR8" s="63" cm="1">
        <f t="array" ref="DR8">INDEX(Pipes_result_save_V1!$C$2:$C$206,'COMPARAISON EPANET'!DM8)</f>
        <v>489.4</v>
      </c>
      <c r="DS8" s="63">
        <v>500</v>
      </c>
      <c r="DT8" s="63" cm="1">
        <f t="array" ref="DT8">INDEX(Pipes_result_save_V1!$O$2:$O$206,DM8)</f>
        <v>500</v>
      </c>
      <c r="DU8" s="63">
        <v>0.10664416378096675</v>
      </c>
      <c r="DV8" s="63" cm="1">
        <f t="array" ref="DV8">INDEX(Pipes_result_save_V1!$R$2:$R$206,DM8)/1000</f>
        <v>0.11761656188964839</v>
      </c>
      <c r="DW8" s="63">
        <v>3.9080075654466209E-2</v>
      </c>
      <c r="DX8" s="63" cm="1">
        <f t="array" ref="DX8">INDEX(Pipes_result_save_V1!$L$2:$L$206,DM8)</f>
        <v>0.62524229288101196</v>
      </c>
      <c r="DY8" s="63">
        <v>0.11761656188964839</v>
      </c>
      <c r="DZ8" s="63" cm="1">
        <f t="array" ref="DZ8">INDEX(Pipes_result_save_V1!$M$2:$M$206,DM8)</f>
        <v>0.51831406354904175</v>
      </c>
      <c r="EA8" s="63">
        <v>17.219931047677992</v>
      </c>
      <c r="EB8" s="63">
        <f>INDEX('Junctions — junctions'!$I$2:$I$197,MATCH(DP8,'Junctions — junctions'!$B$2:$B$197,0))</f>
        <v>65.705513000488281</v>
      </c>
    </row>
    <row r="9" spans="1:132" x14ac:dyDescent="0.25">
      <c r="A9" s="63">
        <f>MATCH(D9,Pipes_result_save_V1!$H$2:$H$206,0)</f>
        <v>191</v>
      </c>
      <c r="B9" s="63" t="s">
        <v>196</v>
      </c>
      <c r="C9" s="63" t="s">
        <v>668</v>
      </c>
      <c r="D9" s="63" t="s">
        <v>669</v>
      </c>
      <c r="E9" s="63">
        <v>283.2927409413515</v>
      </c>
      <c r="F9" s="63" cm="1">
        <f t="array" ref="F9">INDEX(Pipes_result_save_V1!$C$2:$C$206,'COMPARAISON EPANET'!A9)</f>
        <v>156.4</v>
      </c>
      <c r="G9" s="63">
        <v>300</v>
      </c>
      <c r="H9" s="63" cm="1">
        <f t="array" ref="H9">INDEX(Pipes_result_save_V1!$O$2:$O$206,A9)</f>
        <v>150</v>
      </c>
      <c r="I9" s="63">
        <v>8.1802321178428786E-3</v>
      </c>
      <c r="J9" s="63" cm="1">
        <f t="array" ref="J9">INDEX(Pipes_result_save_V1!$R$2:$R$206,A9)/1000</f>
        <v>1.461785984039307E-2</v>
      </c>
      <c r="K9" s="63">
        <v>7.2329132066320991E-3</v>
      </c>
      <c r="L9" s="63" cm="1">
        <f t="array" ref="L9">INDEX(Pipes_result_save_V1!$L$2:$L$206,A9)</f>
        <v>0.76088333129882813</v>
      </c>
      <c r="M9" s="63">
        <v>0.132151224021303</v>
      </c>
      <c r="N9" s="63" cm="1">
        <f t="array" ref="N9">INDEX(Pipes_result_save_V1!$M$2:$M$206,A9)</f>
        <v>3.5118203163146968</v>
      </c>
      <c r="O9" s="63">
        <v>23.151880830423959</v>
      </c>
      <c r="P9" s="63">
        <f>INDEX('Junctions — junctions'!$I$2:$I$197,MATCH(D9,'Junctions — junctions'!$B$2:$B$197,0))</f>
        <v>53.629859924316413</v>
      </c>
      <c r="S9" s="63">
        <f>MATCH(V9,Pipes_result_save_V1!$H$2:$H$206,0)</f>
        <v>33</v>
      </c>
      <c r="T9" s="63" t="s">
        <v>436</v>
      </c>
      <c r="U9" s="63" t="s">
        <v>707</v>
      </c>
      <c r="V9" s="63" t="s">
        <v>716</v>
      </c>
      <c r="W9" s="63">
        <v>271.95447352229712</v>
      </c>
      <c r="X9" s="63" cm="1">
        <f t="array" ref="X9">INDEX(Pipes_result_save_V1!$C$2:$C$206,'COMPARAISON EPANET'!S9)</f>
        <v>204.2</v>
      </c>
      <c r="Y9" s="63">
        <v>300</v>
      </c>
      <c r="Z9" s="63" cm="1">
        <f t="array" ref="Z9">INDEX(Pipes_result_save_V1!$O$2:$O$206,S9)</f>
        <v>200</v>
      </c>
      <c r="AA9" s="63">
        <v>2.8766998571680552E-2</v>
      </c>
      <c r="AB9" s="63" cm="1">
        <f t="array" ref="AB9">INDEX(Pipes_result_save_V1!$R$2:$R$206,S9)/1000</f>
        <v>3.1976058959960939E-2</v>
      </c>
      <c r="AC9" s="63">
        <v>2.5435611225558069E-2</v>
      </c>
      <c r="AD9" s="63" cm="1">
        <f t="array" ref="AD9">INDEX(Pipes_result_save_V1!$L$2:$L$206,S9)</f>
        <v>0.97638529539108276</v>
      </c>
      <c r="AE9" s="63">
        <v>0.40029251835266977</v>
      </c>
      <c r="AF9" s="63" cm="1">
        <f t="array" ref="AF9">INDEX(Pipes_result_save_V1!$M$2:$M$206,S9)</f>
        <v>4.052828311920166</v>
      </c>
      <c r="AG9" s="63">
        <v>78.39228548990684</v>
      </c>
      <c r="AH9" s="63">
        <f>INDEX('Junctions — junctions'!$I$2:$I$197,MATCH(V9,'Junctions — junctions'!$B$2:$B$197,0))</f>
        <v>68.135505676269531</v>
      </c>
      <c r="AL9" s="63">
        <f>MATCH(AO9,Pipes_result_save_V1!$H$2:$H$206,0)</f>
        <v>176</v>
      </c>
      <c r="AM9" s="63" t="s">
        <v>178</v>
      </c>
      <c r="AN9" s="63" t="s">
        <v>655</v>
      </c>
      <c r="AO9" s="63" t="s">
        <v>656</v>
      </c>
      <c r="AP9" s="63">
        <v>204.52523865872314</v>
      </c>
      <c r="AQ9" s="63" cm="1">
        <f t="array" ref="AQ9">INDEX(Pipes_result_save_V1!$C$2:$C$206,'COMPARAISON EPANET'!AL9)</f>
        <v>252</v>
      </c>
      <c r="AR9" s="63">
        <v>250</v>
      </c>
      <c r="AS9" s="63" cm="1">
        <f t="array" ref="AS9">INDEX(Pipes_result_save_V1!$O$2:$O$206,AL9)</f>
        <v>250</v>
      </c>
      <c r="AT9" s="63">
        <v>5.4715161251236662E-2</v>
      </c>
      <c r="AU9" s="63" cm="1">
        <f t="array" ref="AU9">INDEX(Pipes_result_save_V1!$R$2:$R$206,AL9)/1000</f>
        <v>6.0362876892089835E-2</v>
      </c>
      <c r="AV9" s="63">
        <v>6.9665507001635582E-2</v>
      </c>
      <c r="AW9" s="63" cm="1">
        <f t="array" ref="AW9">INDEX(Pipes_result_save_V1!$L$2:$L$206,AL9)</f>
        <v>1.210254311561584</v>
      </c>
      <c r="AX9" s="63">
        <v>0.11439583372348096</v>
      </c>
      <c r="AY9" s="63" cm="1">
        <f t="array" ref="AY9">INDEX(Pipes_result_save_V1!$M$2:$M$206,AL9)</f>
        <v>4.704409122467041</v>
      </c>
      <c r="AZ9" s="63">
        <v>19.179570248141509</v>
      </c>
      <c r="BA9" s="63">
        <f>INDEX('Junctions — junctions'!$I$2:$I$197,MATCH(AO9,'Junctions — junctions'!$B$2:$B$197,0))</f>
        <v>65.852088928222656</v>
      </c>
      <c r="BF9" s="63">
        <f>MATCH(BI9,Pipes_result_save_V1!$H$2:$H$206,0)</f>
        <v>154</v>
      </c>
      <c r="BG9" s="63" t="s">
        <v>129</v>
      </c>
      <c r="BH9" s="63" t="s">
        <v>636</v>
      </c>
      <c r="BI9" s="63" t="s">
        <v>635</v>
      </c>
      <c r="BJ9" s="63">
        <v>204.52523865872314</v>
      </c>
      <c r="BK9" s="63" cm="1">
        <f t="array" ref="BK9">INDEX(Pipes_result_save_V1!$C$2:$C$206,'COMPARAISON EPANET'!BF9)</f>
        <v>204.2</v>
      </c>
      <c r="BL9" s="63">
        <v>250</v>
      </c>
      <c r="BM9" s="63" cm="1">
        <f t="array" ref="BM9">INDEX(Pipes_result_save_V1!$O$2:$O$206,BF9)</f>
        <v>200</v>
      </c>
      <c r="BN9" s="63">
        <v>2.2554360061775646E-2</v>
      </c>
      <c r="BO9" s="63" cm="1">
        <f t="array" ref="BO9">INDEX(Pipes_result_save_V1!$R$2:$R$206,BF9)/1000</f>
        <v>2.7671417236328121E-2</v>
      </c>
      <c r="BP9" s="63">
        <v>2.8717103136848162E-2</v>
      </c>
      <c r="BQ9" s="63" cm="1">
        <f t="array" ref="BQ9">INDEX(Pipes_result_save_V1!$L$2:$L$206,BF9)</f>
        <v>0.84494352340698242</v>
      </c>
      <c r="BR9" s="63">
        <v>0.11744638928944044</v>
      </c>
      <c r="BS9" s="63" cm="1">
        <f t="array" ref="BS9">INDEX(Pipes_result_save_V1!$M$2:$M$206,BF9)</f>
        <v>3.0351357460021968</v>
      </c>
      <c r="BT9" s="63">
        <v>20.548467128872403</v>
      </c>
      <c r="BU9" s="63">
        <f>INDEX('Junctions — junctions'!$I$2:$I$197,MATCH(BI9,'Junctions — junctions'!$B$2:$B$197,0))</f>
        <v>63.7320556640625</v>
      </c>
      <c r="CA9" s="63">
        <f>MATCH(CD9,Pipes_result_save_V1!$H$2:$H$206,0)</f>
        <v>130</v>
      </c>
      <c r="CB9" s="63" t="s">
        <v>134</v>
      </c>
      <c r="CC9" s="63" t="s">
        <v>615</v>
      </c>
      <c r="CD9" s="63" t="s">
        <v>614</v>
      </c>
      <c r="CE9" s="63">
        <v>325.71332790434337</v>
      </c>
      <c r="CF9" s="63" cm="1">
        <f t="array" ref="CF9">INDEX(Pipes_result_save_V1!$C$2:$C$206,'COMPARAISON EPANET'!CA9)</f>
        <v>394.6</v>
      </c>
      <c r="CG9" s="63">
        <v>350</v>
      </c>
      <c r="CH9" s="63" cm="1">
        <f t="array" ref="CH9">INDEX(Pipes_result_save_V1!$O$2:$O$206,CA9)</f>
        <v>400</v>
      </c>
      <c r="CI9" s="63">
        <v>0.10955382328317079</v>
      </c>
      <c r="CJ9" s="63" cm="1">
        <f t="array" ref="CJ9">INDEX(Pipes_result_save_V1!$R$2:$R$206,CA9)/1000</f>
        <v>0.1161072616577148</v>
      </c>
      <c r="CK9" s="63">
        <v>0.11453669003780474</v>
      </c>
      <c r="CL9" s="63" cm="1">
        <f t="array" ref="CL9">INDEX(Pipes_result_save_V1!$L$2:$L$206,CA9)</f>
        <v>0.94940817356109619</v>
      </c>
      <c r="CM9" s="63">
        <v>7.1167479633194322E-2</v>
      </c>
      <c r="CN9" s="63" cm="1">
        <f t="array" ref="CN9">INDEX(Pipes_result_save_V1!$M$2:$M$206,CA9)</f>
        <v>1.5923531055450439</v>
      </c>
      <c r="CO9" s="63">
        <v>27.083334276906278</v>
      </c>
      <c r="CP9" s="63">
        <f>INDEX('Junctions — junctions'!$I$2:$I$197,MATCH(CD9,'Junctions — junctions'!$B$2:$B$197,0))</f>
        <v>71.033882141113281</v>
      </c>
      <c r="CT9" s="63">
        <f>MATCH(CW9,Pipes_result_save_V1!$H$2:$H$206,0)</f>
        <v>170</v>
      </c>
      <c r="CU9" s="63" t="s">
        <v>409</v>
      </c>
      <c r="CV9" s="63" t="s">
        <v>587</v>
      </c>
      <c r="CW9" s="63" t="s">
        <v>686</v>
      </c>
      <c r="CX9" s="63">
        <v>325.71332790434337</v>
      </c>
      <c r="CY9" s="63" cm="1">
        <f t="array" ref="CY9">INDEX(Pipes_result_save_V1!$C$2:$C$206,'COMPARAISON EPANET'!CT9)</f>
        <v>299.8</v>
      </c>
      <c r="CZ9" s="63">
        <v>350</v>
      </c>
      <c r="DA9" s="63" cm="1">
        <f t="array" ref="DA9">INDEX(Pipes_result_save_V1!$O$2:$O$206,CT9)</f>
        <v>300</v>
      </c>
      <c r="DB9" s="63">
        <v>7.3346043031527031E-2</v>
      </c>
      <c r="DC9" s="63" cm="1">
        <f t="array" ref="DC9">INDEX(Pipes_result_save_V1!$R$2:$R$206,CT9)/1000</f>
        <v>7.9282783508300786E-2</v>
      </c>
      <c r="DD9" s="63">
        <v>4.7646470631422015E-2</v>
      </c>
      <c r="DE9" s="63" cm="1">
        <f t="array" ref="DE9">INDEX(Pipes_result_save_V1!$L$2:$L$206,CT9)</f>
        <v>1.1231129169464109</v>
      </c>
      <c r="DF9" s="63">
        <v>0.53450455350975545</v>
      </c>
      <c r="DG9" s="63" cm="1">
        <f t="array" ref="DG9">INDEX(Pipes_result_save_V1!$M$2:$M$206,CT9)</f>
        <v>3.2140364646911621</v>
      </c>
      <c r="DH9" s="63">
        <v>19.460835740316224</v>
      </c>
      <c r="DI9" s="63">
        <f>INDEX('Junctions — junctions'!$I$2:$I$197,MATCH(CW9,'Junctions — junctions'!$B$2:$B$197,0))</f>
        <v>66.522071838378906</v>
      </c>
      <c r="DM9" s="63">
        <f>MATCH(DP9,Pipes_result_save_V1!$H$2:$H$206,0)</f>
        <v>135</v>
      </c>
      <c r="DN9" s="63" t="s">
        <v>401</v>
      </c>
      <c r="DO9" s="63" t="s">
        <v>584</v>
      </c>
      <c r="DP9" s="63" t="s">
        <v>585</v>
      </c>
      <c r="DQ9" s="63">
        <v>460.62820576799743</v>
      </c>
      <c r="DR9" s="63" cm="1">
        <f t="array" ref="DR9">INDEX(Pipes_result_save_V1!$C$2:$C$206,'COMPARAISON EPANET'!DM9)</f>
        <v>489.4</v>
      </c>
      <c r="DS9" s="63">
        <v>500</v>
      </c>
      <c r="DT9" s="63" cm="1">
        <f t="array" ref="DT9">INDEX(Pipes_result_save_V1!$O$2:$O$206,DM9)</f>
        <v>500</v>
      </c>
      <c r="DU9" s="63">
        <v>0.10682382796361509</v>
      </c>
      <c r="DV9" s="63" cm="1">
        <f t="array" ref="DV9">INDEX(Pipes_result_save_V1!$R$2:$R$206,DM9)/1000</f>
        <v>0.1158250274658203</v>
      </c>
      <c r="DW9" s="63">
        <v>3.9145914136398667E-2</v>
      </c>
      <c r="DX9" s="63" cm="1">
        <f t="array" ref="DX9">INDEX(Pipes_result_save_V1!$L$2:$L$206,DM9)</f>
        <v>0.6157185435295105</v>
      </c>
      <c r="DY9" s="63">
        <v>0.1158250274658203</v>
      </c>
      <c r="DZ9" s="63" cm="1">
        <f t="array" ref="DZ9">INDEX(Pipes_result_save_V1!$M$2:$M$206,DM9)</f>
        <v>0.50261640548706055</v>
      </c>
      <c r="EA9" s="63">
        <v>14.104106020212173</v>
      </c>
      <c r="EB9" s="63">
        <f>INDEX('Junctions — junctions'!$I$2:$I$197,MATCH(DP9,'Junctions — junctions'!$B$2:$B$197,0))</f>
        <v>62.638618469238281</v>
      </c>
    </row>
    <row r="10" spans="1:132" x14ac:dyDescent="0.25">
      <c r="A10" s="63">
        <f>MATCH(D10,Pipes_result_save_V1!$H$2:$H$206,0)</f>
        <v>192</v>
      </c>
      <c r="B10" s="63" t="s">
        <v>195</v>
      </c>
      <c r="C10" s="63" t="s">
        <v>669</v>
      </c>
      <c r="D10" s="63" t="s">
        <v>670</v>
      </c>
      <c r="E10" s="63">
        <v>228.53730409510246</v>
      </c>
      <c r="F10" s="63" cm="1">
        <f t="array" ref="F10">INDEX(Pipes_result_save_V1!$C$2:$C$206,'COMPARAISON EPANET'!A10)</f>
        <v>156.4</v>
      </c>
      <c r="G10" s="63">
        <v>250</v>
      </c>
      <c r="H10" s="63" cm="1">
        <f t="array" ref="H10">INDEX(Pipes_result_save_V1!$O$2:$O$206,A10)</f>
        <v>150</v>
      </c>
      <c r="I10" s="63">
        <v>7.8454534688086573E-3</v>
      </c>
      <c r="J10" s="63" cm="1">
        <f t="array" ref="J10">INDEX(Pipes_result_save_V1!$R$2:$R$206,A10)/1000</f>
        <v>1.402448272705078E-2</v>
      </c>
      <c r="K10" s="63">
        <v>9.989141602866838E-3</v>
      </c>
      <c r="L10" s="63" cm="1">
        <f t="array" ref="L10">INDEX(Pipes_result_save_V1!$L$2:$L$206,A10)</f>
        <v>0.72999703884124756</v>
      </c>
      <c r="M10" s="63">
        <v>9.4341624853503211E-2</v>
      </c>
      <c r="N10" s="63" cm="1">
        <f t="array" ref="N10">INDEX(Pipes_result_save_V1!$M$2:$M$206,A10)</f>
        <v>3.2325878143310551</v>
      </c>
      <c r="O10" s="63">
        <v>23.057539205570457</v>
      </c>
      <c r="P10" s="63">
        <f>INDEX('Junctions — junctions'!$I$2:$I$197,MATCH(D10,'Junctions — junctions'!$B$2:$B$197,0))</f>
        <v>53.497325897216797</v>
      </c>
      <c r="S10" s="63">
        <f>MATCH(V10,Pipes_result_save_V1!$H$2:$H$206,0)</f>
        <v>32</v>
      </c>
      <c r="T10" s="63" t="s">
        <v>292</v>
      </c>
      <c r="U10" s="63" t="s">
        <v>708</v>
      </c>
      <c r="V10" s="63" t="s">
        <v>707</v>
      </c>
      <c r="W10" s="63">
        <v>271.95447352229712</v>
      </c>
      <c r="X10" s="63" cm="1">
        <f t="array" ref="X10">INDEX(Pipes_result_save_V1!$C$2:$C$206,'COMPARAISON EPANET'!S10)</f>
        <v>252</v>
      </c>
      <c r="Y10" s="63">
        <v>300</v>
      </c>
      <c r="Z10" s="63" cm="1">
        <f t="array" ref="Z10">INDEX(Pipes_result_save_V1!$O$2:$O$206,S10)</f>
        <v>250</v>
      </c>
      <c r="AA10" s="63">
        <v>7.3290945253670714E-3</v>
      </c>
      <c r="AB10" s="63" cm="1">
        <f t="array" ref="AB10">INDEX(Pipes_result_save_V1!$R$2:$R$206,S10)/1000</f>
        <v>4.4782958984375003E-2</v>
      </c>
      <c r="AC10" s="63">
        <v>6.4803423449995437E-3</v>
      </c>
      <c r="AD10" s="63" cm="1">
        <f t="array" ref="AD10">INDEX(Pipes_result_save_V1!$L$2:$L$206,S10)</f>
        <v>0.89788240194320679</v>
      </c>
      <c r="AE10" s="63">
        <v>0.34259269588741997</v>
      </c>
      <c r="AF10" s="63" cm="1">
        <f t="array" ref="AF10">INDEX(Pipes_result_save_V1!$M$2:$M$206,S10)</f>
        <v>2.589356422424316</v>
      </c>
      <c r="AG10" s="63">
        <v>70.049692794019421</v>
      </c>
      <c r="AH10" s="63">
        <f>INDEX('Junctions — junctions'!$I$2:$I$197,MATCH(V10,'Junctions — junctions'!$B$2:$B$197,0))</f>
        <v>61.037258148193359</v>
      </c>
      <c r="AL10" s="63">
        <f>MATCH(AO10,Pipes_result_save_V1!$H$2:$H$206,0)</f>
        <v>177</v>
      </c>
      <c r="AM10" s="63" t="s">
        <v>189</v>
      </c>
      <c r="AN10" s="63" t="s">
        <v>656</v>
      </c>
      <c r="AO10" s="63" t="s">
        <v>657</v>
      </c>
      <c r="AP10" s="63">
        <v>204.52523865872314</v>
      </c>
      <c r="AQ10" s="63" cm="1">
        <f t="array" ref="AQ10">INDEX(Pipes_result_save_V1!$C$2:$C$206,'COMPARAISON EPANET'!AL10)</f>
        <v>252</v>
      </c>
      <c r="AR10" s="63">
        <v>250</v>
      </c>
      <c r="AS10" s="63" cm="1">
        <f t="array" ref="AS10">INDEX(Pipes_result_save_V1!$O$2:$O$206,AL10)</f>
        <v>250</v>
      </c>
      <c r="AT10" s="63">
        <v>5.4259359077368403E-2</v>
      </c>
      <c r="AU10" s="63" cm="1">
        <f t="array" ref="AU10">INDEX(Pipes_result_save_V1!$R$2:$R$206,AL10)/1000</f>
        <v>5.9427165985107423E-2</v>
      </c>
      <c r="AV10" s="63">
        <v>6.9085161649290266E-2</v>
      </c>
      <c r="AW10" s="63" cm="1">
        <f t="array" ref="AW10">INDEX(Pipes_result_save_V1!$L$2:$L$206,AL10)</f>
        <v>1.1914936304092409</v>
      </c>
      <c r="AX10" s="63">
        <v>0.1159211115064607</v>
      </c>
      <c r="AY10" s="63" cm="1">
        <f t="array" ref="AY10">INDEX(Pipes_result_save_V1!$M$2:$M$206,AL10)</f>
        <v>4.55975341796875</v>
      </c>
      <c r="AZ10" s="63">
        <v>16.063649136635046</v>
      </c>
      <c r="BA10" s="63">
        <f>INDEX('Junctions — junctions'!$I$2:$I$197,MATCH(AO10,'Junctions — junctions'!$B$2:$B$197,0))</f>
        <v>62.504634857177727</v>
      </c>
      <c r="BF10" s="63">
        <f>MATCH(BI10,Pipes_result_save_V1!$H$2:$H$206,0)</f>
        <v>155</v>
      </c>
      <c r="BG10" s="63" t="s">
        <v>128</v>
      </c>
      <c r="BH10" s="63" t="s">
        <v>637</v>
      </c>
      <c r="BI10" s="63" t="s">
        <v>636</v>
      </c>
      <c r="BJ10" s="63">
        <v>204.52523865872314</v>
      </c>
      <c r="BK10" s="63" cm="1">
        <f t="array" ref="BK10">INDEX(Pipes_result_save_V1!$C$2:$C$206,'COMPARAISON EPANET'!BF10)</f>
        <v>204.2</v>
      </c>
      <c r="BL10" s="63">
        <v>250</v>
      </c>
      <c r="BM10" s="63" cm="1">
        <f t="array" ref="BM10">INDEX(Pipes_result_save_V1!$O$2:$O$206,BF10)</f>
        <v>200</v>
      </c>
      <c r="BN10" s="63">
        <v>2.0992442178138816E-2</v>
      </c>
      <c r="BO10" s="63" cm="1">
        <f t="array" ref="BO10">INDEX(Pipes_result_save_V1!$R$2:$R$206,BF10)/1000</f>
        <v>2.6798467636108398E-2</v>
      </c>
      <c r="BP10" s="63">
        <v>2.6728407521772694E-2</v>
      </c>
      <c r="BQ10" s="63" cm="1">
        <f t="array" ref="BQ10">INDEX(Pipes_result_save_V1!$L$2:$L$206,BF10)</f>
        <v>0.81828814744949341</v>
      </c>
      <c r="BR10" s="63">
        <v>0.1159211115064607</v>
      </c>
      <c r="BS10" s="63" cm="1">
        <f t="array" ref="BS10">INDEX(Pipes_result_save_V1!$M$2:$M$206,BF10)</f>
        <v>2.8465826511383061</v>
      </c>
      <c r="BT10" s="63">
        <v>19.432546017365944</v>
      </c>
      <c r="BU10" s="63">
        <f>INDEX('Junctions — junctions'!$I$2:$I$197,MATCH(BI10,'Junctions — junctions'!$B$2:$B$197,0))</f>
        <v>62.498046875</v>
      </c>
      <c r="CA10" s="63">
        <f>MATCH(CD10,Pipes_result_save_V1!$H$2:$H$206,0)</f>
        <v>131</v>
      </c>
      <c r="CB10" s="63" t="s">
        <v>135</v>
      </c>
      <c r="CC10" s="63" t="s">
        <v>616</v>
      </c>
      <c r="CD10" s="63" t="s">
        <v>615</v>
      </c>
      <c r="CE10" s="63">
        <v>325.71332790434337</v>
      </c>
      <c r="CF10" s="63" cm="1">
        <f t="array" ref="CF10">INDEX(Pipes_result_save_V1!$C$2:$C$206,'COMPARAISON EPANET'!CA10)</f>
        <v>394.6</v>
      </c>
      <c r="CG10" s="63">
        <v>350</v>
      </c>
      <c r="CH10" s="63" cm="1">
        <f t="array" ref="CH10">INDEX(Pipes_result_save_V1!$O$2:$O$206,CA10)</f>
        <v>400</v>
      </c>
      <c r="CI10" s="63">
        <v>0.10964731281191634</v>
      </c>
      <c r="CJ10" s="63" cm="1">
        <f t="array" ref="CJ10">INDEX(Pipes_result_save_V1!$R$2:$R$206,CA10)/1000</f>
        <v>0.1152970657348633</v>
      </c>
      <c r="CK10" s="63">
        <v>0.12117649815593834</v>
      </c>
      <c r="CL10" s="63" cm="1">
        <f t="array" ref="CL10">INDEX(Pipes_result_save_V1!$L$2:$L$206,CA10)</f>
        <v>0.94278323650360107</v>
      </c>
      <c r="CM10" s="63">
        <v>7.1228211554121609E-2</v>
      </c>
      <c r="CN10" s="63" cm="1">
        <f t="array" ref="CN10">INDEX(Pipes_result_save_V1!$M$2:$M$206,CA10)</f>
        <v>1.570273637771606</v>
      </c>
      <c r="CO10" s="63">
        <v>21.962157778750338</v>
      </c>
      <c r="CP10" s="63">
        <f>INDEX('Junctions — junctions'!$I$2:$I$197,MATCH(CD10,'Junctions — junctions'!$B$2:$B$197,0))</f>
        <v>65.92401123046875</v>
      </c>
      <c r="CT10" s="63">
        <f>MATCH(CW10,Pipes_result_save_V1!$H$2:$H$206,0)</f>
        <v>103</v>
      </c>
      <c r="CU10" s="63" t="s">
        <v>151</v>
      </c>
      <c r="CV10" s="63" t="s">
        <v>599</v>
      </c>
      <c r="CW10" s="63" t="s">
        <v>598</v>
      </c>
      <c r="CX10" s="63">
        <v>460.62820576799743</v>
      </c>
      <c r="CY10" s="63" cm="1">
        <f t="array" ref="CY10">INDEX(Pipes_result_save_V1!$C$2:$C$206,'COMPARAISON EPANET'!CT10)</f>
        <v>489.4</v>
      </c>
      <c r="CZ10" s="63">
        <v>500</v>
      </c>
      <c r="DA10" s="63" cm="1">
        <f t="array" ref="DA10">INDEX(Pipes_result_save_V1!$O$2:$O$206,CT10)</f>
        <v>500</v>
      </c>
      <c r="DB10" s="63">
        <v>0.20191568192836887</v>
      </c>
      <c r="DC10" s="63" cm="1">
        <f t="array" ref="DC10">INDEX(Pipes_result_save_V1!$R$2:$R$206,CT10)/1000</f>
        <v>0.20831297302246091</v>
      </c>
      <c r="DD10" s="63">
        <v>7.399261099548432E-2</v>
      </c>
      <c r="DE10" s="63" cm="1">
        <f t="array" ref="DE10">INDEX(Pipes_result_save_V1!$L$2:$L$206,CT10)</f>
        <v>1.1073787212371831</v>
      </c>
      <c r="DF10" s="63">
        <v>8.3222117253561281E-2</v>
      </c>
      <c r="DG10" s="63" cm="1">
        <f t="array" ref="DG10">INDEX(Pipes_result_save_V1!$M$2:$M$206,CT10)</f>
        <v>1.6258871555328369</v>
      </c>
      <c r="DH10" s="63">
        <v>21.377613623062665</v>
      </c>
      <c r="DI10" s="63">
        <f>INDEX('Junctions — junctions'!$I$2:$I$197,MATCH(CW10,'Junctions — junctions'!$B$2:$B$197,0))</f>
        <v>69.647087097167969</v>
      </c>
      <c r="DM10" s="63">
        <f>MATCH(DP10,Pipes_result_save_V1!$H$2:$H$206,0)</f>
        <v>147</v>
      </c>
      <c r="DN10" s="63" t="s">
        <v>403</v>
      </c>
      <c r="DO10" s="63" t="s">
        <v>585</v>
      </c>
      <c r="DP10" s="63" t="s">
        <v>586</v>
      </c>
      <c r="DQ10" s="63">
        <v>460.62820576799743</v>
      </c>
      <c r="DR10" s="63" cm="1">
        <f t="array" ref="DR10">INDEX(Pipes_result_save_V1!$C$2:$C$206,'COMPARAISON EPANET'!DM10)</f>
        <v>489.4</v>
      </c>
      <c r="DS10" s="63">
        <v>500</v>
      </c>
      <c r="DT10" s="63" cm="1">
        <f t="array" ref="DT10">INDEX(Pipes_result_save_V1!$O$2:$O$206,DM10)</f>
        <v>500</v>
      </c>
      <c r="DU10" s="63">
        <v>0.10556686389483461</v>
      </c>
      <c r="DV10" s="63" cm="1">
        <f t="array" ref="DV10">INDEX(Pipes_result_save_V1!$R$2:$R$206,DM10)/1000</f>
        <v>0.1146382675170898</v>
      </c>
      <c r="DW10" s="63">
        <v>3.8685295860055126E-2</v>
      </c>
      <c r="DX10" s="63" cm="1">
        <f t="array" ref="DX10">INDEX(Pipes_result_save_V1!$L$2:$L$206,DM10)</f>
        <v>0.6094098687171936</v>
      </c>
      <c r="DY10" s="63">
        <v>0.1146382675170898</v>
      </c>
      <c r="DZ10" s="63" cm="1">
        <f t="array" ref="DZ10">INDEX(Pipes_result_save_V1!$M$2:$M$206,DM10)</f>
        <v>0.49247503280639648</v>
      </c>
      <c r="EA10" s="63">
        <v>14.989467752695084</v>
      </c>
      <c r="EB10" s="63">
        <f>INDEX('Junctions — junctions'!$I$2:$I$197,MATCH(DP10,'Junctions — junctions'!$B$2:$B$197,0))</f>
        <v>63.601482391357422</v>
      </c>
    </row>
    <row r="11" spans="1:132" x14ac:dyDescent="0.25">
      <c r="A11" s="63">
        <f>MATCH(D11,Pipes_result_save_V1!$H$2:$H$206,0)</f>
        <v>194</v>
      </c>
      <c r="B11" s="63" t="s">
        <v>194</v>
      </c>
      <c r="C11" s="63" t="s">
        <v>670</v>
      </c>
      <c r="D11" s="63" t="s">
        <v>671</v>
      </c>
      <c r="E11" s="63">
        <v>506.01477786129203</v>
      </c>
      <c r="F11" s="63" cm="1">
        <f t="array" ref="F11">INDEX(Pipes_result_save_V1!$C$2:$C$206,'COMPARAISON EPANET'!A11)</f>
        <v>156.4</v>
      </c>
      <c r="G11" s="63">
        <v>600</v>
      </c>
      <c r="H11" s="63" cm="1">
        <f t="array" ref="H11">INDEX(Pipes_result_save_V1!$O$2:$O$206,A11)</f>
        <v>150</v>
      </c>
      <c r="I11" s="63">
        <v>6.1364883263278769E-3</v>
      </c>
      <c r="J11" s="63" cm="1">
        <f t="array" ref="J11">INDEX(Pipes_result_save_V1!$R$2:$R$206,A11)/1000</f>
        <v>1.264373970031738E-2</v>
      </c>
      <c r="K11" s="63">
        <v>1.5297242546178928E-3</v>
      </c>
      <c r="L11" s="63" cm="1">
        <f t="array" ref="L11">INDEX(Pipes_result_save_V1!$L$2:$L$206,A11)</f>
        <v>0.65812718868255615</v>
      </c>
      <c r="M11" s="63">
        <v>0.16553763307059088</v>
      </c>
      <c r="N11" s="63" cm="1">
        <f t="array" ref="N11">INDEX(Pipes_result_save_V1!$M$2:$M$206,A11)</f>
        <v>2.627388477325439</v>
      </c>
      <c r="O11" s="63">
        <v>27.892001572499865</v>
      </c>
      <c r="P11" s="63">
        <f>INDEX('Junctions — junctions'!$I$2:$I$197,MATCH(D11,'Junctions — junctions'!$B$2:$B$197,0))</f>
        <v>57.968433380126953</v>
      </c>
      <c r="S11" s="63">
        <f>MATCH(V11,Pipes_result_save_V1!$H$2:$H$206,0)</f>
        <v>35</v>
      </c>
      <c r="T11" s="63" t="s">
        <v>291</v>
      </c>
      <c r="U11" s="63" t="s">
        <v>709</v>
      </c>
      <c r="V11" s="63" t="s">
        <v>708</v>
      </c>
      <c r="W11" s="63">
        <v>271.95447352229712</v>
      </c>
      <c r="X11" s="63" cm="1">
        <f t="array" ref="X11">INDEX(Pipes_result_save_V1!$C$2:$C$206,'COMPARAISON EPANET'!S11)</f>
        <v>156.4</v>
      </c>
      <c r="Y11" s="63">
        <v>300</v>
      </c>
      <c r="Z11" s="63" cm="1">
        <f t="array" ref="Z11">INDEX(Pipes_result_save_V1!$O$2:$O$206,S11)</f>
        <v>150</v>
      </c>
      <c r="AA11" s="63">
        <v>2.0410303096012553E-3</v>
      </c>
      <c r="AB11" s="63" cm="1">
        <f t="array" ref="AB11">INDEX(Pipes_result_save_V1!$R$2:$R$206,S11)/1000</f>
        <v>6.3425126075744628E-3</v>
      </c>
      <c r="AC11" s="63">
        <v>1.8046670154078961E-3</v>
      </c>
      <c r="AD11" s="63" cm="1">
        <f t="array" ref="AD11">INDEX(Pipes_result_save_V1!$L$2:$L$206,S11)</f>
        <v>0.33013808727264399</v>
      </c>
      <c r="AE11" s="63">
        <v>0.52290464109132528</v>
      </c>
      <c r="AF11" s="63" cm="1">
        <f t="array" ref="AF11">INDEX(Pipes_result_save_V1!$M$2:$M$206,S11)</f>
        <v>0.66114652156829834</v>
      </c>
      <c r="AG11" s="63">
        <v>71.526788152928091</v>
      </c>
      <c r="AH11" s="63">
        <f>INDEX('Junctions — junctions'!$I$2:$I$197,MATCH(V11,'Junctions — junctions'!$B$2:$B$197,0))</f>
        <v>62.780147552490227</v>
      </c>
      <c r="AL11" s="63">
        <f>MATCH(AO11,Pipes_result_save_V1!$H$2:$H$206,0)</f>
        <v>178</v>
      </c>
      <c r="AM11" s="63" t="s">
        <v>188</v>
      </c>
      <c r="AN11" s="63" t="s">
        <v>657</v>
      </c>
      <c r="AO11" s="63" t="s">
        <v>658</v>
      </c>
      <c r="AP11" s="63">
        <v>204.52523865872314</v>
      </c>
      <c r="AQ11" s="63" cm="1">
        <f t="array" ref="AQ11">INDEX(Pipes_result_save_V1!$C$2:$C$206,'COMPARAISON EPANET'!AL11)</f>
        <v>252</v>
      </c>
      <c r="AR11" s="63">
        <v>250</v>
      </c>
      <c r="AS11" s="63" cm="1">
        <f t="array" ref="AS11">INDEX(Pipes_result_save_V1!$O$2:$O$206,AL11)</f>
        <v>250</v>
      </c>
      <c r="AT11" s="63">
        <v>5.3323934948818229E-2</v>
      </c>
      <c r="AU11" s="63" cm="1">
        <f t="array" ref="AU11">INDEX(Pipes_result_save_V1!$R$2:$R$206,AL11)/1000</f>
        <v>5.8537097930908201E-2</v>
      </c>
      <c r="AV11" s="63">
        <v>6.7894142657720757E-2</v>
      </c>
      <c r="AW11" s="63" cm="1">
        <f t="array" ref="AW11">INDEX(Pipes_result_save_V1!$L$2:$L$206,AL11)</f>
        <v>1.173647999763489</v>
      </c>
      <c r="AX11" s="63">
        <v>0.11744638928944044</v>
      </c>
      <c r="AY11" s="63" cm="1">
        <f t="array" ref="AY11">INDEX(Pipes_result_save_V1!$M$2:$M$206,AL11)</f>
        <v>4.4240975379943848</v>
      </c>
      <c r="AZ11" s="63">
        <v>17.946202747345605</v>
      </c>
      <c r="BA11" s="63">
        <f>INDEX('Junctions — junctions'!$I$2:$I$197,MATCH(AO11,'Junctions — junctions'!$B$2:$B$197,0))</f>
        <v>64.151145935058594</v>
      </c>
      <c r="BF11" s="63">
        <f>MATCH(BI11,Pipes_result_save_V1!$H$2:$H$206,0)</f>
        <v>156</v>
      </c>
      <c r="BG11" s="63" t="s">
        <v>127</v>
      </c>
      <c r="BH11" s="63" t="s">
        <v>638</v>
      </c>
      <c r="BI11" s="63" t="s">
        <v>637</v>
      </c>
      <c r="BJ11" s="63">
        <v>204.52523865872314</v>
      </c>
      <c r="BK11" s="63" cm="1">
        <f t="array" ref="BK11">INDEX(Pipes_result_save_V1!$C$2:$C$206,'COMPARAISON EPANET'!BF11)</f>
        <v>156.4</v>
      </c>
      <c r="BL11" s="63">
        <v>250</v>
      </c>
      <c r="BM11" s="63" cm="1">
        <f t="array" ref="BM11">INDEX(Pipes_result_save_V1!$O$2:$O$206,BF11)</f>
        <v>150</v>
      </c>
      <c r="BN11" s="63">
        <v>2.0961914069395998E-2</v>
      </c>
      <c r="BO11" s="63" cm="1">
        <f t="array" ref="BO11">INDEX(Pipes_result_save_V1!$R$2:$R$206,BF11)/1000</f>
        <v>2.6159444808959962E-2</v>
      </c>
      <c r="BP11" s="63">
        <v>2.6689537926495362E-2</v>
      </c>
      <c r="BQ11" s="63" cm="1">
        <f t="array" ref="BQ11">INDEX(Pipes_result_save_V1!$L$2:$L$206,BF11)</f>
        <v>1.361641526222229</v>
      </c>
      <c r="BR11" s="63">
        <v>5.4910000187270859E-2</v>
      </c>
      <c r="BS11" s="63" cm="1">
        <f t="array" ref="BS11">INDEX(Pipes_result_save_V1!$M$2:$M$206,BF11)</f>
        <v>11.24682140350342</v>
      </c>
      <c r="BT11" s="63">
        <v>12.377636017178673</v>
      </c>
      <c r="BU11" s="63">
        <f>INDEX('Junctions — junctions'!$I$2:$I$197,MATCH(BI11,'Junctions — junctions'!$B$2:$B$197,0))</f>
        <v>55.281707763671882</v>
      </c>
      <c r="CA11" s="63">
        <f>MATCH(CD11,Pipes_result_save_V1!$H$2:$H$206,0)</f>
        <v>132</v>
      </c>
      <c r="CB11" s="63" t="s">
        <v>133</v>
      </c>
      <c r="CC11" s="63" t="s">
        <v>617</v>
      </c>
      <c r="CD11" s="63" t="s">
        <v>616</v>
      </c>
      <c r="CE11" s="63">
        <v>325.71332790434337</v>
      </c>
      <c r="CF11" s="63" cm="1">
        <f t="array" ref="CF11">INDEX(Pipes_result_save_V1!$C$2:$C$206,'COMPARAISON EPANET'!CA11)</f>
        <v>394.6</v>
      </c>
      <c r="CG11" s="63">
        <v>350</v>
      </c>
      <c r="CH11" s="63" cm="1">
        <f t="array" ref="CH11">INDEX(Pipes_result_save_V1!$O$2:$O$206,CA11)</f>
        <v>400</v>
      </c>
      <c r="CI11" s="63">
        <v>0.10824872082911595</v>
      </c>
      <c r="CJ11" s="63" cm="1">
        <f t="array" ref="CJ11">INDEX(Pipes_result_save_V1!$R$2:$R$206,CA11)/1000</f>
        <v>0.11441841125488279</v>
      </c>
      <c r="CK11" s="63">
        <v>0.13445611439220556</v>
      </c>
      <c r="CL11" s="63" cm="1">
        <f t="array" ref="CL11">INDEX(Pipes_result_save_V1!$L$2:$L$206,CA11)</f>
        <v>0.93559849262237549</v>
      </c>
      <c r="CM11" s="63">
        <v>7.0319669401340476E-2</v>
      </c>
      <c r="CN11" s="63" cm="1">
        <f t="array" ref="CN11">INDEX(Pipes_result_save_V1!$M$2:$M$206,CA11)</f>
        <v>1.5464029312133789</v>
      </c>
      <c r="CO11" s="63">
        <v>16.827701664358134</v>
      </c>
      <c r="CP11" s="63">
        <f>INDEX('Junctions — junctions'!$I$2:$I$197,MATCH(CD11,'Junctions — junctions'!$B$2:$B$197,0))</f>
        <v>60.808753967285163</v>
      </c>
      <c r="CT11" s="63">
        <f>MATCH(CW11,Pipes_result_save_V1!$H$2:$H$206,0)</f>
        <v>113</v>
      </c>
      <c r="CU11" s="63" t="s">
        <v>150</v>
      </c>
      <c r="CV11" s="63" t="s">
        <v>600</v>
      </c>
      <c r="CW11" s="63" t="s">
        <v>599</v>
      </c>
      <c r="CX11" s="63">
        <v>460.62820576799743</v>
      </c>
      <c r="CY11" s="63" cm="1">
        <f t="array" ref="CY11">INDEX(Pipes_result_save_V1!$C$2:$C$206,'COMPARAISON EPANET'!CT11)</f>
        <v>489.4</v>
      </c>
      <c r="CZ11" s="63">
        <v>500</v>
      </c>
      <c r="DA11" s="63" cm="1">
        <f t="array" ref="DA11">INDEX(Pipes_result_save_V1!$O$2:$O$206,CT11)</f>
        <v>500</v>
      </c>
      <c r="DB11" s="63">
        <v>0.20151170661799933</v>
      </c>
      <c r="DC11" s="63" cm="1">
        <f t="array" ref="DC11">INDEX(Pipes_result_save_V1!$R$2:$R$206,CT11)/1000</f>
        <v>0.207651123046875</v>
      </c>
      <c r="DD11" s="63">
        <v>7.3844573023859328E-2</v>
      </c>
      <c r="DE11" s="63" cm="1">
        <f t="array" ref="DE11">INDEX(Pipes_result_save_V1!$L$2:$L$206,CT11)</f>
        <v>1.1038602590560911</v>
      </c>
      <c r="DF11" s="63">
        <v>8.9166554200244233E-2</v>
      </c>
      <c r="DG11" s="63" cm="1">
        <f t="array" ref="DG11">INDEX(Pipes_result_save_V1!$M$2:$M$206,CT11)</f>
        <v>1.615462183952332</v>
      </c>
      <c r="DH11" s="63">
        <v>19.288447068862421</v>
      </c>
      <c r="DI11" s="63">
        <f>INDEX('Junctions — junctions'!$I$2:$I$197,MATCH(CW11,'Junctions — junctions'!$B$2:$B$197,0))</f>
        <v>67.556526184082031</v>
      </c>
      <c r="DM11" s="63">
        <f>MATCH(DP11,Pipes_result_save_V1!$H$2:$H$206,0)</f>
        <v>158</v>
      </c>
      <c r="DN11" s="63" t="s">
        <v>396</v>
      </c>
      <c r="DO11" s="63" t="s">
        <v>586</v>
      </c>
      <c r="DP11" s="63" t="s">
        <v>587</v>
      </c>
      <c r="DQ11" s="63">
        <v>460.62820576799743</v>
      </c>
      <c r="DR11" s="63" cm="1">
        <f t="array" ref="DR11">INDEX(Pipes_result_save_V1!$C$2:$C$206,'COMPARAISON EPANET'!DM11)</f>
        <v>489.4</v>
      </c>
      <c r="DS11" s="63">
        <v>500</v>
      </c>
      <c r="DT11" s="63" cm="1">
        <f t="array" ref="DT11">INDEX(Pipes_result_save_V1!$O$2:$O$206,DM11)</f>
        <v>500</v>
      </c>
      <c r="DU11" s="63">
        <v>0.10326779764139249</v>
      </c>
      <c r="DV11" s="63" cm="1">
        <f t="array" ref="DV11">INDEX(Pipes_result_save_V1!$R$2:$R$206,DM11)/1000</f>
        <v>0.1136740341186523</v>
      </c>
      <c r="DW11" s="63">
        <v>3.7842796093226036E-2</v>
      </c>
      <c r="DX11" s="63" cm="1">
        <f t="array" ref="DX11">INDEX(Pipes_result_save_V1!$L$2:$L$206,DM11)</f>
        <v>0.60428404808044434</v>
      </c>
      <c r="DY11" s="63">
        <v>0.1136740341186523</v>
      </c>
      <c r="DZ11" s="63" cm="1">
        <f t="array" ref="DZ11">INDEX(Pipes_result_save_V1!$M$2:$M$206,DM11)</f>
        <v>0.48410746455192571</v>
      </c>
      <c r="EA11" s="63">
        <v>16.875793718576432</v>
      </c>
      <c r="EB11" s="63">
        <f>INDEX('Junctions — junctions'!$I$2:$I$197,MATCH(DP11,'Junctions — junctions'!$B$2:$B$197,0))</f>
        <v>65.5560302734375</v>
      </c>
    </row>
    <row r="12" spans="1:132" x14ac:dyDescent="0.25">
      <c r="A12" s="63">
        <f>MATCH(D12,Pipes_result_save_V1!$H$2:$H$206,0)</f>
        <v>195</v>
      </c>
      <c r="B12" s="63" t="s">
        <v>425</v>
      </c>
      <c r="C12" s="63" t="s">
        <v>671</v>
      </c>
      <c r="D12" s="63" t="s">
        <v>672</v>
      </c>
      <c r="E12" s="63">
        <v>405.37786100264873</v>
      </c>
      <c r="F12" s="63" cm="1">
        <f t="array" ref="F12">INDEX(Pipes_result_save_V1!$C$2:$C$206,'COMPARAISON EPANET'!A12)</f>
        <v>156.4</v>
      </c>
      <c r="G12" s="63">
        <v>450</v>
      </c>
      <c r="H12" s="63" cm="1">
        <f t="array" ref="H12">INDEX(Pipes_result_save_V1!$O$2:$O$206,A12)</f>
        <v>150</v>
      </c>
      <c r="I12" s="63">
        <v>5.0944432547182211E-3</v>
      </c>
      <c r="J12" s="63" cm="1">
        <f t="array" ref="J12">INDEX(Pipes_result_save_V1!$R$2:$R$206,A12)/1000</f>
        <v>1.0760909080505369E-2</v>
      </c>
      <c r="K12" s="63">
        <v>2.2872975956171786E-3</v>
      </c>
      <c r="L12" s="63" cm="1">
        <f t="array" ref="L12">INDEX(Pipes_result_save_V1!$L$2:$L$206,A12)</f>
        <v>0.5601227879524231</v>
      </c>
      <c r="M12" s="63">
        <v>0.19585440315176539</v>
      </c>
      <c r="N12" s="63" cm="1">
        <f t="array" ref="N12">INDEX(Pipes_result_save_V1!$M$2:$M$206,A12)</f>
        <v>1.903107881546021</v>
      </c>
      <c r="O12" s="63">
        <v>29.696147169348102</v>
      </c>
      <c r="P12" s="63">
        <f>INDEX('Junctions — junctions'!$I$2:$I$197,MATCH(D12,'Junctions — junctions'!$B$2:$B$197,0))</f>
        <v>59.723121643066413</v>
      </c>
      <c r="S12" s="63">
        <f>MATCH(V12,Pipes_result_save_V1!$H$2:$H$206,0)</f>
        <v>37</v>
      </c>
      <c r="T12" s="63" t="s">
        <v>293</v>
      </c>
      <c r="U12" s="63" t="s">
        <v>710</v>
      </c>
      <c r="V12" s="63" t="s">
        <v>709</v>
      </c>
      <c r="W12" s="63">
        <v>271.95447352229712</v>
      </c>
      <c r="X12" s="63" cm="1">
        <f t="array" ref="X12">INDEX(Pipes_result_save_V1!$C$2:$C$206,'COMPARAISON EPANET'!S12)</f>
        <v>108.4</v>
      </c>
      <c r="Y12" s="63">
        <v>300</v>
      </c>
      <c r="Z12" s="63" cm="1">
        <f t="array" ref="Z12">INDEX(Pipes_result_save_V1!$O$2:$O$206,S12)</f>
        <v>100</v>
      </c>
      <c r="AA12" s="63">
        <v>2.1749295901185885E-3</v>
      </c>
      <c r="AB12" s="63" cm="1">
        <f t="array" ref="AB12">INDEX(Pipes_result_save_V1!$R$2:$R$206,S12)/1000</f>
        <v>4.2200489044189457E-3</v>
      </c>
      <c r="AC12" s="63">
        <v>1.9230599730233511E-3</v>
      </c>
      <c r="AD12" s="63" cm="1">
        <f t="array" ref="AD12">INDEX(Pipes_result_save_V1!$L$2:$L$206,S12)</f>
        <v>0.45726364850997919</v>
      </c>
      <c r="AE12" s="63">
        <v>0.14785579506720234</v>
      </c>
      <c r="AF12" s="63" cm="1">
        <f t="array" ref="AF12">INDEX(Pipes_result_save_V1!$M$2:$M$206,S12)</f>
        <v>2.067552804946899</v>
      </c>
      <c r="AG12" s="63">
        <v>67.37893235786089</v>
      </c>
      <c r="AH12" s="63">
        <f>INDEX('Junctions — junctions'!$I$2:$I$197,MATCH(V12,'Junctions — junctions'!$B$2:$B$197,0))</f>
        <v>58.588417053222663</v>
      </c>
      <c r="AL12" s="63">
        <f>MATCH(AO12,Pipes_result_save_V1!$H$2:$H$206,0)</f>
        <v>179</v>
      </c>
      <c r="AM12" s="63" t="s">
        <v>186</v>
      </c>
      <c r="AN12" s="63" t="s">
        <v>658</v>
      </c>
      <c r="AO12" s="63" t="s">
        <v>659</v>
      </c>
      <c r="AP12" s="63">
        <v>204.52523865872314</v>
      </c>
      <c r="AQ12" s="63" cm="1">
        <f t="array" ref="AQ12">INDEX(Pipes_result_save_V1!$C$2:$C$206,'COMPARAISON EPANET'!AL12)</f>
        <v>252</v>
      </c>
      <c r="AR12" s="63">
        <v>250</v>
      </c>
      <c r="AS12" s="63" cm="1">
        <f t="array" ref="AS12">INDEX(Pipes_result_save_V1!$O$2:$O$206,AL12)</f>
        <v>250</v>
      </c>
      <c r="AT12" s="63">
        <v>5.1706751255680909E-2</v>
      </c>
      <c r="AU12" s="63" cm="1">
        <f t="array" ref="AU12">INDEX(Pipes_result_save_V1!$R$2:$R$206,AL12)/1000</f>
        <v>5.7179180145263672E-2</v>
      </c>
      <c r="AV12" s="63">
        <v>6.5835080428517462E-2</v>
      </c>
      <c r="AW12" s="63" cm="1">
        <f t="array" ref="AW12">INDEX(Pipes_result_save_V1!$L$2:$L$206,AL12)</f>
        <v>1.146422266960144</v>
      </c>
      <c r="AX12" s="63">
        <v>0.11897166707242018</v>
      </c>
      <c r="AY12" s="63" cm="1">
        <f t="array" ref="AY12">INDEX(Pipes_result_save_V1!$M$2:$M$206,AL12)</f>
        <v>4.221285343170166</v>
      </c>
      <c r="AZ12" s="63">
        <v>13.827231080273187</v>
      </c>
      <c r="BA12" s="63">
        <f>INDEX('Junctions — junctions'!$I$2:$I$197,MATCH(AO12,'Junctions — junctions'!$B$2:$B$197,0))</f>
        <v>59.486293792724609</v>
      </c>
      <c r="BF12" s="63">
        <f>MATCH(BI12,Pipes_result_save_V1!$H$2:$H$206,0)</f>
        <v>157</v>
      </c>
      <c r="BG12" s="63" t="s">
        <v>126</v>
      </c>
      <c r="BH12" s="63" t="s">
        <v>639</v>
      </c>
      <c r="BI12" s="63" t="s">
        <v>638</v>
      </c>
      <c r="BJ12" s="63">
        <v>204.52523865872314</v>
      </c>
      <c r="BK12" s="63" cm="1">
        <f t="array" ref="BK12">INDEX(Pipes_result_save_V1!$C$2:$C$206,'COMPARAISON EPANET'!BF12)</f>
        <v>156.4</v>
      </c>
      <c r="BL12" s="63">
        <v>250</v>
      </c>
      <c r="BM12" s="63" cm="1">
        <f t="array" ref="BM12">INDEX(Pipes_result_save_V1!$O$2:$O$206,BF12)</f>
        <v>150</v>
      </c>
      <c r="BN12" s="63">
        <v>2.0193344907406416E-2</v>
      </c>
      <c r="BO12" s="63" cm="1">
        <f t="array" ref="BO12">INDEX(Pipes_result_save_V1!$R$2:$R$206,BF12)/1000</f>
        <v>2.5771469116210942E-2</v>
      </c>
      <c r="BP12" s="63">
        <v>2.5710965276586263E-2</v>
      </c>
      <c r="BQ12" s="63" cm="1">
        <f t="array" ref="BQ12">INDEX(Pipes_result_save_V1!$L$2:$L$206,BF12)</f>
        <v>1.3414467573165889</v>
      </c>
      <c r="BR12" s="63">
        <v>4.8808889055351877E-2</v>
      </c>
      <c r="BS12" s="63" cm="1">
        <f t="array" ref="BS12">INDEX(Pipes_result_save_V1!$M$2:$M$206,BF12)</f>
        <v>10.915684700012211</v>
      </c>
      <c r="BT12" s="63">
        <v>15.328827128123322</v>
      </c>
      <c r="BU12" s="63">
        <f>INDEX('Junctions — junctions'!$I$2:$I$197,MATCH(BI12,'Junctions — junctions'!$B$2:$B$197,0))</f>
        <v>57.872322082519531</v>
      </c>
      <c r="CA12" s="63">
        <f>MATCH(CD12,Pipes_result_save_V1!$H$2:$H$206,0)</f>
        <v>133</v>
      </c>
      <c r="CB12" s="63" t="s">
        <v>132</v>
      </c>
      <c r="CC12" s="63" t="s">
        <v>618</v>
      </c>
      <c r="CD12" s="63" t="s">
        <v>617</v>
      </c>
      <c r="CE12" s="63">
        <v>325.71332790434337</v>
      </c>
      <c r="CF12" s="63" cm="1">
        <f t="array" ref="CF12">INDEX(Pipes_result_save_V1!$C$2:$C$206,'COMPARAISON EPANET'!CA12)</f>
        <v>394.6</v>
      </c>
      <c r="CG12" s="63">
        <v>350</v>
      </c>
      <c r="CH12" s="63" cm="1">
        <f t="array" ref="CH12">INDEX(Pipes_result_save_V1!$O$2:$O$206,CA12)</f>
        <v>400</v>
      </c>
      <c r="CI12" s="63">
        <v>0.1080760471088543</v>
      </c>
      <c r="CJ12" s="63" cm="1">
        <f t="array" ref="CJ12">INDEX(Pipes_result_save_V1!$R$2:$R$206,CA12)/1000</f>
        <v>0.1133800048828125</v>
      </c>
      <c r="CK12" s="63">
        <v>0.16765515498287359</v>
      </c>
      <c r="CL12" s="63" cm="1">
        <f t="array" ref="CL12">INDEX(Pipes_result_save_V1!$L$2:$L$206,CA12)</f>
        <v>0.92710745334625244</v>
      </c>
      <c r="CM12" s="63">
        <v>7.0207498478394734E-2</v>
      </c>
      <c r="CN12" s="63" cm="1">
        <f t="array" ref="CN12">INDEX(Pipes_result_save_V1!$M$2:$M$206,CA12)</f>
        <v>1.5184241533279419</v>
      </c>
      <c r="CO12" s="63">
        <v>20.66004650937526</v>
      </c>
      <c r="CP12" s="63">
        <f>INDEX('Junctions — junctions'!$I$2:$I$197,MATCH(CD12,'Junctions — junctions'!$B$2:$B$197,0))</f>
        <v>64.683029174804688</v>
      </c>
      <c r="CT12" s="63">
        <f>MATCH(CW12,Pipes_result_save_V1!$H$2:$H$206,0)</f>
        <v>114</v>
      </c>
      <c r="CU12" s="63" t="s">
        <v>149</v>
      </c>
      <c r="CV12" s="63" t="s">
        <v>601</v>
      </c>
      <c r="CW12" s="63" t="s">
        <v>600</v>
      </c>
      <c r="CX12" s="63">
        <v>460.62820576799743</v>
      </c>
      <c r="CY12" s="63" cm="1">
        <f t="array" ref="CY12">INDEX(Pipes_result_save_V1!$C$2:$C$206,'COMPARAISON EPANET'!CT12)</f>
        <v>489.4</v>
      </c>
      <c r="CZ12" s="63">
        <v>500</v>
      </c>
      <c r="DA12" s="63" cm="1">
        <f t="array" ref="DA12">INDEX(Pipes_result_save_V1!$O$2:$O$206,CT12)</f>
        <v>500</v>
      </c>
      <c r="DB12" s="63">
        <v>0.20050068083648492</v>
      </c>
      <c r="DC12" s="63" cm="1">
        <f t="array" ref="DC12">INDEX(Pipes_result_save_V1!$R$2:$R$206,CT12)/1000</f>
        <v>0.20692651367187501</v>
      </c>
      <c r="DD12" s="63">
        <v>7.3474079575091236E-2</v>
      </c>
      <c r="DE12" s="63" cm="1">
        <f t="array" ref="DE12">INDEX(Pipes_result_save_V1!$L$2:$L$206,CT12)</f>
        <v>1.100008368492126</v>
      </c>
      <c r="DF12" s="63">
        <v>9.9569318856939398E-2</v>
      </c>
      <c r="DG12" s="63" cm="1">
        <f t="array" ref="DG12">INDEX(Pipes_result_save_V1!$M$2:$M$206,CT12)</f>
        <v>1.60430920124054</v>
      </c>
      <c r="DH12" s="63">
        <v>11.18887775000548</v>
      </c>
      <c r="DI12" s="63">
        <f>INDEX('Junctions — junctions'!$I$2:$I$197,MATCH(CW12,'Junctions — junctions'!$B$2:$B$197,0))</f>
        <v>59.459762573242188</v>
      </c>
      <c r="DM12" s="63">
        <f>MATCH(DP12,Pipes_result_save_V1!$H$2:$H$206,0)</f>
        <v>158</v>
      </c>
      <c r="DN12" s="63" t="s">
        <v>402</v>
      </c>
      <c r="DO12" s="63" t="s">
        <v>588</v>
      </c>
      <c r="DP12" s="63" t="s">
        <v>587</v>
      </c>
      <c r="DQ12" s="63">
        <v>325.71332790434337</v>
      </c>
      <c r="DR12" s="63" cm="1">
        <f t="array" ref="DR12">INDEX(Pipes_result_save_V1!$C$2:$C$206,'COMPARAISON EPANET'!DM12)</f>
        <v>489.4</v>
      </c>
      <c r="DS12" s="63">
        <v>350</v>
      </c>
      <c r="DT12" s="63" cm="1">
        <f t="array" ref="DT12">INDEX(Pipes_result_save_V1!$O$2:$O$206,DM12)</f>
        <v>500</v>
      </c>
      <c r="DU12" s="63">
        <v>2.3857198011229073E-2</v>
      </c>
      <c r="DV12" s="63" cm="1">
        <f t="array" ref="DV12">INDEX(Pipes_result_save_V1!$R$2:$R$206,DM12)/1000</f>
        <v>0.1136740341186523</v>
      </c>
      <c r="DW12" s="63">
        <v>1.5497922415547928E-2</v>
      </c>
      <c r="DX12" s="63" cm="1">
        <f t="array" ref="DX12">INDEX(Pipes_result_save_V1!$L$2:$L$206,DM12)</f>
        <v>0.60428404808044434</v>
      </c>
      <c r="DY12" s="63">
        <v>3.1258901596069338E-2</v>
      </c>
      <c r="DZ12" s="63" cm="1">
        <f t="array" ref="DZ12">INDEX(Pipes_result_save_V1!$M$2:$M$206,DM12)</f>
        <v>0.48410746455192571</v>
      </c>
      <c r="EA12" s="63">
        <v>16.84453481698036</v>
      </c>
      <c r="EB12" s="63">
        <f>INDEX('Junctions — junctions'!$I$2:$I$197,MATCH(DP12,'Junctions — junctions'!$B$2:$B$197,0))</f>
        <v>65.5560302734375</v>
      </c>
    </row>
    <row r="13" spans="1:132" x14ac:dyDescent="0.25">
      <c r="A13" s="63">
        <f>MATCH(D13,Pipes_result_save_V1!$H$2:$H$206,0)</f>
        <v>196</v>
      </c>
      <c r="B13" s="63" t="s">
        <v>183</v>
      </c>
      <c r="C13" s="63" t="s">
        <v>672</v>
      </c>
      <c r="D13" s="63" t="s">
        <v>673</v>
      </c>
      <c r="E13" s="63">
        <v>376.03360738815661</v>
      </c>
      <c r="F13" s="63" cm="1">
        <f t="array" ref="F13">INDEX(Pipes_result_save_V1!$C$2:$C$206,'COMPARAISON EPANET'!A13)</f>
        <v>108.4</v>
      </c>
      <c r="G13" s="63">
        <v>400</v>
      </c>
      <c r="H13" s="63" cm="1">
        <f t="array" ref="H13">INDEX(Pipes_result_save_V1!$O$2:$O$206,A13)</f>
        <v>100</v>
      </c>
      <c r="I13" s="63">
        <v>4.2504826767064937E-3</v>
      </c>
      <c r="J13" s="63" cm="1">
        <f t="array" ref="J13">INDEX(Pipes_result_save_V1!$R$2:$R$206,A13)/1000</f>
        <v>9.3915777206420893E-3</v>
      </c>
      <c r="K13" s="63">
        <v>2.1140166516384652E-3</v>
      </c>
      <c r="L13" s="63" cm="1">
        <f t="array" ref="L13">INDEX(Pipes_result_save_V1!$L$2:$L$206,A13)</f>
        <v>1.017624974250793</v>
      </c>
      <c r="M13" s="63">
        <v>0.16369540640591485</v>
      </c>
      <c r="N13" s="63" cm="1">
        <f t="array" ref="N13">INDEX(Pipes_result_save_V1!$M$2:$M$206,A13)</f>
        <v>10.240055084228519</v>
      </c>
      <c r="O13" s="63">
        <v>23.532451762942184</v>
      </c>
      <c r="P13" s="63">
        <f>INDEX('Junctions — junctions'!$I$2:$I$197,MATCH(D13,'Junctions — junctions'!$B$2:$B$197,0))</f>
        <v>52.585453033447273</v>
      </c>
      <c r="S13" s="63">
        <f>MATCH(V13,Pipes_result_save_V1!$H$2:$H$206,0)</f>
        <v>38</v>
      </c>
      <c r="T13" s="63" t="s">
        <v>294</v>
      </c>
      <c r="U13" s="63" t="s">
        <v>711</v>
      </c>
      <c r="V13" s="63" t="s">
        <v>710</v>
      </c>
      <c r="W13" s="63">
        <v>271.95447352229712</v>
      </c>
      <c r="X13" s="63" cm="1">
        <f t="array" ref="X13">INDEX(Pipes_result_save_V1!$C$2:$C$206,'COMPARAISON EPANET'!S13)</f>
        <v>108.4</v>
      </c>
      <c r="Y13" s="63">
        <v>300</v>
      </c>
      <c r="Z13" s="63" cm="1">
        <f t="array" ref="Z13">INDEX(Pipes_result_save_V1!$O$2:$O$206,S13)</f>
        <v>100</v>
      </c>
      <c r="AA13" s="63">
        <v>3.4771855721336953E-4</v>
      </c>
      <c r="AB13" s="63" cm="1">
        <f t="array" ref="AB13">INDEX(Pipes_result_save_V1!$R$2:$R$206,S13)/1000</f>
        <v>3.3242774009704591E-3</v>
      </c>
      <c r="AC13" s="63">
        <v>3.0745070658494324E-4</v>
      </c>
      <c r="AD13" s="63" cm="1">
        <f t="array" ref="AD13">INDEX(Pipes_result_save_V1!$L$2:$L$206,S13)</f>
        <v>0.36020228266715998</v>
      </c>
      <c r="AE13" s="63">
        <v>0.13523395890292897</v>
      </c>
      <c r="AF13" s="63" cm="1">
        <f t="array" ref="AF13">INDEX(Pipes_result_save_V1!$M$2:$M$206,S13)</f>
        <v>1.282986164093018</v>
      </c>
      <c r="AG13" s="63">
        <v>72.24369839895796</v>
      </c>
      <c r="AH13" s="63">
        <f>INDEX('Junctions — junctions'!$I$2:$I$197,MATCH(V13,'Junctions — junctions'!$B$2:$B$197,0))</f>
        <v>63.418048858642578</v>
      </c>
      <c r="AL13" s="63">
        <f>MATCH(AO13,Pipes_result_save_V1!$H$2:$H$206,0)</f>
        <v>179</v>
      </c>
      <c r="AM13" s="63" t="s">
        <v>187</v>
      </c>
      <c r="AN13" s="63" t="s">
        <v>660</v>
      </c>
      <c r="AO13" s="63" t="s">
        <v>659</v>
      </c>
      <c r="AP13" s="63">
        <v>204.52523865872314</v>
      </c>
      <c r="AQ13" s="63" cm="1">
        <f t="array" ref="AQ13">INDEX(Pipes_result_save_V1!$C$2:$C$206,'COMPARAISON EPANET'!AL13)</f>
        <v>252</v>
      </c>
      <c r="AR13" s="63">
        <v>250</v>
      </c>
      <c r="AS13" s="63" cm="1">
        <f t="array" ref="AS13">INDEX(Pipes_result_save_V1!$O$2:$O$206,AL13)</f>
        <v>250</v>
      </c>
      <c r="AT13" s="63">
        <v>5.0426735940151755E-2</v>
      </c>
      <c r="AU13" s="63" cm="1">
        <f t="array" ref="AU13">INDEX(Pipes_result_save_V1!$R$2:$R$206,AL13)/1000</f>
        <v>5.7179180145263672E-2</v>
      </c>
      <c r="AV13" s="63">
        <v>6.4205314310919095E-2</v>
      </c>
      <c r="AW13" s="63" cm="1">
        <f t="array" ref="AW13">INDEX(Pipes_result_save_V1!$L$2:$L$206,AL13)</f>
        <v>1.146422266960144</v>
      </c>
      <c r="AX13" s="63">
        <v>0.12049694485539995</v>
      </c>
      <c r="AY13" s="63" cm="1">
        <f t="array" ref="AY13">INDEX(Pipes_result_save_V1!$M$2:$M$206,AL13)</f>
        <v>4.221285343170166</v>
      </c>
      <c r="AZ13" s="63">
        <v>13.706734135417786</v>
      </c>
      <c r="BA13" s="63">
        <f>INDEX('Junctions — junctions'!$I$2:$I$197,MATCH(AO13,'Junctions — junctions'!$B$2:$B$197,0))</f>
        <v>59.486293792724609</v>
      </c>
      <c r="BF13" s="63">
        <f>MATCH(BI13,Pipes_result_save_V1!$H$2:$H$206,0)</f>
        <v>159</v>
      </c>
      <c r="BG13" s="63" t="s">
        <v>125</v>
      </c>
      <c r="BH13" s="63" t="s">
        <v>640</v>
      </c>
      <c r="BI13" s="63" t="s">
        <v>639</v>
      </c>
      <c r="BJ13" s="63">
        <v>204.52523865872314</v>
      </c>
      <c r="BK13" s="63" cm="1">
        <f t="array" ref="BK13">INDEX(Pipes_result_save_V1!$C$2:$C$206,'COMPARAISON EPANET'!BF13)</f>
        <v>156.4</v>
      </c>
      <c r="BL13" s="63">
        <v>250</v>
      </c>
      <c r="BM13" s="63" cm="1">
        <f t="array" ref="BM13">INDEX(Pipes_result_save_V1!$O$2:$O$206,BF13)</f>
        <v>150</v>
      </c>
      <c r="BN13" s="63">
        <v>1.8933798305166713E-2</v>
      </c>
      <c r="BO13" s="63" cm="1">
        <f t="array" ref="BO13">INDEX(Pipes_result_save_V1!$R$2:$R$206,BF13)/1000</f>
        <v>2.5138153076171878E-2</v>
      </c>
      <c r="BP13" s="63">
        <v>2.4107260734177863E-2</v>
      </c>
      <c r="BQ13" s="63" cm="1">
        <f t="array" ref="BQ13">INDEX(Pipes_result_save_V1!$L$2:$L$206,BF13)</f>
        <v>1.3084815740585329</v>
      </c>
      <c r="BR13" s="63">
        <v>0.12049694485539995</v>
      </c>
      <c r="BS13" s="63" cm="1">
        <f t="array" ref="BS13">INDEX(Pipes_result_save_V1!$M$2:$M$206,BF13)</f>
        <v>10.385706901550289</v>
      </c>
      <c r="BT13" s="63">
        <v>16.208330183267922</v>
      </c>
      <c r="BU13" s="63">
        <f>INDEX('Junctions — junctions'!$I$2:$I$197,MATCH(BI13,'Junctions — junctions'!$B$2:$B$197,0))</f>
        <v>58.517562866210938</v>
      </c>
      <c r="CA13" s="63">
        <f>MATCH(CD13,Pipes_result_save_V1!$H$2:$H$206,0)</f>
        <v>134</v>
      </c>
      <c r="CB13" s="63" t="s">
        <v>408</v>
      </c>
      <c r="CC13" s="63" t="s">
        <v>619</v>
      </c>
      <c r="CD13" s="63" t="s">
        <v>618</v>
      </c>
      <c r="CE13" s="63">
        <v>325.71332790434337</v>
      </c>
      <c r="CF13" s="63" cm="1">
        <f t="array" ref="CF13">INDEX(Pipes_result_save_V1!$C$2:$C$206,'COMPARAISON EPANET'!CA13)</f>
        <v>394.6</v>
      </c>
      <c r="CG13" s="63">
        <v>350</v>
      </c>
      <c r="CH13" s="63" cm="1">
        <f t="array" ref="CH13">INDEX(Pipes_result_save_V1!$O$2:$O$206,CA13)</f>
        <v>400</v>
      </c>
      <c r="CI13" s="63">
        <v>0.10608980681212855</v>
      </c>
      <c r="CJ13" s="63" cm="1">
        <f t="array" ref="CJ13">INDEX(Pipes_result_save_V1!$R$2:$R$206,CA13)/1000</f>
        <v>0.112284538269043</v>
      </c>
      <c r="CK13" s="63">
        <v>0.15105563468753958</v>
      </c>
      <c r="CL13" s="63" cm="1">
        <f t="array" ref="CL13">INDEX(Pipes_result_save_V1!$L$2:$L$206,CA13)</f>
        <v>0.91814982891082764</v>
      </c>
      <c r="CM13" s="63">
        <v>6.8917212921691812E-2</v>
      </c>
      <c r="CN13" s="63" cm="1">
        <f t="array" ref="CN13">INDEX(Pipes_result_save_V1!$M$2:$M$206,CA13)</f>
        <v>1.4892022609710689</v>
      </c>
      <c r="CO13" s="63">
        <v>19.508990874687722</v>
      </c>
      <c r="CP13" s="63">
        <f>INDEX('Junctions — junctions'!$I$2:$I$197,MATCH(CD13,'Junctions — junctions'!$B$2:$B$197,0))</f>
        <v>63.530277252197273</v>
      </c>
      <c r="CT13" s="63">
        <f>MATCH(CW13,Pipes_result_save_V1!$H$2:$H$206,0)</f>
        <v>115</v>
      </c>
      <c r="CU13" s="63" t="s">
        <v>148</v>
      </c>
      <c r="CV13" s="63" t="s">
        <v>602</v>
      </c>
      <c r="CW13" s="63" t="s">
        <v>601</v>
      </c>
      <c r="CX13" s="63">
        <v>460.62820576799743</v>
      </c>
      <c r="CY13" s="63" cm="1">
        <f t="array" ref="CY13">INDEX(Pipes_result_save_V1!$C$2:$C$206,'COMPARAISON EPANET'!CT13)</f>
        <v>489.4</v>
      </c>
      <c r="CZ13" s="63">
        <v>500</v>
      </c>
      <c r="DA13" s="63" cm="1">
        <f t="array" ref="DA13">INDEX(Pipes_result_save_V1!$O$2:$O$206,CT13)</f>
        <v>500</v>
      </c>
      <c r="DB13" s="63">
        <v>0.19941061160685536</v>
      </c>
      <c r="DC13" s="63" cm="1">
        <f t="array" ref="DC13">INDEX(Pipes_result_save_V1!$R$2:$R$206,CT13)/1000</f>
        <v>0.2054373626708984</v>
      </c>
      <c r="DD13" s="63">
        <v>7.3074620416219468E-2</v>
      </c>
      <c r="DE13" s="63" cm="1">
        <f t="array" ref="DE13">INDEX(Pipes_result_save_V1!$L$2:$L$206,CT13)</f>
        <v>1.0920921564102171</v>
      </c>
      <c r="DF13" s="63">
        <v>0.28830519191412302</v>
      </c>
      <c r="DG13" s="63" cm="1">
        <f t="array" ref="DG13">INDEX(Pipes_result_save_V1!$M$2:$M$206,CT13)</f>
        <v>1.581346750259399</v>
      </c>
      <c r="DH13" s="63">
        <v>19.900572558091358</v>
      </c>
      <c r="DI13" s="63">
        <f>INDEX('Junctions — junctions'!$I$2:$I$197,MATCH(CW13,'Junctions — junctions'!$B$2:$B$197,0))</f>
        <v>68.352752685546875</v>
      </c>
      <c r="DM13" s="63">
        <f>MATCH(DP13,Pipes_result_save_V1!$H$2:$H$206,0)</f>
        <v>193</v>
      </c>
      <c r="DN13" s="63" t="s">
        <v>174</v>
      </c>
      <c r="DO13" s="63" t="s">
        <v>589</v>
      </c>
      <c r="DP13" s="63" t="s">
        <v>588</v>
      </c>
      <c r="DQ13" s="63">
        <v>325.71332790434337</v>
      </c>
      <c r="DR13" s="63" cm="1">
        <f t="array" ref="DR13">INDEX(Pipes_result_save_V1!$C$2:$C$206,'COMPARAISON EPANET'!DM13)</f>
        <v>204.2</v>
      </c>
      <c r="DS13" s="63">
        <v>350</v>
      </c>
      <c r="DT13" s="63" cm="1">
        <f t="array" ref="DT13">INDEX(Pipes_result_save_V1!$O$2:$O$206,DM13)</f>
        <v>200</v>
      </c>
      <c r="DU13" s="63">
        <v>2.2431506178413399E-2</v>
      </c>
      <c r="DV13" s="63" cm="1">
        <f t="array" ref="DV13">INDEX(Pipes_result_save_V1!$R$2:$R$206,DM13)/1000</f>
        <v>2.9484477996826169E-2</v>
      </c>
      <c r="DW13" s="63">
        <v>1.4571775874656669E-2</v>
      </c>
      <c r="DX13" s="63" cm="1">
        <f t="array" ref="DX13">INDEX(Pipes_result_save_V1!$L$2:$L$206,DM13)</f>
        <v>0.90030515193939209</v>
      </c>
      <c r="DY13" s="63">
        <v>2.9484477996826169E-2</v>
      </c>
      <c r="DZ13" s="63" cm="1">
        <f t="array" ref="DZ13">INDEX(Pipes_result_save_V1!$M$2:$M$206,DM13)</f>
        <v>3.4458379745483398</v>
      </c>
      <c r="EA13" s="63">
        <v>15.815050338983536</v>
      </c>
      <c r="EB13" s="63">
        <f>INDEX('Junctions — junctions'!$I$2:$I$197,MATCH(DP13,'Junctions — junctions'!$B$2:$B$197,0))</f>
        <v>64.040130615234375</v>
      </c>
    </row>
    <row r="14" spans="1:132" x14ac:dyDescent="0.25">
      <c r="A14" s="63">
        <f>MATCH(D14,Pipes_result_save_V1!$H$2:$H$206,0)</f>
        <v>197</v>
      </c>
      <c r="B14" s="63" t="s">
        <v>192</v>
      </c>
      <c r="C14" s="63" t="s">
        <v>673</v>
      </c>
      <c r="D14" s="63" t="s">
        <v>674</v>
      </c>
      <c r="E14" s="63">
        <v>334.81623441527665</v>
      </c>
      <c r="F14" s="63" cm="1">
        <f t="array" ref="F14">INDEX(Pipes_result_save_V1!$C$2:$C$206,'COMPARAISON EPANET'!A14)</f>
        <v>108.4</v>
      </c>
      <c r="G14" s="63">
        <v>350</v>
      </c>
      <c r="H14" s="63" cm="1">
        <f t="array" ref="H14">INDEX(Pipes_result_save_V1!$O$2:$O$206,A14)</f>
        <v>100</v>
      </c>
      <c r="I14" s="63">
        <v>1.8161600251247346E-3</v>
      </c>
      <c r="J14" s="63" cm="1">
        <f t="array" ref="J14">INDEX(Pipes_result_save_V1!$R$2:$R$206,A14)/1000</f>
        <v>8.256173133850098E-3</v>
      </c>
      <c r="K14" s="63">
        <v>1.1797993691612342E-3</v>
      </c>
      <c r="L14" s="63" cm="1">
        <f t="array" ref="L14">INDEX(Pipes_result_save_V1!$L$2:$L$206,A14)</f>
        <v>0.89459812641143799</v>
      </c>
      <c r="M14" s="63">
        <v>0.16177772046556005</v>
      </c>
      <c r="N14" s="63" cm="1">
        <f t="array" ref="N14">INDEX(Pipes_result_save_V1!$M$2:$M$206,A14)</f>
        <v>7.9137349128723136</v>
      </c>
      <c r="O14" s="63">
        <v>22.370674042476626</v>
      </c>
      <c r="P14" s="63">
        <f>INDEX('Junctions — junctions'!$I$2:$I$197,MATCH(D14,'Junctions — junctions'!$B$2:$B$197,0))</f>
        <v>50.889041900634773</v>
      </c>
      <c r="S14" s="63">
        <f>MATCH(V14,Pipes_result_save_V1!$H$2:$H$206,0)</f>
        <v>39</v>
      </c>
      <c r="T14" s="63" t="s">
        <v>295</v>
      </c>
      <c r="U14" s="63" t="s">
        <v>712</v>
      </c>
      <c r="V14" s="63" t="s">
        <v>711</v>
      </c>
      <c r="W14" s="63">
        <v>271.95447352229712</v>
      </c>
      <c r="X14" s="63" cm="1">
        <f t="array" ref="X14">INDEX(Pipes_result_save_V1!$C$2:$C$206,'COMPARAISON EPANET'!S14)</f>
        <v>97.8</v>
      </c>
      <c r="Y14" s="63">
        <v>300</v>
      </c>
      <c r="Z14" s="63" cm="1">
        <f t="array" ref="Z14">INDEX(Pipes_result_save_V1!$O$2:$O$206,S14)</f>
        <v>100</v>
      </c>
      <c r="AA14" s="63">
        <v>2.68063579649003E-3</v>
      </c>
      <c r="AB14" s="63" cm="1">
        <f t="array" ref="AB14">INDEX(Pipes_result_save_V1!$R$2:$R$206,S14)/1000</f>
        <v>2.2801618576049798E-3</v>
      </c>
      <c r="AC14" s="63">
        <v>2.3702024313359345E-3</v>
      </c>
      <c r="AD14" s="63" cm="1">
        <f t="array" ref="AD14">INDEX(Pipes_result_save_V1!$L$2:$L$206,S14)</f>
        <v>0.3035258948802948</v>
      </c>
      <c r="AE14" s="63">
        <v>0.19473690082021772</v>
      </c>
      <c r="AF14" s="63" cm="1">
        <f t="array" ref="AF14">INDEX(Pipes_result_save_V1!$M$2:$M$206,S14)</f>
        <v>1.0449404716491699</v>
      </c>
      <c r="AG14" s="63">
        <v>72.048961498137743</v>
      </c>
      <c r="AH14" s="63">
        <f>INDEX('Junctions — junctions'!$I$2:$I$197,MATCH(V14,'Junctions — junctions'!$B$2:$B$197,0))</f>
        <v>63.321697235107422</v>
      </c>
      <c r="AL14" s="63">
        <f>MATCH(AO14,Pipes_result_save_V1!$H$2:$H$206,0)</f>
        <v>183</v>
      </c>
      <c r="AM14" s="63" t="s">
        <v>185</v>
      </c>
      <c r="AN14" s="63" t="s">
        <v>661</v>
      </c>
      <c r="AO14" s="63" t="s">
        <v>660</v>
      </c>
      <c r="AP14" s="63">
        <v>204.52212438525402</v>
      </c>
      <c r="AQ14" s="63" cm="1">
        <f t="array" ref="AQ14">INDEX(Pipes_result_save_V1!$C$2:$C$206,'COMPARAISON EPANET'!AL14)</f>
        <v>252</v>
      </c>
      <c r="AR14" s="63">
        <v>250</v>
      </c>
      <c r="AS14" s="63" cm="1">
        <f t="array" ref="AS14">INDEX(Pipes_result_save_V1!$O$2:$O$206,AL14)</f>
        <v>250</v>
      </c>
      <c r="AT14" s="63">
        <v>4.8561821891167263E-2</v>
      </c>
      <c r="AU14" s="63" cm="1">
        <f t="array" ref="AU14">INDEX(Pipes_result_save_V1!$R$2:$R$206,AL14)/1000</f>
        <v>5.5022480010986329E-2</v>
      </c>
      <c r="AV14" s="63">
        <v>6.1830831996219866E-2</v>
      </c>
      <c r="AW14" s="63" cm="1">
        <f t="array" ref="AW14">INDEX(Pipes_result_save_V1!$L$2:$L$206,AL14)</f>
        <v>1.1031812429428101</v>
      </c>
      <c r="AX14" s="63">
        <v>0.12201534069957347</v>
      </c>
      <c r="AY14" s="63" cm="1">
        <f t="array" ref="AY14">INDEX(Pipes_result_save_V1!$M$2:$M$206,AL14)</f>
        <v>3.9088785648345952</v>
      </c>
      <c r="AZ14" s="63">
        <v>10.584718794718214</v>
      </c>
      <c r="BA14" s="63">
        <f>INDEX('Junctions — junctions'!$I$2:$I$197,MATCH(AO14,'Junctions — junctions'!$B$2:$B$197,0))</f>
        <v>56.202487945556641</v>
      </c>
      <c r="BF14" s="63">
        <f>MATCH(BI14,Pipes_result_save_V1!$H$2:$H$206,0)</f>
        <v>160</v>
      </c>
      <c r="BG14" s="63" t="s">
        <v>124</v>
      </c>
      <c r="BH14" s="63" t="s">
        <v>641</v>
      </c>
      <c r="BI14" s="63" t="s">
        <v>640</v>
      </c>
      <c r="BJ14" s="63">
        <v>204.52523865872314</v>
      </c>
      <c r="BK14" s="63" cm="1">
        <f t="array" ref="BK14">INDEX(Pipes_result_save_V1!$C$2:$C$206,'COMPARAISON EPANET'!BF14)</f>
        <v>156.4</v>
      </c>
      <c r="BL14" s="63">
        <v>250</v>
      </c>
      <c r="BM14" s="63" cm="1">
        <f t="array" ref="BM14">INDEX(Pipes_result_save_V1!$O$2:$O$206,BF14)</f>
        <v>150</v>
      </c>
      <c r="BN14" s="63">
        <v>1.871300829602764E-2</v>
      </c>
      <c r="BO14" s="63" cm="1">
        <f t="array" ref="BO14">INDEX(Pipes_result_save_V1!$R$2:$R$206,BF14)/1000</f>
        <v>2.439643096923828E-2</v>
      </c>
      <c r="BP14" s="63">
        <v>2.3826142163459556E-2</v>
      </c>
      <c r="BQ14" s="63" cm="1">
        <f t="array" ref="BQ14">INDEX(Pipes_result_save_V1!$L$2:$L$206,BF14)</f>
        <v>1.2698738574981689</v>
      </c>
      <c r="BR14" s="63">
        <v>7.7789166931967052E-2</v>
      </c>
      <c r="BS14" s="63" cm="1">
        <f t="array" ref="BS14">INDEX(Pipes_result_save_V1!$M$2:$M$206,BF14)</f>
        <v>9.7819814682006836</v>
      </c>
      <c r="BT14" s="63">
        <v>17.130541016335954</v>
      </c>
      <c r="BU14" s="63">
        <f>INDEX('Junctions — junctions'!$I$2:$I$197,MATCH(BI14,'Junctions — junctions'!$B$2:$B$197,0))</f>
        <v>58.697093963623047</v>
      </c>
      <c r="CA14" s="63">
        <f>MATCH(CD14,Pipes_result_save_V1!$H$2:$H$206,0)</f>
        <v>136</v>
      </c>
      <c r="CB14" s="63" t="s">
        <v>172</v>
      </c>
      <c r="CC14" s="63" t="s">
        <v>620</v>
      </c>
      <c r="CD14" s="63" t="s">
        <v>619</v>
      </c>
      <c r="CE14" s="63">
        <v>325.71332790434337</v>
      </c>
      <c r="CF14" s="63" cm="1">
        <f t="array" ref="CF14">INDEX(Pipes_result_save_V1!$C$2:$C$206,'COMPARAISON EPANET'!CA14)</f>
        <v>394.6</v>
      </c>
      <c r="CG14" s="63">
        <v>350</v>
      </c>
      <c r="CH14" s="63" cm="1">
        <f t="array" ref="CH14">INDEX(Pipes_result_save_V1!$O$2:$O$206,CA14)</f>
        <v>400</v>
      </c>
      <c r="CI14" s="63">
        <v>0.10592769963615366</v>
      </c>
      <c r="CJ14" s="63" cm="1">
        <f t="array" ref="CJ14">INDEX(Pipes_result_save_V1!$R$2:$R$206,CA14)/1000</f>
        <v>0.1112689437866211</v>
      </c>
      <c r="CK14" s="63">
        <v>0.14441582656940599</v>
      </c>
      <c r="CL14" s="63" cm="1">
        <f t="array" ref="CL14">INDEX(Pipes_result_save_V1!$L$2:$L$206,CA14)</f>
        <v>0.90984535217285156</v>
      </c>
      <c r="CM14" s="63">
        <v>6.8811906152846616E-2</v>
      </c>
      <c r="CN14" s="63" cm="1">
        <f t="array" ref="CN14">INDEX(Pipes_result_save_V1!$M$2:$M$206,CA14)</f>
        <v>1.4624549150466919</v>
      </c>
      <c r="CO14" s="63">
        <v>22.364575048118315</v>
      </c>
      <c r="CP14" s="63">
        <f>INDEX('Junctions — junctions'!$I$2:$I$197,MATCH(CD14,'Junctions — junctions'!$B$2:$B$197,0))</f>
        <v>66.394905090332031</v>
      </c>
      <c r="CT14" s="63">
        <f>MATCH(CW14,Pipes_result_save_V1!$H$2:$H$206,0)</f>
        <v>116</v>
      </c>
      <c r="CU14" s="63" t="s">
        <v>147</v>
      </c>
      <c r="CV14" s="63" t="s">
        <v>603</v>
      </c>
      <c r="CW14" s="63" t="s">
        <v>602</v>
      </c>
      <c r="CX14" s="63">
        <v>460.62820576799743</v>
      </c>
      <c r="CY14" s="63" cm="1">
        <f t="array" ref="CY14">INDEX(Pipes_result_save_V1!$C$2:$C$206,'COMPARAISON EPANET'!CT14)</f>
        <v>489.4</v>
      </c>
      <c r="CZ14" s="63">
        <v>500</v>
      </c>
      <c r="DA14" s="63" cm="1">
        <f t="array" ref="DA14">INDEX(Pipes_result_save_V1!$O$2:$O$206,CT14)</f>
        <v>500</v>
      </c>
      <c r="DB14" s="63">
        <v>0.19872187209218772</v>
      </c>
      <c r="DC14" s="63" cm="1">
        <f t="array" ref="DC14">INDEX(Pipes_result_save_V1!$R$2:$R$206,CT14)/1000</f>
        <v>0.20390827941894532</v>
      </c>
      <c r="DD14" s="63">
        <v>7.2822229742551536E-2</v>
      </c>
      <c r="DE14" s="63" cm="1">
        <f t="array" ref="DE14">INDEX(Pipes_result_save_V1!$L$2:$L$206,CT14)</f>
        <v>1.0839636325836179</v>
      </c>
      <c r="DF14" s="63">
        <v>0.10997208351363455</v>
      </c>
      <c r="DG14" s="63" cm="1">
        <f t="array" ref="DG14">INDEX(Pipes_result_save_V1!$M$2:$M$206,CT14)</f>
        <v>1.557793021202087</v>
      </c>
      <c r="DH14" s="63">
        <v>21.790600474577722</v>
      </c>
      <c r="DI14" s="63">
        <f>INDEX('Junctions — junctions'!$I$2:$I$197,MATCH(CW14,'Junctions — junctions'!$B$2:$B$197,0))</f>
        <v>70.045814514160156</v>
      </c>
      <c r="DM14" s="63">
        <f>MATCH(DP14,Pipes_result_save_V1!$H$2:$H$206,0)</f>
        <v>2</v>
      </c>
      <c r="DN14" s="63" t="s">
        <v>175</v>
      </c>
      <c r="DO14" s="63" t="s">
        <v>590</v>
      </c>
      <c r="DP14" s="63" t="s">
        <v>589</v>
      </c>
      <c r="DQ14" s="63">
        <v>325.71332790434337</v>
      </c>
      <c r="DR14" s="63" cm="1">
        <f t="array" ref="DR14">INDEX(Pipes_result_save_V1!$C$2:$C$206,'COMPARAISON EPANET'!DM14)</f>
        <v>204.2</v>
      </c>
      <c r="DS14" s="63">
        <v>350</v>
      </c>
      <c r="DT14" s="63" cm="1">
        <f t="array" ref="DT14">INDEX(Pipes_result_save_V1!$O$2:$O$206,DM14)</f>
        <v>200</v>
      </c>
      <c r="DU14" s="63">
        <v>1.7540625804645698E-2</v>
      </c>
      <c r="DV14" s="63" cm="1">
        <f t="array" ref="DV14">INDEX(Pipes_result_save_V1!$R$2:$R$206,DM14)/1000</f>
        <v>2.7339191436767583E-2</v>
      </c>
      <c r="DW14" s="63">
        <v>1.1394601231569866E-2</v>
      </c>
      <c r="DX14" s="63" cm="1">
        <f t="array" ref="DX14">INDEX(Pipes_result_save_V1!$L$2:$L$206,DM14)</f>
        <v>0.83479905128479004</v>
      </c>
      <c r="DY14" s="63">
        <v>2.7339191436767583E-2</v>
      </c>
      <c r="DZ14" s="63" cm="1">
        <f t="array" ref="DZ14">INDEX(Pipes_result_save_V1!$M$2:$M$206,DM14)</f>
        <v>2.962649822235107</v>
      </c>
      <c r="EA14" s="63">
        <v>17.787711147546769</v>
      </c>
      <c r="EB14" s="63">
        <f>INDEX('Junctions — junctions'!$I$2:$I$197,MATCH(DP14,'Junctions — junctions'!$B$2:$B$197,0))</f>
        <v>65.427810668945313</v>
      </c>
    </row>
    <row r="15" spans="1:132" x14ac:dyDescent="0.25">
      <c r="A15" s="63">
        <f>MATCH(D15,Pipes_result_save_V1!$H$2:$H$206,0)</f>
        <v>198</v>
      </c>
      <c r="B15" s="63" t="s">
        <v>230</v>
      </c>
      <c r="C15" s="63" t="s">
        <v>674</v>
      </c>
      <c r="D15" s="63" t="s">
        <v>675</v>
      </c>
      <c r="E15" s="63">
        <v>307.03015474634879</v>
      </c>
      <c r="F15" s="63" cm="1">
        <f t="array" ref="F15">INDEX(Pipes_result_save_V1!$C$2:$C$206,'COMPARAISON EPANET'!A15)</f>
        <v>97.8</v>
      </c>
      <c r="G15" s="63">
        <v>350</v>
      </c>
      <c r="H15" s="63" cm="1">
        <f t="array" ref="H15">INDEX(Pipes_result_save_V1!$O$2:$O$206,A15)</f>
        <v>100</v>
      </c>
      <c r="I15" s="63">
        <v>1.0455650577453476E-3</v>
      </c>
      <c r="J15" s="63" cm="1">
        <f t="array" ref="J15">INDEX(Pipes_result_save_V1!$R$2:$R$206,A15)/1000</f>
        <v>7.3318743705749513E-3</v>
      </c>
      <c r="K15" s="63">
        <v>6.7921162148708205E-4</v>
      </c>
      <c r="L15" s="63" cm="1">
        <f t="array" ref="L15">INDEX(Pipes_result_save_V1!$L$2:$L$206,A15)</f>
        <v>0.97598934173583984</v>
      </c>
      <c r="M15" s="63">
        <v>9.8696782594534224E-2</v>
      </c>
      <c r="N15" s="63" cm="1">
        <f t="array" ref="N15">INDEX(Pipes_result_save_V1!$M$2:$M$206,A15)</f>
        <v>10.804136276245121</v>
      </c>
      <c r="O15" s="63">
        <v>25.271977259882092</v>
      </c>
      <c r="P15" s="63">
        <f>INDEX('Junctions — junctions'!$I$2:$I$197,MATCH(D15,'Junctions — junctions'!$B$2:$B$197,0))</f>
        <v>53.090618133544922</v>
      </c>
      <c r="S15" s="63">
        <f>MATCH(V15,Pipes_result_save_V1!$H$2:$H$206,0)</f>
        <v>40</v>
      </c>
      <c r="T15" s="63" t="s">
        <v>296</v>
      </c>
      <c r="U15" s="63" t="s">
        <v>713</v>
      </c>
      <c r="V15" s="63" t="s">
        <v>712</v>
      </c>
      <c r="W15" s="63">
        <v>271.95447352229712</v>
      </c>
      <c r="X15" s="63" cm="1">
        <f t="array" ref="X15">INDEX(Pipes_result_save_V1!$C$2:$C$206,'COMPARAISON EPANET'!S15)</f>
        <v>51.4</v>
      </c>
      <c r="Y15" s="63">
        <v>300</v>
      </c>
      <c r="Z15" s="63" cm="1">
        <f t="array" ref="Z15">INDEX(Pipes_result_save_V1!$O$2:$O$206,S15)</f>
        <v>50</v>
      </c>
      <c r="AA15" s="63">
        <v>4.0433589408214949E-3</v>
      </c>
      <c r="AB15" s="63" cm="1">
        <f t="array" ref="AB15">INDEX(Pipes_result_save_V1!$R$2:$R$206,S15)/1000</f>
        <v>8.0813032388687132E-4</v>
      </c>
      <c r="AC15" s="63">
        <v>3.5751142340363956E-3</v>
      </c>
      <c r="AD15" s="63" cm="1">
        <f t="array" ref="AD15">INDEX(Pipes_result_save_V1!$L$2:$L$206,S15)</f>
        <v>0.38946005702018738</v>
      </c>
      <c r="AE15" s="63">
        <v>0.27046791780585794</v>
      </c>
      <c r="AF15" s="63" cm="1">
        <f t="array" ref="AF15">INDEX(Pipes_result_save_V1!$M$2:$M$206,S15)</f>
        <v>4.0553994178771973</v>
      </c>
      <c r="AG15" s="63">
        <v>77.778493580331883</v>
      </c>
      <c r="AH15" s="63">
        <f>INDEX('Junctions — junctions'!$I$2:$I$197,MATCH(V15,'Junctions — junctions'!$B$2:$B$197,0))</f>
        <v>69.208839416503906</v>
      </c>
      <c r="AL15" s="63">
        <f>MATCH(AO15,Pipes_result_save_V1!$H$2:$H$206,0)</f>
        <v>182</v>
      </c>
      <c r="AM15" s="63" t="s">
        <v>422</v>
      </c>
      <c r="AN15" s="63" t="s">
        <v>661</v>
      </c>
      <c r="AO15" s="63" t="s">
        <v>715</v>
      </c>
      <c r="AP15" s="63">
        <v>271.95447352229712</v>
      </c>
      <c r="AQ15" s="63" cm="1">
        <f t="array" ref="AQ15">INDEX(Pipes_result_save_V1!$C$2:$C$206,'COMPARAISON EPANET'!AL15)</f>
        <v>72.8</v>
      </c>
      <c r="AR15" s="63">
        <v>300</v>
      </c>
      <c r="AS15" s="63" cm="1">
        <f t="array" ref="AS15">INDEX(Pipes_result_save_V1!$O$2:$O$206,AL15)</f>
        <v>75</v>
      </c>
      <c r="AT15" s="63">
        <v>3.3581315338946554E-3</v>
      </c>
      <c r="AU15" s="63" cm="1">
        <f t="array" ref="AU15">INDEX(Pipes_result_save_V1!$R$2:$R$206,AL15)/1000</f>
        <v>2.2272217273712159E-3</v>
      </c>
      <c r="AV15" s="63">
        <v>2.9692401842894615E-3</v>
      </c>
      <c r="AW15" s="63" cm="1">
        <f t="array" ref="AW15">INDEX(Pipes_result_save_V1!$L$2:$L$206,AL15)</f>
        <v>0.53506731986999512</v>
      </c>
      <c r="AX15" s="63">
        <v>5.7848134769030488E-2</v>
      </c>
      <c r="AY15" s="63" cm="1">
        <f t="array" ref="AY15">INDEX(Pipes_result_save_V1!$M$2:$M$206,AL15)</f>
        <v>4.812995433807373</v>
      </c>
      <c r="AZ15" s="63">
        <v>16.526870659949182</v>
      </c>
      <c r="BA15" s="63">
        <f>INDEX('Junctions — junctions'!$I$2:$I$197,MATCH(AO15,'Junctions — junctions'!$B$2:$B$197,0))</f>
        <v>61.467079162597663</v>
      </c>
      <c r="BF15" s="63">
        <f>MATCH(BI15,Pipes_result_save_V1!$H$2:$H$206,0)</f>
        <v>161</v>
      </c>
      <c r="BG15" s="63" t="s">
        <v>123</v>
      </c>
      <c r="BH15" s="63" t="s">
        <v>642</v>
      </c>
      <c r="BI15" s="63" t="s">
        <v>641</v>
      </c>
      <c r="BJ15" s="63">
        <v>204.52523865872314</v>
      </c>
      <c r="BK15" s="63" cm="1">
        <f t="array" ref="BK15">INDEX(Pipes_result_save_V1!$C$2:$C$206,'COMPARAISON EPANET'!BF15)</f>
        <v>156.4</v>
      </c>
      <c r="BL15" s="63">
        <v>250</v>
      </c>
      <c r="BM15" s="63" cm="1">
        <f t="array" ref="BM15">INDEX(Pipes_result_save_V1!$O$2:$O$206,BF15)</f>
        <v>150</v>
      </c>
      <c r="BN15" s="63">
        <v>1.7647608869310459E-2</v>
      </c>
      <c r="BO15" s="63" cm="1">
        <f t="array" ref="BO15">INDEX(Pipes_result_save_V1!$R$2:$R$206,BF15)/1000</f>
        <v>2.3688943862915039E-2</v>
      </c>
      <c r="BP15" s="63">
        <v>2.2469633482425068E-2</v>
      </c>
      <c r="BQ15" s="63" cm="1">
        <f t="array" ref="BQ15">INDEX(Pipes_result_save_V1!$L$2:$L$206,BF15)</f>
        <v>1.2330479621887209</v>
      </c>
      <c r="BR15" s="63">
        <v>0.11134527815752146</v>
      </c>
      <c r="BS15" s="63" cm="1">
        <f t="array" ref="BS15">INDEX(Pipes_result_save_V1!$M$2:$M$206,BF15)</f>
        <v>9.2228012084960938</v>
      </c>
      <c r="BT15" s="63">
        <v>24.019195738178432</v>
      </c>
      <c r="BU15" s="63">
        <f>INDEX('Junctions — junctions'!$I$2:$I$197,MATCH(BI15,'Junctions — junctions'!$B$2:$B$197,0))</f>
        <v>65.201148986816406</v>
      </c>
      <c r="CA15" s="63">
        <f>MATCH(CD15,Pipes_result_save_V1!$H$2:$H$206,0)</f>
        <v>137</v>
      </c>
      <c r="CB15" s="63" t="s">
        <v>170</v>
      </c>
      <c r="CC15" s="63" t="s">
        <v>621</v>
      </c>
      <c r="CD15" s="63" t="s">
        <v>620</v>
      </c>
      <c r="CE15" s="63">
        <v>325.71332790434337</v>
      </c>
      <c r="CF15" s="63" cm="1">
        <f t="array" ref="CF15">INDEX(Pipes_result_save_V1!$C$2:$C$206,'COMPARAISON EPANET'!CA15)</f>
        <v>394.6</v>
      </c>
      <c r="CG15" s="63">
        <v>350</v>
      </c>
      <c r="CH15" s="63" cm="1">
        <f t="array" ref="CH15">INDEX(Pipes_result_save_V1!$O$2:$O$206,CA15)</f>
        <v>400</v>
      </c>
      <c r="CI15" s="63">
        <v>0.10460403581587409</v>
      </c>
      <c r="CJ15" s="63" cm="1">
        <f t="array" ref="CJ15">INDEX(Pipes_result_save_V1!$R$2:$R$206,CA15)/1000</f>
        <v>0.10984255981445309</v>
      </c>
      <c r="CK15" s="63">
        <v>0.15603549077613979</v>
      </c>
      <c r="CL15" s="63" cm="1">
        <f t="array" ref="CL15">INDEX(Pipes_result_save_V1!$L$2:$L$206,CA15)</f>
        <v>0.89818179607391357</v>
      </c>
      <c r="CM15" s="63">
        <v>6.7952038234522547E-2</v>
      </c>
      <c r="CN15" s="63" cm="1">
        <f t="array" ref="CN15">INDEX(Pipes_result_save_V1!$M$2:$M$206,CA15)</f>
        <v>1.4252117872238159</v>
      </c>
      <c r="CO15" s="63">
        <v>24.208539557342174</v>
      </c>
      <c r="CP15" s="63">
        <f>INDEX('Junctions — junctions'!$I$2:$I$197,MATCH(CD15,'Junctions — junctions'!$B$2:$B$197,0))</f>
        <v>68.267967224121094</v>
      </c>
      <c r="CT15" s="63">
        <f>MATCH(CW15,Pipes_result_save_V1!$H$2:$H$206,0)</f>
        <v>117</v>
      </c>
      <c r="CU15" s="63" t="s">
        <v>146</v>
      </c>
      <c r="CV15" s="63" t="s">
        <v>604</v>
      </c>
      <c r="CW15" s="63" t="s">
        <v>603</v>
      </c>
      <c r="CX15" s="63">
        <v>460.62820576799743</v>
      </c>
      <c r="CY15" s="63" cm="1">
        <f t="array" ref="CY15">INDEX(Pipes_result_save_V1!$C$2:$C$206,'COMPARAISON EPANET'!CT15)</f>
        <v>489.4</v>
      </c>
      <c r="CZ15" s="63">
        <v>500</v>
      </c>
      <c r="DA15" s="63" cm="1">
        <f t="array" ref="DA15">INDEX(Pipes_result_save_V1!$O$2:$O$206,CT15)</f>
        <v>500</v>
      </c>
      <c r="DB15" s="63">
        <v>0.19784057167390237</v>
      </c>
      <c r="DC15" s="63" cm="1">
        <f t="array" ref="DC15">INDEX(Pipes_result_save_V1!$R$2:$R$206,CT15)/1000</f>
        <v>0.20296116638183592</v>
      </c>
      <c r="DD15" s="63">
        <v>7.249927454463144E-2</v>
      </c>
      <c r="DE15" s="63" cm="1">
        <f t="array" ref="DE15">INDEX(Pipes_result_save_V1!$L$2:$L$206,CT15)</f>
        <v>1.0789288282394409</v>
      </c>
      <c r="DF15" s="63">
        <v>0.13672204977370783</v>
      </c>
      <c r="DG15" s="63" cm="1">
        <f t="array" ref="DG15">INDEX(Pipes_result_save_V1!$M$2:$M$206,CT15)</f>
        <v>1.5434252023696899</v>
      </c>
      <c r="DH15" s="63">
        <v>20.653878424804013</v>
      </c>
      <c r="DI15" s="63">
        <f>INDEX('Junctions — junctions'!$I$2:$I$197,MATCH(CW15,'Junctions — junctions'!$B$2:$B$197,0))</f>
        <v>68.9305419921875</v>
      </c>
      <c r="DM15" s="63">
        <f>MATCH(DP15,Pipes_result_save_V1!$H$2:$H$206,0)</f>
        <v>13</v>
      </c>
      <c r="DN15" s="63" t="s">
        <v>176</v>
      </c>
      <c r="DO15" s="63" t="s">
        <v>591</v>
      </c>
      <c r="DP15" s="63" t="s">
        <v>590</v>
      </c>
      <c r="DQ15" s="63">
        <v>325.71332790434337</v>
      </c>
      <c r="DR15" s="63" cm="1">
        <f t="array" ref="DR15">INDEX(Pipes_result_save_V1!$C$2:$C$206,'COMPARAISON EPANET'!DM15)</f>
        <v>204.2</v>
      </c>
      <c r="DS15" s="63">
        <v>350</v>
      </c>
      <c r="DT15" s="63" cm="1">
        <f t="array" ref="DT15">INDEX(Pipes_result_save_V1!$O$2:$O$206,DM15)</f>
        <v>200</v>
      </c>
      <c r="DU15" s="63">
        <v>1.4797625226010479E-2</v>
      </c>
      <c r="DV15" s="63" cm="1">
        <f t="array" ref="DV15">INDEX(Pipes_result_save_V1!$R$2:$R$206,DM15)/1000</f>
        <v>2.5216728210449218E-2</v>
      </c>
      <c r="DW15" s="63">
        <v>9.6127151050648708E-3</v>
      </c>
      <c r="DX15" s="63" cm="1">
        <f t="array" ref="DX15">INDEX(Pipes_result_save_V1!$L$2:$L$206,DM15)</f>
        <v>0.76998990774154663</v>
      </c>
      <c r="DY15" s="63">
        <v>2.5216728210449218E-2</v>
      </c>
      <c r="DZ15" s="63" cm="1">
        <f t="array" ref="DZ15">INDEX(Pipes_result_save_V1!$M$2:$M$206,DM15)</f>
        <v>2.520509004592896</v>
      </c>
      <c r="EA15" s="63">
        <v>16.762494419336321</v>
      </c>
      <c r="EB15" s="63">
        <f>INDEX('Junctions — junctions'!$I$2:$I$197,MATCH(DP15,'Junctions — junctions'!$B$2:$B$197,0))</f>
        <v>63.841499328613281</v>
      </c>
    </row>
    <row r="16" spans="1:132" x14ac:dyDescent="0.25">
      <c r="A16" s="63">
        <f>MATCH(D16,Pipes_result_save_V1!$H$2:$H$206,0)</f>
        <v>199</v>
      </c>
      <c r="B16" s="63" t="s">
        <v>215</v>
      </c>
      <c r="C16" s="63" t="s">
        <v>675</v>
      </c>
      <c r="D16" s="63" t="s">
        <v>676</v>
      </c>
      <c r="E16" s="63">
        <v>562.07078458053741</v>
      </c>
      <c r="F16" s="63" cm="1">
        <f t="array" ref="F16">INDEX(Pipes_result_save_V1!$C$2:$C$206,'COMPARAISON EPANET'!A16)</f>
        <v>94.4</v>
      </c>
      <c r="G16" s="63">
        <v>600</v>
      </c>
      <c r="H16" s="63" cm="1">
        <f t="array" ref="H16">INDEX(Pipes_result_save_V1!$O$2:$O$206,A16)</f>
        <v>100</v>
      </c>
      <c r="I16" s="63">
        <v>4.1460525251979692E-4</v>
      </c>
      <c r="J16" s="63" cm="1">
        <f t="array" ref="J16">INDEX(Pipes_result_save_V1!$R$2:$R$206,A16)/1000</f>
        <v>5.4946870803833005E-3</v>
      </c>
      <c r="K16" s="63">
        <v>1.0335417866769395E-4</v>
      </c>
      <c r="L16" s="63" cm="1">
        <f t="array" ref="L16">INDEX(Pipes_result_save_V1!$L$2:$L$206,A16)</f>
        <v>0.78506708145141602</v>
      </c>
      <c r="M16" s="63">
        <v>0.30141008477405656</v>
      </c>
      <c r="N16" s="63" cm="1">
        <f t="array" ref="N16">INDEX(Pipes_result_save_V1!$M$2:$M$206,A16)</f>
        <v>7.328188419342041</v>
      </c>
      <c r="O16" s="63">
        <v>23.970567175108034</v>
      </c>
      <c r="P16" s="63">
        <f>INDEX('Junctions — junctions'!$I$2:$I$197,MATCH(D16,'Junctions — junctions'!$B$2:$B$197,0))</f>
        <v>50.271759033203118</v>
      </c>
      <c r="S16" s="63">
        <f>MATCH(V16,Pipes_result_save_V1!$H$2:$H$206,0)</f>
        <v>41</v>
      </c>
      <c r="T16" s="63" t="s">
        <v>297</v>
      </c>
      <c r="U16" s="63" t="s">
        <v>714</v>
      </c>
      <c r="V16" s="63" t="s">
        <v>713</v>
      </c>
      <c r="W16" s="63">
        <v>271.95447352229712</v>
      </c>
      <c r="X16" s="63" cm="1">
        <f t="array" ref="X16">INDEX(Pipes_result_save_V1!$C$2:$C$206,'COMPARAISON EPANET'!S16)</f>
        <v>51.4</v>
      </c>
      <c r="Y16" s="63">
        <v>300</v>
      </c>
      <c r="Z16" s="63" cm="1">
        <f t="array" ref="Z16">INDEX(Pipes_result_save_V1!$O$2:$O$206,S16)</f>
        <v>50</v>
      </c>
      <c r="AA16" s="63">
        <v>4.0353064464146281E-3</v>
      </c>
      <c r="AB16" s="63" cm="1">
        <f t="array" ref="AB16">INDEX(Pipes_result_save_V1!$R$2:$R$206,S16)/1000</f>
        <v>3.558016419410706E-4</v>
      </c>
      <c r="AC16" s="63">
        <v>3.5679942657637696E-3</v>
      </c>
      <c r="AD16" s="63" cm="1">
        <f t="array" ref="AD16">INDEX(Pipes_result_save_V1!$L$2:$L$206,S16)</f>
        <v>0.1714705228805542</v>
      </c>
      <c r="AE16" s="63">
        <v>9.7368450410108859E-2</v>
      </c>
      <c r="AF16" s="63" cm="1">
        <f t="array" ref="AF16">INDEX(Pipes_result_save_V1!$M$2:$M$206,S16)</f>
        <v>0.78617078065872192</v>
      </c>
      <c r="AG16" s="63">
        <v>68.681125129921782</v>
      </c>
      <c r="AH16" s="63">
        <f>INDEX('Junctions — junctions'!$I$2:$I$197,MATCH(V16,'Junctions — junctions'!$B$2:$B$197,0))</f>
        <v>59.599723815917969</v>
      </c>
      <c r="AL16" s="63">
        <f>MATCH(AO16,Pipes_result_save_V1!$H$2:$H$206,0)</f>
        <v>16</v>
      </c>
      <c r="AM16" s="63" t="s">
        <v>263</v>
      </c>
      <c r="AN16" s="63" t="s">
        <v>692</v>
      </c>
      <c r="AO16" s="63" t="s">
        <v>691</v>
      </c>
      <c r="AP16" s="63">
        <v>204.52523865872314</v>
      </c>
      <c r="AQ16" s="63" cm="1">
        <f t="array" ref="AQ16">INDEX(Pipes_result_save_V1!$C$2:$C$206,'COMPARAISON EPANET'!AL16)</f>
        <v>100</v>
      </c>
      <c r="AR16" s="63">
        <v>250</v>
      </c>
      <c r="AS16" s="63" cm="1">
        <f t="array" ref="AS16">INDEX(Pipes_result_save_V1!$O$2:$O$206,AL16)</f>
        <v>100</v>
      </c>
      <c r="AT16" s="63">
        <v>3.9904805134089415E-4</v>
      </c>
      <c r="AU16" s="63" cm="1">
        <f t="array" ref="AU16">INDEX(Pipes_result_save_V1!$R$2:$R$206,AL16)/1000</f>
        <v>6.3918390274047849E-3</v>
      </c>
      <c r="AV16" s="63">
        <v>5.0808375921673396E-4</v>
      </c>
      <c r="AW16" s="63" cm="1">
        <f t="array" ref="AW16">INDEX(Pipes_result_save_V1!$L$2:$L$206,AL16)</f>
        <v>0.81382983922958374</v>
      </c>
      <c r="AX16" s="63">
        <v>0.16930583391075182</v>
      </c>
      <c r="AY16" s="63" cm="1">
        <f t="array" ref="AY16">INDEX(Pipes_result_save_V1!$M$2:$M$206,AL16)</f>
        <v>7.292689323425293</v>
      </c>
      <c r="AZ16" s="63">
        <v>12.357564826038431</v>
      </c>
      <c r="BA16" s="63">
        <f>INDEX('Junctions — junctions'!$I$2:$I$197,MATCH(AO16,'Junctions — junctions'!$B$2:$B$197,0))</f>
        <v>61.974575042724609</v>
      </c>
      <c r="BF16" s="63">
        <f>MATCH(BI16,Pipes_result_save_V1!$H$2:$H$206,0)</f>
        <v>162</v>
      </c>
      <c r="BG16" s="63" t="s">
        <v>122</v>
      </c>
      <c r="BH16" s="63" t="s">
        <v>643</v>
      </c>
      <c r="BI16" s="63" t="s">
        <v>642</v>
      </c>
      <c r="BJ16" s="63">
        <v>204.52523865872314</v>
      </c>
      <c r="BK16" s="63" cm="1">
        <f t="array" ref="BK16">INDEX(Pipes_result_save_V1!$C$2:$C$206,'COMPARAISON EPANET'!BF16)</f>
        <v>156.4</v>
      </c>
      <c r="BL16" s="63">
        <v>250</v>
      </c>
      <c r="BM16" s="63" cm="1">
        <f t="array" ref="BM16">INDEX(Pipes_result_save_V1!$O$2:$O$206,BF16)</f>
        <v>150</v>
      </c>
      <c r="BN16" s="63">
        <v>1.7379937385977932E-2</v>
      </c>
      <c r="BO16" s="63" cm="1">
        <f t="array" ref="BO16">INDEX(Pipes_result_save_V1!$R$2:$R$206,BF16)/1000</f>
        <v>2.2941516876220699E-2</v>
      </c>
      <c r="BP16" s="63">
        <v>2.2128823564848178E-2</v>
      </c>
      <c r="BQ16" s="63" cm="1">
        <f t="array" ref="BQ16">INDEX(Pipes_result_save_V1!$L$2:$L$206,BF16)</f>
        <v>1.1941431760787959</v>
      </c>
      <c r="BR16" s="63">
        <v>8.8466111412825274E-2</v>
      </c>
      <c r="BS16" s="63" cm="1">
        <f t="array" ref="BS16">INDEX(Pipes_result_save_V1!$M$2:$M$206,BF16)</f>
        <v>8.649993896484375</v>
      </c>
      <c r="BT16" s="63">
        <v>23.930729626765608</v>
      </c>
      <c r="BU16" s="63">
        <f>INDEX('Junctions — junctions'!$I$2:$I$197,MATCH(BI16,'Junctions — junctions'!$B$2:$B$197,0))</f>
        <v>64.526962280273438</v>
      </c>
      <c r="CA16" s="63">
        <f>MATCH(CD16,Pipes_result_save_V1!$H$2:$H$206,0)</f>
        <v>15</v>
      </c>
      <c r="CB16" s="63" t="s">
        <v>171</v>
      </c>
      <c r="CC16" s="63" t="s">
        <v>621</v>
      </c>
      <c r="CD16" s="63" t="s">
        <v>622</v>
      </c>
      <c r="CE16" s="63">
        <v>354.24630676955917</v>
      </c>
      <c r="CF16" s="63" cm="1">
        <f t="array" ref="CF16">INDEX(Pipes_result_save_V1!$C$2:$C$206,'COMPARAISON EPANET'!CA16)</f>
        <v>156.4</v>
      </c>
      <c r="CG16" s="63">
        <v>400</v>
      </c>
      <c r="CH16" s="63" cm="1">
        <f t="array" ref="CH16">INDEX(Pipes_result_save_V1!$O$2:$O$206,CA16)</f>
        <v>150</v>
      </c>
      <c r="CI16" s="63">
        <v>0.10311425987790261</v>
      </c>
      <c r="CJ16" s="63" cm="1">
        <f t="array" ref="CJ16">INDEX(Pipes_result_save_V1!$R$2:$R$206,CA16)/1000</f>
        <v>8.0635652542114262E-3</v>
      </c>
      <c r="CK16" s="63">
        <v>8.2755896525604014E-2</v>
      </c>
      <c r="CL16" s="63" cm="1">
        <f t="array" ref="CL16">INDEX(Pipes_result_save_V1!$L$2:$L$206,CA16)</f>
        <v>0.41972163319587708</v>
      </c>
      <c r="CM16" s="63">
        <v>5.1284825508845298E-2</v>
      </c>
      <c r="CN16" s="63" cm="1">
        <f t="array" ref="CN16">INDEX(Pipes_result_save_V1!$M$2:$M$206,CA16)</f>
        <v>1.068596720695496</v>
      </c>
      <c r="CO16" s="63">
        <v>23.12578366081657</v>
      </c>
      <c r="CP16" s="63">
        <f>INDEX('Junctions — junctions'!$I$2:$I$197,MATCH(CD16,'Junctions — junctions'!$B$2:$B$197,0))</f>
        <v>67.037513732910156</v>
      </c>
      <c r="CT16" s="63">
        <f>MATCH(CW16,Pipes_result_save_V1!$H$2:$H$206,0)</f>
        <v>118</v>
      </c>
      <c r="CU16" s="63" t="s">
        <v>145</v>
      </c>
      <c r="CV16" s="63" t="s">
        <v>605</v>
      </c>
      <c r="CW16" s="63" t="s">
        <v>604</v>
      </c>
      <c r="CX16" s="63">
        <v>460.62820576799743</v>
      </c>
      <c r="CY16" s="63" cm="1">
        <f t="array" ref="CY16">INDEX(Pipes_result_save_V1!$C$2:$C$206,'COMPARAISON EPANET'!CT16)</f>
        <v>489.4</v>
      </c>
      <c r="CZ16" s="63">
        <v>500</v>
      </c>
      <c r="DA16" s="63" cm="1">
        <f t="array" ref="DA16">INDEX(Pipes_result_save_V1!$O$2:$O$206,CT16)</f>
        <v>500</v>
      </c>
      <c r="DB16" s="63">
        <v>0.19650390566573375</v>
      </c>
      <c r="DC16" s="63" cm="1">
        <f t="array" ref="DC16">INDEX(Pipes_result_save_V1!$R$2:$R$206,CT16)/1000</f>
        <v>0.20200834655761718</v>
      </c>
      <c r="DD16" s="63">
        <v>7.2009449252069993E-2</v>
      </c>
      <c r="DE16" s="63" cm="1">
        <f t="array" ref="DE16">INDEX(Pipes_result_save_V1!$L$2:$L$206,CT16)</f>
        <v>1.073863625526428</v>
      </c>
      <c r="DF16" s="63">
        <v>0.11145819275030529</v>
      </c>
      <c r="DG16" s="63" cm="1">
        <f t="array" ref="DG16">INDEX(Pipes_result_save_V1!$M$2:$M$206,CT16)</f>
        <v>1.528945326805115</v>
      </c>
      <c r="DH16" s="63">
        <v>14.542420232053709</v>
      </c>
      <c r="DI16" s="63">
        <f>INDEX('Junctions — junctions'!$I$2:$I$197,MATCH(CW16,'Junctions — junctions'!$B$2:$B$197,0))</f>
        <v>62.78839111328125</v>
      </c>
      <c r="DM16" s="63">
        <f>MATCH(DP16,Pipes_result_save_V1!$H$2:$H$206,0)</f>
        <v>24</v>
      </c>
      <c r="DN16" s="63" t="s">
        <v>177</v>
      </c>
      <c r="DO16" s="63" t="s">
        <v>592</v>
      </c>
      <c r="DP16" s="63" t="s">
        <v>591</v>
      </c>
      <c r="DQ16" s="63">
        <v>325.71332790434337</v>
      </c>
      <c r="DR16" s="63" cm="1">
        <f t="array" ref="DR16">INDEX(Pipes_result_save_V1!$C$2:$C$206,'COMPARAISON EPANET'!DM16)</f>
        <v>204.2</v>
      </c>
      <c r="DS16" s="63">
        <v>350</v>
      </c>
      <c r="DT16" s="63" cm="1">
        <f t="array" ref="DT16">INDEX(Pipes_result_save_V1!$O$2:$O$206,DM16)</f>
        <v>200</v>
      </c>
      <c r="DU16" s="63">
        <v>1.473362840248623E-2</v>
      </c>
      <c r="DV16" s="63" cm="1">
        <f t="array" ref="DV16">INDEX(Pipes_result_save_V1!$R$2:$R$206,DM16)/1000</f>
        <v>2.2928802490234379E-2</v>
      </c>
      <c r="DW16" s="63">
        <v>9.571141999733997E-3</v>
      </c>
      <c r="DX16" s="63" cm="1">
        <f t="array" ref="DX16">INDEX(Pipes_result_save_V1!$L$2:$L$206,DM16)</f>
        <v>0.70012831687927246</v>
      </c>
      <c r="DY16" s="63">
        <v>2.2928802490234379E-2</v>
      </c>
      <c r="DZ16" s="63" cm="1">
        <f t="array" ref="DZ16">INDEX(Pipes_result_save_V1!$M$2:$M$206,DM16)</f>
        <v>2.0838885307312012</v>
      </c>
      <c r="EA16" s="63">
        <v>15.739565616846084</v>
      </c>
      <c r="EB16" s="63">
        <f>INDEX('Junctions — junctions'!$I$2:$I$197,MATCH(DP16,'Junctions — junctions'!$B$2:$B$197,0))</f>
        <v>62.402931213378913</v>
      </c>
    </row>
    <row r="17" spans="1:132" x14ac:dyDescent="0.25">
      <c r="A17" s="63">
        <f>MATCH(D17,Pipes_result_save_V1!$H$2:$H$206,0)</f>
        <v>200</v>
      </c>
      <c r="B17" s="63" t="s">
        <v>214</v>
      </c>
      <c r="C17" s="63" t="s">
        <v>676</v>
      </c>
      <c r="D17" s="63" t="s">
        <v>677</v>
      </c>
      <c r="E17" s="63">
        <v>384.40954805642207</v>
      </c>
      <c r="F17" s="63" cm="1">
        <f t="array" ref="F17">INDEX(Pipes_result_save_V1!$C$2:$C$206,'COMPARAISON EPANET'!A17)</f>
        <v>72.8</v>
      </c>
      <c r="G17" s="63">
        <v>400</v>
      </c>
      <c r="H17" s="63" cm="1">
        <f t="array" ref="H17">INDEX(Pipes_result_save_V1!$O$2:$O$206,A17)</f>
        <v>75</v>
      </c>
      <c r="I17" s="63">
        <v>1.937222505701398E-3</v>
      </c>
      <c r="J17" s="63" cm="1">
        <f t="array" ref="J17">INDEX(Pipes_result_save_V1!$R$2:$R$206,A17)/1000</f>
        <v>3.417867422103882E-3</v>
      </c>
      <c r="K17" s="63">
        <v>9.6349543016014023E-4</v>
      </c>
      <c r="L17" s="63" cm="1">
        <f t="array" ref="L17">INDEX(Pipes_result_save_V1!$L$2:$L$206,A17)</f>
        <v>0.82110786437988281</v>
      </c>
      <c r="M17" s="63">
        <v>0.18561349239891756</v>
      </c>
      <c r="N17" s="63" cm="1">
        <f t="array" ref="N17">INDEX(Pipes_result_save_V1!$M$2:$M$206,A17)</f>
        <v>11.33439922332764</v>
      </c>
      <c r="O17" s="63">
        <v>27.784953682709116</v>
      </c>
      <c r="P17" s="63">
        <f>INDEX('Junctions — junctions'!$I$2:$I$197,MATCH(D17,'Junctions — junctions'!$B$2:$B$197,0))</f>
        <v>52.952438354492188</v>
      </c>
      <c r="S17" s="63">
        <f>MATCH(V17,Pipes_result_save_V1!$H$2:$H$206,0)</f>
        <v>42</v>
      </c>
      <c r="T17" s="63" t="s">
        <v>298</v>
      </c>
      <c r="U17" s="63" t="s">
        <v>715</v>
      </c>
      <c r="V17" s="63" t="s">
        <v>714</v>
      </c>
      <c r="W17" s="63">
        <v>271.95447352229712</v>
      </c>
      <c r="X17" s="63" cm="1">
        <f t="array" ref="X17">INDEX(Pipes_result_save_V1!$C$2:$C$206,'COMPARAISON EPANET'!S17)</f>
        <v>51.4</v>
      </c>
      <c r="Y17" s="63">
        <v>300</v>
      </c>
      <c r="Z17" s="63" cm="1">
        <f t="array" ref="Z17">INDEX(Pipes_result_save_V1!$O$2:$O$206,S17)</f>
        <v>50</v>
      </c>
      <c r="AA17" s="63">
        <v>2.4593294434197303E-3</v>
      </c>
      <c r="AB17" s="63" cm="1">
        <f t="array" ref="AB17">INDEX(Pipes_result_save_V1!$R$2:$R$206,S17)/1000</f>
        <v>1.194517374038696E-3</v>
      </c>
      <c r="AC17" s="63">
        <v>2.1745246533982766E-3</v>
      </c>
      <c r="AD17" s="63" cm="1">
        <f t="array" ref="AD17">INDEX(Pipes_result_save_V1!$L$2:$L$206,S17)</f>
        <v>0.57567054033279419</v>
      </c>
      <c r="AE17" s="63">
        <v>0.16769010903963191</v>
      </c>
      <c r="AF17" s="63" cm="1">
        <f t="array" ref="AF17">INDEX(Pipes_result_save_V1!$M$2:$M$206,S17)</f>
        <v>8.8603992462158203</v>
      </c>
      <c r="AG17" s="63">
        <v>70.513435020882142</v>
      </c>
      <c r="AH17" s="63">
        <f>INDEX('Junctions — junctions'!$I$2:$I$197,MATCH(V17,'Junctions — junctions'!$B$2:$B$197,0))</f>
        <v>61.642173767089837</v>
      </c>
      <c r="AL17" s="63">
        <f>MATCH(AO17,Pipes_result_save_V1!$H$2:$H$206,0)</f>
        <v>17</v>
      </c>
      <c r="AM17" s="63" t="s">
        <v>264</v>
      </c>
      <c r="AN17" s="63" t="s">
        <v>693</v>
      </c>
      <c r="AO17" s="63" t="s">
        <v>692</v>
      </c>
      <c r="AP17" s="63">
        <v>204.52523865872314</v>
      </c>
      <c r="AQ17" s="63" cm="1">
        <f t="array" ref="AQ17">INDEX(Pipes_result_save_V1!$C$2:$C$206,'COMPARAISON EPANET'!AL17)</f>
        <v>100</v>
      </c>
      <c r="AR17" s="63">
        <v>250</v>
      </c>
      <c r="AS17" s="63" cm="1">
        <f t="array" ref="AS17">INDEX(Pipes_result_save_V1!$O$2:$O$206,AL17)</f>
        <v>100</v>
      </c>
      <c r="AT17" s="63">
        <v>6.1974756305388599E-4</v>
      </c>
      <c r="AU17" s="63" cm="1">
        <f t="array" ref="AU17">INDEX(Pipes_result_save_V1!$R$2:$R$206,AL17)/1000</f>
        <v>4.6345300674438478E-3</v>
      </c>
      <c r="AV17" s="63">
        <v>7.8908710503345638E-4</v>
      </c>
      <c r="AW17" s="63" cm="1">
        <f t="array" ref="AW17">INDEX(Pipes_result_save_V1!$L$2:$L$206,AL17)</f>
        <v>0.59008347988128662</v>
      </c>
      <c r="AX17" s="63">
        <v>0.17083111169373155</v>
      </c>
      <c r="AY17" s="63" cm="1">
        <f t="array" ref="AY17">INDEX(Pipes_result_save_V1!$M$2:$M$206,AL17)</f>
        <v>3.8339500427246089</v>
      </c>
      <c r="AZ17" s="63">
        <v>19.186733714344697</v>
      </c>
      <c r="BA17" s="63">
        <f>INDEX('Junctions — junctions'!$I$2:$I$197,MATCH(AO17,'Junctions — junctions'!$B$2:$B$197,0))</f>
        <v>67.269546508789063</v>
      </c>
      <c r="BF17" s="63">
        <f>MATCH(BI17,Pipes_result_save_V1!$H$2:$H$206,0)</f>
        <v>163</v>
      </c>
      <c r="BG17" s="63" t="s">
        <v>121</v>
      </c>
      <c r="BH17" s="63" t="s">
        <v>644</v>
      </c>
      <c r="BI17" s="63" t="s">
        <v>643</v>
      </c>
      <c r="BJ17" s="63">
        <v>204.52523865872314</v>
      </c>
      <c r="BK17" s="63" cm="1">
        <f t="array" ref="BK17">INDEX(Pipes_result_save_V1!$C$2:$C$206,'COMPARAISON EPANET'!BF17)</f>
        <v>156.4</v>
      </c>
      <c r="BL17" s="63">
        <v>250</v>
      </c>
      <c r="BM17" s="63" cm="1">
        <f t="array" ref="BM17">INDEX(Pipes_result_save_V1!$O$2:$O$206,BF17)</f>
        <v>150</v>
      </c>
      <c r="BN17" s="63">
        <v>1.4993311282905675E-2</v>
      </c>
      <c r="BO17" s="63" cm="1">
        <f t="array" ref="BO17">INDEX(Pipes_result_save_V1!$R$2:$R$206,BF17)/1000</f>
        <v>2.1378194808959961E-2</v>
      </c>
      <c r="BP17" s="63">
        <v>1.9090076831919399E-2</v>
      </c>
      <c r="BQ17" s="63" cm="1">
        <f t="array" ref="BQ17">INDEX(Pipes_result_save_V1!$L$2:$L$206,BF17)</f>
        <v>1.112769722938538</v>
      </c>
      <c r="BR17" s="63">
        <v>0.32946000112362517</v>
      </c>
      <c r="BS17" s="63" cm="1">
        <f t="array" ref="BS17">INDEX(Pipes_result_save_V1!$M$2:$M$206,BF17)</f>
        <v>7.5112552642822266</v>
      </c>
      <c r="BT17" s="63">
        <v>17.601269625641983</v>
      </c>
      <c r="BU17" s="63">
        <f>INDEX('Junctions — junctions'!$I$2:$I$197,MATCH(BI17,'Junctions — junctions'!$B$2:$B$197,0))</f>
        <v>58.024394989013672</v>
      </c>
      <c r="CA17" s="63">
        <f>MATCH(CD17,Pipes_result_save_V1!$H$2:$H$206,0)</f>
        <v>15</v>
      </c>
      <c r="CB17" s="63" t="s">
        <v>414</v>
      </c>
      <c r="CC17" s="63" t="s">
        <v>632</v>
      </c>
      <c r="CD17" s="63" t="s">
        <v>622</v>
      </c>
      <c r="CE17" s="63">
        <v>204.52212438525402</v>
      </c>
      <c r="CF17" s="63" cm="1">
        <f t="array" ref="CF17">INDEX(Pipes_result_save_V1!$C$2:$C$206,'COMPARAISON EPANET'!CA17)</f>
        <v>156.4</v>
      </c>
      <c r="CG17" s="63">
        <v>250</v>
      </c>
      <c r="CH17" s="63" cm="1">
        <f t="array" ref="CH17">INDEX(Pipes_result_save_V1!$O$2:$O$206,CA17)</f>
        <v>150</v>
      </c>
      <c r="CI17" s="63">
        <v>2.8096400597175143E-2</v>
      </c>
      <c r="CJ17" s="63" cm="1">
        <f t="array" ref="CJ17">INDEX(Pipes_result_save_V1!$R$2:$R$206,CA17)/1000</f>
        <v>8.0635652542114262E-3</v>
      </c>
      <c r="CK17" s="63">
        <v>0.18420135475776558</v>
      </c>
      <c r="CL17" s="63" cm="1">
        <f t="array" ref="CL17">INDEX(Pipes_result_save_V1!$L$2:$L$206,CA17)</f>
        <v>0.41972163319587708</v>
      </c>
      <c r="CM17" s="63">
        <v>3.5773448305044031E-2</v>
      </c>
      <c r="CN17" s="63" cm="1">
        <f t="array" ref="CN17">INDEX(Pipes_result_save_V1!$M$2:$M$206,CA17)</f>
        <v>1.068596720695496</v>
      </c>
      <c r="CO17" s="63">
        <v>22.941582306058805</v>
      </c>
      <c r="CP17" s="63">
        <f>INDEX('Junctions — junctions'!$I$2:$I$197,MATCH(CD17,'Junctions — junctions'!$B$2:$B$197,0))</f>
        <v>67.037513732910156</v>
      </c>
      <c r="CT17" s="63">
        <f>MATCH(CW17,Pipes_result_save_V1!$H$2:$H$206,0)</f>
        <v>119</v>
      </c>
      <c r="CU17" s="63" t="s">
        <v>144</v>
      </c>
      <c r="CV17" s="63" t="s">
        <v>606</v>
      </c>
      <c r="CW17" s="63" t="s">
        <v>605</v>
      </c>
      <c r="CX17" s="63">
        <v>460.62820576799743</v>
      </c>
      <c r="CY17" s="63" cm="1">
        <f t="array" ref="CY17">INDEX(Pipes_result_save_V1!$C$2:$C$206,'COMPARAISON EPANET'!CT17)</f>
        <v>489.4</v>
      </c>
      <c r="CZ17" s="63">
        <v>500</v>
      </c>
      <c r="DA17" s="63" cm="1">
        <f t="array" ref="DA17">INDEX(Pipes_result_save_V1!$O$2:$O$206,CT17)</f>
        <v>500</v>
      </c>
      <c r="DB17" s="63">
        <v>0.19592297460485844</v>
      </c>
      <c r="DC17" s="63" cm="1">
        <f t="array" ref="DC17">INDEX(Pipes_result_save_V1!$R$2:$R$206,CT17)/1000</f>
        <v>0.20114678955078119</v>
      </c>
      <c r="DD17" s="63">
        <v>7.1796565311644855E-2</v>
      </c>
      <c r="DE17" s="63" cm="1">
        <f t="array" ref="DE17">INDEX(Pipes_result_save_V1!$L$2:$L$206,CT17)</f>
        <v>1.069283723831177</v>
      </c>
      <c r="DF17" s="63">
        <v>0.11294430198697604</v>
      </c>
      <c r="DG17" s="63" cm="1">
        <f t="array" ref="DG17">INDEX(Pipes_result_save_V1!$M$2:$M$206,CT17)</f>
        <v>1.516027569770813</v>
      </c>
      <c r="DH17" s="63">
        <v>23.429475930066733</v>
      </c>
      <c r="DI17" s="63">
        <f>INDEX('Junctions — junctions'!$I$2:$I$197,MATCH(CW17,'Junctions — junctions'!$B$2:$B$197,0))</f>
        <v>71.674026489257813</v>
      </c>
      <c r="DM17" s="63">
        <f>MATCH(DP17,Pipes_result_save_V1!$H$2:$H$206,0)</f>
        <v>36</v>
      </c>
      <c r="DN17" s="63" t="s">
        <v>157</v>
      </c>
      <c r="DO17" s="63" t="s">
        <v>593</v>
      </c>
      <c r="DP17" s="63" t="s">
        <v>592</v>
      </c>
      <c r="DQ17" s="63">
        <v>325.71332790434337</v>
      </c>
      <c r="DR17" s="63" cm="1">
        <f t="array" ref="DR17">INDEX(Pipes_result_save_V1!$C$2:$C$206,'COMPARAISON EPANET'!DM17)</f>
        <v>204.2</v>
      </c>
      <c r="DS17" s="63">
        <v>350</v>
      </c>
      <c r="DT17" s="63" cm="1">
        <f t="array" ref="DT17">INDEX(Pipes_result_save_V1!$O$2:$O$206,DM17)</f>
        <v>200</v>
      </c>
      <c r="DU17" s="63">
        <v>8.910694409369516E-3</v>
      </c>
      <c r="DV17" s="63" cm="1">
        <f t="array" ref="DV17">INDEX(Pipes_result_save_V1!$R$2:$R$206,DM17)/1000</f>
        <v>1.8592584609985353E-2</v>
      </c>
      <c r="DW17" s="63">
        <v>5.7884941291121454E-3</v>
      </c>
      <c r="DX17" s="63" cm="1">
        <f t="array" ref="DX17">INDEX(Pipes_result_save_V1!$L$2:$L$206,DM17)</f>
        <v>0.56772243976593018</v>
      </c>
      <c r="DY17" s="63">
        <v>1.8592584609985353E-2</v>
      </c>
      <c r="DZ17" s="63" cm="1">
        <f t="array" ref="DZ17">INDEX(Pipes_result_save_V1!$M$2:$M$206,DM17)</f>
        <v>1.370203018188477</v>
      </c>
      <c r="EA17" s="63">
        <v>18.720973032236099</v>
      </c>
      <c r="EB17" s="63">
        <f>INDEX('Junctions — junctions'!$I$2:$I$197,MATCH(DP17,'Junctions — junctions'!$B$2:$B$197,0))</f>
        <v>64.929473876953125</v>
      </c>
    </row>
    <row r="18" spans="1:132" x14ac:dyDescent="0.25">
      <c r="A18" s="63">
        <f>MATCH(D18,Pipes_result_save_V1!$H$2:$H$206,0)</f>
        <v>201</v>
      </c>
      <c r="B18" s="63" t="s">
        <v>213</v>
      </c>
      <c r="C18" s="63" t="s">
        <v>677</v>
      </c>
      <c r="D18" s="63" t="s">
        <v>678</v>
      </c>
      <c r="E18" s="63">
        <v>403.80357210005502</v>
      </c>
      <c r="F18" s="63" cm="1">
        <f t="array" ref="F18">INDEX(Pipes_result_save_V1!$C$2:$C$206,'COMPARAISON EPANET'!A18)</f>
        <v>54.6</v>
      </c>
      <c r="G18" s="63">
        <v>450</v>
      </c>
      <c r="H18" s="63" cm="1">
        <f t="array" ref="H18">INDEX(Pipes_result_save_V1!$O$2:$O$206,A18)</f>
        <v>50</v>
      </c>
      <c r="I18" s="63">
        <v>3.8717170899619782E-3</v>
      </c>
      <c r="J18" s="63" cm="1">
        <f t="array" ref="J18">INDEX(Pipes_result_save_V1!$R$2:$R$206,A18)/1000</f>
        <v>2.0257134437561041E-3</v>
      </c>
      <c r="K18" s="63">
        <v>1.7383193310825864E-3</v>
      </c>
      <c r="L18" s="63" cm="1">
        <f t="array" ref="L18">INDEX(Pipes_result_save_V1!$L$2:$L$206,A18)</f>
        <v>0.86516809463500977</v>
      </c>
      <c r="M18" s="63">
        <v>0.19155536470823792</v>
      </c>
      <c r="N18" s="63" cm="1">
        <f t="array" ref="N18">INDEX(Pipes_result_save_V1!$M$2:$M$206,A18)</f>
        <v>18.464790344238281</v>
      </c>
      <c r="O18" s="63">
        <v>25.593398318000879</v>
      </c>
      <c r="P18" s="63">
        <f>INDEX('Junctions — junctions'!$I$2:$I$197,MATCH(D18,'Junctions — junctions'!$B$2:$B$197,0))</f>
        <v>48.594482421875</v>
      </c>
      <c r="S18" s="63">
        <f>MATCH(V18,Pipes_result_save_V1!$H$2:$H$206,0)</f>
        <v>43</v>
      </c>
      <c r="T18" s="63" t="s">
        <v>300</v>
      </c>
      <c r="U18" s="63" t="s">
        <v>716</v>
      </c>
      <c r="V18" s="63" t="s">
        <v>717</v>
      </c>
      <c r="W18" s="63">
        <v>271.95447352229712</v>
      </c>
      <c r="X18" s="63" cm="1">
        <f t="array" ref="X18">INDEX(Pipes_result_save_V1!$C$2:$C$206,'COMPARAISON EPANET'!S18)</f>
        <v>204.2</v>
      </c>
      <c r="Y18" s="63">
        <v>300</v>
      </c>
      <c r="Z18" s="63" cm="1">
        <f t="array" ref="Z18">INDEX(Pipes_result_save_V1!$O$2:$O$206,S18)</f>
        <v>200</v>
      </c>
      <c r="AA18" s="63">
        <v>2.4137502949274317E-2</v>
      </c>
      <c r="AB18" s="63" cm="1">
        <f t="array" ref="AB18">INDEX(Pipes_result_save_V1!$R$2:$R$206,S18)/1000</f>
        <v>2.8655429840087891E-2</v>
      </c>
      <c r="AC18" s="63">
        <v>2.1342238379290054E-2</v>
      </c>
      <c r="AD18" s="63" cm="1">
        <f t="array" ref="AD18">INDEX(Pipes_result_save_V1!$L$2:$L$206,S18)</f>
        <v>0.87499022483825684</v>
      </c>
      <c r="AE18" s="63">
        <v>0.64912300273405898</v>
      </c>
      <c r="AF18" s="63" cm="1">
        <f t="array" ref="AF18">INDEX(Pipes_result_save_V1!$M$2:$M$206,S18)</f>
        <v>3.254787921905518</v>
      </c>
      <c r="AG18" s="63">
        <v>65.864312018148084</v>
      </c>
      <c r="AH18" s="63">
        <f>INDEX('Junctions — junctions'!$I$2:$I$197,MATCH(V18,'Junctions — junctions'!$B$2:$B$197,0))</f>
        <v>56.964431762695313</v>
      </c>
      <c r="AL18" s="63">
        <f>MATCH(AO18,Pipes_result_save_V1!$H$2:$H$206,0)</f>
        <v>18</v>
      </c>
      <c r="AM18" s="63" t="s">
        <v>266</v>
      </c>
      <c r="AN18" s="63" t="s">
        <v>694</v>
      </c>
      <c r="AO18" s="63" t="s">
        <v>693</v>
      </c>
      <c r="AP18" s="63">
        <v>204.52523865872314</v>
      </c>
      <c r="AQ18" s="63" cm="1">
        <f t="array" ref="AQ18">INDEX(Pipes_result_save_V1!$C$2:$C$206,'COMPARAISON EPANET'!AL18)</f>
        <v>100</v>
      </c>
      <c r="AR18" s="63">
        <v>250</v>
      </c>
      <c r="AS18" s="63" cm="1">
        <f t="array" ref="AS18">INDEX(Pipes_result_save_V1!$O$2:$O$206,AL18)</f>
        <v>100</v>
      </c>
      <c r="AT18" s="63">
        <v>1.8996396427817621E-3</v>
      </c>
      <c r="AU18" s="63" cm="1">
        <f t="array" ref="AU18">INDEX(Pipes_result_save_V1!$R$2:$R$206,AL18)/1000</f>
        <v>3.761581182479858E-3</v>
      </c>
      <c r="AV18" s="63">
        <v>2.418696313936318E-3</v>
      </c>
      <c r="AW18" s="63" cm="1">
        <f t="array" ref="AW18">INDEX(Pipes_result_save_V1!$L$2:$L$206,AL18)</f>
        <v>0.47893679141998291</v>
      </c>
      <c r="AX18" s="63">
        <v>0.17235638947671134</v>
      </c>
      <c r="AY18" s="63" cm="1">
        <f t="array" ref="AY18">INDEX(Pipes_result_save_V1!$M$2:$M$206,AL18)</f>
        <v>2.5256319046020508</v>
      </c>
      <c r="AZ18" s="63">
        <v>15.014377324867988</v>
      </c>
      <c r="BA18" s="63">
        <f>INDEX('Junctions — junctions'!$I$2:$I$197,MATCH(AO18,'Junctions — junctions'!$B$2:$B$197,0))</f>
        <v>62.986598968505859</v>
      </c>
      <c r="BF18" s="63">
        <f>MATCH(BI18,Pipes_result_save_V1!$H$2:$H$206,0)</f>
        <v>164</v>
      </c>
      <c r="BG18" s="63" t="s">
        <v>119</v>
      </c>
      <c r="BH18" s="63" t="s">
        <v>645</v>
      </c>
      <c r="BI18" s="63" t="s">
        <v>644</v>
      </c>
      <c r="BJ18" s="63">
        <v>204.52523865872314</v>
      </c>
      <c r="BK18" s="63" cm="1">
        <f t="array" ref="BK18">INDEX(Pipes_result_save_V1!$C$2:$C$206,'COMPARAISON EPANET'!BF18)</f>
        <v>156.4</v>
      </c>
      <c r="BL18" s="63">
        <v>250</v>
      </c>
      <c r="BM18" s="63" cm="1">
        <f t="array" ref="BM18">INDEX(Pipes_result_save_V1!$O$2:$O$206,BF18)</f>
        <v>150</v>
      </c>
      <c r="BN18" s="63">
        <v>1.4260196894772731E-2</v>
      </c>
      <c r="BO18" s="63" cm="1">
        <f t="array" ref="BO18">INDEX(Pipes_result_save_V1!$R$2:$R$206,BF18)/1000</f>
        <v>1.9729291915893551E-2</v>
      </c>
      <c r="BP18" s="63">
        <v>1.8156646602134213E-2</v>
      </c>
      <c r="BQ18" s="63" cm="1">
        <f t="array" ref="BQ18">INDEX(Pipes_result_save_V1!$L$2:$L$206,BF18)</f>
        <v>1.026941657066345</v>
      </c>
      <c r="BR18" s="63">
        <v>0.11134527815752146</v>
      </c>
      <c r="BS18" s="63" cm="1">
        <f t="array" ref="BS18">INDEX(Pipes_result_save_V1!$M$2:$M$206,BF18)</f>
        <v>6.3972806930541992</v>
      </c>
      <c r="BT18" s="63">
        <v>21.489924347484461</v>
      </c>
      <c r="BU18" s="63">
        <f>INDEX('Junctions — junctions'!$I$2:$I$197,MATCH(BI18,'Junctions — junctions'!$B$2:$B$197,0))</f>
        <v>60.400459289550781</v>
      </c>
      <c r="CA18" s="63">
        <f>MATCH(CD18,Pipes_result_save_V1!$H$2:$H$206,0)</f>
        <v>141</v>
      </c>
      <c r="CB18" s="63" t="s">
        <v>168</v>
      </c>
      <c r="CC18" s="63" t="s">
        <v>624</v>
      </c>
      <c r="CD18" s="63" t="s">
        <v>623</v>
      </c>
      <c r="CE18" s="63">
        <v>460.62820576799743</v>
      </c>
      <c r="CF18" s="63" cm="1">
        <f t="array" ref="CF18">INDEX(Pipes_result_save_V1!$C$2:$C$206,'COMPARAISON EPANET'!CA18)</f>
        <v>252</v>
      </c>
      <c r="CG18" s="63">
        <v>500</v>
      </c>
      <c r="CH18" s="63" cm="1">
        <f t="array" ref="CH18">INDEX(Pipes_result_save_V1!$O$2:$O$206,CA18)</f>
        <v>250</v>
      </c>
      <c r="CI18" s="63">
        <v>5.1894014387761714E-2</v>
      </c>
      <c r="CJ18" s="63" cm="1">
        <f t="array" ref="CJ18">INDEX(Pipes_result_save_V1!$R$2:$R$206,CA18)/1000</f>
        <v>5.8021972656249997E-2</v>
      </c>
      <c r="CK18" s="63">
        <v>0.50527714046805072</v>
      </c>
      <c r="CL18" s="63" cm="1">
        <f t="array" ref="CL18">INDEX(Pipes_result_save_V1!$L$2:$L$206,CA18)</f>
        <v>1.163319945335388</v>
      </c>
      <c r="CM18" s="63">
        <v>1.9016718181155974E-2</v>
      </c>
      <c r="CN18" s="63" cm="1">
        <f t="array" ref="CN18">INDEX(Pipes_result_save_V1!$M$2:$M$206,CA18)</f>
        <v>4.3466272354125977</v>
      </c>
      <c r="CO18" s="63">
        <v>22.436305165590753</v>
      </c>
      <c r="CP18" s="63">
        <f>INDEX('Junctions — junctions'!$I$2:$I$197,MATCH(CD18,'Junctions — junctions'!$B$2:$B$197,0))</f>
        <v>67.390731811523438</v>
      </c>
      <c r="CT18" s="63">
        <f>MATCH(CW18,Pipes_result_save_V1!$H$2:$H$206,0)</f>
        <v>120</v>
      </c>
      <c r="CU18" s="63" t="s">
        <v>142</v>
      </c>
      <c r="CV18" s="63" t="s">
        <v>607</v>
      </c>
      <c r="CW18" s="63" t="s">
        <v>606</v>
      </c>
      <c r="CX18" s="63">
        <v>460.62820576799743</v>
      </c>
      <c r="CY18" s="63" cm="1">
        <f t="array" ref="CY18">INDEX(Pipes_result_save_V1!$C$2:$C$206,'COMPARAISON EPANET'!CT18)</f>
        <v>489.4</v>
      </c>
      <c r="CZ18" s="63">
        <v>500</v>
      </c>
      <c r="DA18" s="63" cm="1">
        <f t="array" ref="DA18">INDEX(Pipes_result_save_V1!$O$2:$O$206,CT18)</f>
        <v>500</v>
      </c>
      <c r="DB18" s="63">
        <v>0.1947040460749998</v>
      </c>
      <c r="DC18" s="63" cm="1">
        <f t="array" ref="DC18">INDEX(Pipes_result_save_V1!$R$2:$R$206,CT18)/1000</f>
        <v>0.2002795562744141</v>
      </c>
      <c r="DD18" s="63">
        <v>7.1349885273325073E-2</v>
      </c>
      <c r="DE18" s="63" cm="1">
        <f t="array" ref="DE18">INDEX(Pipes_result_save_V1!$L$2:$L$206,CT18)</f>
        <v>1.064673542976379</v>
      </c>
      <c r="DF18" s="63">
        <v>0.11294430198697604</v>
      </c>
      <c r="DG18" s="63" cm="1">
        <f t="array" ref="DG18">INDEX(Pipes_result_save_V1!$M$2:$M$206,CT18)</f>
        <v>1.5028266906738279</v>
      </c>
      <c r="DH18" s="63">
        <v>19.316531628079758</v>
      </c>
      <c r="DI18" s="63">
        <f>INDEX('Junctions — junctions'!$I$2:$I$197,MATCH(CW18,'Junctions — junctions'!$B$2:$B$197,0))</f>
        <v>67.55865478515625</v>
      </c>
      <c r="DM18" s="63">
        <f>MATCH(DP18,Pipes_result_save_V1!$H$2:$H$206,0)</f>
        <v>47</v>
      </c>
      <c r="DN18" s="63" t="s">
        <v>156</v>
      </c>
      <c r="DO18" s="63" t="s">
        <v>594</v>
      </c>
      <c r="DP18" s="63" t="s">
        <v>593</v>
      </c>
      <c r="DQ18" s="63">
        <v>325.71332790434337</v>
      </c>
      <c r="DR18" s="63" cm="1">
        <f t="array" ref="DR18">INDEX(Pipes_result_save_V1!$C$2:$C$206,'COMPARAISON EPANET'!DM18)</f>
        <v>156.4</v>
      </c>
      <c r="DS18" s="63">
        <v>350</v>
      </c>
      <c r="DT18" s="63" cm="1">
        <f t="array" ref="DT18">INDEX(Pipes_result_save_V1!$O$2:$O$206,DM18)</f>
        <v>150</v>
      </c>
      <c r="DU18" s="63">
        <v>7.1283828025367757E-3</v>
      </c>
      <c r="DV18" s="63" cm="1">
        <f t="array" ref="DV18">INDEX(Pipes_result_save_V1!$R$2:$R$206,DM18)/1000</f>
        <v>1.3583112716674799E-2</v>
      </c>
      <c r="DW18" s="63">
        <v>4.6306830990815763E-3</v>
      </c>
      <c r="DX18" s="63" cm="1">
        <f t="array" ref="DX18">INDEX(Pipes_result_save_V1!$L$2:$L$206,DM18)</f>
        <v>0.70702308416366577</v>
      </c>
      <c r="DY18" s="63">
        <v>1.3583112716674799E-2</v>
      </c>
      <c r="DZ18" s="63" cm="1">
        <f t="array" ref="DZ18">INDEX(Pipes_result_save_V1!$M$2:$M$206,DM18)</f>
        <v>3.0322895050048828</v>
      </c>
      <c r="EA18" s="63">
        <v>19.707389919519425</v>
      </c>
      <c r="EB18" s="63">
        <f>INDEX('Junctions — junctions'!$I$2:$I$197,MATCH(DP18,'Junctions — junctions'!$B$2:$B$197,0))</f>
        <v>65.199150085449219</v>
      </c>
    </row>
    <row r="19" spans="1:132" x14ac:dyDescent="0.25">
      <c r="A19" s="63">
        <f>MATCH(D19,Pipes_result_save_V1!$H$2:$H$206,0)</f>
        <v>202</v>
      </c>
      <c r="B19" s="63" t="s">
        <v>212</v>
      </c>
      <c r="C19" s="63" t="s">
        <v>678</v>
      </c>
      <c r="D19" s="63" t="s">
        <v>679</v>
      </c>
      <c r="E19" s="63">
        <v>419.28054849223457</v>
      </c>
      <c r="F19" s="63" cm="1">
        <f t="array" ref="F19">INDEX(Pipes_result_save_V1!$C$2:$C$206,'COMPARAISON EPANET'!A19)</f>
        <v>51.4</v>
      </c>
      <c r="G19" s="63">
        <v>450</v>
      </c>
      <c r="H19" s="63" cm="1">
        <f t="array" ref="H19">INDEX(Pipes_result_save_V1!$O$2:$O$206,A19)</f>
        <v>50</v>
      </c>
      <c r="I19" s="63">
        <v>6.0699877427935469E-3</v>
      </c>
      <c r="J19" s="63" cm="1">
        <f t="array" ref="J19">INDEX(Pipes_result_save_V1!$R$2:$R$206,A19)/1000</f>
        <v>5.0803762674331667E-4</v>
      </c>
      <c r="K19" s="63">
        <v>2.72529649960452E-3</v>
      </c>
      <c r="L19" s="63" cm="1">
        <f t="array" ref="L19">INDEX(Pipes_result_save_V1!$L$2:$L$206,A19)</f>
        <v>0.2448371946811676</v>
      </c>
      <c r="M19" s="63">
        <v>0.2373923066502179</v>
      </c>
      <c r="N19" s="63" cm="1">
        <f t="array" ref="N19">INDEX(Pipes_result_save_V1!$M$2:$M$206,A19)</f>
        <v>1.6027151346206669</v>
      </c>
      <c r="O19" s="63">
        <v>24.356006011350662</v>
      </c>
      <c r="P19" s="63">
        <f>INDEX('Junctions — junctions'!$I$2:$I$197,MATCH(D19,'Junctions — junctions'!$B$2:$B$197,0))</f>
        <v>47.373466491699219</v>
      </c>
      <c r="S19" s="63">
        <f>MATCH(V19,Pipes_result_save_V1!$H$2:$H$206,0)</f>
        <v>44</v>
      </c>
      <c r="T19" s="63" t="s">
        <v>301</v>
      </c>
      <c r="U19" s="63" t="s">
        <v>717</v>
      </c>
      <c r="V19" s="63" t="s">
        <v>718</v>
      </c>
      <c r="W19" s="63">
        <v>271.95447352229712</v>
      </c>
      <c r="X19" s="63" cm="1">
        <f t="array" ref="X19">INDEX(Pipes_result_save_V1!$C$2:$C$206,'COMPARAISON EPANET'!S19)</f>
        <v>204.2</v>
      </c>
      <c r="Y19" s="63">
        <v>300</v>
      </c>
      <c r="Z19" s="63" cm="1">
        <f t="array" ref="Z19">INDEX(Pipes_result_save_V1!$O$2:$O$206,S19)</f>
        <v>200</v>
      </c>
      <c r="AA19" s="63">
        <v>2.0589390249357888E-2</v>
      </c>
      <c r="AB19" s="63" cm="1">
        <f t="array" ref="AB19">INDEX(Pipes_result_save_V1!$R$2:$R$206,S19)/1000</f>
        <v>2.4804183959960941E-2</v>
      </c>
      <c r="AC19" s="63">
        <v>1.8205017963518776E-2</v>
      </c>
      <c r="AD19" s="63" cm="1">
        <f t="array" ref="AD19">INDEX(Pipes_result_save_V1!$L$2:$L$206,S19)</f>
        <v>0.75739294290542603</v>
      </c>
      <c r="AE19" s="63">
        <v>0.56798262739230165</v>
      </c>
      <c r="AF19" s="63" cm="1">
        <f t="array" ref="AF19">INDEX(Pipes_result_save_V1!$M$2:$M$206,S19)</f>
        <v>2.4387040138244629</v>
      </c>
      <c r="AG19" s="63">
        <v>65.296329390755787</v>
      </c>
      <c r="AH19" s="63">
        <f>INDEX('Junctions — junctions'!$I$2:$I$197,MATCH(V19,'Junctions — junctions'!$B$2:$B$197,0))</f>
        <v>56.196971893310547</v>
      </c>
      <c r="AL19" s="63">
        <f>MATCH(AO19,Pipes_result_save_V1!$H$2:$H$206,0)</f>
        <v>19</v>
      </c>
      <c r="AM19" s="63" t="s">
        <v>276</v>
      </c>
      <c r="AN19" s="63" t="s">
        <v>695</v>
      </c>
      <c r="AO19" s="63" t="s">
        <v>694</v>
      </c>
      <c r="AP19" s="63">
        <v>204.52523865872314</v>
      </c>
      <c r="AQ19" s="63" cm="1">
        <f t="array" ref="AQ19">INDEX(Pipes_result_save_V1!$C$2:$C$206,'COMPARAISON EPANET'!AL19)</f>
        <v>51.4</v>
      </c>
      <c r="AR19" s="63">
        <v>250</v>
      </c>
      <c r="AS19" s="63" cm="1">
        <f t="array" ref="AS19">INDEX(Pipes_result_save_V1!$O$2:$O$206,AL19)</f>
        <v>50</v>
      </c>
      <c r="AT19" s="63">
        <v>4.2567128495737874E-3</v>
      </c>
      <c r="AU19" s="63" cm="1">
        <f t="array" ref="AU19">INDEX(Pipes_result_save_V1!$R$2:$R$206,AL19)/1000</f>
        <v>1.935805678367615E-3</v>
      </c>
      <c r="AV19" s="63">
        <v>5.419815130659646E-3</v>
      </c>
      <c r="AW19" s="63" cm="1">
        <f t="array" ref="AW19">INDEX(Pipes_result_save_V1!$L$2:$L$206,AL19)</f>
        <v>0.93291759490966797</v>
      </c>
      <c r="AX19" s="63">
        <v>0.17388166725969104</v>
      </c>
      <c r="AY19" s="63" cm="1">
        <f t="array" ref="AY19">INDEX(Pipes_result_save_V1!$M$2:$M$206,AL19)</f>
        <v>23.269832611083981</v>
      </c>
      <c r="AZ19" s="63">
        <v>18.840495657608297</v>
      </c>
      <c r="BA19" s="63">
        <f>INDEX('Junctions — junctions'!$I$2:$I$197,MATCH(AO19,'Junctions — junctions'!$B$2:$B$197,0))</f>
        <v>66.785812377929688</v>
      </c>
      <c r="BF19" s="63">
        <f>MATCH(BI19,Pipes_result_save_V1!$H$2:$H$206,0)</f>
        <v>165</v>
      </c>
      <c r="BG19" s="63" t="s">
        <v>120</v>
      </c>
      <c r="BH19" s="63" t="s">
        <v>646</v>
      </c>
      <c r="BI19" s="63" t="s">
        <v>645</v>
      </c>
      <c r="BJ19" s="63">
        <v>204.52523865872314</v>
      </c>
      <c r="BK19" s="63" cm="1">
        <f t="array" ref="BK19">INDEX(Pipes_result_save_V1!$C$2:$C$206,'COMPARAISON EPANET'!BF19)</f>
        <v>156.4</v>
      </c>
      <c r="BL19" s="63">
        <v>250</v>
      </c>
      <c r="BM19" s="63" cm="1">
        <f t="array" ref="BM19">INDEX(Pipes_result_save_V1!$O$2:$O$206,BF19)</f>
        <v>150</v>
      </c>
      <c r="BN19" s="63">
        <v>1.3488586483084906E-2</v>
      </c>
      <c r="BO19" s="63" cm="1">
        <f t="array" ref="BO19">INDEX(Pipes_result_save_V1!$R$2:$R$206,BF19)/1000</f>
        <v>1.8941926956176761E-2</v>
      </c>
      <c r="BP19" s="63">
        <v>1.7174201712843895E-2</v>
      </c>
      <c r="BQ19" s="63" cm="1">
        <f t="array" ref="BQ19">INDEX(Pipes_result_save_V1!$L$2:$L$206,BF19)</f>
        <v>0.9859580397605896</v>
      </c>
      <c r="BR19" s="63">
        <v>9.9143055893683496E-2</v>
      </c>
      <c r="BS19" s="63" cm="1">
        <f t="array" ref="BS19">INDEX(Pipes_result_save_V1!$M$2:$M$206,BF19)</f>
        <v>5.8968548774719238</v>
      </c>
      <c r="BT19" s="63">
        <v>21.390781291590777</v>
      </c>
      <c r="BU19" s="63">
        <f>INDEX('Junctions — junctions'!$I$2:$I$197,MATCH(BI19,'Junctions — junctions'!$B$2:$B$197,0))</f>
        <v>59.932819366455078</v>
      </c>
      <c r="CA19" s="63">
        <f>MATCH(CD19,Pipes_result_save_V1!$H$2:$H$206,0)</f>
        <v>142</v>
      </c>
      <c r="CB19" s="63" t="s">
        <v>167</v>
      </c>
      <c r="CC19" s="63" t="s">
        <v>625</v>
      </c>
      <c r="CD19" s="63" t="s">
        <v>624</v>
      </c>
      <c r="CE19" s="63">
        <v>460.62820576799743</v>
      </c>
      <c r="CF19" s="63" cm="1">
        <f t="array" ref="CF19">INDEX(Pipes_result_save_V1!$C$2:$C$206,'COMPARAISON EPANET'!CA19)</f>
        <v>252</v>
      </c>
      <c r="CG19" s="63">
        <v>500</v>
      </c>
      <c r="CH19" s="63" cm="1">
        <f t="array" ref="CH19">INDEX(Pipes_result_save_V1!$O$2:$O$206,CA19)</f>
        <v>250</v>
      </c>
      <c r="CI19" s="63">
        <v>4.9219250936544418E-2</v>
      </c>
      <c r="CJ19" s="63" cm="1">
        <f t="array" ref="CJ19">INDEX(Pipes_result_save_V1!$R$2:$R$206,CA19)/1000</f>
        <v>5.4912445068359385E-2</v>
      </c>
      <c r="CK19" s="63">
        <v>0.30465239351750117</v>
      </c>
      <c r="CL19" s="63" cm="1">
        <f t="array" ref="CL19">INDEX(Pipes_result_save_V1!$L$2:$L$206,CA19)</f>
        <v>1.100975036621094</v>
      </c>
      <c r="CM19" s="63">
        <v>1.8036543042401414E-2</v>
      </c>
      <c r="CN19" s="63" cm="1">
        <f t="array" ref="CN19">INDEX(Pipes_result_save_V1!$M$2:$M$206,CA19)</f>
        <v>3.8932299613952641</v>
      </c>
      <c r="CO19" s="63">
        <v>17.131652772073252</v>
      </c>
      <c r="CP19" s="63">
        <f>INDEX('Junctions — junctions'!$I$2:$I$197,MATCH(CD19,'Junctions — junctions'!$B$2:$B$197,0))</f>
        <v>60.914615631103523</v>
      </c>
      <c r="CT19" s="63">
        <f>MATCH(CW19,Pipes_result_save_V1!$H$2:$H$206,0)</f>
        <v>121</v>
      </c>
      <c r="CU19" s="63" t="s">
        <v>143</v>
      </c>
      <c r="CV19" s="63" t="s">
        <v>608</v>
      </c>
      <c r="CW19" s="63" t="s">
        <v>607</v>
      </c>
      <c r="CX19" s="63">
        <v>460.62820576799743</v>
      </c>
      <c r="CY19" s="63" cm="1">
        <f t="array" ref="CY19">INDEX(Pipes_result_save_V1!$C$2:$C$206,'COMPARAISON EPANET'!CT19)</f>
        <v>489.4</v>
      </c>
      <c r="CZ19" s="63">
        <v>500</v>
      </c>
      <c r="DA19" s="63" cm="1">
        <f t="array" ref="DA19">INDEX(Pipes_result_save_V1!$O$2:$O$206,CT19)</f>
        <v>500</v>
      </c>
      <c r="DB19" s="63">
        <v>0.19283186988742035</v>
      </c>
      <c r="DC19" s="63" cm="1">
        <f t="array" ref="DC19">INDEX(Pipes_result_save_V1!$R$2:$R$206,CT19)/1000</f>
        <v>0.19938948059082032</v>
      </c>
      <c r="DD19" s="63">
        <v>7.0663820659424906E-2</v>
      </c>
      <c r="DE19" s="63" cm="1">
        <f t="array" ref="DE19">INDEX(Pipes_result_save_V1!$L$2:$L$206,CT19)</f>
        <v>1.0599420070648189</v>
      </c>
      <c r="DF19" s="63">
        <v>0.11888873893365898</v>
      </c>
      <c r="DG19" s="63" cm="1">
        <f t="array" ref="DG19">INDEX(Pipes_result_save_V1!$M$2:$M$206,CT19)</f>
        <v>1.4895554780960081</v>
      </c>
      <c r="DH19" s="63">
        <v>12.197642889146099</v>
      </c>
      <c r="DI19" s="63">
        <f>INDEX('Junctions — junctions'!$I$2:$I$197,MATCH(CW19,'Junctions — junctions'!$B$2:$B$197,0))</f>
        <v>60.444290161132813</v>
      </c>
      <c r="DM19" s="63">
        <f>MATCH(DP19,Pipes_result_save_V1!$H$2:$H$206,0)</f>
        <v>59</v>
      </c>
      <c r="DN19" s="63" t="s">
        <v>155</v>
      </c>
      <c r="DO19" s="63" t="s">
        <v>595</v>
      </c>
      <c r="DP19" s="63" t="s">
        <v>594</v>
      </c>
      <c r="DQ19" s="63">
        <v>325.71332790434337</v>
      </c>
      <c r="DR19" s="63" cm="1">
        <f t="array" ref="DR19">INDEX(Pipes_result_save_V1!$C$2:$C$206,'COMPARAISON EPANET'!DM19)</f>
        <v>156.4</v>
      </c>
      <c r="DS19" s="63">
        <v>350</v>
      </c>
      <c r="DT19" s="63" cm="1">
        <f t="array" ref="DT19">INDEX(Pipes_result_save_V1!$O$2:$O$206,DM19)</f>
        <v>150</v>
      </c>
      <c r="DU19" s="63">
        <v>1.4524275359280906E-3</v>
      </c>
      <c r="DV19" s="63" cm="1">
        <f t="array" ref="DV19">INDEX(Pipes_result_save_V1!$R$2:$R$206,DM19)/1000</f>
        <v>7.0787868499755857E-3</v>
      </c>
      <c r="DW19" s="63">
        <v>9.4351437479892682E-4</v>
      </c>
      <c r="DX19" s="63" cm="1">
        <f t="array" ref="DX19">INDEX(Pipes_result_save_V1!$L$2:$L$206,DM19)</f>
        <v>0.36846232414245611</v>
      </c>
      <c r="DY19" s="63">
        <v>7.0787868499755857E-3</v>
      </c>
      <c r="DZ19" s="63" cm="1">
        <f t="array" ref="DZ19">INDEX(Pipes_result_save_V1!$M$2:$M$206,DM19)</f>
        <v>0.82355314493179321</v>
      </c>
      <c r="EA19" s="63">
        <v>17.700311132669448</v>
      </c>
      <c r="EB19" s="63">
        <f>INDEX('Junctions — junctions'!$I$2:$I$197,MATCH(DP19,'Junctions — junctions'!$B$2:$B$197,0))</f>
        <v>62.1527099609375</v>
      </c>
    </row>
    <row r="20" spans="1:132" x14ac:dyDescent="0.25">
      <c r="A20" s="63">
        <f>MATCH(D20,Pipes_result_save_V1!$H$2:$H$206,0)</f>
        <v>109</v>
      </c>
      <c r="B20" s="63" t="s">
        <v>426</v>
      </c>
      <c r="C20" s="63" t="s">
        <v>679</v>
      </c>
      <c r="D20" s="63" t="s">
        <v>774</v>
      </c>
      <c r="E20" s="63">
        <v>484.14347507593106</v>
      </c>
      <c r="F20" s="63" cm="1">
        <f t="array" ref="F20">INDEX(Pipes_result_save_V1!$C$2:$C$206,'COMPARAISON EPANET'!A20)</f>
        <v>156.4</v>
      </c>
      <c r="G20" s="63">
        <v>600</v>
      </c>
      <c r="H20" s="63" cm="1">
        <f t="array" ref="H20">INDEX(Pipes_result_save_V1!$O$2:$O$206,A20)</f>
        <v>150</v>
      </c>
      <c r="I20" s="63">
        <v>2.5297522971591841E-3</v>
      </c>
      <c r="J20" s="63" cm="1">
        <f t="array" ref="J20">INDEX(Pipes_result_save_V1!$R$2:$R$206,A20)/1000</f>
        <v>9.0544853210449226E-3</v>
      </c>
      <c r="K20" s="63">
        <v>6.3062508088489557E-4</v>
      </c>
      <c r="L20" s="63" cm="1">
        <f t="array" ref="L20">INDEX(Pipes_result_save_V1!$L$2:$L$206,A20)</f>
        <v>0.4713006317615509</v>
      </c>
      <c r="M20" s="63">
        <v>0.12865954661016527</v>
      </c>
      <c r="N20" s="63" cm="1">
        <f t="array" ref="N20">INDEX(Pipes_result_save_V1!$M$2:$M$206,A20)</f>
        <v>1.3474123477935791</v>
      </c>
      <c r="O20" s="63">
        <v>29.227346464740496</v>
      </c>
      <c r="P20" s="63">
        <f>INDEX('Junctions — junctions'!$I$2:$I$197,MATCH(D20,'Junctions — junctions'!$B$2:$B$197,0))</f>
        <v>52.620853424072273</v>
      </c>
      <c r="S20" s="63">
        <f>MATCH(V20,Pipes_result_save_V1!$H$2:$H$206,0)</f>
        <v>45</v>
      </c>
      <c r="T20" s="63" t="s">
        <v>302</v>
      </c>
      <c r="U20" s="63" t="s">
        <v>718</v>
      </c>
      <c r="V20" s="63" t="s">
        <v>719</v>
      </c>
      <c r="W20" s="63">
        <v>271.95447352229712</v>
      </c>
      <c r="X20" s="63" cm="1">
        <f t="array" ref="X20">INDEX(Pipes_result_save_V1!$C$2:$C$206,'COMPARAISON EPANET'!S20)</f>
        <v>156.4</v>
      </c>
      <c r="Y20" s="63">
        <v>300</v>
      </c>
      <c r="Z20" s="63" cm="1">
        <f t="array" ref="Z20">INDEX(Pipes_result_save_V1!$O$2:$O$206,S20)</f>
        <v>150</v>
      </c>
      <c r="AA20" s="63">
        <v>2.1210473254807391E-2</v>
      </c>
      <c r="AB20" s="63" cm="1">
        <f t="array" ref="AB20">INDEX(Pipes_result_save_V1!$R$2:$R$206,S20)/1000</f>
        <v>2.146643829345703E-2</v>
      </c>
      <c r="AC20" s="63">
        <v>1.8754175910116879E-2</v>
      </c>
      <c r="AD20" s="63" cm="1">
        <f t="array" ref="AD20">INDEX(Pipes_result_save_V1!$L$2:$L$206,S20)</f>
        <v>1.117362976074219</v>
      </c>
      <c r="AE20" s="63">
        <v>0.48684225205054421</v>
      </c>
      <c r="AF20" s="63" cm="1">
        <f t="array" ref="AF20">INDEX(Pipes_result_save_V1!$M$2:$M$206,S20)</f>
        <v>7.5734109878540039</v>
      </c>
      <c r="AG20" s="63">
        <v>61.809487138705236</v>
      </c>
      <c r="AH20" s="63">
        <f>INDEX('Junctions — junctions'!$I$2:$I$197,MATCH(V20,'Junctions — junctions'!$B$2:$B$197,0))</f>
        <v>51.155178070068359</v>
      </c>
      <c r="AL20" s="63">
        <f>MATCH(AO20,Pipes_result_save_V1!$H$2:$H$206,0)</f>
        <v>20</v>
      </c>
      <c r="AM20" s="63" t="s">
        <v>316</v>
      </c>
      <c r="AN20" s="63" t="s">
        <v>696</v>
      </c>
      <c r="AO20" s="63" t="s">
        <v>695</v>
      </c>
      <c r="AP20" s="63">
        <v>204.52523865872314</v>
      </c>
      <c r="AQ20" s="63" cm="1">
        <f t="array" ref="AQ20">INDEX(Pipes_result_save_V1!$C$2:$C$206,'COMPARAISON EPANET'!AL20)</f>
        <v>51.4</v>
      </c>
      <c r="AR20" s="63">
        <v>250</v>
      </c>
      <c r="AS20" s="63" cm="1">
        <f t="array" ref="AS20">INDEX(Pipes_result_save_V1!$O$2:$O$206,AL20)</f>
        <v>50</v>
      </c>
      <c r="AT20" s="63">
        <v>4.9122492283646723E-3</v>
      </c>
      <c r="AU20" s="63" cm="1">
        <f t="array" ref="AU20">INDEX(Pipes_result_save_V1!$R$2:$R$206,AL20)/1000</f>
        <v>2.1272979676723481E-4</v>
      </c>
      <c r="AV20" s="63">
        <v>6.2544699711486896E-3</v>
      </c>
      <c r="AW20" s="63" cm="1">
        <f t="array" ref="AW20">INDEX(Pipes_result_save_V1!$L$2:$L$206,AL20)</f>
        <v>0.1025203019380569</v>
      </c>
      <c r="AX20" s="63">
        <v>0.17540694504267082</v>
      </c>
      <c r="AY20" s="63" cm="1">
        <f t="array" ref="AY20">INDEX(Pipes_result_save_V1!$M$2:$M$206,AL20)</f>
        <v>0.28104487061500549</v>
      </c>
      <c r="AZ20" s="63">
        <v>14.665088712565627</v>
      </c>
      <c r="BA20" s="63">
        <f>INDEX('Junctions — junctions'!$I$2:$I$197,MATCH(AO20,'Junctions — junctions'!$B$2:$B$197,0))</f>
        <v>57.184761047363281</v>
      </c>
      <c r="BF20" s="63">
        <f>MATCH(BI20,Pipes_result_save_V1!$H$2:$H$206,0)</f>
        <v>166</v>
      </c>
      <c r="BG20" s="63" t="s">
        <v>118</v>
      </c>
      <c r="BH20" s="63" t="s">
        <v>647</v>
      </c>
      <c r="BI20" s="63" t="s">
        <v>646</v>
      </c>
      <c r="BJ20" s="63">
        <v>204.52523865872314</v>
      </c>
      <c r="BK20" s="63" cm="1">
        <f t="array" ref="BK20">INDEX(Pipes_result_save_V1!$C$2:$C$206,'COMPARAISON EPANET'!BF20)</f>
        <v>156.4</v>
      </c>
      <c r="BL20" s="63">
        <v>250</v>
      </c>
      <c r="BM20" s="63" cm="1">
        <f t="array" ref="BM20">INDEX(Pipes_result_save_V1!$O$2:$O$206,BF20)</f>
        <v>150</v>
      </c>
      <c r="BN20" s="63">
        <v>1.3194835985450761E-2</v>
      </c>
      <c r="BO20" s="63" cm="1">
        <f t="array" ref="BO20">INDEX(Pipes_result_save_V1!$R$2:$R$206,BF20)/1000</f>
        <v>1.8314315795898442E-2</v>
      </c>
      <c r="BP20" s="63">
        <v>1.6800186962970469E-2</v>
      </c>
      <c r="BQ20" s="63" cm="1">
        <f t="array" ref="BQ20">INDEX(Pipes_result_save_V1!$L$2:$L$206,BF20)</f>
        <v>0.95328986644744873</v>
      </c>
      <c r="BR20" s="63">
        <v>6.8637500234088572E-2</v>
      </c>
      <c r="BS20" s="63" cm="1">
        <f t="array" ref="BS20">INDEX(Pipes_result_save_V1!$M$2:$M$206,BF20)</f>
        <v>5.5125861167907706</v>
      </c>
      <c r="BT20" s="63">
        <v>19.322143791356687</v>
      </c>
      <c r="BU20" s="63">
        <f>INDEX('Junctions — junctions'!$I$2:$I$197,MATCH(BI20,'Junctions — junctions'!$B$2:$B$197,0))</f>
        <v>57.550704956054688</v>
      </c>
      <c r="CA20" s="63">
        <f>MATCH(CD20,Pipes_result_save_V1!$H$2:$H$206,0)</f>
        <v>143</v>
      </c>
      <c r="CB20" s="63" t="s">
        <v>166</v>
      </c>
      <c r="CC20" s="63" t="s">
        <v>626</v>
      </c>
      <c r="CD20" s="63" t="s">
        <v>625</v>
      </c>
      <c r="CE20" s="63">
        <v>460.62820576799743</v>
      </c>
      <c r="CF20" s="63" cm="1">
        <f t="array" ref="CF20">INDEX(Pipes_result_save_V1!$C$2:$C$206,'COMPARAISON EPANET'!CA20)</f>
        <v>252</v>
      </c>
      <c r="CG20" s="63">
        <v>500</v>
      </c>
      <c r="CH20" s="63" cm="1">
        <f t="array" ref="CH20">INDEX(Pipes_result_save_V1!$O$2:$O$206,CA20)</f>
        <v>250</v>
      </c>
      <c r="CI20" s="63">
        <v>4.6299557545420783E-2</v>
      </c>
      <c r="CJ20" s="63" cm="1">
        <f t="array" ref="CJ20">INDEX(Pipes_result_save_V1!$R$2:$R$206,CA20)/1000</f>
        <v>5.2624523162841795E-2</v>
      </c>
      <c r="CK20" s="63">
        <v>0.29127741038746446</v>
      </c>
      <c r="CL20" s="63" cm="1">
        <f t="array" ref="CL20">INDEX(Pipes_result_save_V1!$L$2:$L$206,CA20)</f>
        <v>1.055102944374084</v>
      </c>
      <c r="CM20" s="63">
        <v>1.6966612588004425E-2</v>
      </c>
      <c r="CN20" s="63" cm="1">
        <f t="array" ref="CN20">INDEX(Pipes_result_save_V1!$M$2:$M$206,CA20)</f>
        <v>3.5755443572998051</v>
      </c>
      <c r="CO20" s="63">
        <v>20.840375361685787</v>
      </c>
      <c r="CP20" s="63">
        <f>INDEX('Junctions — junctions'!$I$2:$I$197,MATCH(CD20,'Junctions — junctions'!$B$2:$B$197,0))</f>
        <v>64.11572265625</v>
      </c>
      <c r="CT20" s="63">
        <f>MATCH(CW20,Pipes_result_save_V1!$H$2:$H$206,0)</f>
        <v>111</v>
      </c>
      <c r="CU20" s="63" t="s">
        <v>398</v>
      </c>
      <c r="CV20" s="63" t="s">
        <v>776</v>
      </c>
      <c r="CW20" s="63" t="s">
        <v>608</v>
      </c>
      <c r="CX20" s="63">
        <v>460.62820576799743</v>
      </c>
      <c r="CY20" s="63" cm="1">
        <f t="array" ref="CY20">INDEX(Pipes_result_save_V1!$C$2:$C$206,'COMPARAISON EPANET'!CT20)</f>
        <v>489.4</v>
      </c>
      <c r="CZ20" s="63">
        <v>500</v>
      </c>
      <c r="DA20" s="63" cm="1">
        <f t="array" ref="DA20">INDEX(Pipes_result_save_V1!$O$2:$O$206,CT20)</f>
        <v>500</v>
      </c>
      <c r="DB20" s="63">
        <v>0.19333746688369799</v>
      </c>
      <c r="DC20" s="63" cm="1">
        <f t="array" ref="DC20">INDEX(Pipes_result_save_V1!$R$2:$R$206,CT20)/1000</f>
        <v>0.198505126953125</v>
      </c>
      <c r="DD20" s="63">
        <v>7.0849098204530739E-2</v>
      </c>
      <c r="DE20" s="63" cm="1">
        <f t="array" ref="DE20">INDEX(Pipes_result_save_V1!$L$2:$L$206,CT20)</f>
        <v>1.055240750312805</v>
      </c>
      <c r="DF20" s="63">
        <v>0.11145819275030529</v>
      </c>
      <c r="DG20" s="63" cm="1">
        <f t="array" ref="DG20">INDEX(Pipes_result_save_V1!$M$2:$M$206,CT20)</f>
        <v>1.4764517545700071</v>
      </c>
      <c r="DH20" s="63">
        <v>20.086184696395794</v>
      </c>
      <c r="DI20" s="63">
        <f>INDEX('Junctions — junctions'!$I$2:$I$197,MATCH(CW20,'Junctions — junctions'!$B$2:$B$197,0))</f>
        <v>68.324676513671875</v>
      </c>
      <c r="DM20" s="63">
        <f>MATCH(DP20,Pipes_result_save_V1!$H$2:$H$206,0)</f>
        <v>70</v>
      </c>
      <c r="DN20" s="63" t="s">
        <v>154</v>
      </c>
      <c r="DO20" s="63" t="s">
        <v>596</v>
      </c>
      <c r="DP20" s="63" t="s">
        <v>595</v>
      </c>
      <c r="DQ20" s="63">
        <v>325.71332790434337</v>
      </c>
      <c r="DR20" s="63" cm="1">
        <f t="array" ref="DR20">INDEX(Pipes_result_save_V1!$C$2:$C$206,'COMPARAISON EPANET'!DM20)</f>
        <v>156.4</v>
      </c>
      <c r="DS20" s="63">
        <v>350</v>
      </c>
      <c r="DT20" s="63" cm="1">
        <f t="array" ref="DT20">INDEX(Pipes_result_save_V1!$O$2:$O$206,DM20)</f>
        <v>150</v>
      </c>
      <c r="DU20" s="63">
        <v>3.5928728627387593E-4</v>
      </c>
      <c r="DV20" s="63" cm="1">
        <f t="array" ref="DV20">INDEX(Pipes_result_save_V1!$R$2:$R$206,DM20)/1000</f>
        <v>2.8707671165466308E-4</v>
      </c>
      <c r="DW20" s="63">
        <v>2.3339733714514385E-4</v>
      </c>
      <c r="DX20" s="63" cm="1">
        <f t="array" ref="DX20">INDEX(Pipes_result_save_V1!$L$2:$L$206,DM20)</f>
        <v>1.4942808076739309E-2</v>
      </c>
      <c r="DY20" s="63">
        <v>2.8707671165466308E-4</v>
      </c>
      <c r="DZ20" s="63" cm="1">
        <f t="array" ref="DZ20">INDEX(Pipes_result_save_V1!$M$2:$M$206,DM20)</f>
        <v>1.3604548294097189E-3</v>
      </c>
      <c r="EA20" s="63">
        <v>23.700024055957794</v>
      </c>
      <c r="EB20" s="63">
        <f>INDEX('Junctions — junctions'!$I$2:$I$197,MATCH(DP20,'Junctions — junctions'!$B$2:$B$197,0))</f>
        <v>67.498146057128906</v>
      </c>
    </row>
    <row r="21" spans="1:132" x14ac:dyDescent="0.25">
      <c r="A21" s="63">
        <f>MATCH(D21,Pipes_result_save_V1!$H$2:$H$206,0)</f>
        <v>202</v>
      </c>
      <c r="B21" s="63" t="s">
        <v>211</v>
      </c>
      <c r="C21" s="63" t="s">
        <v>680</v>
      </c>
      <c r="D21" s="63" t="s">
        <v>679</v>
      </c>
      <c r="E21" s="63">
        <v>606.7560187110123</v>
      </c>
      <c r="F21" s="63" cm="1">
        <f t="array" ref="F21">INDEX(Pipes_result_save_V1!$C$2:$C$206,'COMPARAISON EPANET'!A21)</f>
        <v>51.4</v>
      </c>
      <c r="G21" s="63">
        <v>800</v>
      </c>
      <c r="H21" s="63" cm="1">
        <f t="array" ref="H21">INDEX(Pipes_result_save_V1!$O$2:$O$206,A21)</f>
        <v>50</v>
      </c>
      <c r="I21" s="63">
        <v>3.5052425549203427E-4</v>
      </c>
      <c r="J21" s="63" cm="1">
        <f t="array" ref="J21">INDEX(Pipes_result_save_V1!$R$2:$R$206,A21)/1000</f>
        <v>5.0803762674331667E-4</v>
      </c>
      <c r="K21" s="63">
        <v>5.6926191770575213E-5</v>
      </c>
      <c r="L21" s="63" cm="1">
        <f t="array" ref="L21">INDEX(Pipes_result_save_V1!$L$2:$L$206,A21)</f>
        <v>0.2448371946811676</v>
      </c>
      <c r="M21" s="63">
        <v>0.16421683189371203</v>
      </c>
      <c r="N21" s="63" cm="1">
        <f t="array" ref="N21">INDEX(Pipes_result_save_V1!$M$2:$M$206,A21)</f>
        <v>1.6027151346206669</v>
      </c>
      <c r="O21" s="63">
        <v>24.063129632846785</v>
      </c>
      <c r="P21" s="63">
        <f>INDEX('Junctions — junctions'!$I$2:$I$197,MATCH(D21,'Junctions — junctions'!$B$2:$B$197,0))</f>
        <v>47.373466491699219</v>
      </c>
      <c r="S21" s="63">
        <f>MATCH(V21,Pipes_result_save_V1!$H$2:$H$206,0)</f>
        <v>46</v>
      </c>
      <c r="T21" s="63" t="s">
        <v>303</v>
      </c>
      <c r="U21" s="63" t="s">
        <v>719</v>
      </c>
      <c r="V21" s="63" t="s">
        <v>720</v>
      </c>
      <c r="W21" s="63">
        <v>271.95447352229712</v>
      </c>
      <c r="X21" s="63" cm="1">
        <f t="array" ref="X21">INDEX(Pipes_result_save_V1!$C$2:$C$206,'COMPARAISON EPANET'!S21)</f>
        <v>156.4</v>
      </c>
      <c r="Y21" s="63">
        <v>300</v>
      </c>
      <c r="Z21" s="63" cm="1">
        <f t="array" ref="Z21">INDEX(Pipes_result_save_V1!$O$2:$O$206,S21)</f>
        <v>150</v>
      </c>
      <c r="AA21" s="63">
        <v>1.5589817932820625E-2</v>
      </c>
      <c r="AB21" s="63" cm="1">
        <f t="array" ref="AB21">INDEX(Pipes_result_save_V1!$R$2:$R$206,S21)/1000</f>
        <v>1.8898941040039058E-2</v>
      </c>
      <c r="AC21" s="63">
        <v>1.3784425477283755E-2</v>
      </c>
      <c r="AD21" s="63" cm="1">
        <f t="array" ref="AD21">INDEX(Pipes_result_save_V1!$L$2:$L$206,S21)</f>
        <v>0.98372054100036621</v>
      </c>
      <c r="AE21" s="63">
        <v>0.32456150136702949</v>
      </c>
      <c r="AF21" s="63" cm="1">
        <f t="array" ref="AF21">INDEX(Pipes_result_save_V1!$M$2:$M$206,S21)</f>
        <v>5.8701033592224121</v>
      </c>
      <c r="AG21" s="63">
        <v>60.484925637338208</v>
      </c>
      <c r="AH21" s="63">
        <f>INDEX('Junctions — junctions'!$I$2:$I$197,MATCH(V21,'Junctions — junctions'!$B$2:$B$197,0))</f>
        <v>49.100910186767578</v>
      </c>
      <c r="AL21" s="63">
        <f>MATCH(AO21,Pipes_result_save_V1!$H$2:$H$206,0)</f>
        <v>110</v>
      </c>
      <c r="AM21" s="63" t="s">
        <v>412</v>
      </c>
      <c r="AN21" s="63" t="s">
        <v>775</v>
      </c>
      <c r="AO21" s="63" t="s">
        <v>696</v>
      </c>
      <c r="AP21" s="63">
        <v>204.52523865872314</v>
      </c>
      <c r="AQ21" s="63" cm="1">
        <f t="array" ref="AQ21">INDEX(Pipes_result_save_V1!$C$2:$C$206,'COMPARAISON EPANET'!AL21)</f>
        <v>51.4</v>
      </c>
      <c r="AR21" s="63">
        <v>250</v>
      </c>
      <c r="AS21" s="63" cm="1">
        <f t="array" ref="AS21">INDEX(Pipes_result_save_V1!$O$2:$O$206,AL21)</f>
        <v>50</v>
      </c>
      <c r="AT21" s="63">
        <v>4.9864621659175563E-3</v>
      </c>
      <c r="AU21" s="63" cm="1">
        <f t="array" ref="AU21">INDEX(Pipes_result_save_V1!$R$2:$R$206,AL21)/1000</f>
        <v>5.689303874969482E-4</v>
      </c>
      <c r="AV21" s="63">
        <v>6.3489608179719825E-3</v>
      </c>
      <c r="AW21" s="63" cm="1">
        <f t="array" ref="AW21">INDEX(Pipes_result_save_V1!$L$2:$L$206,AL21)</f>
        <v>0.27418306469917297</v>
      </c>
      <c r="AX21" s="63">
        <v>0.17693222282565055</v>
      </c>
      <c r="AY21" s="63" cm="1">
        <f t="array" ref="AY21">INDEX(Pipes_result_save_V1!$M$2:$M$206,AL21)</f>
        <v>2.0100018978118901</v>
      </c>
      <c r="AZ21" s="63">
        <v>12.488156489739975</v>
      </c>
      <c r="BA21" s="63">
        <f>INDEX('Junctions — junctions'!$I$2:$I$197,MATCH(AO21,'Junctions — junctions'!$B$2:$B$197,0))</f>
        <v>55.167701721191413</v>
      </c>
      <c r="BF21" s="63">
        <f>MATCH(BI21,Pipes_result_save_V1!$H$2:$H$206,0)</f>
        <v>167</v>
      </c>
      <c r="BG21" s="63" t="s">
        <v>117</v>
      </c>
      <c r="BH21" s="63" t="s">
        <v>648</v>
      </c>
      <c r="BI21" s="63" t="s">
        <v>647</v>
      </c>
      <c r="BJ21" s="63">
        <v>204.52523865872314</v>
      </c>
      <c r="BK21" s="63" cm="1">
        <f t="array" ref="BK21">INDEX(Pipes_result_save_V1!$C$2:$C$206,'COMPARAISON EPANET'!BF21)</f>
        <v>156.4</v>
      </c>
      <c r="BL21" s="63">
        <v>250</v>
      </c>
      <c r="BM21" s="63" cm="1">
        <f t="array" ref="BM21">INDEX(Pipes_result_save_V1!$O$2:$O$206,BF21)</f>
        <v>150</v>
      </c>
      <c r="BN21" s="63">
        <v>1.163967905548354E-2</v>
      </c>
      <c r="BO21" s="63" cm="1">
        <f t="array" ref="BO21">INDEX(Pipes_result_save_V1!$R$2:$R$206,BF21)/1000</f>
        <v>1.748701095581055E-2</v>
      </c>
      <c r="BP21" s="63">
        <v>1.4820099661467271E-2</v>
      </c>
      <c r="BQ21" s="63" cm="1">
        <f t="array" ref="BQ21">INDEX(Pipes_result_save_V1!$L$2:$L$206,BF21)</f>
        <v>0.91022735834121704</v>
      </c>
      <c r="BR21" s="63">
        <v>0.15252777829797462</v>
      </c>
      <c r="BS21" s="63" cm="1">
        <f t="array" ref="BS21">INDEX(Pipes_result_save_V1!$M$2:$M$206,BF21)</f>
        <v>5.0257749557495117</v>
      </c>
      <c r="BT21" s="63">
        <v>22.169616013058715</v>
      </c>
      <c r="BU21" s="63">
        <f>INDEX('Junctions — junctions'!$I$2:$I$197,MATCH(BI21,'Junctions — junctions'!$B$2:$B$197,0))</f>
        <v>60.303188323974609</v>
      </c>
      <c r="CA21" s="63">
        <f>MATCH(CD21,Pipes_result_save_V1!$H$2:$H$206,0)</f>
        <v>144</v>
      </c>
      <c r="CB21" s="63" t="s">
        <v>165</v>
      </c>
      <c r="CC21" s="63" t="s">
        <v>627</v>
      </c>
      <c r="CD21" s="63" t="s">
        <v>626</v>
      </c>
      <c r="CE21" s="63">
        <v>460.62820576799743</v>
      </c>
      <c r="CF21" s="63" cm="1">
        <f t="array" ref="CF21">INDEX(Pipes_result_save_V1!$C$2:$C$206,'COMPARAISON EPANET'!CA21)</f>
        <v>252</v>
      </c>
      <c r="CG21" s="63">
        <v>500</v>
      </c>
      <c r="CH21" s="63" cm="1">
        <f t="array" ref="CH21">INDEX(Pipes_result_save_V1!$O$2:$O$206,CA21)</f>
        <v>250</v>
      </c>
      <c r="CI21" s="63">
        <v>4.4870044007419126E-2</v>
      </c>
      <c r="CJ21" s="63" cm="1">
        <f t="array" ref="CJ21">INDEX(Pipes_result_save_V1!$R$2:$R$206,CA21)/1000</f>
        <v>4.9937206268310545E-2</v>
      </c>
      <c r="CK21" s="63">
        <v>0.40868004008445274</v>
      </c>
      <c r="CL21" s="63" cm="1">
        <f t="array" ref="CL21">INDEX(Pipes_result_save_V1!$L$2:$L$206,CA21)</f>
        <v>1.0012233257293699</v>
      </c>
      <c r="CM21" s="63">
        <v>1.6442763037935012E-2</v>
      </c>
      <c r="CN21" s="63" cm="1">
        <f t="array" ref="CN21">INDEX(Pipes_result_save_V1!$M$2:$M$206,CA21)</f>
        <v>3.2196974754333501</v>
      </c>
      <c r="CO21" s="63">
        <v>21.431695321601335</v>
      </c>
      <c r="CP21" s="63">
        <f>INDEX('Junctions — junctions'!$I$2:$I$197,MATCH(CD21,'Junctions — junctions'!$B$2:$B$197,0))</f>
        <v>64.415992736816406</v>
      </c>
      <c r="CT21" s="63">
        <f>MATCH(CW21,Pipes_result_save_V1!$H$2:$H$206,0)</f>
        <v>124</v>
      </c>
      <c r="CU21" s="63" t="s">
        <v>140</v>
      </c>
      <c r="CV21" s="63" t="s">
        <v>610</v>
      </c>
      <c r="CW21" s="63" t="s">
        <v>609</v>
      </c>
      <c r="CX21" s="63">
        <v>460.62820576799743</v>
      </c>
      <c r="CY21" s="63" cm="1">
        <f t="array" ref="CY21">INDEX(Pipes_result_save_V1!$C$2:$C$206,'COMPARAISON EPANET'!CT21)</f>
        <v>489.4</v>
      </c>
      <c r="CZ21" s="63">
        <v>500</v>
      </c>
      <c r="DA21" s="63" cm="1">
        <f t="array" ref="DA21">INDEX(Pipes_result_save_V1!$O$2:$O$206,CT21)</f>
        <v>500</v>
      </c>
      <c r="DB21" s="63">
        <v>0.19100464460512906</v>
      </c>
      <c r="DC21" s="63" cm="1">
        <f t="array" ref="DC21">INDEX(Pipes_result_save_V1!$R$2:$R$206,CT21)/1000</f>
        <v>0.19685621643066409</v>
      </c>
      <c r="DD21" s="63">
        <v>6.9994228440423037E-2</v>
      </c>
      <c r="DE21" s="63" cm="1">
        <f t="array" ref="DE21">INDEX(Pipes_result_save_V1!$L$2:$L$206,CT21)</f>
        <v>1.046475291252136</v>
      </c>
      <c r="DF21" s="63">
        <v>0.11294430198697604</v>
      </c>
      <c r="DG21" s="63" cm="1">
        <f t="array" ref="DG21">INDEX(Pipes_result_save_V1!$M$2:$M$206,CT21)</f>
        <v>1.4519786834716799</v>
      </c>
      <c r="DH21" s="63">
        <v>15.973240394408817</v>
      </c>
      <c r="DI21" s="63">
        <f>INDEX('Junctions — junctions'!$I$2:$I$197,MATCH(CW21,'Junctions — junctions'!$B$2:$B$197,0))</f>
        <v>64.113357543945313</v>
      </c>
      <c r="DM21" s="63">
        <f>MATCH(DP21,Pipes_result_save_V1!$H$2:$H$206,0)</f>
        <v>81</v>
      </c>
      <c r="DN21" s="63" t="s">
        <v>153</v>
      </c>
      <c r="DO21" s="63" t="s">
        <v>597</v>
      </c>
      <c r="DP21" s="63" t="s">
        <v>596</v>
      </c>
      <c r="DQ21" s="63">
        <v>325.71332790434337</v>
      </c>
      <c r="DR21" s="63" cm="1">
        <f t="array" ref="DR21">INDEX(Pipes_result_save_V1!$C$2:$C$206,'COMPARAISON EPANET'!DM21)</f>
        <v>94.4</v>
      </c>
      <c r="DS21" s="63">
        <v>350</v>
      </c>
      <c r="DT21" s="63" cm="1">
        <f t="array" ref="DT21">INDEX(Pipes_result_save_V1!$O$2:$O$206,DM21)</f>
        <v>100</v>
      </c>
      <c r="DU21" s="63">
        <v>2.384228132612591E-3</v>
      </c>
      <c r="DV21" s="63" cm="1">
        <f t="array" ref="DV21">INDEX(Pipes_result_save_V1!$R$2:$R$206,DM21)/1000</f>
        <v>5.4791264533996581E-3</v>
      </c>
      <c r="DW21" s="63">
        <v>1.5488232357716443E-3</v>
      </c>
      <c r="DX21" s="63" cm="1">
        <f t="array" ref="DX21">INDEX(Pipes_result_save_V1!$L$2:$L$206,DM21)</f>
        <v>0.78284376859664917</v>
      </c>
      <c r="DY21" s="63">
        <v>5.4791264533996581E-3</v>
      </c>
      <c r="DZ21" s="63" cm="1">
        <f t="array" ref="DZ21">INDEX(Pipes_result_save_V1!$M$2:$M$206,DM21)</f>
        <v>7.2867250442504883</v>
      </c>
      <c r="EA21" s="63">
        <v>24.694544929504396</v>
      </c>
      <c r="EB21" s="63">
        <f>INDEX('Junctions — junctions'!$I$2:$I$197,MATCH(DP21,'Junctions — junctions'!$B$2:$B$197,0))</f>
        <v>68.498825073242188</v>
      </c>
    </row>
    <row r="22" spans="1:132" x14ac:dyDescent="0.25">
      <c r="A22" s="63">
        <f>MATCH(D22,Pipes_result_save_V1!$H$2:$H$206,0)</f>
        <v>3</v>
      </c>
      <c r="B22" s="63" t="s">
        <v>209</v>
      </c>
      <c r="C22" s="63" t="s">
        <v>681</v>
      </c>
      <c r="D22" s="63" t="s">
        <v>680</v>
      </c>
      <c r="E22" s="63">
        <v>441.47985072789686</v>
      </c>
      <c r="F22" s="63" cm="1">
        <f t="array" ref="F22">INDEX(Pipes_result_save_V1!$C$2:$C$206,'COMPARAISON EPANET'!A22)</f>
        <v>77.2</v>
      </c>
      <c r="G22" s="63">
        <v>500</v>
      </c>
      <c r="H22" s="63" cm="1">
        <f t="array" ref="H22">INDEX(Pipes_result_save_V1!$O$2:$O$206,A22)</f>
        <v>75</v>
      </c>
      <c r="I22" s="63">
        <v>1.7344873335937722E-3</v>
      </c>
      <c r="J22" s="63" cm="1">
        <f t="array" ref="J22">INDEX(Pipes_result_save_V1!$R$2:$R$206,A22)/1000</f>
        <v>3.5545794963836668E-3</v>
      </c>
      <c r="K22" s="63">
        <v>6.3560811783172026E-4</v>
      </c>
      <c r="L22" s="63" cm="1">
        <f t="array" ref="L22">INDEX(Pipes_result_save_V1!$L$2:$L$206,A22)</f>
        <v>0.7593839168548584</v>
      </c>
      <c r="M22" s="63">
        <v>0.19428610209258285</v>
      </c>
      <c r="N22" s="63" cm="1">
        <f t="array" ref="N22">INDEX(Pipes_result_save_V1!$M$2:$M$206,A22)</f>
        <v>8.9649877548217773</v>
      </c>
      <c r="O22" s="63">
        <v>23.868843530754202</v>
      </c>
      <c r="P22" s="63">
        <f>INDEX('Junctions — junctions'!$I$2:$I$197,MATCH(D22,'Junctions — junctions'!$B$2:$B$197,0))</f>
        <v>44.785224914550781</v>
      </c>
      <c r="S22" s="63">
        <f>MATCH(V22,Pipes_result_save_V1!$H$2:$H$206,0)</f>
        <v>48</v>
      </c>
      <c r="T22" s="63" t="s">
        <v>304</v>
      </c>
      <c r="U22" s="63" t="s">
        <v>720</v>
      </c>
      <c r="V22" s="63" t="s">
        <v>721</v>
      </c>
      <c r="W22" s="63">
        <v>271.95447352229712</v>
      </c>
      <c r="X22" s="63" cm="1">
        <f t="array" ref="X22">INDEX(Pipes_result_save_V1!$C$2:$C$206,'COMPARAISON EPANET'!S22)</f>
        <v>156.4</v>
      </c>
      <c r="Y22" s="63">
        <v>300</v>
      </c>
      <c r="Z22" s="63" cm="1">
        <f t="array" ref="Z22">INDEX(Pipes_result_save_V1!$O$2:$O$206,S22)</f>
        <v>150</v>
      </c>
      <c r="AA22" s="63">
        <v>1.2149759936825977E-2</v>
      </c>
      <c r="AB22" s="63" cm="1">
        <f t="array" ref="AB22">INDEX(Pipes_result_save_V1!$R$2:$R$206,S22)/1000</f>
        <v>1.6673776626586912E-2</v>
      </c>
      <c r="AC22" s="63">
        <v>1.0742746396254046E-2</v>
      </c>
      <c r="AD22" s="63" cm="1">
        <f t="array" ref="AD22">INDEX(Pipes_result_save_V1!$L$2:$L$206,S22)</f>
        <v>0.8678971529006958</v>
      </c>
      <c r="AE22" s="63">
        <v>0.37865508492820105</v>
      </c>
      <c r="AF22" s="63" cm="1">
        <f t="array" ref="AF22">INDEX(Pipes_result_save_V1!$M$2:$M$206,S22)</f>
        <v>4.5691900253295898</v>
      </c>
      <c r="AG22" s="63">
        <v>62.10627055241001</v>
      </c>
      <c r="AH22" s="63">
        <f>INDEX('Junctions — junctions'!$I$2:$I$197,MATCH(V22,'Junctions — junctions'!$B$2:$B$197,0))</f>
        <v>50.140464782714837</v>
      </c>
      <c r="AL22" s="63">
        <f>MATCH(AO22,Pipes_result_save_V1!$H$2:$H$206,0)</f>
        <v>22</v>
      </c>
      <c r="AM22" s="63" t="s">
        <v>308</v>
      </c>
      <c r="AN22" s="63" t="s">
        <v>698</v>
      </c>
      <c r="AO22" s="63" t="s">
        <v>697</v>
      </c>
      <c r="AP22" s="63">
        <v>204.52523865872314</v>
      </c>
      <c r="AQ22" s="63" cm="1">
        <f t="array" ref="AQ22">INDEX(Pipes_result_save_V1!$C$2:$C$206,'COMPARAISON EPANET'!AL22)</f>
        <v>100</v>
      </c>
      <c r="AR22" s="63">
        <v>250</v>
      </c>
      <c r="AS22" s="63" cm="1">
        <f t="array" ref="AS22">INDEX(Pipes_result_save_V1!$O$2:$O$206,AL22)</f>
        <v>100</v>
      </c>
      <c r="AT22" s="63">
        <v>2.8436119017927852E-3</v>
      </c>
      <c r="AU22" s="63" cm="1">
        <f t="array" ref="AU22">INDEX(Pipes_result_save_V1!$R$2:$R$206,AL22)/1000</f>
        <v>3.5129935741424561E-3</v>
      </c>
      <c r="AV22" s="63">
        <v>3.6205991232421361E-3</v>
      </c>
      <c r="AW22" s="63" cm="1">
        <f t="array" ref="AW22">INDEX(Pipes_result_save_V1!$L$2:$L$206,AL22)</f>
        <v>0.44728583097457891</v>
      </c>
      <c r="AX22" s="63">
        <v>0.1784575006086303</v>
      </c>
      <c r="AY22" s="63" cm="1">
        <f t="array" ref="AY22">INDEX(Pipes_result_save_V1!$M$2:$M$206,AL22)</f>
        <v>2.2028639316558838</v>
      </c>
      <c r="AZ22" s="63">
        <v>19.309698989131345</v>
      </c>
      <c r="BA22" s="63">
        <f>INDEX('Junctions — junctions'!$I$2:$I$197,MATCH(AO22,'Junctions — junctions'!$B$2:$B$197,0))</f>
        <v>65.715301513671875</v>
      </c>
      <c r="BF22" s="63">
        <f>MATCH(BI22,Pipes_result_save_V1!$H$2:$H$206,0)</f>
        <v>169</v>
      </c>
      <c r="BG22" s="63" t="s">
        <v>116</v>
      </c>
      <c r="BH22" s="63" t="s">
        <v>649</v>
      </c>
      <c r="BI22" s="63" t="s">
        <v>648</v>
      </c>
      <c r="BJ22" s="63">
        <v>204.52212438525402</v>
      </c>
      <c r="BK22" s="63" cm="1">
        <f t="array" ref="BK22">INDEX(Pipes_result_save_V1!$C$2:$C$206,'COMPARAISON EPANET'!BF22)</f>
        <v>156.4</v>
      </c>
      <c r="BL22" s="63">
        <v>250</v>
      </c>
      <c r="BM22" s="63" cm="1">
        <f t="array" ref="BM22">INDEX(Pipes_result_save_V1!$O$2:$O$206,BF22)</f>
        <v>150</v>
      </c>
      <c r="BN22" s="63">
        <v>9.2653627026286108E-3</v>
      </c>
      <c r="BO22" s="63" cm="1">
        <f t="array" ref="BO22">INDEX(Pipes_result_save_V1!$R$2:$R$206,BF22)/1000</f>
        <v>1.5763935089111329E-2</v>
      </c>
      <c r="BP22" s="63">
        <v>1.1797026189301009E-2</v>
      </c>
      <c r="BQ22" s="63" cm="1">
        <f t="array" ref="BQ22">INDEX(Pipes_result_save_V1!$L$2:$L$206,BF22)</f>
        <v>0.82053840160369873</v>
      </c>
      <c r="BR22" s="63">
        <v>0.308088735266423</v>
      </c>
      <c r="BS22" s="63" cm="1">
        <f t="array" ref="BS22">INDEX(Pipes_result_save_V1!$M$2:$M$206,BF22)</f>
        <v>4.0841250419616699</v>
      </c>
      <c r="BT22" s="63">
        <v>19.861527277792291</v>
      </c>
      <c r="BU22" s="63">
        <f>INDEX('Junctions — junctions'!$I$2:$I$197,MATCH(BI22,'Junctions — junctions'!$B$2:$B$197,0))</f>
        <v>57.798599243164063</v>
      </c>
      <c r="CA22" s="63">
        <f>MATCH(CD22,Pipes_result_save_V1!$H$2:$H$206,0)</f>
        <v>145</v>
      </c>
      <c r="CB22" s="63" t="s">
        <v>164</v>
      </c>
      <c r="CC22" s="63" t="s">
        <v>628</v>
      </c>
      <c r="CD22" s="63" t="s">
        <v>627</v>
      </c>
      <c r="CE22" s="63">
        <v>460.62820576799743</v>
      </c>
      <c r="CF22" s="63" cm="1">
        <f t="array" ref="CF22">INDEX(Pipes_result_save_V1!$C$2:$C$206,'COMPARAISON EPANET'!CA22)</f>
        <v>252</v>
      </c>
      <c r="CG22" s="63">
        <v>500</v>
      </c>
      <c r="CH22" s="63" cm="1">
        <f t="array" ref="CH22">INDEX(Pipes_result_save_V1!$O$2:$O$206,CA22)</f>
        <v>250</v>
      </c>
      <c r="CI22" s="63">
        <v>3.9875177688846644E-2</v>
      </c>
      <c r="CJ22" s="63" cm="1">
        <f t="array" ref="CJ22">INDEX(Pipes_result_save_V1!$R$2:$R$206,CA22)/1000</f>
        <v>4.60460205078125E-2</v>
      </c>
      <c r="CK22" s="63">
        <v>0.60484645932499004</v>
      </c>
      <c r="CL22" s="63" cm="1">
        <f t="array" ref="CL22">INDEX(Pipes_result_save_V1!$L$2:$L$206,CA22)</f>
        <v>0.9232063889503479</v>
      </c>
      <c r="CM22" s="63">
        <v>1.4612379201697402E-2</v>
      </c>
      <c r="CN22" s="63" cm="1">
        <f t="array" ref="CN22">INDEX(Pipes_result_save_V1!$M$2:$M$206,CA22)</f>
        <v>2.7374870777130131</v>
      </c>
      <c r="CO22" s="63">
        <v>18.826848862276346</v>
      </c>
      <c r="CP22" s="63">
        <f>INDEX('Junctions — junctions'!$I$2:$I$197,MATCH(CD22,'Junctions — junctions'!$B$2:$B$197,0))</f>
        <v>61.530899047851563</v>
      </c>
      <c r="CT22" s="63">
        <f>MATCH(CW22,Pipes_result_save_V1!$H$2:$H$206,0)</f>
        <v>122</v>
      </c>
      <c r="CU22" s="63" t="s">
        <v>909</v>
      </c>
      <c r="CV22" s="63" t="s">
        <v>609</v>
      </c>
      <c r="CW22" s="63" t="s">
        <v>776</v>
      </c>
      <c r="CX22" s="63">
        <v>460.62820576799743</v>
      </c>
      <c r="CY22" s="63" cm="1">
        <f t="array" ref="CY22">INDEX(Pipes_result_save_V1!$C$2:$C$206,'COMPARAISON EPANET'!CT22)</f>
        <v>489.4</v>
      </c>
      <c r="CZ22" s="63">
        <v>500</v>
      </c>
      <c r="DA22" s="63" cm="1">
        <f t="array" ref="DA22">INDEX(Pipes_result_save_V1!$O$2:$O$206,CT22)</f>
        <v>500</v>
      </c>
      <c r="DB22" s="63">
        <v>0.19188175428006549</v>
      </c>
      <c r="DC22" s="63" cm="1">
        <f t="array" ref="DC22">INDEX(Pipes_result_save_V1!$R$2:$R$206,CT22)/1000</f>
        <v>0.19768353271484382</v>
      </c>
      <c r="DD22" s="63">
        <v>7.0315647927795835E-2</v>
      </c>
      <c r="DE22" s="63" cm="1">
        <f t="array" ref="DE22">INDEX(Pipes_result_save_V1!$L$2:$L$206,CT22)</f>
        <v>1.0508731603622441</v>
      </c>
      <c r="DF22" s="63">
        <v>0.10254153733028086</v>
      </c>
      <c r="DG22" s="63" cm="1">
        <f t="array" ref="DG22">INDEX(Pipes_result_save_V1!$M$2:$M$206,CT22)</f>
        <v>1.464150547981262</v>
      </c>
      <c r="DH22" s="63">
        <v>18.870698857078537</v>
      </c>
      <c r="DI22" s="63">
        <f>INDEX('Junctions — junctions'!$I$2:$I$197,MATCH(CW22,'Junctions — junctions'!$B$2:$B$197,0))</f>
        <v>67.214385986328125</v>
      </c>
      <c r="DM22" s="63">
        <f>MATCH(DP22,Pipes_result_save_V1!$H$2:$H$206,0)</f>
        <v>125</v>
      </c>
      <c r="DN22" s="63" t="s">
        <v>404</v>
      </c>
      <c r="DO22" s="63" t="s">
        <v>611</v>
      </c>
      <c r="DP22" s="63" t="s">
        <v>597</v>
      </c>
      <c r="DQ22" s="63">
        <v>460.62820576799743</v>
      </c>
      <c r="DR22" s="63" cm="1">
        <f t="array" ref="DR22">INDEX(Pipes_result_save_V1!$C$2:$C$206,'COMPARAISON EPANET'!DM22)</f>
        <v>394.6</v>
      </c>
      <c r="DS22" s="63">
        <v>500</v>
      </c>
      <c r="DT22" s="63" cm="1">
        <f t="array" ref="DT22">INDEX(Pipes_result_save_V1!$O$2:$O$206,DM22)</f>
        <v>400</v>
      </c>
      <c r="DU22" s="63">
        <v>6.3262624144627813E-2</v>
      </c>
      <c r="DV22" s="63" cm="1">
        <f t="array" ref="DV22">INDEX(Pipes_result_save_V1!$R$2:$R$206,DM22)/1000</f>
        <v>7.1654319763183594E-2</v>
      </c>
      <c r="DW22" s="63">
        <v>2.3182779535408194E-2</v>
      </c>
      <c r="DX22" s="63" cm="1">
        <f t="array" ref="DX22">INDEX(Pipes_result_save_V1!$L$2:$L$206,DM22)</f>
        <v>0.58591687679290771</v>
      </c>
      <c r="DY22" s="63">
        <v>7.1654319763183594E-2</v>
      </c>
      <c r="DZ22" s="63" cm="1">
        <f t="array" ref="DZ22">INDEX(Pipes_result_save_V1!$M$2:$M$206,DM22)</f>
        <v>0.60648518800735474</v>
      </c>
      <c r="EA22" s="63">
        <v>15.62289060974121</v>
      </c>
      <c r="EB22" s="63">
        <f>INDEX('Junctions — junctions'!$I$2:$I$197,MATCH(DP22,'Junctions — junctions'!$B$2:$B$197,0))</f>
        <v>62.517715454101563</v>
      </c>
    </row>
    <row r="23" spans="1:132" x14ac:dyDescent="0.25">
      <c r="A23" s="63">
        <f>MATCH(D23,Pipes_result_save_V1!$H$2:$H$206,0)</f>
        <v>4</v>
      </c>
      <c r="B23" s="63" t="s">
        <v>210</v>
      </c>
      <c r="C23" s="63" t="s">
        <v>682</v>
      </c>
      <c r="D23" s="63" t="s">
        <v>681</v>
      </c>
      <c r="E23" s="63">
        <v>304.94857037416716</v>
      </c>
      <c r="F23" s="63" cm="1">
        <f t="array" ref="F23">INDEX(Pipes_result_save_V1!$C$2:$C$206,'COMPARAISON EPANET'!A23)</f>
        <v>72.8</v>
      </c>
      <c r="G23" s="63">
        <v>350</v>
      </c>
      <c r="H23" s="63" cm="1">
        <f t="array" ref="H23">INDEX(Pipes_result_save_V1!$O$2:$O$206,A23)</f>
        <v>75</v>
      </c>
      <c r="I23" s="63">
        <v>2.7547797696999138E-3</v>
      </c>
      <c r="J23" s="63" cm="1">
        <f t="array" ref="J23">INDEX(Pipes_result_save_V1!$R$2:$R$206,A23)/1000</f>
        <v>2.2651252746582031E-3</v>
      </c>
      <c r="K23" s="63">
        <v>1.7895380305195691E-3</v>
      </c>
      <c r="L23" s="63" cm="1">
        <f t="array" ref="L23">INDEX(Pipes_result_save_V1!$L$2:$L$206,A23)</f>
        <v>0.54417330026626587</v>
      </c>
      <c r="M23" s="63">
        <v>9.4940371718878883E-2</v>
      </c>
      <c r="N23" s="63" cm="1">
        <f t="array" ref="N23">INDEX(Pipes_result_save_V1!$M$2:$M$206,A23)</f>
        <v>4.9782266616821289</v>
      </c>
      <c r="O23" s="63">
        <v>30.773903159035321</v>
      </c>
      <c r="P23" s="63">
        <f>INDEX('Junctions — junctions'!$I$2:$I$197,MATCH(D23,'Junctions — junctions'!$B$2:$B$197,0))</f>
        <v>50.416271209716797</v>
      </c>
      <c r="S23" s="63">
        <f>MATCH(V23,Pipes_result_save_V1!$H$2:$H$206,0)</f>
        <v>49</v>
      </c>
      <c r="T23" s="63" t="s">
        <v>435</v>
      </c>
      <c r="U23" s="63" t="s">
        <v>721</v>
      </c>
      <c r="V23" s="63" t="s">
        <v>722</v>
      </c>
      <c r="W23" s="63">
        <v>271.95447352229712</v>
      </c>
      <c r="X23" s="63" cm="1">
        <f t="array" ref="X23">INDEX(Pipes_result_save_V1!$C$2:$C$206,'COMPARAISON EPANET'!S23)</f>
        <v>156.4</v>
      </c>
      <c r="Y23" s="63">
        <v>300</v>
      </c>
      <c r="Z23" s="63" cm="1">
        <f t="array" ref="Z23">INDEX(Pipes_result_save_V1!$O$2:$O$206,S23)</f>
        <v>150</v>
      </c>
      <c r="AA23" s="63">
        <v>1.1738371043320029E-2</v>
      </c>
      <c r="AB23" s="63" cm="1">
        <f t="array" ref="AB23">INDEX(Pipes_result_save_V1!$R$2:$R$206,S23)/1000</f>
        <v>1.490505695343018E-2</v>
      </c>
      <c r="AC23" s="63">
        <v>1.0378998752173062E-2</v>
      </c>
      <c r="AD23" s="63" cm="1">
        <f t="array" ref="AD23">INDEX(Pipes_result_save_V1!$L$2:$L$206,S23)</f>
        <v>0.7758324146270752</v>
      </c>
      <c r="AE23" s="63">
        <v>0.18031194520390531</v>
      </c>
      <c r="AF23" s="63" cm="1">
        <f t="array" ref="AF23">INDEX(Pipes_result_save_V1!$M$2:$M$206,S23)</f>
        <v>3.6512200832366939</v>
      </c>
      <c r="AG23" s="63">
        <v>63.925958607206105</v>
      </c>
      <c r="AH23" s="63">
        <f>INDEX('Junctions — junctions'!$I$2:$I$197,MATCH(V23,'Junctions — junctions'!$B$2:$B$197,0))</f>
        <v>51.776802062988281</v>
      </c>
      <c r="AL23" s="63">
        <f>MATCH(AO23,Pipes_result_save_V1!$H$2:$H$206,0)</f>
        <v>21</v>
      </c>
      <c r="AM23" s="63" t="s">
        <v>411</v>
      </c>
      <c r="AN23" s="63" t="s">
        <v>697</v>
      </c>
      <c r="AO23" s="63" t="s">
        <v>775</v>
      </c>
      <c r="AP23" s="63">
        <v>204.52523865872314</v>
      </c>
      <c r="AQ23" s="63" cm="1">
        <f t="array" ref="AQ23">INDEX(Pipes_result_save_V1!$C$2:$C$206,'COMPARAISON EPANET'!AL23)</f>
        <v>51.4</v>
      </c>
      <c r="AR23" s="63">
        <v>250</v>
      </c>
      <c r="AS23" s="63" cm="1">
        <f t="array" ref="AS23">INDEX(Pipes_result_save_V1!$O$2:$O$206,AL23)</f>
        <v>50</v>
      </c>
      <c r="AT23" s="63">
        <v>4.571385252712128E-3</v>
      </c>
      <c r="AU23" s="63" cm="1">
        <f t="array" ref="AU23">INDEX(Pipes_result_save_V1!$R$2:$R$206,AL23)/1000</f>
        <v>1.881206631660461E-3</v>
      </c>
      <c r="AV23" s="63">
        <v>5.8204684779722266E-3</v>
      </c>
      <c r="AW23" s="63" cm="1">
        <f t="array" ref="AW23">INDEX(Pipes_result_save_V1!$L$2:$L$206,AL23)</f>
        <v>0.9066048264503479</v>
      </c>
      <c r="AX23" s="63">
        <v>0.1784575006086303</v>
      </c>
      <c r="AY23" s="63" cm="1">
        <f t="array" ref="AY23">INDEX(Pipes_result_save_V1!$M$2:$M$206,AL23)</f>
        <v>21.975688934326168</v>
      </c>
      <c r="AZ23" s="63">
        <v>17.131241488522715</v>
      </c>
      <c r="BA23" s="63">
        <f>INDEX('Junctions — junctions'!$I$2:$I$197,MATCH(AO23,'Junctions — junctions'!$B$2:$B$197,0))</f>
        <v>60.320060729980469</v>
      </c>
      <c r="BF23" s="63">
        <f>MATCH(BI23,Pipes_result_save_V1!$H$2:$H$206,0)</f>
        <v>171</v>
      </c>
      <c r="BG23" s="63" t="s">
        <v>115</v>
      </c>
      <c r="BH23" s="63" t="s">
        <v>650</v>
      </c>
      <c r="BI23" s="63" t="s">
        <v>649</v>
      </c>
      <c r="BJ23" s="63">
        <v>503.99170956683594</v>
      </c>
      <c r="BK23" s="63" cm="1">
        <f t="array" ref="BK23">INDEX(Pipes_result_save_V1!$C$2:$C$206,'COMPARAISON EPANET'!BF23)</f>
        <v>252</v>
      </c>
      <c r="BL23" s="63">
        <v>600</v>
      </c>
      <c r="BM23" s="63" cm="1">
        <f t="array" ref="BM23">INDEX(Pipes_result_save_V1!$O$2:$O$206,BF23)</f>
        <v>250</v>
      </c>
      <c r="BN23" s="63">
        <v>4.0278430277578207E-2</v>
      </c>
      <c r="BO23" s="63" cm="1">
        <f t="array" ref="BO23">INDEX(Pipes_result_save_V1!$R$2:$R$206,BF23)/1000</f>
        <v>4.6855716705322271E-2</v>
      </c>
      <c r="BP23" s="63">
        <v>1.0040741293223958E-2</v>
      </c>
      <c r="BQ23" s="63" cm="1">
        <f t="array" ref="BQ23">INDEX(Pipes_result_save_V1!$L$2:$L$206,BF23)</f>
        <v>0.93944048881530762</v>
      </c>
      <c r="BR23" s="63">
        <v>0.13469904721539741</v>
      </c>
      <c r="BS23" s="63" cm="1">
        <f t="array" ref="BS23">INDEX(Pipes_result_save_V1!$M$2:$M$206,BF23)</f>
        <v>2.8346002101898189</v>
      </c>
      <c r="BT23" s="63">
        <v>21.726828230576892</v>
      </c>
      <c r="BU23" s="63">
        <f>INDEX('Junctions — junctions'!$I$2:$I$197,MATCH(BI23,'Junctions — junctions'!$B$2:$B$197,0))</f>
        <v>58.972789764404297</v>
      </c>
      <c r="CA23" s="63">
        <f>MATCH(CD23,Pipes_result_save_V1!$H$2:$H$206,0)</f>
        <v>146</v>
      </c>
      <c r="CB23" s="63" t="s">
        <v>163</v>
      </c>
      <c r="CC23" s="63" t="s">
        <v>629</v>
      </c>
      <c r="CD23" s="63" t="s">
        <v>628</v>
      </c>
      <c r="CE23" s="63">
        <v>460.62820576799743</v>
      </c>
      <c r="CF23" s="63" cm="1">
        <f t="array" ref="CF23">INDEX(Pipes_result_save_V1!$C$2:$C$206,'COMPARAISON EPANET'!CA23)</f>
        <v>204.2</v>
      </c>
      <c r="CG23" s="63">
        <v>500</v>
      </c>
      <c r="CH23" s="63" cm="1">
        <f t="array" ref="CH23">INDEX(Pipes_result_save_V1!$O$2:$O$206,CA23)</f>
        <v>200</v>
      </c>
      <c r="CI23" s="63">
        <v>3.5987845481947341E-2</v>
      </c>
      <c r="CJ23" s="63" cm="1">
        <f t="array" ref="CJ23">INDEX(Pipes_result_save_V1!$R$2:$R$206,CA23)/1000</f>
        <v>4.1470172882080075E-2</v>
      </c>
      <c r="CK23" s="63">
        <v>0.58701314848494113</v>
      </c>
      <c r="CL23" s="63" cm="1">
        <f t="array" ref="CL23">INDEX(Pipes_result_save_V1!$L$2:$L$206,CA23)</f>
        <v>1.266286969184875</v>
      </c>
      <c r="CM23" s="63">
        <v>1.3187854583062986E-2</v>
      </c>
      <c r="CN23" s="63" cm="1">
        <f t="array" ref="CN23">INDEX(Pipes_result_save_V1!$M$2:$M$206,CA23)</f>
        <v>6.8167939186096191</v>
      </c>
      <c r="CO23" s="63">
        <v>22.239835713791404</v>
      </c>
      <c r="CP23" s="63">
        <f>INDEX('Junctions — junctions'!$I$2:$I$197,MATCH(CD23,'Junctions — junctions'!$B$2:$B$197,0))</f>
        <v>64.415916442871094</v>
      </c>
      <c r="CT23" s="63">
        <f>MATCH(CW23,Pipes_result_save_V1!$H$2:$H$206,0)</f>
        <v>126</v>
      </c>
      <c r="CU23" s="63" t="s">
        <v>139</v>
      </c>
      <c r="CV23" s="63" t="s">
        <v>611</v>
      </c>
      <c r="CW23" s="63" t="s">
        <v>610</v>
      </c>
      <c r="CX23" s="63">
        <v>460.62820576799743</v>
      </c>
      <c r="CY23" s="63" cm="1">
        <f t="array" ref="CY23">INDEX(Pipes_result_save_V1!$C$2:$C$206,'COMPARAISON EPANET'!CT23)</f>
        <v>489.4</v>
      </c>
      <c r="CZ23" s="63">
        <v>500</v>
      </c>
      <c r="DA23" s="63" cm="1">
        <f t="array" ref="DA23">INDEX(Pipes_result_save_V1!$O$2:$O$206,CT23)</f>
        <v>500</v>
      </c>
      <c r="DB23" s="63">
        <v>0.18919595698173888</v>
      </c>
      <c r="DC23" s="63" cm="1">
        <f t="array" ref="DC23">INDEX(Pipes_result_save_V1!$R$2:$R$206,CT23)/1000</f>
        <v>0.19499050903320309</v>
      </c>
      <c r="DD23" s="63">
        <v>6.9331429402469488E-2</v>
      </c>
      <c r="DE23" s="63" cm="1">
        <f t="array" ref="DE23">INDEX(Pipes_result_save_V1!$L$2:$L$206,CT23)</f>
        <v>1.0365573167800901</v>
      </c>
      <c r="DF23" s="63">
        <v>0.37301341840435503</v>
      </c>
      <c r="DG23" s="63" cm="1">
        <f t="array" ref="DG23">INDEX(Pipes_result_save_V1!$M$2:$M$206,CT23)</f>
        <v>1.4245868921279909</v>
      </c>
      <c r="DH23" s="63">
        <v>16.497685438674182</v>
      </c>
      <c r="DI23" s="63">
        <f>INDEX('Junctions — junctions'!$I$2:$I$197,MATCH(CW23,'Junctions — junctions'!$B$2:$B$197,0))</f>
        <v>65.00286865234375</v>
      </c>
      <c r="DM23" s="63">
        <f>MATCH(DP23,Pipes_result_save_V1!$H$2:$H$206,0)</f>
        <v>103</v>
      </c>
      <c r="DN23" s="63" t="s">
        <v>151</v>
      </c>
      <c r="DO23" s="63" t="s">
        <v>599</v>
      </c>
      <c r="DP23" s="63" t="s">
        <v>598</v>
      </c>
      <c r="DQ23" s="63">
        <v>460.62820576799743</v>
      </c>
      <c r="DR23" s="63" cm="1">
        <f t="array" ref="DR23">INDEX(Pipes_result_save_V1!$C$2:$C$206,'COMPARAISON EPANET'!DM23)</f>
        <v>489.4</v>
      </c>
      <c r="DS23" s="63">
        <v>500</v>
      </c>
      <c r="DT23" s="63" cm="1">
        <f t="array" ref="DT23">INDEX(Pipes_result_save_V1!$O$2:$O$206,DM23)</f>
        <v>500</v>
      </c>
      <c r="DU23" s="63">
        <v>0.19832389366436998</v>
      </c>
      <c r="DV23" s="63" cm="1">
        <f t="array" ref="DV23">INDEX(Pipes_result_save_V1!$R$2:$R$206,DM23)/1000</f>
        <v>0.20831297302246091</v>
      </c>
      <c r="DW23" s="63">
        <v>7.2676389346635381E-2</v>
      </c>
      <c r="DX23" s="63" cm="1">
        <f t="array" ref="DX23">INDEX(Pipes_result_save_V1!$L$2:$L$206,DM23)</f>
        <v>1.1073787212371831</v>
      </c>
      <c r="DY23" s="63">
        <v>0.20831297302246091</v>
      </c>
      <c r="DZ23" s="63" cm="1">
        <f t="array" ref="DZ23">INDEX(Pipes_result_save_V1!$M$2:$M$206,DM23)</f>
        <v>1.6258871555328369</v>
      </c>
      <c r="EA23" s="63">
        <v>20.41457763671875</v>
      </c>
      <c r="EB23" s="63">
        <f>INDEX('Junctions — junctions'!$I$2:$I$197,MATCH(DP23,'Junctions — junctions'!$B$2:$B$197,0))</f>
        <v>69.647087097167969</v>
      </c>
    </row>
    <row r="24" spans="1:132" x14ac:dyDescent="0.25">
      <c r="A24" s="63">
        <f>MATCH(D24,Pipes_result_save_V1!$H$2:$H$206,0)</f>
        <v>5</v>
      </c>
      <c r="B24" s="63" t="s">
        <v>208</v>
      </c>
      <c r="C24" s="63" t="s">
        <v>683</v>
      </c>
      <c r="D24" s="63" t="s">
        <v>682</v>
      </c>
      <c r="E24" s="63">
        <v>267.09095757407135</v>
      </c>
      <c r="F24" s="63" cm="1">
        <f t="array" ref="F24">INDEX(Pipes_result_save_V1!$C$2:$C$206,'COMPARAISON EPANET'!A24)</f>
        <v>72.8</v>
      </c>
      <c r="G24" s="63">
        <v>300</v>
      </c>
      <c r="H24" s="63" cm="1">
        <f t="array" ref="H24">INDEX(Pipes_result_save_V1!$O$2:$O$206,A24)</f>
        <v>75</v>
      </c>
      <c r="I24" s="63">
        <v>4.1178197049803727E-3</v>
      </c>
      <c r="J24" s="63" cm="1">
        <f t="array" ref="J24">INDEX(Pipes_result_save_V1!$R$2:$R$206,A24)/1000</f>
        <v>1.529109477996826E-3</v>
      </c>
      <c r="K24" s="63">
        <v>3.640952004493536E-3</v>
      </c>
      <c r="L24" s="63" cm="1">
        <f t="array" ref="L24">INDEX(Pipes_result_save_V1!$L$2:$L$206,A24)</f>
        <v>0.36735299229621893</v>
      </c>
      <c r="M24" s="63">
        <v>9.4446136293034055E-2</v>
      </c>
      <c r="N24" s="63" cm="1">
        <f t="array" ref="N24">INDEX(Pipes_result_save_V1!$M$2:$M$206,A24)</f>
        <v>2.2686045169830318</v>
      </c>
      <c r="O24" s="63">
        <v>26.679457022742287</v>
      </c>
      <c r="P24" s="63">
        <f>INDEX('Junctions — junctions'!$I$2:$I$197,MATCH(D24,'Junctions — junctions'!$B$2:$B$197,0))</f>
        <v>46.053359985351563</v>
      </c>
      <c r="S24" s="63">
        <f>MATCH(V24,Pipes_result_save_V1!$H$2:$H$206,0)</f>
        <v>50</v>
      </c>
      <c r="T24" s="63" t="s">
        <v>207</v>
      </c>
      <c r="U24" s="63" t="s">
        <v>722</v>
      </c>
      <c r="V24" s="63" t="s">
        <v>723</v>
      </c>
      <c r="W24" s="63">
        <v>271.95447352229712</v>
      </c>
      <c r="X24" s="63" cm="1">
        <f t="array" ref="X24">INDEX(Pipes_result_save_V1!$C$2:$C$206,'COMPARAISON EPANET'!S24)</f>
        <v>156.4</v>
      </c>
      <c r="Y24" s="63">
        <v>300</v>
      </c>
      <c r="Z24" s="63" cm="1">
        <f t="array" ref="Z24">INDEX(Pipes_result_save_V1!$O$2:$O$206,S24)</f>
        <v>150</v>
      </c>
      <c r="AA24" s="63">
        <v>9.6271247287682774E-3</v>
      </c>
      <c r="AB24" s="63" cm="1">
        <f t="array" ref="AB24">INDEX(Pipes_result_save_V1!$R$2:$R$206,S24)/1000</f>
        <v>1.189823246002197E-2</v>
      </c>
      <c r="AC24" s="63">
        <v>8.5122471574760744E-3</v>
      </c>
      <c r="AD24" s="63" cm="1">
        <f t="array" ref="AD24">INDEX(Pipes_result_save_V1!$L$2:$L$206,S24)</f>
        <v>0.61932229995727539</v>
      </c>
      <c r="AE24" s="63">
        <v>0.76993200602067557</v>
      </c>
      <c r="AF24" s="63" cm="1">
        <f t="array" ref="AF24">INDEX(Pipes_result_save_V1!$M$2:$M$206,S24)</f>
        <v>2.3266811370849609</v>
      </c>
      <c r="AG24" s="63">
        <v>63.156026601185431</v>
      </c>
      <c r="AH24" s="63">
        <f>INDEX('Junctions — junctions'!$I$2:$I$197,MATCH(V24,'Junctions — junctions'!$B$2:$B$197,0))</f>
        <v>50.783309936523438</v>
      </c>
      <c r="AL24" s="63">
        <f>MATCH(AO24,Pipes_result_save_V1!$H$2:$H$206,0)</f>
        <v>23</v>
      </c>
      <c r="AM24" s="63" t="s">
        <v>309</v>
      </c>
      <c r="AN24" s="63" t="s">
        <v>699</v>
      </c>
      <c r="AO24" s="63" t="s">
        <v>698</v>
      </c>
      <c r="AP24" s="63">
        <v>204.52523865872314</v>
      </c>
      <c r="AQ24" s="63" cm="1">
        <f t="array" ref="AQ24">INDEX(Pipes_result_save_V1!$C$2:$C$206,'COMPARAISON EPANET'!AL24)</f>
        <v>100</v>
      </c>
      <c r="AR24" s="63">
        <v>250</v>
      </c>
      <c r="AS24" s="63" cm="1">
        <f t="array" ref="AS24">INDEX(Pipes_result_save_V1!$O$2:$O$206,AL24)</f>
        <v>100</v>
      </c>
      <c r="AT24" s="63">
        <v>6.9483369066257114E-5</v>
      </c>
      <c r="AU24" s="63" cm="1">
        <f t="array" ref="AU24">INDEX(Pipes_result_save_V1!$R$2:$R$206,AL24)/1000</f>
        <v>5.4757027626037595E-3</v>
      </c>
      <c r="AV24" s="63">
        <v>8.8468973196586503E-5</v>
      </c>
      <c r="AW24" s="63" cm="1">
        <f t="array" ref="AW24">INDEX(Pipes_result_save_V1!$L$2:$L$206,AL24)</f>
        <v>0.69718432426452637</v>
      </c>
      <c r="AX24" s="63">
        <v>0.17998277839161003</v>
      </c>
      <c r="AY24" s="63" cm="1">
        <f t="array" ref="AY24">INDEX(Pipes_result_save_V1!$M$2:$M$206,AL24)</f>
        <v>5.3519940376281738</v>
      </c>
      <c r="AZ24" s="63">
        <v>10.951258710131103</v>
      </c>
      <c r="BA24" s="63">
        <f>INDEX('Junctions — junctions'!$I$2:$I$197,MATCH(AO24,'Junctions — junctions'!$B$2:$B$197,0))</f>
        <v>58.005420684814453</v>
      </c>
      <c r="BF24" s="63">
        <f>MATCH(BI24,Pipes_result_save_V1!$H$2:$H$206,0)</f>
        <v>172</v>
      </c>
      <c r="BG24" s="63" t="s">
        <v>424</v>
      </c>
      <c r="BH24" s="63" t="s">
        <v>651</v>
      </c>
      <c r="BI24" s="63" t="s">
        <v>650</v>
      </c>
      <c r="BJ24" s="63">
        <v>503.99170956683594</v>
      </c>
      <c r="BK24" s="63" cm="1">
        <f t="array" ref="BK24">INDEX(Pipes_result_save_V1!$C$2:$C$206,'COMPARAISON EPANET'!BF24)</f>
        <v>204.2</v>
      </c>
      <c r="BL24" s="63">
        <v>600</v>
      </c>
      <c r="BM24" s="63" cm="1">
        <f t="array" ref="BM24">INDEX(Pipes_result_save_V1!$O$2:$O$206,BF24)</f>
        <v>200</v>
      </c>
      <c r="BN24" s="63">
        <v>3.6347581583337049E-2</v>
      </c>
      <c r="BO24" s="63" cm="1">
        <f t="array" ref="BO24">INDEX(Pipes_result_save_V1!$R$2:$R$206,BF24)/1000</f>
        <v>4.2576553344726563E-2</v>
      </c>
      <c r="BP24" s="63">
        <v>9.0608462345117598E-3</v>
      </c>
      <c r="BQ24" s="63" cm="1">
        <f t="array" ref="BQ24">INDEX(Pipes_result_save_V1!$L$2:$L$206,BF24)</f>
        <v>1.30007016658783</v>
      </c>
      <c r="BR24" s="63">
        <v>0.4738809853842898</v>
      </c>
      <c r="BS24" s="63" cm="1">
        <f t="array" ref="BS24">INDEX(Pipes_result_save_V1!$M$2:$M$206,BF24)</f>
        <v>7.1853809356689453</v>
      </c>
      <c r="BT24" s="63">
        <v>18.252947245192605</v>
      </c>
      <c r="BU24" s="63">
        <f>INDEX('Junctions — junctions'!$I$2:$I$197,MATCH(BI24,'Junctions — junctions'!$B$2:$B$197,0))</f>
        <v>55.501964569091797</v>
      </c>
      <c r="CA24" s="63">
        <f>MATCH(CD24,Pipes_result_save_V1!$H$2:$H$206,0)</f>
        <v>148</v>
      </c>
      <c r="CB24" s="63" t="s">
        <v>162</v>
      </c>
      <c r="CC24" s="63" t="s">
        <v>630</v>
      </c>
      <c r="CD24" s="63" t="s">
        <v>629</v>
      </c>
      <c r="CE24" s="63">
        <v>460.62820576799743</v>
      </c>
      <c r="CF24" s="63" cm="1">
        <f t="array" ref="CF24">INDEX(Pipes_result_save_V1!$C$2:$C$206,'COMPARAISON EPANET'!CA24)</f>
        <v>204.2</v>
      </c>
      <c r="CG24" s="63">
        <v>500</v>
      </c>
      <c r="CH24" s="63" cm="1">
        <f t="array" ref="CH24">INDEX(Pipes_result_save_V1!$O$2:$O$206,CA24)</f>
        <v>200</v>
      </c>
      <c r="CI24" s="63">
        <v>3.2236718686002766E-2</v>
      </c>
      <c r="CJ24" s="63" cm="1">
        <f t="array" ref="CJ24">INDEX(Pipes_result_save_V1!$R$2:$R$206,CA24)/1000</f>
        <v>3.8354942321777337E-2</v>
      </c>
      <c r="CK24" s="63">
        <v>0.22440249473728133</v>
      </c>
      <c r="CL24" s="63" cm="1">
        <f t="array" ref="CL24">INDEX(Pipes_result_save_V1!$L$2:$L$206,CA24)</f>
        <v>1.17116379737854</v>
      </c>
      <c r="CM24" s="63">
        <v>1.1813242848321505E-2</v>
      </c>
      <c r="CN24" s="63" cm="1">
        <f t="array" ref="CN24">INDEX(Pipes_result_save_V1!$M$2:$M$206,CA24)</f>
        <v>5.8311276435852051</v>
      </c>
      <c r="CO24" s="63">
        <v>21.015433219054124</v>
      </c>
      <c r="CP24" s="63">
        <f>INDEX('Junctions — junctions'!$I$2:$I$197,MATCH(CD24,'Junctions — junctions'!$B$2:$B$197,0))</f>
        <v>60.723968505859382</v>
      </c>
      <c r="CT24" s="63">
        <f>MATCH(CW24,Pipes_result_save_V1!$H$2:$H$206,0)</f>
        <v>127</v>
      </c>
      <c r="CU24" s="63" t="s">
        <v>138</v>
      </c>
      <c r="CV24" s="63" t="s">
        <v>612</v>
      </c>
      <c r="CW24" s="63" t="s">
        <v>611</v>
      </c>
      <c r="CX24" s="63">
        <v>325.71332790434337</v>
      </c>
      <c r="CY24" s="63" cm="1">
        <f t="array" ref="CY24">INDEX(Pipes_result_save_V1!$C$2:$C$206,'COMPARAISON EPANET'!CT24)</f>
        <v>394.6</v>
      </c>
      <c r="CZ24" s="63">
        <v>350</v>
      </c>
      <c r="DA24" s="63" cm="1">
        <f t="array" ref="DA24">INDEX(Pipes_result_save_V1!$O$2:$O$206,CT24)</f>
        <v>400</v>
      </c>
      <c r="DB24" s="63">
        <v>0.11492738092712057</v>
      </c>
      <c r="DC24" s="63" cm="1">
        <f t="array" ref="DC24">INDEX(Pipes_result_save_V1!$R$2:$R$206,CT24)/1000</f>
        <v>0.11996421051025391</v>
      </c>
      <c r="DD24" s="63">
        <v>7.4658207229210016E-2</v>
      </c>
      <c r="DE24" s="63" cm="1">
        <f t="array" ref="DE24">INDEX(Pipes_result_save_V1!$L$2:$L$206,CT24)</f>
        <v>0.98094642162322998</v>
      </c>
      <c r="DF24" s="63">
        <v>0.27254531158613615</v>
      </c>
      <c r="DG24" s="63" cm="1">
        <f t="array" ref="DG24">INDEX(Pipes_result_save_V1!$M$2:$M$206,CT24)</f>
        <v>1.6999664306640621</v>
      </c>
      <c r="DH24" s="63">
        <v>16.225140127088046</v>
      </c>
      <c r="DI24" s="63">
        <f>INDEX('Junctions — junctions'!$I$2:$I$197,MATCH(CW24,'Junctions — junctions'!$B$2:$B$197,0))</f>
        <v>64.645866394042969</v>
      </c>
      <c r="DM24" s="63">
        <f>MATCH(DP24,Pipes_result_save_V1!$H$2:$H$206,0)</f>
        <v>113</v>
      </c>
      <c r="DN24" s="63" t="s">
        <v>150</v>
      </c>
      <c r="DO24" s="63" t="s">
        <v>600</v>
      </c>
      <c r="DP24" s="63" t="s">
        <v>599</v>
      </c>
      <c r="DQ24" s="63">
        <v>460.62820576799743</v>
      </c>
      <c r="DR24" s="63" cm="1">
        <f t="array" ref="DR24">INDEX(Pipes_result_save_V1!$C$2:$C$206,'COMPARAISON EPANET'!DM24)</f>
        <v>489.4</v>
      </c>
      <c r="DS24" s="63">
        <v>500</v>
      </c>
      <c r="DT24" s="63" cm="1">
        <f t="array" ref="DT24">INDEX(Pipes_result_save_V1!$O$2:$O$206,DM24)</f>
        <v>500</v>
      </c>
      <c r="DU24" s="63">
        <v>0.19890919426423928</v>
      </c>
      <c r="DV24" s="63" cm="1">
        <f t="array" ref="DV24">INDEX(Pipes_result_save_V1!$R$2:$R$206,DM24)/1000</f>
        <v>0.207651123046875</v>
      </c>
      <c r="DW24" s="63">
        <v>7.2890874517811524E-2</v>
      </c>
      <c r="DX24" s="63" cm="1">
        <f t="array" ref="DX24">INDEX(Pipes_result_save_V1!$L$2:$L$206,DM24)</f>
        <v>1.1038602590560911</v>
      </c>
      <c r="DY24" s="63">
        <v>0.207651123046875</v>
      </c>
      <c r="DZ24" s="63" cm="1">
        <f t="array" ref="DZ24">INDEX(Pipes_result_save_V1!$M$2:$M$206,DM24)</f>
        <v>1.615462183952332</v>
      </c>
      <c r="EA24" s="63">
        <v>18.206926513671874</v>
      </c>
      <c r="EB24" s="63">
        <f>INDEX('Junctions — junctions'!$I$2:$I$197,MATCH(DP24,'Junctions — junctions'!$B$2:$B$197,0))</f>
        <v>67.556526184082031</v>
      </c>
    </row>
    <row r="25" spans="1:132" x14ac:dyDescent="0.25">
      <c r="A25" s="63">
        <f>MATCH(D25,Pipes_result_save_V1!$H$2:$H$206,0)</f>
        <v>6</v>
      </c>
      <c r="B25" s="63" t="s">
        <v>229</v>
      </c>
      <c r="C25" s="63" t="s">
        <v>684</v>
      </c>
      <c r="D25" s="63" t="s">
        <v>683</v>
      </c>
      <c r="E25" s="63">
        <v>167.40811720763833</v>
      </c>
      <c r="F25" s="63" cm="1">
        <f t="array" ref="F25">INDEX(Pipes_result_save_V1!$C$2:$C$206,'COMPARAISON EPANET'!A25)</f>
        <v>51.4</v>
      </c>
      <c r="G25" s="63">
        <v>200</v>
      </c>
      <c r="H25" s="63" cm="1">
        <f t="array" ref="H25">INDEX(Pipes_result_save_V1!$O$2:$O$206,A25)</f>
        <v>50</v>
      </c>
      <c r="I25" s="63">
        <v>4.899302312000104E-3</v>
      </c>
      <c r="J25" s="63" cm="1">
        <f t="array" ref="J25">INDEX(Pipes_result_save_V1!$R$2:$R$206,A25)/1000</f>
        <v>1.0840767621994021E-3</v>
      </c>
      <c r="K25" s="63">
        <v>9.7468522582045969E-3</v>
      </c>
      <c r="L25" s="63" cm="1">
        <f t="array" ref="L25">INDEX(Pipes_result_save_V1!$L$2:$L$206,A25)</f>
        <v>0.5224461555480957</v>
      </c>
      <c r="M25" s="63">
        <v>4.7389480906776568E-2</v>
      </c>
      <c r="N25" s="63" cm="1">
        <f t="array" ref="N25">INDEX(Pipes_result_save_V1!$M$2:$M$206,A25)</f>
        <v>7.2977886199951172</v>
      </c>
      <c r="O25" s="63">
        <v>22.632067541835511</v>
      </c>
      <c r="P25" s="63">
        <f>INDEX('Junctions — junctions'!$I$2:$I$197,MATCH(D25,'Junctions — junctions'!$B$2:$B$197,0))</f>
        <v>41.925636291503913</v>
      </c>
      <c r="S25" s="63">
        <f>MATCH(V25,Pipes_result_save_V1!$H$2:$H$206,0)</f>
        <v>51</v>
      </c>
      <c r="T25" s="63" t="s">
        <v>206</v>
      </c>
      <c r="U25" s="63" t="s">
        <v>723</v>
      </c>
      <c r="V25" s="63" t="s">
        <v>724</v>
      </c>
      <c r="W25" s="63">
        <v>271.95447352229712</v>
      </c>
      <c r="X25" s="63" cm="1">
        <f t="array" ref="X25">INDEX(Pipes_result_save_V1!$C$2:$C$206,'COMPARAISON EPANET'!S25)</f>
        <v>156.4</v>
      </c>
      <c r="Y25" s="63">
        <v>300</v>
      </c>
      <c r="Z25" s="63" cm="1">
        <f t="array" ref="Z25">INDEX(Pipes_result_save_V1!$O$2:$O$206,S25)</f>
        <v>150</v>
      </c>
      <c r="AA25" s="63">
        <v>8.4606213740655439E-3</v>
      </c>
      <c r="AB25" s="63" cm="1">
        <f t="array" ref="AB25">INDEX(Pipes_result_save_V1!$R$2:$R$206,S25)/1000</f>
        <v>8.9655799865722662E-3</v>
      </c>
      <c r="AC25" s="63">
        <v>7.4808317406193058E-3</v>
      </c>
      <c r="AD25" s="63" cm="1">
        <f t="array" ref="AD25">INDEX(Pipes_result_save_V1!$L$2:$L$206,S25)</f>
        <v>0.46667295694351202</v>
      </c>
      <c r="AE25" s="63">
        <v>0.15687139232739758</v>
      </c>
      <c r="AF25" s="63" cm="1">
        <f t="array" ref="AF25">INDEX(Pipes_result_save_V1!$M$2:$M$206,S25)</f>
        <v>1.321064710617065</v>
      </c>
      <c r="AG25" s="63">
        <v>62.999155208858028</v>
      </c>
      <c r="AH25" s="63">
        <f>INDEX('Junctions — junctions'!$I$2:$I$197,MATCH(V25,'Junctions — junctions'!$B$2:$B$197,0))</f>
        <v>50.669036865234382</v>
      </c>
      <c r="AL25" s="63">
        <f>MATCH(AO25,Pipes_result_save_V1!$H$2:$H$206,0)</f>
        <v>25</v>
      </c>
      <c r="AM25" s="63" t="s">
        <v>310</v>
      </c>
      <c r="AN25" s="63" t="s">
        <v>700</v>
      </c>
      <c r="AO25" s="63" t="s">
        <v>699</v>
      </c>
      <c r="AP25" s="63">
        <v>204.52523865872314</v>
      </c>
      <c r="AQ25" s="63" cm="1">
        <f t="array" ref="AQ25">INDEX(Pipes_result_save_V1!$C$2:$C$206,'COMPARAISON EPANET'!AL25)</f>
        <v>100</v>
      </c>
      <c r="AR25" s="63">
        <v>250</v>
      </c>
      <c r="AS25" s="63" cm="1">
        <f t="array" ref="AS25">INDEX(Pipes_result_save_V1!$O$2:$O$206,AL25)</f>
        <v>100</v>
      </c>
      <c r="AT25" s="63">
        <v>1.4383996248023296E-3</v>
      </c>
      <c r="AU25" s="63" cm="1">
        <f t="array" ref="AU25">INDEX(Pipes_result_save_V1!$R$2:$R$206,AL25)/1000</f>
        <v>7.6723389625549315E-3</v>
      </c>
      <c r="AV25" s="63">
        <v>1.8314272834305471E-3</v>
      </c>
      <c r="AW25" s="63" cm="1">
        <f t="array" ref="AW25">INDEX(Pipes_result_save_V1!$L$2:$L$206,AL25)</f>
        <v>0.97686725854873657</v>
      </c>
      <c r="AX25" s="63">
        <v>0.18150805617458979</v>
      </c>
      <c r="AY25" s="63" cm="1">
        <f t="array" ref="AY25">INDEX(Pipes_result_save_V1!$M$2:$M$206,AL25)</f>
        <v>10.507328033447269</v>
      </c>
      <c r="AZ25" s="63">
        <v>18.769750653956514</v>
      </c>
      <c r="BA25" s="63">
        <f>INDEX('Junctions — junctions'!$I$2:$I$197,MATCH(AO25,'Junctions — junctions'!$B$2:$B$197,0))</f>
        <v>67.141647338867188</v>
      </c>
      <c r="BF25" s="63">
        <f>MATCH(BI25,Pipes_result_save_V1!$H$2:$H$206,0)</f>
        <v>107</v>
      </c>
      <c r="BG25" s="63" t="s">
        <v>428</v>
      </c>
      <c r="BH25" s="63" t="s">
        <v>772</v>
      </c>
      <c r="BI25" s="63" t="s">
        <v>651</v>
      </c>
      <c r="BJ25" s="63">
        <v>503.99170956683594</v>
      </c>
      <c r="BK25" s="63" cm="1">
        <f t="array" ref="BK25">INDEX(Pipes_result_save_V1!$C$2:$C$206,'COMPARAISON EPANET'!BF25)</f>
        <v>204.2</v>
      </c>
      <c r="BL25" s="63">
        <v>600</v>
      </c>
      <c r="BM25" s="63" cm="1">
        <f t="array" ref="BM25">INDEX(Pipes_result_save_V1!$O$2:$O$206,BF25)</f>
        <v>200</v>
      </c>
      <c r="BN25" s="63">
        <v>3.1526179338179819E-2</v>
      </c>
      <c r="BO25" s="63" cm="1">
        <f t="array" ref="BO25">INDEX(Pipes_result_save_V1!$R$2:$R$206,BF25)/1000</f>
        <v>3.804064178466797E-2</v>
      </c>
      <c r="BP25" s="63">
        <v>7.8589510196145317E-3</v>
      </c>
      <c r="BQ25" s="63" cm="1">
        <f t="array" ref="BQ25">INDEX(Pipes_result_save_V1!$L$2:$L$206,BF25)</f>
        <v>1.1615666151046751</v>
      </c>
      <c r="BR25" s="63">
        <v>0.17121384917137866</v>
      </c>
      <c r="BS25" s="63" cm="1">
        <f t="array" ref="BS25">INDEX(Pipes_result_save_V1!$M$2:$M$206,BF25)</f>
        <v>5.7359366416931152</v>
      </c>
      <c r="BT25" s="63">
        <v>22.081733396021225</v>
      </c>
      <c r="BU25" s="63">
        <f>INDEX('Junctions — junctions'!$I$2:$I$197,MATCH(BI25,'Junctions — junctions'!$B$2:$B$197,0))</f>
        <v>55.304981231689453</v>
      </c>
      <c r="CA25" s="63">
        <f>MATCH(CD25,Pipes_result_save_V1!$H$2:$H$206,0)</f>
        <v>149</v>
      </c>
      <c r="CB25" s="63" t="s">
        <v>161</v>
      </c>
      <c r="CC25" s="63" t="s">
        <v>631</v>
      </c>
      <c r="CD25" s="63" t="s">
        <v>630</v>
      </c>
      <c r="CE25" s="63">
        <v>460.62820576799743</v>
      </c>
      <c r="CF25" s="63" cm="1">
        <f t="array" ref="CF25">INDEX(Pipes_result_save_V1!$C$2:$C$206,'COMPARAISON EPANET'!CA25)</f>
        <v>204.2</v>
      </c>
      <c r="CG25" s="63">
        <v>500</v>
      </c>
      <c r="CH25" s="63" cm="1">
        <f t="array" ref="CH25">INDEX(Pipes_result_save_V1!$O$2:$O$206,CA25)</f>
        <v>200</v>
      </c>
      <c r="CI25" s="63">
        <v>3.0061025927469467E-2</v>
      </c>
      <c r="CJ25" s="63" cm="1">
        <f t="array" ref="CJ25">INDEX(Pipes_result_save_V1!$R$2:$R$206,CA25)/1000</f>
        <v>3.6432170867919923E-2</v>
      </c>
      <c r="CK25" s="63">
        <v>0.27641631802075711</v>
      </c>
      <c r="CL25" s="63" cm="1">
        <f t="array" ref="CL25">INDEX(Pipes_result_save_V1!$L$2:$L$206,CA25)</f>
        <v>1.1124521493911741</v>
      </c>
      <c r="CM25" s="63">
        <v>1.1015953671025423E-2</v>
      </c>
      <c r="CN25" s="63" cm="1">
        <f t="array" ref="CN25">INDEX(Pipes_result_save_V1!$M$2:$M$206,CA25)</f>
        <v>5.2611222267150879</v>
      </c>
      <c r="CO25" s="63">
        <v>16.739016901033366</v>
      </c>
      <c r="CP25" s="63">
        <f>INDEX('Junctions — junctions'!$I$2:$I$197,MATCH(CD25,'Junctions — junctions'!$B$2:$B$197,0))</f>
        <v>55.840549468994141</v>
      </c>
      <c r="CT25" s="63">
        <f>MATCH(CW25,Pipes_result_save_V1!$H$2:$H$206,0)</f>
        <v>128</v>
      </c>
      <c r="CU25" s="63" t="s">
        <v>137</v>
      </c>
      <c r="CV25" s="63" t="s">
        <v>613</v>
      </c>
      <c r="CW25" s="63" t="s">
        <v>612</v>
      </c>
      <c r="CX25" s="63">
        <v>325.71332790434337</v>
      </c>
      <c r="CY25" s="63" cm="1">
        <f t="array" ref="CY25">INDEX(Pipes_result_save_V1!$C$2:$C$206,'COMPARAISON EPANET'!CT25)</f>
        <v>394.6</v>
      </c>
      <c r="CZ25" s="63">
        <v>350</v>
      </c>
      <c r="DA25" s="63" cm="1">
        <f t="array" ref="DA25">INDEX(Pipes_result_save_V1!$O$2:$O$206,CT25)</f>
        <v>400</v>
      </c>
      <c r="DB25" s="63">
        <v>0.11265888178789435</v>
      </c>
      <c r="DC25" s="63" cm="1">
        <f t="array" ref="DC25">INDEX(Pipes_result_save_V1!$R$2:$R$206,CT25)/1000</f>
        <v>0.11833242034912109</v>
      </c>
      <c r="DD25" s="63">
        <v>7.318456293775058E-2</v>
      </c>
      <c r="DE25" s="63" cm="1">
        <f t="array" ref="DE25">INDEX(Pipes_result_save_V1!$L$2:$L$206,CT25)</f>
        <v>0.96760332584381104</v>
      </c>
      <c r="DF25" s="63">
        <v>0.33170243348080136</v>
      </c>
      <c r="DG25" s="63" cm="1">
        <f t="array" ref="DG25">INDEX(Pipes_result_save_V1!$M$2:$M$206,CT25)</f>
        <v>1.653968811035156</v>
      </c>
      <c r="DH25" s="63">
        <v>12.893437693607243</v>
      </c>
      <c r="DI25" s="63">
        <f>INDEX('Junctions — junctions'!$I$2:$I$197,MATCH(CW25,'Junctions — junctions'!$B$2:$B$197,0))</f>
        <v>61.426399230957031</v>
      </c>
      <c r="DM25" s="63">
        <f>MATCH(DP25,Pipes_result_save_V1!$H$2:$H$206,0)</f>
        <v>114</v>
      </c>
      <c r="DN25" s="63" t="s">
        <v>149</v>
      </c>
      <c r="DO25" s="63" t="s">
        <v>601</v>
      </c>
      <c r="DP25" s="63" t="s">
        <v>600</v>
      </c>
      <c r="DQ25" s="63">
        <v>460.62820576799743</v>
      </c>
      <c r="DR25" s="63" cm="1">
        <f t="array" ref="DR25">INDEX(Pipes_result_save_V1!$C$2:$C$206,'COMPARAISON EPANET'!DM25)</f>
        <v>489.4</v>
      </c>
      <c r="DS25" s="63">
        <v>500</v>
      </c>
      <c r="DT25" s="63" cm="1">
        <f t="array" ref="DT25">INDEX(Pipes_result_save_V1!$O$2:$O$206,DM25)</f>
        <v>500</v>
      </c>
      <c r="DU25" s="63">
        <v>0.19638140137781473</v>
      </c>
      <c r="DV25" s="63" cm="1">
        <f t="array" ref="DV25">INDEX(Pipes_result_save_V1!$R$2:$R$206,DM25)/1000</f>
        <v>0.20692651367187501</v>
      </c>
      <c r="DW25" s="63">
        <v>7.196455718606154E-2</v>
      </c>
      <c r="DX25" s="63" cm="1">
        <f t="array" ref="DX25">INDEX(Pipes_result_save_V1!$L$2:$L$206,DM25)</f>
        <v>1.100008368492126</v>
      </c>
      <c r="DY25" s="63">
        <v>0.20692651367187501</v>
      </c>
      <c r="DZ25" s="63" cm="1">
        <f t="array" ref="DZ25">INDEX(Pipes_result_save_V1!$M$2:$M$206,DM25)</f>
        <v>1.60430920124054</v>
      </c>
      <c r="EA25" s="63">
        <v>10</v>
      </c>
      <c r="EB25" s="63">
        <f>INDEX('Junctions — junctions'!$I$2:$I$197,MATCH(DP25,'Junctions — junctions'!$B$2:$B$197,0))</f>
        <v>59.459762573242188</v>
      </c>
    </row>
    <row r="26" spans="1:132" x14ac:dyDescent="0.25">
      <c r="A26" s="63">
        <f>MATCH(D26,Pipes_result_save_V1!$H$2:$H$206,0)</f>
        <v>7</v>
      </c>
      <c r="B26" s="63" t="s">
        <v>265</v>
      </c>
      <c r="C26" s="63" t="s">
        <v>685</v>
      </c>
      <c r="D26" s="63" t="s">
        <v>684</v>
      </c>
      <c r="E26" s="63">
        <v>262.27811368316162</v>
      </c>
      <c r="F26" s="63" cm="1">
        <f t="array" ref="F26">INDEX(Pipes_result_save_V1!$C$2:$C$206,'COMPARAISON EPANET'!A26)</f>
        <v>51.4</v>
      </c>
      <c r="G26" s="63">
        <v>300</v>
      </c>
      <c r="H26" s="63" cm="1">
        <f t="array" ref="H26">INDEX(Pipes_result_save_V1!$O$2:$O$206,A26)</f>
        <v>50</v>
      </c>
      <c r="I26" s="63">
        <v>5.1839247217690312E-3</v>
      </c>
      <c r="J26" s="63" cm="1">
        <f t="array" ref="J26">INDEX(Pipes_result_save_V1!$R$2:$R$206,A26)/1000</f>
        <v>6.5045499801635745E-4</v>
      </c>
      <c r="K26" s="63">
        <v>4.5835958004767753E-3</v>
      </c>
      <c r="L26" s="63" cm="1">
        <f t="array" ref="L26">INDEX(Pipes_result_save_V1!$L$2:$L$206,A26)</f>
        <v>0.31347203254699713</v>
      </c>
      <c r="M26" s="63">
        <v>8.5141039063695509E-2</v>
      </c>
      <c r="N26" s="63" cm="1">
        <f t="array" ref="N26">INDEX(Pipes_result_save_V1!$M$2:$M$206,A26)</f>
        <v>2.6272718906402588</v>
      </c>
      <c r="O26" s="63">
        <v>22.546926502771814</v>
      </c>
      <c r="P26" s="63">
        <f>INDEX('Junctions — junctions'!$I$2:$I$197,MATCH(D26,'Junctions — junctions'!$B$2:$B$197,0))</f>
        <v>41.76800537109375</v>
      </c>
      <c r="S26" s="63">
        <f>MATCH(V26,Pipes_result_save_V1!$H$2:$H$206,0)</f>
        <v>52</v>
      </c>
      <c r="T26" s="63" t="s">
        <v>205</v>
      </c>
      <c r="U26" s="63" t="s">
        <v>724</v>
      </c>
      <c r="V26" s="63" t="s">
        <v>725</v>
      </c>
      <c r="W26" s="63">
        <v>271.95447352229712</v>
      </c>
      <c r="X26" s="63" cm="1">
        <f t="array" ref="X26">INDEX(Pipes_result_save_V1!$C$2:$C$206,'COMPARAISON EPANET'!S26)</f>
        <v>156.4</v>
      </c>
      <c r="Y26" s="63">
        <v>300</v>
      </c>
      <c r="Z26" s="63" cm="1">
        <f t="array" ref="Z26">INDEX(Pipes_result_save_V1!$O$2:$O$206,S26)</f>
        <v>150</v>
      </c>
      <c r="AA26" s="63">
        <v>7.7033973419067111E-3</v>
      </c>
      <c r="AB26" s="63" cm="1">
        <f t="array" ref="AB26">INDEX(Pipes_result_save_V1!$R$2:$R$206,S26)/1000</f>
        <v>7.81305980682373E-3</v>
      </c>
      <c r="AC26" s="63">
        <v>6.8112986975856693E-3</v>
      </c>
      <c r="AD26" s="63" cm="1">
        <f t="array" ref="AD26">INDEX(Pipes_result_save_V1!$L$2:$L$206,S26)</f>
        <v>0.40668243169784551</v>
      </c>
      <c r="AE26" s="63">
        <v>0.20735873698449106</v>
      </c>
      <c r="AF26" s="63" cm="1">
        <f t="array" ref="AF26">INDEX(Pipes_result_save_V1!$M$2:$M$206,S26)</f>
        <v>1.003243684768677</v>
      </c>
      <c r="AG26" s="63">
        <v>64.791796471873539</v>
      </c>
      <c r="AH26" s="63">
        <f>INDEX('Junctions — junctions'!$I$2:$I$197,MATCH(V26,'Junctions — junctions'!$B$2:$B$197,0))</f>
        <v>52.553966522216797</v>
      </c>
      <c r="AL26" s="63">
        <f>MATCH(AO26,Pipes_result_save_V1!$H$2:$H$206,0)</f>
        <v>26</v>
      </c>
      <c r="AM26" s="63" t="s">
        <v>312</v>
      </c>
      <c r="AN26" s="63" t="s">
        <v>701</v>
      </c>
      <c r="AO26" s="63" t="s">
        <v>700</v>
      </c>
      <c r="AP26" s="63">
        <v>204.52212438525402</v>
      </c>
      <c r="AQ26" s="63" cm="1">
        <f t="array" ref="AQ26">INDEX(Pipes_result_save_V1!$C$2:$C$206,'COMPARAISON EPANET'!AL26)</f>
        <v>108.4</v>
      </c>
      <c r="AR26" s="63">
        <v>250</v>
      </c>
      <c r="AS26" s="63" cm="1">
        <f t="array" ref="AS26">INDEX(Pipes_result_save_V1!$O$2:$O$206,AL26)</f>
        <v>100</v>
      </c>
      <c r="AT26" s="63">
        <v>3.387243992339333E-3</v>
      </c>
      <c r="AU26" s="63" cm="1">
        <f t="array" ref="AU26">INDEX(Pipes_result_save_V1!$R$2:$R$206,AL26)/1000</f>
        <v>9.4182367324829094E-3</v>
      </c>
      <c r="AV26" s="63">
        <v>4.3127729987130475E-3</v>
      </c>
      <c r="AW26" s="63" cm="1">
        <f t="array" ref="AW26">INDEX(Pipes_result_save_V1!$L$2:$L$206,AL26)</f>
        <v>1.020513653755188</v>
      </c>
      <c r="AX26" s="63">
        <v>0.1830230110493602</v>
      </c>
      <c r="AY26" s="63" cm="1">
        <f t="array" ref="AY26">INDEX(Pipes_result_save_V1!$M$2:$M$206,AL26)</f>
        <v>10.29825019836426</v>
      </c>
      <c r="AZ26" s="63">
        <v>13.586727642907155</v>
      </c>
      <c r="BA26" s="63">
        <f>INDEX('Junctions — junctions'!$I$2:$I$197,MATCH(AO26,'Junctions — junctions'!$B$2:$B$197,0))</f>
        <v>63.958366394042969</v>
      </c>
      <c r="BF26" s="63">
        <f>MATCH(BI26,Pipes_result_save_V1!$H$2:$H$206,0)</f>
        <v>173</v>
      </c>
      <c r="BG26" s="63" t="s">
        <v>181</v>
      </c>
      <c r="BH26" s="63" t="s">
        <v>652</v>
      </c>
      <c r="BI26" s="63" t="s">
        <v>653</v>
      </c>
      <c r="BJ26" s="63">
        <v>204.52523865872314</v>
      </c>
      <c r="BK26" s="63" cm="1">
        <f t="array" ref="BK26">INDEX(Pipes_result_save_V1!$C$2:$C$206,'COMPARAISON EPANET'!BF26)</f>
        <v>252</v>
      </c>
      <c r="BL26" s="63">
        <v>250</v>
      </c>
      <c r="BM26" s="63" cm="1">
        <f t="array" ref="BM26">INDEX(Pipes_result_save_V1!$O$2:$O$206,BF26)</f>
        <v>250</v>
      </c>
      <c r="BN26" s="63">
        <v>5.6926136485617146E-2</v>
      </c>
      <c r="BO26" s="63" cm="1">
        <f t="array" ref="BO26">INDEX(Pipes_result_save_V1!$R$2:$R$206,BF26)/1000</f>
        <v>6.3329761505126952E-2</v>
      </c>
      <c r="BP26" s="63">
        <v>7.2480608102478916E-2</v>
      </c>
      <c r="BQ26" s="63" cm="1">
        <f t="array" ref="BQ26">INDEX(Pipes_result_save_V1!$L$2:$L$206,BF26)</f>
        <v>1.2697392702102659</v>
      </c>
      <c r="BR26" s="63">
        <v>0.16187231665420129</v>
      </c>
      <c r="BS26" s="63" cm="1">
        <f t="array" ref="BS26">INDEX(Pipes_result_save_V1!$M$2:$M$206,BF26)</f>
        <v>5.1782503128051758</v>
      </c>
      <c r="BT26" s="63">
        <v>18.919861079367024</v>
      </c>
      <c r="BU26" s="63">
        <f>INDEX('Junctions — junctions'!$I$2:$I$197,MATCH(BI26,'Junctions — junctions'!$B$2:$B$197,0))</f>
        <v>66.137924194335938</v>
      </c>
      <c r="CA26" s="63">
        <f>MATCH(CD26,Pipes_result_save_V1!$H$2:$H$206,0)</f>
        <v>168</v>
      </c>
      <c r="CB26" s="63" t="s">
        <v>415</v>
      </c>
      <c r="CC26" s="63" t="s">
        <v>649</v>
      </c>
      <c r="CD26" s="63" t="s">
        <v>631</v>
      </c>
      <c r="CE26" s="63">
        <v>460.62820576799743</v>
      </c>
      <c r="CF26" s="63" cm="1">
        <f t="array" ref="CF26">INDEX(Pipes_result_save_V1!$C$2:$C$206,'COMPARAISON EPANET'!CA26)</f>
        <v>204.2</v>
      </c>
      <c r="CG26" s="63">
        <v>500</v>
      </c>
      <c r="CH26" s="63" cm="1">
        <f t="array" ref="CH26">INDEX(Pipes_result_save_V1!$O$2:$O$206,CA26)</f>
        <v>200</v>
      </c>
      <c r="CI26" s="63">
        <v>2.8968674602108418E-2</v>
      </c>
      <c r="CJ26" s="63" cm="1">
        <f t="array" ref="CJ26">INDEX(Pipes_result_save_V1!$R$2:$R$206,CA26)/1000</f>
        <v>3.4281181335449218E-2</v>
      </c>
      <c r="CK26" s="63">
        <v>0.28384686420411082</v>
      </c>
      <c r="CL26" s="63" cm="1">
        <f t="array" ref="CL26">INDEX(Pipes_result_save_V1!$L$2:$L$206,CA26)</f>
        <v>1.0467720031738279</v>
      </c>
      <c r="CM26" s="63">
        <v>1.0615658231285801E-2</v>
      </c>
      <c r="CN26" s="63" cm="1">
        <f t="array" ref="CN26">INDEX(Pipes_result_save_V1!$M$2:$M$206,CA26)</f>
        <v>4.6582083702087402</v>
      </c>
      <c r="CO26" s="63">
        <v>21.455170036829255</v>
      </c>
      <c r="CP26" s="63">
        <f>INDEX('Junctions — junctions'!$I$2:$I$197,MATCH(CD26,'Junctions — junctions'!$B$2:$B$197,0))</f>
        <v>59.862506866455078</v>
      </c>
      <c r="CT26" s="63">
        <f>MATCH(CW26,Pipes_result_save_V1!$H$2:$H$206,0)</f>
        <v>129</v>
      </c>
      <c r="CU26" s="63" t="s">
        <v>136</v>
      </c>
      <c r="CV26" s="63" t="s">
        <v>614</v>
      </c>
      <c r="CW26" s="63" t="s">
        <v>613</v>
      </c>
      <c r="CX26" s="63">
        <v>325.71332790434337</v>
      </c>
      <c r="CY26" s="63" cm="1">
        <f t="array" ref="CY26">INDEX(Pipes_result_save_V1!$C$2:$C$206,'COMPARAISON EPANET'!CT26)</f>
        <v>394.6</v>
      </c>
      <c r="CZ26" s="63">
        <v>350</v>
      </c>
      <c r="DA26" s="63" cm="1">
        <f t="array" ref="DA26">INDEX(Pipes_result_save_V1!$O$2:$O$206,CT26)</f>
        <v>400</v>
      </c>
      <c r="DB26" s="63">
        <v>0.11072408370900942</v>
      </c>
      <c r="DC26" s="63" cm="1">
        <f t="array" ref="DC26">INDEX(Pipes_result_save_V1!$R$2:$R$206,CT26)/1000</f>
        <v>0.11696879577636721</v>
      </c>
      <c r="DD26" s="63">
        <v>7.1927694863712865E-2</v>
      </c>
      <c r="DE26" s="63" cm="1">
        <f t="array" ref="DE26">INDEX(Pipes_result_save_V1!$L$2:$L$206,CT26)</f>
        <v>0.95645296573638916</v>
      </c>
      <c r="DF26" s="63">
        <v>0.1732458569772338</v>
      </c>
      <c r="DG26" s="63" cm="1">
        <f t="array" ref="DG26">INDEX(Pipes_result_save_V1!$M$2:$M$206,CT26)</f>
        <v>1.616180419921875</v>
      </c>
      <c r="DH26" s="63">
        <v>18.720191836630011</v>
      </c>
      <c r="DI26" s="63">
        <f>INDEX('Junctions — junctions'!$I$2:$I$197,MATCH(CW26,'Junctions — junctions'!$B$2:$B$197,0))</f>
        <v>67.16705322265625</v>
      </c>
      <c r="DM26" s="63">
        <f>MATCH(DP26,Pipes_result_save_V1!$H$2:$H$206,0)</f>
        <v>115</v>
      </c>
      <c r="DN26" s="63" t="s">
        <v>148</v>
      </c>
      <c r="DO26" s="63" t="s">
        <v>602</v>
      </c>
      <c r="DP26" s="63" t="s">
        <v>601</v>
      </c>
      <c r="DQ26" s="63">
        <v>460.62820576799743</v>
      </c>
      <c r="DR26" s="63" cm="1">
        <f t="array" ref="DR26">INDEX(Pipes_result_save_V1!$C$2:$C$206,'COMPARAISON EPANET'!DM26)</f>
        <v>489.4</v>
      </c>
      <c r="DS26" s="63">
        <v>500</v>
      </c>
      <c r="DT26" s="63" cm="1">
        <f t="array" ref="DT26">INDEX(Pipes_result_save_V1!$O$2:$O$206,DM26)</f>
        <v>500</v>
      </c>
      <c r="DU26" s="63">
        <v>0.19401650420675814</v>
      </c>
      <c r="DV26" s="63" cm="1">
        <f t="array" ref="DV26">INDEX(Pipes_result_save_V1!$R$2:$R$206,DM26)/1000</f>
        <v>0.2054373626708984</v>
      </c>
      <c r="DW26" s="63">
        <v>7.1097933480804273E-2</v>
      </c>
      <c r="DX26" s="63" cm="1">
        <f t="array" ref="DX26">INDEX(Pipes_result_save_V1!$L$2:$L$206,DM26)</f>
        <v>1.0920921564102171</v>
      </c>
      <c r="DY26" s="63">
        <v>0.2054373626708984</v>
      </c>
      <c r="DZ26" s="63" cm="1">
        <f t="array" ref="DZ26">INDEX(Pipes_result_save_V1!$M$2:$M$206,DM26)</f>
        <v>1.581346750259399</v>
      </c>
      <c r="EA26" s="63">
        <v>18.794562637329101</v>
      </c>
      <c r="EB26" s="63">
        <f>INDEX('Junctions — junctions'!$I$2:$I$197,MATCH(DP26,'Junctions — junctions'!$B$2:$B$197,0))</f>
        <v>68.352752685546875</v>
      </c>
    </row>
    <row r="27" spans="1:132" x14ac:dyDescent="0.25">
      <c r="A27" s="63">
        <f>MATCH(D27,Pipes_result_save_V1!$H$2:$H$206,0)</f>
        <v>8</v>
      </c>
      <c r="B27" s="63" t="s">
        <v>434</v>
      </c>
      <c r="C27" s="63" t="s">
        <v>418</v>
      </c>
      <c r="D27" s="63" t="s">
        <v>685</v>
      </c>
      <c r="E27" s="63">
        <v>195.49056373532235</v>
      </c>
      <c r="F27" s="63" cm="1">
        <f t="array" ref="F27">INDEX(Pipes_result_save_V1!$C$2:$C$206,'COMPARAISON EPANET'!A27)</f>
        <v>51.4</v>
      </c>
      <c r="G27" s="63">
        <v>200</v>
      </c>
      <c r="H27" s="63" cm="1">
        <f t="array" ref="H27">INDEX(Pipes_result_save_V1!$O$2:$O$206,A27)</f>
        <v>50</v>
      </c>
      <c r="I27" s="63">
        <v>4.8596935076183498E-2</v>
      </c>
      <c r="J27" s="63" cm="1">
        <f t="array" ref="J27">INDEX(Pipes_result_save_V1!$R$2:$R$206,A27)/1000</f>
        <v>0</v>
      </c>
      <c r="K27" s="63">
        <v>9.6680530456131453E-2</v>
      </c>
      <c r="L27" s="63" cm="1">
        <f t="array" ref="L27">INDEX(Pipes_result_save_V1!$L$2:$L$206,A27)</f>
        <v>0</v>
      </c>
      <c r="M27" s="63">
        <v>0.11477367408807007</v>
      </c>
      <c r="N27" s="63" cm="1">
        <f t="array" ref="N27">INDEX(Pipes_result_save_V1!$M$2:$M$206,A27)</f>
        <v>0</v>
      </c>
      <c r="O27" s="63">
        <v>21.432152828683744</v>
      </c>
      <c r="P27" s="63">
        <f>INDEX('Junctions — junctions'!$I$2:$I$197,MATCH(D27,'Junctions — junctions'!$B$2:$B$197,0))</f>
        <v>40.626396179199219</v>
      </c>
      <c r="S27" s="63">
        <f>MATCH(V27,Pipes_result_save_V1!$H$2:$H$206,0)</f>
        <v>53</v>
      </c>
      <c r="T27" s="63" t="s">
        <v>204</v>
      </c>
      <c r="U27" s="63" t="s">
        <v>725</v>
      </c>
      <c r="V27" s="63" t="s">
        <v>726</v>
      </c>
      <c r="W27" s="63">
        <v>271.95447352229712</v>
      </c>
      <c r="X27" s="63" cm="1">
        <f t="array" ref="X27">INDEX(Pipes_result_save_V1!$C$2:$C$206,'COMPARAISON EPANET'!S27)</f>
        <v>108.4</v>
      </c>
      <c r="Y27" s="63">
        <v>300</v>
      </c>
      <c r="Z27" s="63" cm="1">
        <f t="array" ref="Z27">INDEX(Pipes_result_save_V1!$O$2:$O$206,S27)</f>
        <v>100</v>
      </c>
      <c r="AA27" s="63">
        <v>2.4601289774330839E-3</v>
      </c>
      <c r="AB27" s="63" cm="1">
        <f t="array" ref="AB27">INDEX(Pipes_result_save_V1!$R$2:$R$206,S27)/1000</f>
        <v>6.1983890533447265E-3</v>
      </c>
      <c r="AC27" s="63">
        <v>2.1752315966782508E-3</v>
      </c>
      <c r="AD27" s="63" cm="1">
        <f t="array" ref="AD27">INDEX(Pipes_result_save_V1!$L$2:$L$206,S27)</f>
        <v>0.67162680625915527</v>
      </c>
      <c r="AE27" s="63">
        <v>0.30292406794256088</v>
      </c>
      <c r="AF27" s="63" cm="1">
        <f t="array" ref="AF27">INDEX(Pipes_result_save_V1!$M$2:$M$206,S27)</f>
        <v>4.4604997634887704</v>
      </c>
      <c r="AG27" s="63">
        <v>66.488872403930984</v>
      </c>
      <c r="AH27" s="63">
        <f>INDEX('Junctions — junctions'!$I$2:$I$197,MATCH(V27,'Junctions — junctions'!$B$2:$B$197,0))</f>
        <v>53.804157257080078</v>
      </c>
      <c r="AL27" s="63">
        <f>MATCH(AO27,Pipes_result_save_V1!$H$2:$H$206,0)</f>
        <v>27</v>
      </c>
      <c r="AM27" s="63" t="s">
        <v>311</v>
      </c>
      <c r="AN27" s="63" t="s">
        <v>701</v>
      </c>
      <c r="AO27" s="63" t="s">
        <v>702</v>
      </c>
      <c r="AP27" s="63">
        <v>384.60170480326735</v>
      </c>
      <c r="AQ27" s="63" cm="1">
        <f t="array" ref="AQ27">INDEX(Pipes_result_save_V1!$C$2:$C$206,'COMPARAISON EPANET'!AL27)</f>
        <v>252</v>
      </c>
      <c r="AR27" s="63">
        <v>400</v>
      </c>
      <c r="AS27" s="63" cm="1">
        <f t="array" ref="AS27">INDEX(Pipes_result_save_V1!$O$2:$O$206,AL27)</f>
        <v>250</v>
      </c>
      <c r="AT27" s="63">
        <v>5.2203869364785827E-2</v>
      </c>
      <c r="AU27" s="63" cm="1">
        <f t="array" ref="AU27">INDEX(Pipes_result_save_V1!$R$2:$R$206,AL27)/1000</f>
        <v>5.762615203857422E-2</v>
      </c>
      <c r="AV27" s="63">
        <v>2.5964074556028831E-2</v>
      </c>
      <c r="AW27" s="63" cm="1">
        <f t="array" ref="AW27">INDEX(Pipes_result_save_V1!$L$2:$L$206,AL27)</f>
        <v>1.155383825302124</v>
      </c>
      <c r="AX27" s="63">
        <v>0.19397279997750211</v>
      </c>
      <c r="AY27" s="63" cm="1">
        <f t="array" ref="AY27">INDEX(Pipes_result_save_V1!$M$2:$M$206,AL27)</f>
        <v>4.2875046730041504</v>
      </c>
      <c r="AZ27" s="63">
        <v>18.392754842929651</v>
      </c>
      <c r="BA27" s="63">
        <f>INDEX('Junctions — junctions'!$I$2:$I$197,MATCH(AO27,'Junctions — junctions'!$B$2:$B$197,0))</f>
        <v>70.017448425292969</v>
      </c>
      <c r="BF27" s="63">
        <f>MATCH(BI27,Pipes_result_save_V1!$H$2:$H$206,0)</f>
        <v>174</v>
      </c>
      <c r="BG27" s="63" t="s">
        <v>179</v>
      </c>
      <c r="BH27" s="63" t="s">
        <v>653</v>
      </c>
      <c r="BI27" s="63" t="s">
        <v>654</v>
      </c>
      <c r="BJ27" s="63">
        <v>204.52523865872314</v>
      </c>
      <c r="BK27" s="63" cm="1">
        <f t="array" ref="BK27">INDEX(Pipes_result_save_V1!$C$2:$C$206,'COMPARAISON EPANET'!BF27)</f>
        <v>252</v>
      </c>
      <c r="BL27" s="63">
        <v>250</v>
      </c>
      <c r="BM27" s="63" cm="1">
        <f t="array" ref="BM27">INDEX(Pipes_result_save_V1!$O$2:$O$206,BF27)</f>
        <v>250</v>
      </c>
      <c r="BN27" s="63">
        <v>5.7076732049721926E-2</v>
      </c>
      <c r="BO27" s="63" cm="1">
        <f t="array" ref="BO27">INDEX(Pipes_result_save_V1!$R$2:$R$206,BF27)/1000</f>
        <v>6.2376930236816411E-2</v>
      </c>
      <c r="BP27" s="63">
        <v>7.267235232995882E-2</v>
      </c>
      <c r="BQ27" s="63" cm="1">
        <f t="array" ref="BQ27">INDEX(Pipes_result_save_V1!$L$2:$L$206,BF27)</f>
        <v>1.2506353855133061</v>
      </c>
      <c r="BR27" s="63">
        <v>0.17603614436144388</v>
      </c>
      <c r="BS27" s="63" cm="1">
        <f t="array" ref="BS27">INDEX(Pipes_result_save_V1!$M$2:$M$206,BF27)</f>
        <v>5.0235886573791504</v>
      </c>
      <c r="BT27" s="63">
        <v>21.743824935005581</v>
      </c>
      <c r="BU27" s="63">
        <f>INDEX('Junctions — junctions'!$I$2:$I$197,MATCH(BI27,'Junctions — junctions'!$B$2:$B$197,0))</f>
        <v>68.699363708496094</v>
      </c>
      <c r="CA27" s="63">
        <f>MATCH(CD27,Pipes_result_save_V1!$H$2:$H$206,0)</f>
        <v>151</v>
      </c>
      <c r="CB27" s="63" t="s">
        <v>159</v>
      </c>
      <c r="CC27" s="63" t="s">
        <v>633</v>
      </c>
      <c r="CD27" s="63" t="s">
        <v>632</v>
      </c>
      <c r="CE27" s="63">
        <v>204.52523865872314</v>
      </c>
      <c r="CF27" s="63" cm="1">
        <f t="array" ref="CF27">INDEX(Pipes_result_save_V1!$C$2:$C$206,'COMPARAISON EPANET'!CA27)</f>
        <v>204.2</v>
      </c>
      <c r="CG27" s="63">
        <v>250</v>
      </c>
      <c r="CH27" s="63" cm="1">
        <f t="array" ref="CH27">INDEX(Pipes_result_save_V1!$O$2:$O$206,CA27)</f>
        <v>200</v>
      </c>
      <c r="CI27" s="63">
        <v>2.567610066461315E-2</v>
      </c>
      <c r="CJ27" s="63" cm="1">
        <f t="array" ref="CJ27">INDEX(Pipes_result_save_V1!$R$2:$R$206,CA27)/1000</f>
        <v>3.1705240249633788E-2</v>
      </c>
      <c r="CK27" s="63">
        <v>7.7651512635117478E-2</v>
      </c>
      <c r="CL27" s="63" cm="1">
        <f t="array" ref="CL27">INDEX(Pipes_result_save_V1!$L$2:$L$206,CA27)</f>
        <v>0.96811586618423462</v>
      </c>
      <c r="CM27" s="63">
        <v>3.2691826720786257E-2</v>
      </c>
      <c r="CN27" s="63" cm="1">
        <f t="array" ref="CN27">INDEX(Pipes_result_save_V1!$M$2:$M$206,CA27)</f>
        <v>3.984466552734375</v>
      </c>
      <c r="CO27" s="63">
        <v>20.377518524194137</v>
      </c>
      <c r="CP27" s="63">
        <f>INDEX('Junctions — junctions'!$I$2:$I$197,MATCH(CD27,'Junctions — junctions'!$B$2:$B$197,0))</f>
        <v>67.044265747070313</v>
      </c>
      <c r="CT27" s="63">
        <f>MATCH(CW27,Pipes_result_save_V1!$H$2:$H$206,0)</f>
        <v>130</v>
      </c>
      <c r="CU27" s="63" t="s">
        <v>134</v>
      </c>
      <c r="CV27" s="63" t="s">
        <v>615</v>
      </c>
      <c r="CW27" s="63" t="s">
        <v>614</v>
      </c>
      <c r="CX27" s="63">
        <v>325.71332790434337</v>
      </c>
      <c r="CY27" s="63" cm="1">
        <f t="array" ref="CY27">INDEX(Pipes_result_save_V1!$C$2:$C$206,'COMPARAISON EPANET'!CT27)</f>
        <v>394.6</v>
      </c>
      <c r="CZ27" s="63">
        <v>350</v>
      </c>
      <c r="DA27" s="63" cm="1">
        <f t="array" ref="DA27">INDEX(Pipes_result_save_V1!$O$2:$O$206,CT27)</f>
        <v>400</v>
      </c>
      <c r="DB27" s="63">
        <v>0.10974783372471916</v>
      </c>
      <c r="DC27" s="63" cm="1">
        <f t="array" ref="DC27">INDEX(Pipes_result_save_V1!$R$2:$R$206,CT27)/1000</f>
        <v>0.1161072616577148</v>
      </c>
      <c r="DD27" s="63">
        <v>7.1293511146597849E-2</v>
      </c>
      <c r="DE27" s="63" cm="1">
        <f t="array" ref="DE27">INDEX(Pipes_result_save_V1!$L$2:$L$206,CT27)</f>
        <v>0.94940817356109619</v>
      </c>
      <c r="DF27" s="63">
        <v>0.14578005038328212</v>
      </c>
      <c r="DG27" s="63" cm="1">
        <f t="array" ref="DG27">INDEX(Pipes_result_save_V1!$M$2:$M$206,CT27)</f>
        <v>1.5923531055450439</v>
      </c>
      <c r="DH27" s="63">
        <v>22.574411786246728</v>
      </c>
      <c r="DI27" s="63">
        <f>INDEX('Junctions — junctions'!$I$2:$I$197,MATCH(CW27,'Junctions — junctions'!$B$2:$B$197,0))</f>
        <v>71.033882141113281</v>
      </c>
      <c r="DM27" s="63">
        <f>MATCH(DP27,Pipes_result_save_V1!$H$2:$H$206,0)</f>
        <v>116</v>
      </c>
      <c r="DN27" s="63" t="s">
        <v>147</v>
      </c>
      <c r="DO27" s="63" t="s">
        <v>603</v>
      </c>
      <c r="DP27" s="63" t="s">
        <v>602</v>
      </c>
      <c r="DQ27" s="63">
        <v>460.62820576799743</v>
      </c>
      <c r="DR27" s="63" cm="1">
        <f t="array" ref="DR27">INDEX(Pipes_result_save_V1!$C$2:$C$206,'COMPARAISON EPANET'!DM27)</f>
        <v>489.4</v>
      </c>
      <c r="DS27" s="63">
        <v>500</v>
      </c>
      <c r="DT27" s="63" cm="1">
        <f t="array" ref="DT27">INDEX(Pipes_result_save_V1!$O$2:$O$206,DM27)</f>
        <v>500</v>
      </c>
      <c r="DU27" s="63">
        <v>0.19356214461411125</v>
      </c>
      <c r="DV27" s="63" cm="1">
        <f t="array" ref="DV27">INDEX(Pipes_result_save_V1!$R$2:$R$206,DM27)/1000</f>
        <v>0.20390827941894532</v>
      </c>
      <c r="DW27" s="63">
        <v>7.0931432036886136E-2</v>
      </c>
      <c r="DX27" s="63" cm="1">
        <f t="array" ref="DX27">INDEX(Pipes_result_save_V1!$L$2:$L$206,DM27)</f>
        <v>1.0839636325836179</v>
      </c>
      <c r="DY27" s="63">
        <v>0.20390827941894532</v>
      </c>
      <c r="DZ27" s="63" cm="1">
        <f t="array" ref="DZ27">INDEX(Pipes_result_save_V1!$M$2:$M$206,DM27)</f>
        <v>1.557793021202087</v>
      </c>
      <c r="EA27" s="63">
        <v>20.590654357910154</v>
      </c>
      <c r="EB27" s="63">
        <f>INDEX('Junctions — junctions'!$I$2:$I$197,MATCH(DP27,'Junctions — junctions'!$B$2:$B$197,0))</f>
        <v>70.045814514160156</v>
      </c>
    </row>
    <row r="28" spans="1:132" x14ac:dyDescent="0.25">
      <c r="A28" s="63">
        <f>MATCH(D28,Pipes_result_save_V1!$H$2:$H$206,0)</f>
        <v>56</v>
      </c>
      <c r="B28" s="63" t="s">
        <v>220</v>
      </c>
      <c r="C28" s="63" t="s">
        <v>728</v>
      </c>
      <c r="D28" s="63" t="s">
        <v>729</v>
      </c>
      <c r="E28" s="63">
        <v>340.47550114359308</v>
      </c>
      <c r="F28" s="63" cm="1">
        <f t="array" ref="F28">INDEX(Pipes_result_save_V1!$C$2:$C$206,'COMPARAISON EPANET'!A28)</f>
        <v>156.4</v>
      </c>
      <c r="G28" s="63">
        <v>350</v>
      </c>
      <c r="H28" s="63" cm="1">
        <f t="array" ref="H28">INDEX(Pipes_result_save_V1!$O$2:$O$206,A28)</f>
        <v>150</v>
      </c>
      <c r="I28" s="63">
        <v>6.5757426923407046E-3</v>
      </c>
      <c r="J28" s="63" cm="1">
        <f t="array" ref="J28">INDEX(Pipes_result_save_V1!$R$2:$R$206,A28)/1000</f>
        <v>1.2776296615600589E-2</v>
      </c>
      <c r="K28" s="63">
        <v>4.271681444842578E-3</v>
      </c>
      <c r="L28" s="63" cm="1">
        <f t="array" ref="L28">INDEX(Pipes_result_save_V1!$L$2:$L$206,A28)</f>
        <v>0.6650269627571106</v>
      </c>
      <c r="M28" s="63">
        <v>0.17800827088336596</v>
      </c>
      <c r="N28" s="63" cm="1">
        <f t="array" ref="N28">INDEX(Pipes_result_save_V1!$M$2:$M$206,A28)</f>
        <v>2.6827230453491211</v>
      </c>
      <c r="O28" s="63">
        <v>30.25414455780038</v>
      </c>
      <c r="P28" s="63">
        <f>INDEX('Junctions — junctions'!$I$2:$I$197,MATCH(D28,'Junctions — junctions'!$B$2:$B$197,0))</f>
        <v>58.109989166259773</v>
      </c>
      <c r="S28" s="63">
        <f>MATCH(V28,Pipes_result_save_V1!$H$2:$H$206,0)</f>
        <v>54</v>
      </c>
      <c r="T28" s="63" t="s">
        <v>218</v>
      </c>
      <c r="U28" s="63" t="s">
        <v>726</v>
      </c>
      <c r="V28" s="63" t="s">
        <v>727</v>
      </c>
      <c r="W28" s="63">
        <v>271.95447352229712</v>
      </c>
      <c r="X28" s="63" cm="1">
        <f t="array" ref="X28">INDEX(Pipes_result_save_V1!$C$2:$C$206,'COMPARAISON EPANET'!S28)</f>
        <v>94.4</v>
      </c>
      <c r="Y28" s="63">
        <v>300</v>
      </c>
      <c r="Z28" s="63" cm="1">
        <f t="array" ref="Z28">INDEX(Pipes_result_save_V1!$O$2:$O$206,S28)</f>
        <v>100</v>
      </c>
      <c r="AA28" s="63">
        <v>1.9297096944473368E-3</v>
      </c>
      <c r="AB28" s="63" cm="1">
        <f t="array" ref="AB28">INDEX(Pipes_result_save_V1!$R$2:$R$206,S28)/1000</f>
        <v>4.0188694000244142E-3</v>
      </c>
      <c r="AC28" s="63">
        <v>1.7062379811313591E-3</v>
      </c>
      <c r="AD28" s="63" cm="1">
        <f t="array" ref="AD28">INDEX(Pipes_result_save_V1!$L$2:$L$206,S28)</f>
        <v>0.57420593500137329</v>
      </c>
      <c r="AE28" s="63">
        <v>0.38586756273635725</v>
      </c>
      <c r="AF28" s="63" cm="1">
        <f t="array" ref="AF28">INDEX(Pipes_result_save_V1!$M$2:$M$206,S28)</f>
        <v>3.920287132263184</v>
      </c>
      <c r="AG28" s="63">
        <v>62.103004841194618</v>
      </c>
      <c r="AH28" s="63">
        <f>INDEX('Junctions — junctions'!$I$2:$I$197,MATCH(V28,'Junctions — junctions'!$B$2:$B$197,0))</f>
        <v>48.964431762695313</v>
      </c>
      <c r="AL28" s="63">
        <f>MATCH(AO28,Pipes_result_save_V1!$H$2:$H$206,0)</f>
        <v>28</v>
      </c>
      <c r="AM28" s="63" t="s">
        <v>313</v>
      </c>
      <c r="AN28" s="63" t="s">
        <v>702</v>
      </c>
      <c r="AO28" s="63" t="s">
        <v>703</v>
      </c>
      <c r="AP28" s="63">
        <v>384.60170480326735</v>
      </c>
      <c r="AQ28" s="63" cm="1">
        <f t="array" ref="AQ28">INDEX(Pipes_result_save_V1!$C$2:$C$206,'COMPARAISON EPANET'!AL28)</f>
        <v>252</v>
      </c>
      <c r="AR28" s="63">
        <v>400</v>
      </c>
      <c r="AS28" s="63" cm="1">
        <f t="array" ref="AS28">INDEX(Pipes_result_save_V1!$O$2:$O$206,AL28)</f>
        <v>250</v>
      </c>
      <c r="AT28" s="63">
        <v>5.028201965257538E-2</v>
      </c>
      <c r="AU28" s="63" cm="1">
        <f t="array" ref="AU28">INDEX(Pipes_result_save_V1!$R$2:$R$206,AL28)/1000</f>
        <v>5.6114177703857425E-2</v>
      </c>
      <c r="AV28" s="63">
        <v>2.5008224926097489E-2</v>
      </c>
      <c r="AW28" s="63" cm="1">
        <f t="array" ref="AW28">INDEX(Pipes_result_save_V1!$L$2:$L$206,AL28)</f>
        <v>1.125069260597229</v>
      </c>
      <c r="AX28" s="63">
        <v>0.19557588096905171</v>
      </c>
      <c r="AY28" s="63" cm="1">
        <f t="array" ref="AY28">INDEX(Pipes_result_save_V1!$M$2:$M$206,AL28)</f>
        <v>4.0654888153076172</v>
      </c>
      <c r="AZ28" s="63">
        <v>11.197178961960601</v>
      </c>
      <c r="BA28" s="63">
        <f>INDEX('Junctions — junctions'!$I$2:$I$197,MATCH(AO28,'Junctions — junctions'!$B$2:$B$197,0))</f>
        <v>62.231586456298828</v>
      </c>
      <c r="BF28" s="63">
        <f>MATCH(BI28,Pipes_result_save_V1!$H$2:$H$206,0)</f>
        <v>175</v>
      </c>
      <c r="BG28" s="63" t="s">
        <v>180</v>
      </c>
      <c r="BH28" s="63" t="s">
        <v>654</v>
      </c>
      <c r="BI28" s="63" t="s">
        <v>655</v>
      </c>
      <c r="BJ28" s="63">
        <v>204.52523865872314</v>
      </c>
      <c r="BK28" s="63" cm="1">
        <f t="array" ref="BK28">INDEX(Pipes_result_save_V1!$C$2:$C$206,'COMPARAISON EPANET'!BF28)</f>
        <v>252</v>
      </c>
      <c r="BL28" s="63">
        <v>250</v>
      </c>
      <c r="BM28" s="63" cm="1">
        <f t="array" ref="BM28">INDEX(Pipes_result_save_V1!$O$2:$O$206,BF28)</f>
        <v>250</v>
      </c>
      <c r="BN28" s="63">
        <v>5.5989810279985203E-2</v>
      </c>
      <c r="BO28" s="63" cm="1">
        <f t="array" ref="BO28">INDEX(Pipes_result_save_V1!$R$2:$R$206,BF28)/1000</f>
        <v>6.1372756958007813E-2</v>
      </c>
      <c r="BP28" s="63">
        <v>7.1288440550696497E-2</v>
      </c>
      <c r="BQ28" s="63" cm="1">
        <f t="array" ref="BQ28">INDEX(Pipes_result_save_V1!$L$2:$L$206,BF28)</f>
        <v>1.2305020093917849</v>
      </c>
      <c r="BR28" s="63">
        <v>0.18008295227779894</v>
      </c>
      <c r="BS28" s="63" cm="1">
        <f t="array" ref="BS28">INDEX(Pipes_result_save_V1!$M$2:$M$206,BF28)</f>
        <v>4.8631472587585449</v>
      </c>
      <c r="BT28" s="63">
        <v>16.56374198272778</v>
      </c>
      <c r="BU28" s="63">
        <f>INDEX('Junctions — junctions'!$I$2:$I$197,MATCH(BI28,'Junctions — junctions'!$B$2:$B$197,0))</f>
        <v>63.266544342041023</v>
      </c>
      <c r="CA28" s="63">
        <f>MATCH(CD28,Pipes_result_save_V1!$H$2:$H$206,0)</f>
        <v>152</v>
      </c>
      <c r="CB28" s="63" t="s">
        <v>158</v>
      </c>
      <c r="CC28" s="63" t="s">
        <v>634</v>
      </c>
      <c r="CD28" s="63" t="s">
        <v>633</v>
      </c>
      <c r="CE28" s="63">
        <v>204.52523865872314</v>
      </c>
      <c r="CF28" s="63" cm="1">
        <f t="array" ref="CF28">INDEX(Pipes_result_save_V1!$C$2:$C$206,'COMPARAISON EPANET'!CA28)</f>
        <v>204.2</v>
      </c>
      <c r="CG28" s="63">
        <v>250</v>
      </c>
      <c r="CH28" s="63" cm="1">
        <f t="array" ref="CH28">INDEX(Pipes_result_save_V1!$O$2:$O$206,CA28)</f>
        <v>200</v>
      </c>
      <c r="CI28" s="63">
        <v>2.419857855476026E-2</v>
      </c>
      <c r="CJ28" s="63" cm="1">
        <f t="array" ref="CJ28">INDEX(Pipes_result_save_V1!$R$2:$R$206,CA28)/1000</f>
        <v>3.0079156875610351E-2</v>
      </c>
      <c r="CK28" s="63">
        <v>0.15778126503518553</v>
      </c>
      <c r="CL28" s="63" cm="1">
        <f t="array" ref="CL28">INDEX(Pipes_result_save_V1!$L$2:$L$206,CA28)</f>
        <v>0.91846358776092529</v>
      </c>
      <c r="CM28" s="63">
        <v>3.0810587142301026E-2</v>
      </c>
      <c r="CN28" s="63" cm="1">
        <f t="array" ref="CN28">INDEX(Pipes_result_save_V1!$M$2:$M$206,CA28)</f>
        <v>3.5862553119659419</v>
      </c>
      <c r="CO28" s="63">
        <v>15.219737259158952</v>
      </c>
      <c r="CP28" s="63">
        <f>INDEX('Junctions — junctions'!$I$2:$I$197,MATCH(CD28,'Junctions — junctions'!$B$2:$B$197,0))</f>
        <v>61.668533325195313</v>
      </c>
      <c r="CT28" s="63">
        <f>MATCH(CW28,Pipes_result_save_V1!$H$2:$H$206,0)</f>
        <v>131</v>
      </c>
      <c r="CU28" s="63" t="s">
        <v>135</v>
      </c>
      <c r="CV28" s="63" t="s">
        <v>616</v>
      </c>
      <c r="CW28" s="63" t="s">
        <v>615</v>
      </c>
      <c r="CX28" s="63">
        <v>325.71332790434337</v>
      </c>
      <c r="CY28" s="63" cm="1">
        <f t="array" ref="CY28">INDEX(Pipes_result_save_V1!$C$2:$C$206,'COMPARAISON EPANET'!CT28)</f>
        <v>394.6</v>
      </c>
      <c r="CZ28" s="63">
        <v>350</v>
      </c>
      <c r="DA28" s="63" cm="1">
        <f t="array" ref="DA28">INDEX(Pipes_result_save_V1!$O$2:$O$206,CT28)</f>
        <v>400</v>
      </c>
      <c r="DB28" s="63">
        <v>0.10933901969787044</v>
      </c>
      <c r="DC28" s="63" cm="1">
        <f t="array" ref="DC28">INDEX(Pipes_result_save_V1!$R$2:$R$206,CT28)/1000</f>
        <v>0.1152970657348633</v>
      </c>
      <c r="DD28" s="63">
        <v>7.1027940643829376E-2</v>
      </c>
      <c r="DE28" s="63" cm="1">
        <f t="array" ref="DE28">INDEX(Pipes_result_save_V1!$L$2:$L$206,CT28)</f>
        <v>0.94278323650360107</v>
      </c>
      <c r="DF28" s="63">
        <v>0.1542310677968057</v>
      </c>
      <c r="DG28" s="63" cm="1">
        <f t="array" ref="DG28">INDEX(Pipes_result_save_V1!$M$2:$M$206,CT28)</f>
        <v>1.570273637771606</v>
      </c>
      <c r="DH28" s="63">
        <v>17.420180718449924</v>
      </c>
      <c r="DI28" s="63">
        <f>INDEX('Junctions — junctions'!$I$2:$I$197,MATCH(CW28,'Junctions — junctions'!$B$2:$B$197,0))</f>
        <v>65.92401123046875</v>
      </c>
      <c r="DM28" s="63">
        <f>MATCH(DP28,Pipes_result_save_V1!$H$2:$H$206,0)</f>
        <v>117</v>
      </c>
      <c r="DN28" s="63" t="s">
        <v>146</v>
      </c>
      <c r="DO28" s="63" t="s">
        <v>604</v>
      </c>
      <c r="DP28" s="63" t="s">
        <v>603</v>
      </c>
      <c r="DQ28" s="63">
        <v>460.62820576799743</v>
      </c>
      <c r="DR28" s="63" cm="1">
        <f t="array" ref="DR28">INDEX(Pipes_result_save_V1!$C$2:$C$206,'COMPARAISON EPANET'!DM28)</f>
        <v>489.4</v>
      </c>
      <c r="DS28" s="63">
        <v>500</v>
      </c>
      <c r="DT28" s="63" cm="1">
        <f t="array" ref="DT28">INDEX(Pipes_result_save_V1!$O$2:$O$206,DM28)</f>
        <v>500</v>
      </c>
      <c r="DU28" s="63">
        <v>0.19348136286681875</v>
      </c>
      <c r="DV28" s="63" cm="1">
        <f t="array" ref="DV28">INDEX(Pipes_result_save_V1!$R$2:$R$206,DM28)/1000</f>
        <v>0.20296116638183592</v>
      </c>
      <c r="DW28" s="63">
        <v>7.0901829321802959E-2</v>
      </c>
      <c r="DX28" s="63" cm="1">
        <f t="array" ref="DX28">INDEX(Pipes_result_save_V1!$L$2:$L$206,DM28)</f>
        <v>1.0789288282394409</v>
      </c>
      <c r="DY28" s="63">
        <v>0.20296116638183592</v>
      </c>
      <c r="DZ28" s="63" cm="1">
        <f t="array" ref="DZ28">INDEX(Pipes_result_save_V1!$M$2:$M$206,DM28)</f>
        <v>1.5434252023696899</v>
      </c>
      <c r="EA28" s="63">
        <v>19.387693191528321</v>
      </c>
      <c r="EB28" s="63">
        <f>INDEX('Junctions — junctions'!$I$2:$I$197,MATCH(DP28,'Junctions — junctions'!$B$2:$B$197,0))</f>
        <v>68.9305419921875</v>
      </c>
    </row>
    <row r="29" spans="1:132" x14ac:dyDescent="0.25">
      <c r="A29" s="63">
        <f>MATCH(D29,Pipes_result_save_V1!$H$2:$H$206,0)</f>
        <v>57</v>
      </c>
      <c r="B29" s="63" t="s">
        <v>431</v>
      </c>
      <c r="C29" s="63" t="s">
        <v>728</v>
      </c>
      <c r="D29" s="63" t="s">
        <v>746</v>
      </c>
      <c r="E29" s="63">
        <v>358.69544237718657</v>
      </c>
      <c r="F29" s="63" cm="1">
        <f t="array" ref="F29">INDEX(Pipes_result_save_V1!$C$2:$C$206,'COMPARAISON EPANET'!A29)</f>
        <v>156.4</v>
      </c>
      <c r="G29" s="63">
        <v>400</v>
      </c>
      <c r="H29" s="63" cm="1">
        <f t="array" ref="H29">INDEX(Pipes_result_save_V1!$O$2:$O$206,A29)</f>
        <v>150</v>
      </c>
      <c r="I29" s="63">
        <v>7.9186732488670981E-3</v>
      </c>
      <c r="J29" s="63" cm="1">
        <f t="array" ref="J29">INDEX(Pipes_result_save_V1!$R$2:$R$206,A29)/1000</f>
        <v>1.3679935455322268E-2</v>
      </c>
      <c r="K29" s="63">
        <v>3.9384249696461154E-3</v>
      </c>
      <c r="L29" s="63" cm="1">
        <f t="array" ref="L29">INDEX(Pipes_result_save_V1!$L$2:$L$206,A29)</f>
        <v>0.71206283569335938</v>
      </c>
      <c r="M29" s="63">
        <v>0.12505467014160557</v>
      </c>
      <c r="N29" s="63" cm="1">
        <f t="array" ref="N29">INDEX(Pipes_result_save_V1!$M$2:$M$206,A29)</f>
        <v>3.0757045745849609</v>
      </c>
      <c r="O29" s="63">
        <v>27.129089887658772</v>
      </c>
      <c r="P29" s="63">
        <f>INDEX('Junctions — junctions'!$I$2:$I$197,MATCH(D29,'Junctions — junctions'!$B$2:$B$197,0))</f>
        <v>54.555484771728523</v>
      </c>
      <c r="S29" s="63">
        <f>MATCH(V29,Pipes_result_save_V1!$H$2:$H$206,0)</f>
        <v>55</v>
      </c>
      <c r="T29" s="63" t="s">
        <v>216</v>
      </c>
      <c r="U29" s="63" t="s">
        <v>727</v>
      </c>
      <c r="V29" s="63" t="s">
        <v>728</v>
      </c>
      <c r="W29" s="63">
        <v>271.95447352229712</v>
      </c>
      <c r="X29" s="63" cm="1">
        <f t="array" ref="X29">INDEX(Pipes_result_save_V1!$C$2:$C$206,'COMPARAISON EPANET'!S29)</f>
        <v>94.4</v>
      </c>
      <c r="Y29" s="63">
        <v>300</v>
      </c>
      <c r="Z29" s="63" cm="1">
        <f t="array" ref="Z29">INDEX(Pipes_result_save_V1!$O$2:$O$206,S29)</f>
        <v>100</v>
      </c>
      <c r="AA29" s="63">
        <v>1.1233622356655423E-3</v>
      </c>
      <c r="AB29" s="63" cm="1">
        <f t="array" ref="AB29">INDEX(Pipes_result_save_V1!$R$2:$R$206,S29)/1000</f>
        <v>2.398493528366089E-3</v>
      </c>
      <c r="AC29" s="63">
        <v>9.9327029271629834E-4</v>
      </c>
      <c r="AD29" s="63" cm="1">
        <f t="array" ref="AD29">INDEX(Pipes_result_save_V1!$L$2:$L$206,S29)</f>
        <v>0.34269070625305181</v>
      </c>
      <c r="AE29" s="63">
        <v>0.12621836164273367</v>
      </c>
      <c r="AF29" s="63" cm="1">
        <f t="array" ref="AF29">INDEX(Pipes_result_save_V1!$M$2:$M$206,S29)</f>
        <v>1.396320700645447</v>
      </c>
      <c r="AG29" s="63">
        <v>66.97678647955189</v>
      </c>
      <c r="AH29" s="63">
        <f>INDEX('Junctions — junctions'!$I$2:$I$197,MATCH(V29,'Junctions — junctions'!$B$2:$B$197,0))</f>
        <v>53.866130828857422</v>
      </c>
      <c r="AL29" s="63">
        <f>MATCH(AO29,Pipes_result_save_V1!$H$2:$H$206,0)</f>
        <v>29</v>
      </c>
      <c r="AM29" s="63" t="s">
        <v>314</v>
      </c>
      <c r="AN29" s="63" t="s">
        <v>703</v>
      </c>
      <c r="AO29" s="63" t="s">
        <v>704</v>
      </c>
      <c r="AP29" s="63">
        <v>384.60170480326735</v>
      </c>
      <c r="AQ29" s="63" cm="1">
        <f t="array" ref="AQ29">INDEX(Pipes_result_save_V1!$C$2:$C$206,'COMPARAISON EPANET'!AL29)</f>
        <v>252</v>
      </c>
      <c r="AR29" s="63">
        <v>400</v>
      </c>
      <c r="AS29" s="63" cm="1">
        <f t="array" ref="AS29">INDEX(Pipes_result_save_V1!$O$2:$O$206,AL29)</f>
        <v>250</v>
      </c>
      <c r="AT29" s="63">
        <v>4.7687501843167619E-2</v>
      </c>
      <c r="AU29" s="63" cm="1">
        <f t="array" ref="AU29">INDEX(Pipes_result_save_V1!$R$2:$R$206,AL29)/1000</f>
        <v>5.3786315917968751E-2</v>
      </c>
      <c r="AV29" s="63">
        <v>2.3717817631387486E-2</v>
      </c>
      <c r="AW29" s="63" cm="1">
        <f t="array" ref="AW29">INDEX(Pipes_result_save_V1!$L$2:$L$206,AL29)</f>
        <v>1.0783965587615969</v>
      </c>
      <c r="AX29" s="63">
        <v>0.19717896196060131</v>
      </c>
      <c r="AY29" s="63" cm="1">
        <f t="array" ref="AY29">INDEX(Pipes_result_save_V1!$M$2:$M$206,AL29)</f>
        <v>3.735169649124146</v>
      </c>
      <c r="AZ29" s="63">
        <v>10</v>
      </c>
      <c r="BA29" s="63">
        <f>INDEX('Junctions — junctions'!$I$2:$I$197,MATCH(AO29,'Junctions — junctions'!$B$2:$B$197,0))</f>
        <v>60.427032470703118</v>
      </c>
      <c r="BF29" s="63">
        <f>MATCH(BI29,Pipes_result_save_V1!$H$2:$H$206,0)</f>
        <v>176</v>
      </c>
      <c r="BG29" s="63" t="s">
        <v>178</v>
      </c>
      <c r="BH29" s="63" t="s">
        <v>655</v>
      </c>
      <c r="BI29" s="63" t="s">
        <v>656</v>
      </c>
      <c r="BJ29" s="63">
        <v>204.52523865872314</v>
      </c>
      <c r="BK29" s="63" cm="1">
        <f t="array" ref="BK29">INDEX(Pipes_result_save_V1!$C$2:$C$206,'COMPARAISON EPANET'!BF29)</f>
        <v>252</v>
      </c>
      <c r="BL29" s="63">
        <v>250</v>
      </c>
      <c r="BM29" s="63" cm="1">
        <f t="array" ref="BM29">INDEX(Pipes_result_save_V1!$O$2:$O$206,BF29)</f>
        <v>250</v>
      </c>
      <c r="BN29" s="63">
        <v>5.5325845180068216E-2</v>
      </c>
      <c r="BO29" s="63" cm="1">
        <f t="array" ref="BO29">INDEX(Pipes_result_save_V1!$R$2:$R$206,BF29)/1000</f>
        <v>6.0362876892089835E-2</v>
      </c>
      <c r="BP29" s="63">
        <v>7.0443053929158159E-2</v>
      </c>
      <c r="BQ29" s="63" cm="1">
        <f t="array" ref="BQ29">INDEX(Pipes_result_save_V1!$L$2:$L$206,BF29)</f>
        <v>1.210254311561584</v>
      </c>
      <c r="BR29" s="63">
        <v>0.17805954831962142</v>
      </c>
      <c r="BS29" s="63" cm="1">
        <f t="array" ref="BS29">INDEX(Pipes_result_save_V1!$M$2:$M$206,BF29)</f>
        <v>4.704409122467041</v>
      </c>
      <c r="BT29" s="63">
        <v>19.38568243440816</v>
      </c>
      <c r="BU29" s="63">
        <f>INDEX('Junctions — junctions'!$I$2:$I$197,MATCH(BI29,'Junctions — junctions'!$B$2:$B$197,0))</f>
        <v>65.852088928222656</v>
      </c>
      <c r="CA29" s="63">
        <f>MATCH(CD29,Pipes_result_save_V1!$H$2:$H$206,0)</f>
        <v>153</v>
      </c>
      <c r="CB29" s="63" t="s">
        <v>130</v>
      </c>
      <c r="CC29" s="63" t="s">
        <v>635</v>
      </c>
      <c r="CD29" s="63" t="s">
        <v>634</v>
      </c>
      <c r="CE29" s="63">
        <v>204.52523865872314</v>
      </c>
      <c r="CF29" s="63" cm="1">
        <f t="array" ref="CF29">INDEX(Pipes_result_save_V1!$C$2:$C$206,'COMPARAISON EPANET'!CA29)</f>
        <v>204.2</v>
      </c>
      <c r="CG29" s="63">
        <v>250</v>
      </c>
      <c r="CH29" s="63" cm="1">
        <f t="array" ref="CH29">INDEX(Pipes_result_save_V1!$O$2:$O$206,CA29)</f>
        <v>200</v>
      </c>
      <c r="CI29" s="63">
        <v>2.2618335351518505E-2</v>
      </c>
      <c r="CJ29" s="63" cm="1">
        <f t="array" ref="CJ29">INDEX(Pipes_result_save_V1!$R$2:$R$206,CA29)/1000</f>
        <v>2.8550071716308589E-2</v>
      </c>
      <c r="CK29" s="63">
        <v>6.3608153967064318E-2</v>
      </c>
      <c r="CL29" s="63" cm="1">
        <f t="array" ref="CL29">INDEX(Pipes_result_save_V1!$L$2:$L$206,CA29)</f>
        <v>0.87177318334579468</v>
      </c>
      <c r="CM29" s="63">
        <v>2.8798559005634657E-2</v>
      </c>
      <c r="CN29" s="63" cm="1">
        <f t="array" ref="CN29">INDEX(Pipes_result_save_V1!$M$2:$M$206,CA29)</f>
        <v>3.2308585643768311</v>
      </c>
      <c r="CO29" s="63">
        <v>15.156129105191887</v>
      </c>
      <c r="CP29" s="63">
        <f>INDEX('Junctions — junctions'!$I$2:$I$197,MATCH(CD29,'Junctions — junctions'!$B$2:$B$197,0))</f>
        <v>60.982124328613281</v>
      </c>
      <c r="CT29" s="63">
        <f>MATCH(CW29,Pipes_result_save_V1!$H$2:$H$206,0)</f>
        <v>132</v>
      </c>
      <c r="CU29" s="63" t="s">
        <v>133</v>
      </c>
      <c r="CV29" s="63" t="s">
        <v>617</v>
      </c>
      <c r="CW29" s="63" t="s">
        <v>616</v>
      </c>
      <c r="CX29" s="63">
        <v>325.71332790434337</v>
      </c>
      <c r="CY29" s="63" cm="1">
        <f t="array" ref="CY29">INDEX(Pipes_result_save_V1!$C$2:$C$206,'COMPARAISON EPANET'!CT29)</f>
        <v>394.6</v>
      </c>
      <c r="CZ29" s="63">
        <v>350</v>
      </c>
      <c r="DA29" s="63" cm="1">
        <f t="array" ref="DA29">INDEX(Pipes_result_save_V1!$O$2:$O$206,CT29)</f>
        <v>400</v>
      </c>
      <c r="DB29" s="63">
        <v>0.10877622031843998</v>
      </c>
      <c r="DC29" s="63" cm="1">
        <f t="array" ref="DC29">INDEX(Pipes_result_save_V1!$R$2:$R$206,CT29)/1000</f>
        <v>0.11441841125488279</v>
      </c>
      <c r="DD29" s="63">
        <v>7.0662339406256269E-2</v>
      </c>
      <c r="DE29" s="63" cm="1">
        <f t="array" ref="DE29">INDEX(Pipes_result_save_V1!$L$2:$L$206,CT29)</f>
        <v>0.93559849262237549</v>
      </c>
      <c r="DF29" s="63">
        <v>0.17113310262385292</v>
      </c>
      <c r="DG29" s="63" cm="1">
        <f t="array" ref="DG29">INDEX(Pipes_result_save_V1!$M$2:$M$206,CT29)</f>
        <v>1.5464029312133789</v>
      </c>
      <c r="DH29" s="63">
        <v>12.24904761582607</v>
      </c>
      <c r="DI29" s="63">
        <f>INDEX('Junctions — junctions'!$I$2:$I$197,MATCH(CW29,'Junctions — junctions'!$B$2:$B$197,0))</f>
        <v>60.808753967285163</v>
      </c>
      <c r="DM29" s="63">
        <f>MATCH(DP29,Pipes_result_save_V1!$H$2:$H$206,0)</f>
        <v>118</v>
      </c>
      <c r="DN29" s="63" t="s">
        <v>145</v>
      </c>
      <c r="DO29" s="63" t="s">
        <v>605</v>
      </c>
      <c r="DP29" s="63" t="s">
        <v>604</v>
      </c>
      <c r="DQ29" s="63">
        <v>460.62820576799743</v>
      </c>
      <c r="DR29" s="63" cm="1">
        <f t="array" ref="DR29">INDEX(Pipes_result_save_V1!$C$2:$C$206,'COMPARAISON EPANET'!DM29)</f>
        <v>489.4</v>
      </c>
      <c r="DS29" s="63">
        <v>500</v>
      </c>
      <c r="DT29" s="63" cm="1">
        <f t="array" ref="DT29">INDEX(Pipes_result_save_V1!$O$2:$O$206,DM29)</f>
        <v>500</v>
      </c>
      <c r="DU29" s="63">
        <v>0.19434220140296449</v>
      </c>
      <c r="DV29" s="63" cm="1">
        <f t="array" ref="DV29">INDEX(Pipes_result_save_V1!$R$2:$R$206,DM29)/1000</f>
        <v>0.20200834655761718</v>
      </c>
      <c r="DW29" s="63">
        <v>7.1217286201261942E-2</v>
      </c>
      <c r="DX29" s="63" cm="1">
        <f t="array" ref="DX29">INDEX(Pipes_result_save_V1!$L$2:$L$206,DM29)</f>
        <v>1.073863625526428</v>
      </c>
      <c r="DY29" s="63">
        <v>0.20200834655761718</v>
      </c>
      <c r="DZ29" s="63" cm="1">
        <f t="array" ref="DZ29">INDEX(Pipes_result_save_V1!$M$2:$M$206,DM29)</f>
        <v>1.528945326805115</v>
      </c>
      <c r="EA29" s="63">
        <v>13.185684844970702</v>
      </c>
      <c r="EB29" s="63">
        <f>INDEX('Junctions — junctions'!$I$2:$I$197,MATCH(DP29,'Junctions — junctions'!$B$2:$B$197,0))</f>
        <v>62.78839111328125</v>
      </c>
    </row>
    <row r="30" spans="1:132" x14ac:dyDescent="0.25">
      <c r="A30" s="63">
        <f>MATCH(D30,Pipes_result_save_V1!$H$2:$H$206,0)</f>
        <v>58</v>
      </c>
      <c r="B30" s="63" t="s">
        <v>219</v>
      </c>
      <c r="C30" s="63" t="s">
        <v>729</v>
      </c>
      <c r="D30" s="63" t="s">
        <v>730</v>
      </c>
      <c r="E30" s="63">
        <v>195.49056373532235</v>
      </c>
      <c r="F30" s="63" cm="1">
        <f t="array" ref="F30">INDEX(Pipes_result_save_V1!$C$2:$C$206,'COMPARAISON EPANET'!A30)</f>
        <v>156.4</v>
      </c>
      <c r="G30" s="63">
        <v>200</v>
      </c>
      <c r="H30" s="63" cm="1">
        <f t="array" ref="H30">INDEX(Pipes_result_save_V1!$O$2:$O$206,A30)</f>
        <v>150</v>
      </c>
      <c r="I30" s="63">
        <v>8.2070792912686402E-3</v>
      </c>
      <c r="J30" s="63" cm="1">
        <f t="array" ref="J30">INDEX(Pipes_result_save_V1!$R$2:$R$206,A30)/1000</f>
        <v>1.3466668128967291E-2</v>
      </c>
      <c r="K30" s="63">
        <v>1.6327465469406662E-2</v>
      </c>
      <c r="L30" s="63" cm="1">
        <f t="array" ref="L30">INDEX(Pipes_result_save_V1!$L$2:$L$206,A30)</f>
        <v>0.70096194744110107</v>
      </c>
      <c r="M30" s="63">
        <v>0.11477367408807007</v>
      </c>
      <c r="N30" s="63" cm="1">
        <f t="array" ref="N30">INDEX(Pipes_result_save_V1!$M$2:$M$206,A30)</f>
        <v>2.9805271625518799</v>
      </c>
      <c r="O30" s="63">
        <v>27.014316213570702</v>
      </c>
      <c r="P30" s="63">
        <f>INDEX('Junctions — junctions'!$I$2:$I$197,MATCH(D30,'Junctions — junctions'!$B$2:$B$197,0))</f>
        <v>55.200893402099609</v>
      </c>
      <c r="S30" s="63">
        <f>MATCH(V30,Pipes_result_save_V1!$H$2:$H$206,0)</f>
        <v>56</v>
      </c>
      <c r="T30" s="63" t="s">
        <v>220</v>
      </c>
      <c r="U30" s="63" t="s">
        <v>728</v>
      </c>
      <c r="V30" s="63" t="s">
        <v>729</v>
      </c>
      <c r="W30" s="63">
        <v>192.30085240163368</v>
      </c>
      <c r="X30" s="63" cm="1">
        <f t="array" ref="X30">INDEX(Pipes_result_save_V1!$C$2:$C$206,'COMPARAISON EPANET'!S30)</f>
        <v>156.4</v>
      </c>
      <c r="Y30" s="63">
        <v>200</v>
      </c>
      <c r="Z30" s="63" cm="1">
        <f t="array" ref="Z30">INDEX(Pipes_result_save_V1!$O$2:$O$206,S30)</f>
        <v>150</v>
      </c>
      <c r="AA30" s="63">
        <v>8.134972383825434E-3</v>
      </c>
      <c r="AB30" s="63" cm="1">
        <f t="array" ref="AB30">INDEX(Pipes_result_save_V1!$R$2:$R$206,S30)/1000</f>
        <v>1.2776296615600589E-2</v>
      </c>
      <c r="AC30" s="63">
        <v>1.6184013335023464E-2</v>
      </c>
      <c r="AD30" s="63" cm="1">
        <f t="array" ref="AD30">INDEX(Pipes_result_save_V1!$L$2:$L$206,S30)</f>
        <v>0.6650269627571106</v>
      </c>
      <c r="AE30" s="63">
        <v>3.0943516202637942</v>
      </c>
      <c r="AF30" s="63" cm="1">
        <f t="array" ref="AF30">INDEX(Pipes_result_save_V1!$M$2:$M$206,S30)</f>
        <v>2.6827230453491211</v>
      </c>
      <c r="AG30" s="63">
        <v>67.882434859288097</v>
      </c>
      <c r="AH30" s="63">
        <f>INDEX('Junctions — junctions'!$I$2:$I$197,MATCH(V30,'Junctions — junctions'!$B$2:$B$197,0))</f>
        <v>58.109989166259773</v>
      </c>
      <c r="AL30" s="63">
        <f>MATCH(AO30,Pipes_result_save_V1!$H$2:$H$206,0)</f>
        <v>30</v>
      </c>
      <c r="AM30" s="63" t="s">
        <v>420</v>
      </c>
      <c r="AN30" s="63" t="s">
        <v>704</v>
      </c>
      <c r="AO30" s="63" t="s">
        <v>705</v>
      </c>
      <c r="AP30" s="63">
        <v>384.60170480326735</v>
      </c>
      <c r="AQ30" s="63" cm="1">
        <f t="array" ref="AQ30">INDEX(Pipes_result_save_V1!$C$2:$C$206,'COMPARAISON EPANET'!AL30)</f>
        <v>252</v>
      </c>
      <c r="AR30" s="63">
        <v>400</v>
      </c>
      <c r="AS30" s="63" cm="1">
        <f t="array" ref="AS30">INDEX(Pipes_result_save_V1!$O$2:$O$206,AL30)</f>
        <v>250</v>
      </c>
      <c r="AT30" s="63">
        <v>4.5326157749270214E-2</v>
      </c>
      <c r="AU30" s="63" cm="1">
        <f t="array" ref="AU30">INDEX(Pipes_result_save_V1!$R$2:$R$206,AL30)/1000</f>
        <v>5.1424217224121084E-2</v>
      </c>
      <c r="AV30" s="63">
        <v>2.2543381428623034E-2</v>
      </c>
      <c r="AW30" s="63" cm="1">
        <f t="array" ref="AW30">INDEX(Pipes_result_save_V1!$L$2:$L$206,AL30)</f>
        <v>1.031037330627441</v>
      </c>
      <c r="AX30" s="63">
        <v>0.19878204295215093</v>
      </c>
      <c r="AY30" s="63" cm="1">
        <f t="array" ref="AY30">INDEX(Pipes_result_save_V1!$M$2:$M$206,AL30)</f>
        <v>3.4143004417419429</v>
      </c>
      <c r="AZ30" s="63">
        <v>11.801217957047848</v>
      </c>
      <c r="BA30" s="63">
        <f>INDEX('Junctions — junctions'!$I$2:$I$197,MATCH(AO30,'Junctions — junctions'!$B$2:$B$197,0))</f>
        <v>61.746562957763672</v>
      </c>
      <c r="BF30" s="63">
        <f>MATCH(BI30,Pipes_result_save_V1!$H$2:$H$206,0)</f>
        <v>177</v>
      </c>
      <c r="BG30" s="63" t="s">
        <v>189</v>
      </c>
      <c r="BH30" s="63" t="s">
        <v>656</v>
      </c>
      <c r="BI30" s="63" t="s">
        <v>657</v>
      </c>
      <c r="BJ30" s="63">
        <v>204.52523865872314</v>
      </c>
      <c r="BK30" s="63" cm="1">
        <f t="array" ref="BK30">INDEX(Pipes_result_save_V1!$C$2:$C$206,'COMPARAISON EPANET'!BF30)</f>
        <v>252</v>
      </c>
      <c r="BL30" s="63">
        <v>250</v>
      </c>
      <c r="BM30" s="63" cm="1">
        <f t="array" ref="BM30">INDEX(Pipes_result_save_V1!$O$2:$O$206,BF30)</f>
        <v>250</v>
      </c>
      <c r="BN30" s="63">
        <v>5.414352531667465E-2</v>
      </c>
      <c r="BO30" s="63" cm="1">
        <f t="array" ref="BO30">INDEX(Pipes_result_save_V1!$R$2:$R$206,BF30)/1000</f>
        <v>5.9427165985107423E-2</v>
      </c>
      <c r="BP30" s="63">
        <v>6.8937677524559593E-2</v>
      </c>
      <c r="BQ30" s="63" cm="1">
        <f t="array" ref="BQ30">INDEX(Pipes_result_save_V1!$L$2:$L$206,BF30)</f>
        <v>1.1914936304092409</v>
      </c>
      <c r="BR30" s="63">
        <v>0.1537787008214912</v>
      </c>
      <c r="BS30" s="63" cm="1">
        <f t="array" ref="BS30">INDEX(Pipes_result_save_V1!$M$2:$M$206,BF30)</f>
        <v>4.55975341796875</v>
      </c>
      <c r="BT30" s="63">
        <v>16.23190373358667</v>
      </c>
      <c r="BU30" s="63">
        <f>INDEX('Junctions — junctions'!$I$2:$I$197,MATCH(BI30,'Junctions — junctions'!$B$2:$B$197,0))</f>
        <v>62.504634857177727</v>
      </c>
      <c r="CA30" s="63">
        <f>MATCH(CD30,Pipes_result_save_V1!$H$2:$H$206,0)</f>
        <v>154</v>
      </c>
      <c r="CB30" s="63" t="s">
        <v>129</v>
      </c>
      <c r="CC30" s="63" t="s">
        <v>636</v>
      </c>
      <c r="CD30" s="63" t="s">
        <v>635</v>
      </c>
      <c r="CE30" s="63">
        <v>204.52523865872314</v>
      </c>
      <c r="CF30" s="63" cm="1">
        <f t="array" ref="CF30">INDEX(Pipes_result_save_V1!$C$2:$C$206,'COMPARAISON EPANET'!CA30)</f>
        <v>204.2</v>
      </c>
      <c r="CG30" s="63">
        <v>250</v>
      </c>
      <c r="CH30" s="63" cm="1">
        <f t="array" ref="CH30">INDEX(Pipes_result_save_V1!$O$2:$O$206,CA30)</f>
        <v>200</v>
      </c>
      <c r="CI30" s="63">
        <v>2.2609118131915362E-2</v>
      </c>
      <c r="CJ30" s="63" cm="1">
        <f t="array" ref="CJ30">INDEX(Pipes_result_save_V1!$R$2:$R$206,CA30)/1000</f>
        <v>2.7671417236328121E-2</v>
      </c>
      <c r="CK30" s="63">
        <v>6.3608153967064318E-2</v>
      </c>
      <c r="CL30" s="63" cm="1">
        <f t="array" ref="CL30">INDEX(Pipes_result_save_V1!$L$2:$L$206,CA30)</f>
        <v>0.84494352340698242</v>
      </c>
      <c r="CM30" s="63">
        <v>2.8786823277143429E-2</v>
      </c>
      <c r="CN30" s="63" cm="1">
        <f t="array" ref="CN30">INDEX(Pipes_result_save_V1!$M$2:$M$206,CA30)</f>
        <v>3.0351357460021968</v>
      </c>
      <c r="CO30" s="63">
        <v>18.092520951224824</v>
      </c>
      <c r="CP30" s="63">
        <f>INDEX('Junctions — junctions'!$I$2:$I$197,MATCH(CD30,'Junctions — junctions'!$B$2:$B$197,0))</f>
        <v>63.7320556640625</v>
      </c>
      <c r="CT30" s="63">
        <f>MATCH(CW30,Pipes_result_save_V1!$H$2:$H$206,0)</f>
        <v>133</v>
      </c>
      <c r="CU30" s="63" t="s">
        <v>132</v>
      </c>
      <c r="CV30" s="63" t="s">
        <v>618</v>
      </c>
      <c r="CW30" s="63" t="s">
        <v>617</v>
      </c>
      <c r="CX30" s="63">
        <v>325.71332790434337</v>
      </c>
      <c r="CY30" s="63" cm="1">
        <f t="array" ref="CY30">INDEX(Pipes_result_save_V1!$C$2:$C$206,'COMPARAISON EPANET'!CT30)</f>
        <v>394.6</v>
      </c>
      <c r="CZ30" s="63">
        <v>350</v>
      </c>
      <c r="DA30" s="63" cm="1">
        <f t="array" ref="DA30">INDEX(Pipes_result_save_V1!$O$2:$O$206,CT30)</f>
        <v>400</v>
      </c>
      <c r="DB30" s="63">
        <v>0.10688779292319475</v>
      </c>
      <c r="DC30" s="63" cm="1">
        <f t="array" ref="DC30">INDEX(Pipes_result_save_V1!$R$2:$R$206,CT30)/1000</f>
        <v>0.1133800048828125</v>
      </c>
      <c r="DD30" s="63">
        <v>6.9435594285344321E-2</v>
      </c>
      <c r="DE30" s="63" cm="1">
        <f t="array" ref="DE30">INDEX(Pipes_result_save_V1!$L$2:$L$206,CT30)</f>
        <v>0.92710745334625244</v>
      </c>
      <c r="DF30" s="63">
        <v>0.21338818969147089</v>
      </c>
      <c r="DG30" s="63" cm="1">
        <f t="array" ref="DG30">INDEX(Pipes_result_save_V1!$M$2:$M$206,CT30)</f>
        <v>1.5184241533279419</v>
      </c>
      <c r="DH30" s="63">
        <v>16.0356594261346</v>
      </c>
      <c r="DI30" s="63">
        <f>INDEX('Junctions — junctions'!$I$2:$I$197,MATCH(CW30,'Junctions — junctions'!$B$2:$B$197,0))</f>
        <v>64.683029174804688</v>
      </c>
      <c r="DM30" s="63">
        <f>MATCH(DP30,Pipes_result_save_V1!$H$2:$H$206,0)</f>
        <v>119</v>
      </c>
      <c r="DN30" s="63" t="s">
        <v>144</v>
      </c>
      <c r="DO30" s="63" t="s">
        <v>606</v>
      </c>
      <c r="DP30" s="63" t="s">
        <v>605</v>
      </c>
      <c r="DQ30" s="63">
        <v>460.62820576799743</v>
      </c>
      <c r="DR30" s="63" cm="1">
        <f t="array" ref="DR30">INDEX(Pipes_result_save_V1!$C$2:$C$206,'COMPARAISON EPANET'!DM30)</f>
        <v>489.4</v>
      </c>
      <c r="DS30" s="63">
        <v>500</v>
      </c>
      <c r="DT30" s="63" cm="1">
        <f t="array" ref="DT30">INDEX(Pipes_result_save_V1!$O$2:$O$206,DM30)</f>
        <v>500</v>
      </c>
      <c r="DU30" s="63">
        <v>0.19316319259177056</v>
      </c>
      <c r="DV30" s="63" cm="1">
        <f t="array" ref="DV30">INDEX(Pipes_result_save_V1!$R$2:$R$206,DM30)/1000</f>
        <v>0.20114678955078119</v>
      </c>
      <c r="DW30" s="63">
        <v>7.0785234864318883E-2</v>
      </c>
      <c r="DX30" s="63" cm="1">
        <f t="array" ref="DX30">INDEX(Pipes_result_save_V1!$L$2:$L$206,DM30)</f>
        <v>1.069283723831177</v>
      </c>
      <c r="DY30" s="63">
        <v>0.20114678955078119</v>
      </c>
      <c r="DZ30" s="63" cm="1">
        <f t="array" ref="DZ30">INDEX(Pipes_result_save_V1!$M$2:$M$206,DM30)</f>
        <v>1.516027569770813</v>
      </c>
      <c r="EA30" s="63">
        <v>21.984538055419922</v>
      </c>
      <c r="EB30" s="63">
        <f>INDEX('Junctions — junctions'!$I$2:$I$197,MATCH(DP30,'Junctions — junctions'!$B$2:$B$197,0))</f>
        <v>71.674026489257813</v>
      </c>
    </row>
    <row r="31" spans="1:132" x14ac:dyDescent="0.25">
      <c r="A31" s="63">
        <f>MATCH(D31,Pipes_result_save_V1!$H$2:$H$206,0)</f>
        <v>60</v>
      </c>
      <c r="B31" s="63" t="s">
        <v>221</v>
      </c>
      <c r="C31" s="63" t="s">
        <v>730</v>
      </c>
      <c r="D31" s="63" t="s">
        <v>731</v>
      </c>
      <c r="E31" s="63">
        <v>211.15394209236661</v>
      </c>
      <c r="F31" s="63" cm="1">
        <f t="array" ref="F31">INDEX(Pipes_result_save_V1!$C$2:$C$206,'COMPARAISON EPANET'!A31)</f>
        <v>156.4</v>
      </c>
      <c r="G31" s="63">
        <v>250</v>
      </c>
      <c r="H31" s="63" cm="1">
        <f t="array" ref="H31">INDEX(Pipes_result_save_V1!$O$2:$O$206,A31)</f>
        <v>150</v>
      </c>
      <c r="I31" s="63">
        <v>7.5738741129898774E-3</v>
      </c>
      <c r="J31" s="63" cm="1">
        <f t="array" ref="J31">INDEX(Pipes_result_save_V1!$R$2:$R$206,A31)/1000</f>
        <v>1.3837529182434079E-2</v>
      </c>
      <c r="K31" s="63">
        <v>9.6433560275046657E-3</v>
      </c>
      <c r="L31" s="63" cm="1">
        <f t="array" ref="L31">INDEX(Pipes_result_save_V1!$L$2:$L$206,A31)</f>
        <v>0.72026580572128296</v>
      </c>
      <c r="M31" s="63">
        <v>6.0079437098534257E-2</v>
      </c>
      <c r="N31" s="63" cm="1">
        <f t="array" ref="N31">INDEX(Pipes_result_save_V1!$M$2:$M$206,A31)</f>
        <v>3.146917581558228</v>
      </c>
      <c r="O31" s="63">
        <v>24.954236776472168</v>
      </c>
      <c r="P31" s="63">
        <f>INDEX('Junctions — junctions'!$I$2:$I$197,MATCH(D31,'Junctions — junctions'!$B$2:$B$197,0))</f>
        <v>53.311038970947273</v>
      </c>
      <c r="S31" s="63">
        <f>MATCH(V31,Pipes_result_save_V1!$H$2:$H$206,0)</f>
        <v>58</v>
      </c>
      <c r="T31" s="63" t="s">
        <v>219</v>
      </c>
      <c r="U31" s="63" t="s">
        <v>729</v>
      </c>
      <c r="V31" s="63" t="s">
        <v>730</v>
      </c>
      <c r="W31" s="63">
        <v>192.30085240163368</v>
      </c>
      <c r="X31" s="63" cm="1">
        <f t="array" ref="X31">INDEX(Pipes_result_save_V1!$C$2:$C$206,'COMPARAISON EPANET'!S31)</f>
        <v>156.4</v>
      </c>
      <c r="Y31" s="63">
        <v>200</v>
      </c>
      <c r="Z31" s="63" cm="1">
        <f t="array" ref="Z31">INDEX(Pipes_result_save_V1!$O$2:$O$206,S31)</f>
        <v>150</v>
      </c>
      <c r="AA31" s="63">
        <v>1.1639572052696461E-2</v>
      </c>
      <c r="AB31" s="63" cm="1">
        <f t="array" ref="AB31">INDEX(Pipes_result_save_V1!$R$2:$R$206,S31)/1000</f>
        <v>1.3466668128967291E-2</v>
      </c>
      <c r="AC31" s="63">
        <v>2.3156192845761505E-2</v>
      </c>
      <c r="AD31" s="63" cm="1">
        <f t="array" ref="AD31">INDEX(Pipes_result_save_V1!$L$2:$L$206,S31)</f>
        <v>0.70096194744110107</v>
      </c>
      <c r="AE31" s="63">
        <v>0.16584918199856438</v>
      </c>
      <c r="AF31" s="63" cm="1">
        <f t="array" ref="AF31">INDEX(Pipes_result_save_V1!$M$2:$M$206,S31)</f>
        <v>2.9805271625518799</v>
      </c>
      <c r="AG31" s="63">
        <v>64.71658567728953</v>
      </c>
      <c r="AH31" s="63">
        <f>INDEX('Junctions — junctions'!$I$2:$I$197,MATCH(V31,'Junctions — junctions'!$B$2:$B$197,0))</f>
        <v>55.200893402099609</v>
      </c>
      <c r="AL31" s="63">
        <f>MATCH(AO31,Pipes_result_save_V1!$H$2:$H$206,0)</f>
        <v>31</v>
      </c>
      <c r="AM31" s="63" t="s">
        <v>288</v>
      </c>
      <c r="AN31" s="63" t="s">
        <v>705</v>
      </c>
      <c r="AO31" s="63" t="s">
        <v>706</v>
      </c>
      <c r="AP31" s="63">
        <v>384.60170480326735</v>
      </c>
      <c r="AQ31" s="63" cm="1">
        <f t="array" ref="AQ31">INDEX(Pipes_result_save_V1!$C$2:$C$206,'COMPARAISON EPANET'!AL31)</f>
        <v>252</v>
      </c>
      <c r="AR31" s="63">
        <v>400</v>
      </c>
      <c r="AS31" s="63" cm="1">
        <f t="array" ref="AS31">INDEX(Pipes_result_save_V1!$O$2:$O$206,AL31)</f>
        <v>250</v>
      </c>
      <c r="AT31" s="63">
        <v>4.2018307472397938E-2</v>
      </c>
      <c r="AU31" s="63" cm="1">
        <f t="array" ref="AU31">INDEX(Pipes_result_save_V1!$R$2:$R$206,AL31)/1000</f>
        <v>4.8223403930664065E-2</v>
      </c>
      <c r="AV31" s="63">
        <v>2.0898191670585167E-2</v>
      </c>
      <c r="AW31" s="63" cm="1">
        <f t="array" ref="AW31">INDEX(Pipes_result_save_V1!$L$2:$L$206,AL31)</f>
        <v>0.96686214208602905</v>
      </c>
      <c r="AX31" s="63">
        <v>0.2003851239437005</v>
      </c>
      <c r="AY31" s="63" cm="1">
        <f t="array" ref="AY31">INDEX(Pipes_result_save_V1!$M$2:$M$206,AL31)</f>
        <v>3.002503633499146</v>
      </c>
      <c r="AZ31" s="63">
        <v>12.600832833104148</v>
      </c>
      <c r="BA31" s="63">
        <f>INDEX('Junctions — junctions'!$I$2:$I$197,MATCH(AO31,'Junctions — junctions'!$B$2:$B$197,0))</f>
        <v>61.660255432128913</v>
      </c>
      <c r="BF31" s="63">
        <f>MATCH(BI31,Pipes_result_save_V1!$H$2:$H$206,0)</f>
        <v>178</v>
      </c>
      <c r="BG31" s="63" t="s">
        <v>188</v>
      </c>
      <c r="BH31" s="63" t="s">
        <v>657</v>
      </c>
      <c r="BI31" s="63" t="s">
        <v>658</v>
      </c>
      <c r="BJ31" s="63">
        <v>204.52523865872314</v>
      </c>
      <c r="BK31" s="63" cm="1">
        <f t="array" ref="BK31">INDEX(Pipes_result_save_V1!$C$2:$C$206,'COMPARAISON EPANET'!BF31)</f>
        <v>252</v>
      </c>
      <c r="BL31" s="63">
        <v>250</v>
      </c>
      <c r="BM31" s="63" cm="1">
        <f t="array" ref="BM31">INDEX(Pipes_result_save_V1!$O$2:$O$206,BF31)</f>
        <v>250</v>
      </c>
      <c r="BN31" s="63">
        <v>5.3288224365538421E-2</v>
      </c>
      <c r="BO31" s="63" cm="1">
        <f t="array" ref="BO31">INDEX(Pipes_result_save_V1!$R$2:$R$206,BF31)/1000</f>
        <v>5.8537097930908201E-2</v>
      </c>
      <c r="BP31" s="63">
        <v>6.7848674530923345E-2</v>
      </c>
      <c r="BQ31" s="63" cm="1">
        <f t="array" ref="BQ31">INDEX(Pipes_result_save_V1!$L$2:$L$206,BF31)</f>
        <v>1.173647999763489</v>
      </c>
      <c r="BR31" s="63">
        <v>0.16187231665420129</v>
      </c>
      <c r="BS31" s="63" cm="1">
        <f t="array" ref="BS31">INDEX(Pipes_result_save_V1!$M$2:$M$206,BF31)</f>
        <v>4.4240975379943848</v>
      </c>
      <c r="BT31" s="63">
        <v>18.070031416932466</v>
      </c>
      <c r="BU31" s="63">
        <f>INDEX('Junctions — junctions'!$I$2:$I$197,MATCH(BI31,'Junctions — junctions'!$B$2:$B$197,0))</f>
        <v>64.151145935058594</v>
      </c>
      <c r="CA31" s="63">
        <f>MATCH(CD31,Pipes_result_save_V1!$H$2:$H$206,0)</f>
        <v>155</v>
      </c>
      <c r="CB31" s="63" t="s">
        <v>128</v>
      </c>
      <c r="CC31" s="63" t="s">
        <v>637</v>
      </c>
      <c r="CD31" s="63" t="s">
        <v>636</v>
      </c>
      <c r="CE31" s="63">
        <v>204.52523865872314</v>
      </c>
      <c r="CF31" s="63" cm="1">
        <f t="array" ref="CF31">INDEX(Pipes_result_save_V1!$C$2:$C$206,'COMPARAISON EPANET'!CA31)</f>
        <v>204.2</v>
      </c>
      <c r="CG31" s="63">
        <v>250</v>
      </c>
      <c r="CH31" s="63" cm="1">
        <f t="array" ref="CH31">INDEX(Pipes_result_save_V1!$O$2:$O$206,CA31)</f>
        <v>200</v>
      </c>
      <c r="CI31" s="63">
        <v>2.1427061362760701E-2</v>
      </c>
      <c r="CJ31" s="63" cm="1">
        <f t="array" ref="CJ31">INDEX(Pipes_result_save_V1!$R$2:$R$206,CA31)/1000</f>
        <v>2.6798467636108398E-2</v>
      </c>
      <c r="CK31" s="63">
        <v>6.2782074045414138E-2</v>
      </c>
      <c r="CL31" s="63" cm="1">
        <f t="array" ref="CL31">INDEX(Pipes_result_save_V1!$L$2:$L$206,CA31)</f>
        <v>0.81828814744949341</v>
      </c>
      <c r="CM31" s="63">
        <v>2.7281781854533831E-2</v>
      </c>
      <c r="CN31" s="63" cm="1">
        <f t="array" ref="CN31">INDEX(Pipes_result_save_V1!$M$2:$M$206,CA31)</f>
        <v>2.8465826511383061</v>
      </c>
      <c r="CO31" s="63">
        <v>17.029738877179412</v>
      </c>
      <c r="CP31" s="63">
        <f>INDEX('Junctions — junctions'!$I$2:$I$197,MATCH(CD31,'Junctions — junctions'!$B$2:$B$197,0))</f>
        <v>62.498046875</v>
      </c>
      <c r="CT31" s="63">
        <f>MATCH(CW31,Pipes_result_save_V1!$H$2:$H$206,0)</f>
        <v>134</v>
      </c>
      <c r="CU31" s="63" t="s">
        <v>408</v>
      </c>
      <c r="CV31" s="63" t="s">
        <v>619</v>
      </c>
      <c r="CW31" s="63" t="s">
        <v>618</v>
      </c>
      <c r="CX31" s="63">
        <v>325.71332790434337</v>
      </c>
      <c r="CY31" s="63" cm="1">
        <f t="array" ref="CY31">INDEX(Pipes_result_save_V1!$C$2:$C$206,'COMPARAISON EPANET'!CT31)</f>
        <v>394.6</v>
      </c>
      <c r="CZ31" s="63">
        <v>350</v>
      </c>
      <c r="DA31" s="63" cm="1">
        <f t="array" ref="DA31">INDEX(Pipes_result_save_V1!$O$2:$O$206,CT31)</f>
        <v>400</v>
      </c>
      <c r="DB31" s="63">
        <v>0.10685680333419756</v>
      </c>
      <c r="DC31" s="63" cm="1">
        <f t="array" ref="DC31">INDEX(Pipes_result_save_V1!$R$2:$R$206,CT31)/1000</f>
        <v>0.112284538269043</v>
      </c>
      <c r="DD31" s="63">
        <v>6.9415463076065581E-2</v>
      </c>
      <c r="DE31" s="63" cm="1">
        <f t="array" ref="DE31">INDEX(Pipes_result_save_V1!$L$2:$L$206,CT31)</f>
        <v>0.91814982891082764</v>
      </c>
      <c r="DF31" s="63">
        <v>0.19226064615766192</v>
      </c>
      <c r="DG31" s="63" cm="1">
        <f t="array" ref="DG31">INDEX(Pipes_result_save_V1!$M$2:$M$206,CT31)</f>
        <v>1.4892022609710689</v>
      </c>
      <c r="DH31" s="63">
        <v>14.843398779976937</v>
      </c>
      <c r="DI31" s="63">
        <f>INDEX('Junctions — junctions'!$I$2:$I$197,MATCH(CW31,'Junctions — junctions'!$B$2:$B$197,0))</f>
        <v>63.530277252197273</v>
      </c>
      <c r="DM31" s="63">
        <f>MATCH(DP31,Pipes_result_save_V1!$H$2:$H$206,0)</f>
        <v>120</v>
      </c>
      <c r="DN31" s="63" t="s">
        <v>142</v>
      </c>
      <c r="DO31" s="63" t="s">
        <v>607</v>
      </c>
      <c r="DP31" s="63" t="s">
        <v>606</v>
      </c>
      <c r="DQ31" s="63">
        <v>460.62820576799743</v>
      </c>
      <c r="DR31" s="63" cm="1">
        <f t="array" ref="DR31">INDEX(Pipes_result_save_V1!$C$2:$C$206,'COMPARAISON EPANET'!DM31)</f>
        <v>489.4</v>
      </c>
      <c r="DS31" s="63">
        <v>500</v>
      </c>
      <c r="DT31" s="63" cm="1">
        <f t="array" ref="DT31">INDEX(Pipes_result_save_V1!$O$2:$O$206,DM31)</f>
        <v>500</v>
      </c>
      <c r="DU31" s="63">
        <v>0.1892810904984645</v>
      </c>
      <c r="DV31" s="63" cm="1">
        <f t="array" ref="DV31">INDEX(Pipes_result_save_V1!$R$2:$R$206,DM31)/1000</f>
        <v>0.2002795562744141</v>
      </c>
      <c r="DW31" s="63">
        <v>6.9362626836594443E-2</v>
      </c>
      <c r="DX31" s="63" cm="1">
        <f t="array" ref="DX31">INDEX(Pipes_result_save_V1!$L$2:$L$206,DM31)</f>
        <v>1.064673542976379</v>
      </c>
      <c r="DY31" s="63">
        <v>0.2002795562744141</v>
      </c>
      <c r="DZ31" s="63" cm="1">
        <f t="array" ref="DZ31">INDEX(Pipes_result_save_V1!$M$2:$M$206,DM31)</f>
        <v>1.5028266906738279</v>
      </c>
      <c r="EA31" s="63">
        <v>17.784258499145508</v>
      </c>
      <c r="EB31" s="63">
        <f>INDEX('Junctions — junctions'!$I$2:$I$197,MATCH(DP31,'Junctions — junctions'!$B$2:$B$197,0))</f>
        <v>67.55865478515625</v>
      </c>
    </row>
    <row r="32" spans="1:132" x14ac:dyDescent="0.25">
      <c r="A32" s="63">
        <f>MATCH(D32,Pipes_result_save_V1!$H$2:$H$206,0)</f>
        <v>61</v>
      </c>
      <c r="B32" s="63" t="s">
        <v>222</v>
      </c>
      <c r="C32" s="63" t="s">
        <v>731</v>
      </c>
      <c r="D32" s="63" t="s">
        <v>732</v>
      </c>
      <c r="E32" s="63">
        <v>249.8407135868874</v>
      </c>
      <c r="F32" s="63" cm="1">
        <f t="array" ref="F32">INDEX(Pipes_result_save_V1!$C$2:$C$206,'COMPARAISON EPANET'!A32)</f>
        <v>156.4</v>
      </c>
      <c r="G32" s="63">
        <v>250</v>
      </c>
      <c r="H32" s="63" cm="1">
        <f t="array" ref="H32">INDEX(Pipes_result_save_V1!$O$2:$O$206,A32)</f>
        <v>150</v>
      </c>
      <c r="I32" s="63">
        <v>8.0152868444800952E-3</v>
      </c>
      <c r="J32" s="63" cm="1">
        <f t="array" ref="J32">INDEX(Pipes_result_save_V1!$R$2:$R$206,A32)/1000</f>
        <v>1.4316794395446778E-2</v>
      </c>
      <c r="K32" s="63">
        <v>1.0205380172787576E-2</v>
      </c>
      <c r="L32" s="63" cm="1">
        <f t="array" ref="L32">INDEX(Pipes_result_save_V1!$L$2:$L$206,A32)</f>
        <v>0.7452123761177063</v>
      </c>
      <c r="M32" s="63">
        <v>0.15684945454255206</v>
      </c>
      <c r="N32" s="63" cm="1">
        <f t="array" ref="N32">INDEX(Pipes_result_save_V1!$M$2:$M$206,A32)</f>
        <v>3.3687422275543208</v>
      </c>
      <c r="O32" s="63">
        <v>25.797387321929616</v>
      </c>
      <c r="P32" s="63">
        <f>INDEX('Junctions — junctions'!$I$2:$I$197,MATCH(D32,'Junctions — junctions'!$B$2:$B$197,0))</f>
        <v>54.475433349609382</v>
      </c>
      <c r="S32" s="63">
        <f>MATCH(V32,Pipes_result_save_V1!$H$2:$H$206,0)</f>
        <v>60</v>
      </c>
      <c r="T32" s="63" t="s">
        <v>221</v>
      </c>
      <c r="U32" s="63" t="s">
        <v>730</v>
      </c>
      <c r="V32" s="63" t="s">
        <v>731</v>
      </c>
      <c r="W32" s="63">
        <v>192.30085240163368</v>
      </c>
      <c r="X32" s="63" cm="1">
        <f t="array" ref="X32">INDEX(Pipes_result_save_V1!$C$2:$C$206,'COMPARAISON EPANET'!S32)</f>
        <v>156.4</v>
      </c>
      <c r="Y32" s="63">
        <v>200</v>
      </c>
      <c r="Z32" s="63" cm="1">
        <f t="array" ref="Z32">INDEX(Pipes_result_save_V1!$O$2:$O$206,S32)</f>
        <v>150</v>
      </c>
      <c r="AA32" s="63">
        <v>1.145345918657068E-2</v>
      </c>
      <c r="AB32" s="63" cm="1">
        <f t="array" ref="AB32">INDEX(Pipes_result_save_V1!$R$2:$R$206,S32)/1000</f>
        <v>1.3837529182434079E-2</v>
      </c>
      <c r="AC32" s="63">
        <v>2.2785933063050028E-2</v>
      </c>
      <c r="AD32" s="63" cm="1">
        <f t="array" ref="AD32">INDEX(Pipes_result_save_V1!$L$2:$L$206,S32)</f>
        <v>0.72026580572128296</v>
      </c>
      <c r="AE32" s="63">
        <v>0.24527997752358771</v>
      </c>
      <c r="AF32" s="63" cm="1">
        <f t="array" ref="AF32">INDEX(Pipes_result_save_V1!$M$2:$M$206,S32)</f>
        <v>3.146917581558228</v>
      </c>
      <c r="AG32" s="63">
        <v>62.471305699765942</v>
      </c>
      <c r="AH32" s="63">
        <f>INDEX('Junctions — junctions'!$I$2:$I$197,MATCH(V32,'Junctions — junctions'!$B$2:$B$197,0))</f>
        <v>53.311038970947273</v>
      </c>
      <c r="AL32" s="63">
        <f>MATCH(AO32,Pipes_result_save_V1!$H$2:$H$206,0)</f>
        <v>32</v>
      </c>
      <c r="AM32" s="63" t="s">
        <v>423</v>
      </c>
      <c r="AN32" s="63" t="s">
        <v>706</v>
      </c>
      <c r="AO32" s="63" t="s">
        <v>707</v>
      </c>
      <c r="AP32" s="63">
        <v>384.60170480326735</v>
      </c>
      <c r="AQ32" s="63" cm="1">
        <f t="array" ref="AQ32">INDEX(Pipes_result_save_V1!$C$2:$C$206,'COMPARAISON EPANET'!AL32)</f>
        <v>252</v>
      </c>
      <c r="AR32" s="63">
        <v>400</v>
      </c>
      <c r="AS32" s="63" cm="1">
        <f t="array" ref="AS32">INDEX(Pipes_result_save_V1!$O$2:$O$206,AL32)</f>
        <v>250</v>
      </c>
      <c r="AT32" s="63">
        <v>3.8754659570581509E-2</v>
      </c>
      <c r="AU32" s="63" cm="1">
        <f t="array" ref="AU32">INDEX(Pipes_result_save_V1!$R$2:$R$206,AL32)/1000</f>
        <v>4.4782958984375003E-2</v>
      </c>
      <c r="AV32" s="63">
        <v>1.9274986370317739E-2</v>
      </c>
      <c r="AW32" s="63" cm="1">
        <f t="array" ref="AW32">INDEX(Pipes_result_save_V1!$L$2:$L$206,AL32)</f>
        <v>0.89788240194320679</v>
      </c>
      <c r="AX32" s="63">
        <v>0.20198820493525013</v>
      </c>
      <c r="AY32" s="63" cm="1">
        <f t="array" ref="AY32">INDEX(Pipes_result_save_V1!$M$2:$M$206,AL32)</f>
        <v>2.589356422424316</v>
      </c>
      <c r="AZ32" s="63">
        <v>12.398844628168899</v>
      </c>
      <c r="BA32" s="63">
        <f>INDEX('Junctions — junctions'!$I$2:$I$197,MATCH(AO32,'Junctions — junctions'!$B$2:$B$197,0))</f>
        <v>61.037258148193359</v>
      </c>
      <c r="BF32" s="63">
        <f>MATCH(BI32,Pipes_result_save_V1!$H$2:$H$206,0)</f>
        <v>179</v>
      </c>
      <c r="BG32" s="63" t="s">
        <v>186</v>
      </c>
      <c r="BH32" s="63" t="s">
        <v>658</v>
      </c>
      <c r="BI32" s="63" t="s">
        <v>659</v>
      </c>
      <c r="BJ32" s="63">
        <v>204.52523865872314</v>
      </c>
      <c r="BK32" s="63" cm="1">
        <f t="array" ref="BK32">INDEX(Pipes_result_save_V1!$C$2:$C$206,'COMPARAISON EPANET'!BF32)</f>
        <v>252</v>
      </c>
      <c r="BL32" s="63">
        <v>250</v>
      </c>
      <c r="BM32" s="63" cm="1">
        <f t="array" ref="BM32">INDEX(Pipes_result_save_V1!$O$2:$O$206,BF32)</f>
        <v>250</v>
      </c>
      <c r="BN32" s="63">
        <v>5.1566686166368718E-2</v>
      </c>
      <c r="BO32" s="63" cm="1">
        <f t="array" ref="BO32">INDEX(Pipes_result_save_V1!$R$2:$R$206,BF32)/1000</f>
        <v>5.7179180145263672E-2</v>
      </c>
      <c r="BP32" s="63">
        <v>6.5656744017968324E-2</v>
      </c>
      <c r="BQ32" s="63" cm="1">
        <f t="array" ref="BQ32">INDEX(Pipes_result_save_V1!$L$2:$L$206,BF32)</f>
        <v>1.146422266960144</v>
      </c>
      <c r="BR32" s="63">
        <v>0.31969782539204755</v>
      </c>
      <c r="BS32" s="63" cm="1">
        <f t="array" ref="BS32">INDEX(Pipes_result_save_V1!$M$2:$M$206,BF32)</f>
        <v>4.221285343170166</v>
      </c>
      <c r="BT32" s="63">
        <v>13.750333591540418</v>
      </c>
      <c r="BU32" s="63">
        <f>INDEX('Junctions — junctions'!$I$2:$I$197,MATCH(BI32,'Junctions — junctions'!$B$2:$B$197,0))</f>
        <v>59.486293792724609</v>
      </c>
      <c r="CA32" s="63">
        <f>MATCH(CD32,Pipes_result_save_V1!$H$2:$H$206,0)</f>
        <v>156</v>
      </c>
      <c r="CB32" s="63" t="s">
        <v>127</v>
      </c>
      <c r="CC32" s="63" t="s">
        <v>638</v>
      </c>
      <c r="CD32" s="63" t="s">
        <v>637</v>
      </c>
      <c r="CE32" s="63">
        <v>204.52523865872314</v>
      </c>
      <c r="CF32" s="63" cm="1">
        <f t="array" ref="CF32">INDEX(Pipes_result_save_V1!$C$2:$C$206,'COMPARAISON EPANET'!CA32)</f>
        <v>156.4</v>
      </c>
      <c r="CG32" s="63">
        <v>250</v>
      </c>
      <c r="CH32" s="63" cm="1">
        <f t="array" ref="CH32">INDEX(Pipes_result_save_V1!$O$2:$O$206,CA32)</f>
        <v>150</v>
      </c>
      <c r="CI32" s="63">
        <v>2.0388336538195332E-2</v>
      </c>
      <c r="CJ32" s="63" cm="1">
        <f t="array" ref="CJ32">INDEX(Pipes_result_save_V1!$R$2:$R$206,CA32)/1000</f>
        <v>2.6159444808959962E-2</v>
      </c>
      <c r="CK32" s="63">
        <v>2.9738877179406698E-2</v>
      </c>
      <c r="CL32" s="63" cm="1">
        <f t="array" ref="CL32">INDEX(Pipes_result_save_V1!$L$2:$L$206,CA32)</f>
        <v>1.361641526222229</v>
      </c>
      <c r="CM32" s="63">
        <v>2.5959236331799109E-2</v>
      </c>
      <c r="CN32" s="63" cm="1">
        <f t="array" ref="CN32">INDEX(Pipes_result_save_V1!$M$2:$M$206,CA32)</f>
        <v>11.24682140350342</v>
      </c>
      <c r="CO32" s="63">
        <v>10.000000000000004</v>
      </c>
      <c r="CP32" s="63">
        <f>INDEX('Junctions — junctions'!$I$2:$I$197,MATCH(CD32,'Junctions — junctions'!$B$2:$B$197,0))</f>
        <v>55.281707763671882</v>
      </c>
      <c r="CT32" s="63">
        <f>MATCH(CW32,Pipes_result_save_V1!$H$2:$H$206,0)</f>
        <v>136</v>
      </c>
      <c r="CU32" s="63" t="s">
        <v>172</v>
      </c>
      <c r="CV32" s="63" t="s">
        <v>620</v>
      </c>
      <c r="CW32" s="63" t="s">
        <v>619</v>
      </c>
      <c r="CX32" s="63">
        <v>325.71332790434337</v>
      </c>
      <c r="CY32" s="63" cm="1">
        <f t="array" ref="CY32">INDEX(Pipes_result_save_V1!$C$2:$C$206,'COMPARAISON EPANET'!CT32)</f>
        <v>394.6</v>
      </c>
      <c r="CZ32" s="63">
        <v>350</v>
      </c>
      <c r="DA32" s="63" cm="1">
        <f t="array" ref="DA32">INDEX(Pipes_result_save_V1!$O$2:$O$206,CT32)</f>
        <v>400</v>
      </c>
      <c r="DB32" s="63">
        <v>0.10539382343429968</v>
      </c>
      <c r="DC32" s="63" cm="1">
        <f t="array" ref="DC32">INDEX(Pipes_result_save_V1!$R$2:$R$206,CT32)/1000</f>
        <v>0.1112689437866211</v>
      </c>
      <c r="DD32" s="63">
        <v>6.8465093758870346E-2</v>
      </c>
      <c r="DE32" s="63" cm="1">
        <f t="array" ref="DE32">INDEX(Pipes_result_save_V1!$L$2:$L$206,CT32)</f>
        <v>0.90984535217285156</v>
      </c>
      <c r="DF32" s="63">
        <v>0.18380962874413831</v>
      </c>
      <c r="DG32" s="63" cm="1">
        <f t="array" ref="DG32">INDEX(Pipes_result_save_V1!$M$2:$M$206,CT32)</f>
        <v>1.4624549150466919</v>
      </c>
      <c r="DH32" s="63">
        <v>17.659589151232801</v>
      </c>
      <c r="DI32" s="63">
        <f>INDEX('Junctions — junctions'!$I$2:$I$197,MATCH(CW32,'Junctions — junctions'!$B$2:$B$197,0))</f>
        <v>66.394905090332031</v>
      </c>
      <c r="DM32" s="63">
        <f>MATCH(DP32,Pipes_result_save_V1!$H$2:$H$206,0)</f>
        <v>121</v>
      </c>
      <c r="DN32" s="63" t="s">
        <v>143</v>
      </c>
      <c r="DO32" s="63" t="s">
        <v>608</v>
      </c>
      <c r="DP32" s="63" t="s">
        <v>607</v>
      </c>
      <c r="DQ32" s="63">
        <v>460.62820576799743</v>
      </c>
      <c r="DR32" s="63" cm="1">
        <f t="array" ref="DR32">INDEX(Pipes_result_save_V1!$C$2:$C$206,'COMPARAISON EPANET'!DM32)</f>
        <v>489.4</v>
      </c>
      <c r="DS32" s="63">
        <v>500</v>
      </c>
      <c r="DT32" s="63" cm="1">
        <f t="array" ref="DT32">INDEX(Pipes_result_save_V1!$O$2:$O$206,DM32)</f>
        <v>500</v>
      </c>
      <c r="DU32" s="63">
        <v>0.18749754345472944</v>
      </c>
      <c r="DV32" s="63" cm="1">
        <f t="array" ref="DV32">INDEX(Pipes_result_save_V1!$R$2:$R$206,DM32)/1000</f>
        <v>0.19938948059082032</v>
      </c>
      <c r="DW32" s="63">
        <v>6.8709040639926222E-2</v>
      </c>
      <c r="DX32" s="63" cm="1">
        <f t="array" ref="DX32">INDEX(Pipes_result_save_V1!$L$2:$L$206,DM32)</f>
        <v>1.0599420070648189</v>
      </c>
      <c r="DY32" s="63">
        <v>0.19938948059082032</v>
      </c>
      <c r="DZ32" s="63" cm="1">
        <f t="array" ref="DZ32">INDEX(Pipes_result_save_V1!$M$2:$M$206,DM32)</f>
        <v>1.4895554780960081</v>
      </c>
      <c r="EA32" s="63">
        <v>10.584869018554686</v>
      </c>
      <c r="EB32" s="63">
        <f>INDEX('Junctions — junctions'!$I$2:$I$197,MATCH(DP32,'Junctions — junctions'!$B$2:$B$197,0))</f>
        <v>60.444290161132813</v>
      </c>
    </row>
    <row r="33" spans="1:132" x14ac:dyDescent="0.25">
      <c r="A33" s="63">
        <f>MATCH(D33,Pipes_result_save_V1!$H$2:$H$206,0)</f>
        <v>62</v>
      </c>
      <c r="B33" s="63" t="s">
        <v>223</v>
      </c>
      <c r="C33" s="63" t="s">
        <v>732</v>
      </c>
      <c r="D33" s="63" t="s">
        <v>733</v>
      </c>
      <c r="E33" s="63">
        <v>336.71322542832195</v>
      </c>
      <c r="F33" s="63" cm="1">
        <f t="array" ref="F33">INDEX(Pipes_result_save_V1!$C$2:$C$206,'COMPARAISON EPANET'!A33)</f>
        <v>156.4</v>
      </c>
      <c r="G33" s="63">
        <v>350</v>
      </c>
      <c r="H33" s="63" cm="1">
        <f t="array" ref="H33">INDEX(Pipes_result_save_V1!$O$2:$O$206,A33)</f>
        <v>150</v>
      </c>
      <c r="I33" s="63">
        <v>9.8437607048732119E-3</v>
      </c>
      <c r="J33" s="63" cm="1">
        <f t="array" ref="J33">INDEX(Pipes_result_save_V1!$R$2:$R$206,A33)/1000</f>
        <v>1.5104161262512211E-2</v>
      </c>
      <c r="K33" s="63">
        <v>6.3946252032421706E-3</v>
      </c>
      <c r="L33" s="63" cm="1">
        <f t="array" ref="L33">INDEX(Pipes_result_save_V1!$L$2:$L$206,A33)</f>
        <v>0.78619611263275146</v>
      </c>
      <c r="M33" s="63">
        <v>0.16707613867720356</v>
      </c>
      <c r="N33" s="63" cm="1">
        <f t="array" ref="N33">INDEX(Pipes_result_save_V1!$M$2:$M$206,A33)</f>
        <v>3.749416828155518</v>
      </c>
      <c r="O33" s="63">
        <v>28.630311183252413</v>
      </c>
      <c r="P33" s="63">
        <f>INDEX('Junctions — junctions'!$I$2:$I$197,MATCH(D33,'Junctions — junctions'!$B$2:$B$197,0))</f>
        <v>57.807628631591797</v>
      </c>
      <c r="S33" s="63">
        <f>MATCH(V33,Pipes_result_save_V1!$H$2:$H$206,0)</f>
        <v>61</v>
      </c>
      <c r="T33" s="63" t="s">
        <v>222</v>
      </c>
      <c r="U33" s="63" t="s">
        <v>731</v>
      </c>
      <c r="V33" s="63" t="s">
        <v>732</v>
      </c>
      <c r="W33" s="63">
        <v>192.30085240163368</v>
      </c>
      <c r="X33" s="63" cm="1">
        <f t="array" ref="X33">INDEX(Pipes_result_save_V1!$C$2:$C$206,'COMPARAISON EPANET'!S33)</f>
        <v>156.4</v>
      </c>
      <c r="Y33" s="63">
        <v>200</v>
      </c>
      <c r="Z33" s="63" cm="1">
        <f t="array" ref="Z33">INDEX(Pipes_result_save_V1!$O$2:$O$206,S33)</f>
        <v>150</v>
      </c>
      <c r="AA33" s="63">
        <v>1.1065039289850538E-2</v>
      </c>
      <c r="AB33" s="63" cm="1">
        <f t="array" ref="AB33">INDEX(Pipes_result_save_V1!$R$2:$R$206,S33)/1000</f>
        <v>1.4316794395446778E-2</v>
      </c>
      <c r="AC33" s="63">
        <v>2.2013196231071855E-2</v>
      </c>
      <c r="AD33" s="63" cm="1">
        <f t="array" ref="AD33">INDEX(Pipes_result_save_V1!$L$2:$L$206,S33)</f>
        <v>0.7452123761177063</v>
      </c>
      <c r="AE33" s="63">
        <v>0.5876553864915437</v>
      </c>
      <c r="AF33" s="63" cm="1">
        <f t="array" ref="AF33">INDEX(Pipes_result_save_V1!$M$2:$M$206,S33)</f>
        <v>3.3687422275543208</v>
      </c>
      <c r="AG33" s="63">
        <v>62.883650313274401</v>
      </c>
      <c r="AH33" s="63">
        <f>INDEX('Junctions — junctions'!$I$2:$I$197,MATCH(V33,'Junctions — junctions'!$B$2:$B$197,0))</f>
        <v>54.475433349609382</v>
      </c>
      <c r="AL33" s="63">
        <f>MATCH(AO33,Pipes_result_save_V1!$H$2:$H$206,0)</f>
        <v>32</v>
      </c>
      <c r="AM33" s="63" t="s">
        <v>292</v>
      </c>
      <c r="AN33" s="63" t="s">
        <v>708</v>
      </c>
      <c r="AO33" s="63" t="s">
        <v>707</v>
      </c>
      <c r="AP33" s="63">
        <v>271.95447352229712</v>
      </c>
      <c r="AQ33" s="63" cm="1">
        <f t="array" ref="AQ33">INDEX(Pipes_result_save_V1!$C$2:$C$206,'COMPARAISON EPANET'!AL33)</f>
        <v>252</v>
      </c>
      <c r="AR33" s="63">
        <v>300</v>
      </c>
      <c r="AS33" s="63" cm="1">
        <f t="array" ref="AS33">INDEX(Pipes_result_save_V1!$O$2:$O$206,AL33)</f>
        <v>250</v>
      </c>
      <c r="AT33" s="63">
        <v>3.103235923977132E-3</v>
      </c>
      <c r="AU33" s="63" cm="1">
        <f t="array" ref="AU33">INDEX(Pipes_result_save_V1!$R$2:$R$206,AL33)/1000</f>
        <v>4.4782958984375003E-2</v>
      </c>
      <c r="AV33" s="63">
        <v>2.7438629826739207E-3</v>
      </c>
      <c r="AW33" s="63" cm="1">
        <f t="array" ref="AW33">INDEX(Pipes_result_save_V1!$L$2:$L$206,AL33)</f>
        <v>0.89788240194320679</v>
      </c>
      <c r="AX33" s="63">
        <v>9.0700161921813224E-2</v>
      </c>
      <c r="AY33" s="63" cm="1">
        <f t="array" ref="AY33">INDEX(Pipes_result_save_V1!$M$2:$M$206,AL33)</f>
        <v>2.589356422424316</v>
      </c>
      <c r="AZ33" s="63">
        <v>12.308144466247086</v>
      </c>
      <c r="BA33" s="63">
        <f>INDEX('Junctions — junctions'!$I$2:$I$197,MATCH(AO33,'Junctions — junctions'!$B$2:$B$197,0))</f>
        <v>61.037258148193359</v>
      </c>
      <c r="BF33" s="63">
        <f>MATCH(BI33,Pipes_result_save_V1!$H$2:$H$206,0)</f>
        <v>179</v>
      </c>
      <c r="BG33" s="63" t="s">
        <v>187</v>
      </c>
      <c r="BH33" s="63" t="s">
        <v>660</v>
      </c>
      <c r="BI33" s="63" t="s">
        <v>659</v>
      </c>
      <c r="BJ33" s="63">
        <v>204.52523865872314</v>
      </c>
      <c r="BK33" s="63" cm="1">
        <f t="array" ref="BK33">INDEX(Pipes_result_save_V1!$C$2:$C$206,'COMPARAISON EPANET'!BF33)</f>
        <v>252</v>
      </c>
      <c r="BL33" s="63">
        <v>250</v>
      </c>
      <c r="BM33" s="63" cm="1">
        <f t="array" ref="BM33">INDEX(Pipes_result_save_V1!$O$2:$O$206,BF33)</f>
        <v>250</v>
      </c>
      <c r="BN33" s="63">
        <v>5.0764470058797077E-2</v>
      </c>
      <c r="BO33" s="63" cm="1">
        <f t="array" ref="BO33">INDEX(Pipes_result_save_V1!$R$2:$R$206,BF33)/1000</f>
        <v>5.7179180145263672E-2</v>
      </c>
      <c r="BP33" s="63">
        <v>6.4635330746384584E-2</v>
      </c>
      <c r="BQ33" s="63" cm="1">
        <f t="array" ref="BQ33">INDEX(Pipes_result_save_V1!$L$2:$L$206,BF33)</f>
        <v>1.146422266960144</v>
      </c>
      <c r="BR33" s="63">
        <v>0.1416382770724261</v>
      </c>
      <c r="BS33" s="63" cm="1">
        <f t="array" ref="BS33">INDEX(Pipes_result_save_V1!$M$2:$M$206,BF33)</f>
        <v>4.221285343170166</v>
      </c>
      <c r="BT33" s="63">
        <v>13.608695314467994</v>
      </c>
      <c r="BU33" s="63">
        <f>INDEX('Junctions — junctions'!$I$2:$I$197,MATCH(BI33,'Junctions — junctions'!$B$2:$B$197,0))</f>
        <v>59.486293792724609</v>
      </c>
      <c r="CA33" s="63">
        <f>MATCH(CD33,Pipes_result_save_V1!$H$2:$H$206,0)</f>
        <v>157</v>
      </c>
      <c r="CB33" s="63" t="s">
        <v>126</v>
      </c>
      <c r="CC33" s="63" t="s">
        <v>639</v>
      </c>
      <c r="CD33" s="63" t="s">
        <v>638</v>
      </c>
      <c r="CE33" s="63">
        <v>204.52523865872314</v>
      </c>
      <c r="CF33" s="63" cm="1">
        <f t="array" ref="CF33">INDEX(Pipes_result_save_V1!$C$2:$C$206,'COMPARAISON EPANET'!CA33)</f>
        <v>156.4</v>
      </c>
      <c r="CG33" s="63">
        <v>250</v>
      </c>
      <c r="CH33" s="63" cm="1">
        <f t="array" ref="CH33">INDEX(Pipes_result_save_V1!$O$2:$O$206,CA33)</f>
        <v>150</v>
      </c>
      <c r="CI33" s="63">
        <v>1.9596661628583138E-2</v>
      </c>
      <c r="CJ33" s="63" cm="1">
        <f t="array" ref="CJ33">INDEX(Pipes_result_save_V1!$R$2:$R$206,CA33)/1000</f>
        <v>2.5771469116210942E-2</v>
      </c>
      <c r="CK33" s="63">
        <v>2.6434557492805953E-2</v>
      </c>
      <c r="CL33" s="63" cm="1">
        <f t="array" ref="CL33">INDEX(Pipes_result_save_V1!$L$2:$L$206,CA33)</f>
        <v>1.3414467573165889</v>
      </c>
      <c r="CM33" s="63">
        <v>2.4951244530306227E-2</v>
      </c>
      <c r="CN33" s="63" cm="1">
        <f t="array" ref="CN33">INDEX(Pipes_result_save_V1!$M$2:$M$206,CA33)</f>
        <v>10.915684700012211</v>
      </c>
      <c r="CO33" s="63">
        <v>12.973565442507198</v>
      </c>
      <c r="CP33" s="63">
        <f>INDEX('Junctions — junctions'!$I$2:$I$197,MATCH(CD33,'Junctions — junctions'!$B$2:$B$197,0))</f>
        <v>57.872322082519531</v>
      </c>
      <c r="CT33" s="63">
        <f>MATCH(CW33,Pipes_result_save_V1!$H$2:$H$206,0)</f>
        <v>137</v>
      </c>
      <c r="CU33" s="63" t="s">
        <v>170</v>
      </c>
      <c r="CV33" s="63" t="s">
        <v>621</v>
      </c>
      <c r="CW33" s="63" t="s">
        <v>620</v>
      </c>
      <c r="CX33" s="63">
        <v>325.71332790434337</v>
      </c>
      <c r="CY33" s="63" cm="1">
        <f t="array" ref="CY33">INDEX(Pipes_result_save_V1!$C$2:$C$206,'COMPARAISON EPANET'!CT33)</f>
        <v>394.6</v>
      </c>
      <c r="CZ33" s="63">
        <v>350</v>
      </c>
      <c r="DA33" s="63" cm="1">
        <f t="array" ref="DA33">INDEX(Pipes_result_save_V1!$O$2:$O$206,CT33)</f>
        <v>400</v>
      </c>
      <c r="DB33" s="63">
        <v>0.10387601811623667</v>
      </c>
      <c r="DC33" s="63" cm="1">
        <f t="array" ref="DC33">INDEX(Pipes_result_save_V1!$R$2:$R$206,CT33)/1000</f>
        <v>0.10984255981445309</v>
      </c>
      <c r="DD33" s="63">
        <v>6.7479109191438125E-2</v>
      </c>
      <c r="DE33" s="63" cm="1">
        <f t="array" ref="DE33">INDEX(Pipes_result_save_V1!$L$2:$L$206,CT33)</f>
        <v>0.89818179607391357</v>
      </c>
      <c r="DF33" s="63">
        <v>0.19859890921780463</v>
      </c>
      <c r="DG33" s="63" cm="1">
        <f t="array" ref="DG33">INDEX(Pipes_result_save_V1!$M$2:$M$206,CT33)</f>
        <v>1.4252117872238159</v>
      </c>
      <c r="DH33" s="63">
        <v>19.460990242014994</v>
      </c>
      <c r="DI33" s="63">
        <f>INDEX('Junctions — junctions'!$I$2:$I$197,MATCH(CW33,'Junctions — junctions'!$B$2:$B$197,0))</f>
        <v>68.267967224121094</v>
      </c>
      <c r="DM33" s="63">
        <f>MATCH(DP33,Pipes_result_save_V1!$H$2:$H$206,0)</f>
        <v>111</v>
      </c>
      <c r="DN33" s="63" t="s">
        <v>398</v>
      </c>
      <c r="DO33" s="63" t="s">
        <v>776</v>
      </c>
      <c r="DP33" s="63" t="s">
        <v>608</v>
      </c>
      <c r="DQ33" s="63">
        <v>460.62820576799743</v>
      </c>
      <c r="DR33" s="63" cm="1">
        <f t="array" ref="DR33">INDEX(Pipes_result_save_V1!$C$2:$C$206,'COMPARAISON EPANET'!DM33)</f>
        <v>489.4</v>
      </c>
      <c r="DS33" s="63">
        <v>500</v>
      </c>
      <c r="DT33" s="63" cm="1">
        <f t="array" ref="DT33">INDEX(Pipes_result_save_V1!$O$2:$O$206,DM33)</f>
        <v>500</v>
      </c>
      <c r="DU33" s="63">
        <v>0.18703494873323204</v>
      </c>
      <c r="DV33" s="63" cm="1">
        <f t="array" ref="DV33">INDEX(Pipes_result_save_V1!$R$2:$R$206,DM33)/1000</f>
        <v>0.198505126953125</v>
      </c>
      <c r="DW33" s="63">
        <v>6.8539521408188364E-2</v>
      </c>
      <c r="DX33" s="63" cm="1">
        <f t="array" ref="DX33">INDEX(Pipes_result_save_V1!$L$2:$L$206,DM33)</f>
        <v>1.055240750312805</v>
      </c>
      <c r="DY33" s="63">
        <v>0.198505126953125</v>
      </c>
      <c r="DZ33" s="63" cm="1">
        <f t="array" ref="DZ33">INDEX(Pipes_result_save_V1!$M$2:$M$206,DM33)</f>
        <v>1.4764517545700071</v>
      </c>
      <c r="EA33" s="63">
        <v>18.386363891601562</v>
      </c>
      <c r="EB33" s="63">
        <f>INDEX('Junctions — junctions'!$I$2:$I$197,MATCH(DP33,'Junctions — junctions'!$B$2:$B$197,0))</f>
        <v>68.324676513671875</v>
      </c>
    </row>
    <row r="34" spans="1:132" x14ac:dyDescent="0.25">
      <c r="A34" s="63">
        <f>MATCH(D34,Pipes_result_save_V1!$H$2:$H$206,0)</f>
        <v>63</v>
      </c>
      <c r="B34" s="63" t="s">
        <v>224</v>
      </c>
      <c r="C34" s="63" t="s">
        <v>733</v>
      </c>
      <c r="D34" s="63" t="s">
        <v>734</v>
      </c>
      <c r="E34" s="63">
        <v>313.19190917793884</v>
      </c>
      <c r="F34" s="63" cm="1">
        <f t="array" ref="F34">INDEX(Pipes_result_save_V1!$C$2:$C$206,'COMPARAISON EPANET'!A34)</f>
        <v>156.4</v>
      </c>
      <c r="G34" s="63">
        <v>350</v>
      </c>
      <c r="H34" s="63" cm="1">
        <f t="array" ref="H34">INDEX(Pipes_result_save_V1!$O$2:$O$206,A34)</f>
        <v>150</v>
      </c>
      <c r="I34" s="63">
        <v>1.0444741196510071E-2</v>
      </c>
      <c r="J34" s="63" cm="1">
        <f t="array" ref="J34">INDEX(Pipes_result_save_V1!$R$2:$R$206,A34)/1000</f>
        <v>1.6051282882690431E-2</v>
      </c>
      <c r="K34" s="63">
        <v>6.7850293499597363E-3</v>
      </c>
      <c r="L34" s="63" cm="1">
        <f t="array" ref="L34">INDEX(Pipes_result_save_V1!$L$2:$L$206,A34)</f>
        <v>0.83549529314041138</v>
      </c>
      <c r="M34" s="63">
        <v>0.11054158283193545</v>
      </c>
      <c r="N34" s="63" cm="1">
        <f t="array" ref="N34">INDEX(Pipes_result_save_V1!$M$2:$M$206,A34)</f>
        <v>4.2344193458557129</v>
      </c>
      <c r="O34" s="63">
        <v>31.519769600420478</v>
      </c>
      <c r="P34" s="63">
        <f>INDEX('Junctions — junctions'!$I$2:$I$197,MATCH(D34,'Junctions — junctions'!$B$2:$B$197,0))</f>
        <v>61.132835388183587</v>
      </c>
      <c r="S34" s="63">
        <f>MATCH(V34,Pipes_result_save_V1!$H$2:$H$206,0)</f>
        <v>62</v>
      </c>
      <c r="T34" s="63" t="s">
        <v>223</v>
      </c>
      <c r="U34" s="63" t="s">
        <v>732</v>
      </c>
      <c r="V34" s="63" t="s">
        <v>733</v>
      </c>
      <c r="W34" s="63">
        <v>192.30085240163368</v>
      </c>
      <c r="X34" s="63" cm="1">
        <f t="array" ref="X34">INDEX(Pipes_result_save_V1!$C$2:$C$206,'COMPARAISON EPANET'!S34)</f>
        <v>156.4</v>
      </c>
      <c r="Y34" s="63">
        <v>200</v>
      </c>
      <c r="Z34" s="63" cm="1">
        <f t="array" ref="Z34">INDEX(Pipes_result_save_V1!$O$2:$O$206,S34)</f>
        <v>150</v>
      </c>
      <c r="AA34" s="63">
        <v>1.3669986404243713E-2</v>
      </c>
      <c r="AB34" s="63" cm="1">
        <f t="array" ref="AB34">INDEX(Pipes_result_save_V1!$R$2:$R$206,S34)/1000</f>
        <v>1.5104161262512211E-2</v>
      </c>
      <c r="AC34" s="63">
        <v>2.7195573852929887E-2</v>
      </c>
      <c r="AD34" s="63" cm="1">
        <f t="array" ref="AD34">INDEX(Pipes_result_save_V1!$L$2:$L$206,S34)</f>
        <v>0.78619611263275146</v>
      </c>
      <c r="AE34" s="63">
        <v>2.912491740352483</v>
      </c>
      <c r="AF34" s="63" cm="1">
        <f t="array" ref="AF34">INDEX(Pipes_result_save_V1!$M$2:$M$206,S34)</f>
        <v>3.749416828155518</v>
      </c>
      <c r="AG34" s="63">
        <v>62.971158572921915</v>
      </c>
      <c r="AH34" s="63">
        <f>INDEX('Junctions — junctions'!$I$2:$I$197,MATCH(V34,'Junctions — junctions'!$B$2:$B$197,0))</f>
        <v>57.807628631591797</v>
      </c>
      <c r="AL34" s="63">
        <f>MATCH(AO34,Pipes_result_save_V1!$H$2:$H$206,0)</f>
        <v>35</v>
      </c>
      <c r="AM34" s="63" t="s">
        <v>291</v>
      </c>
      <c r="AN34" s="63" t="s">
        <v>709</v>
      </c>
      <c r="AO34" s="63" t="s">
        <v>708</v>
      </c>
      <c r="AP34" s="63">
        <v>271.95447352229712</v>
      </c>
      <c r="AQ34" s="63" cm="1">
        <f t="array" ref="AQ34">INDEX(Pipes_result_save_V1!$C$2:$C$206,'COMPARAISON EPANET'!AL34)</f>
        <v>156.4</v>
      </c>
      <c r="AR34" s="63">
        <v>300</v>
      </c>
      <c r="AS34" s="63" cm="1">
        <f t="array" ref="AS34">INDEX(Pipes_result_save_V1!$O$2:$O$206,AL34)</f>
        <v>150</v>
      </c>
      <c r="AT34" s="63">
        <v>5.7979133559458908E-4</v>
      </c>
      <c r="AU34" s="63" cm="1">
        <f t="array" ref="AU34">INDEX(Pipes_result_save_V1!$R$2:$R$206,AL34)/1000</f>
        <v>6.3425126075744628E-3</v>
      </c>
      <c r="AV34" s="63">
        <v>5.1264809456517122E-4</v>
      </c>
      <c r="AW34" s="63" cm="1">
        <f t="array" ref="AW34">INDEX(Pipes_result_save_V1!$L$2:$L$206,AL34)</f>
        <v>0.33013808727264399</v>
      </c>
      <c r="AX34" s="63">
        <v>9.1414336425134607E-2</v>
      </c>
      <c r="AY34" s="63" cm="1">
        <f t="array" ref="AY34">INDEX(Pipes_result_save_V1!$M$2:$M$206,AL34)</f>
        <v>0.66114652156829834</v>
      </c>
      <c r="AZ34" s="63">
        <v>14.216730129821951</v>
      </c>
      <c r="BA34" s="63">
        <f>INDEX('Junctions — junctions'!$I$2:$I$197,MATCH(AO34,'Junctions — junctions'!$B$2:$B$197,0))</f>
        <v>62.780147552490227</v>
      </c>
      <c r="BF34" s="63">
        <f>MATCH(BI34,Pipes_result_save_V1!$H$2:$H$206,0)</f>
        <v>183</v>
      </c>
      <c r="BG34" s="63" t="s">
        <v>185</v>
      </c>
      <c r="BH34" s="63" t="s">
        <v>661</v>
      </c>
      <c r="BI34" s="63" t="s">
        <v>660</v>
      </c>
      <c r="BJ34" s="63">
        <v>204.52212438525402</v>
      </c>
      <c r="BK34" s="63" cm="1">
        <f t="array" ref="BK34">INDEX(Pipes_result_save_V1!$C$2:$C$206,'COMPARAISON EPANET'!BF34)</f>
        <v>252</v>
      </c>
      <c r="BL34" s="63">
        <v>250</v>
      </c>
      <c r="BM34" s="63" cm="1">
        <f t="array" ref="BM34">INDEX(Pipes_result_save_V1!$O$2:$O$206,BF34)</f>
        <v>250</v>
      </c>
      <c r="BN34" s="63">
        <v>4.8576797853272291E-2</v>
      </c>
      <c r="BO34" s="63" cm="1">
        <f t="array" ref="BO34">INDEX(Pipes_result_save_V1!$R$2:$R$206,BF34)/1000</f>
        <v>5.5022480010986329E-2</v>
      </c>
      <c r="BP34" s="63">
        <v>6.1849899983392444E-2</v>
      </c>
      <c r="BQ34" s="63" cm="1">
        <f t="array" ref="BQ34">INDEX(Pipes_result_save_V1!$L$2:$L$206,BF34)</f>
        <v>1.1031812429428101</v>
      </c>
      <c r="BR34" s="63">
        <v>0.16186447921138786</v>
      </c>
      <c r="BS34" s="63" cm="1">
        <f t="array" ref="BS34">INDEX(Pipes_result_save_V1!$M$2:$M$206,BF34)</f>
        <v>3.9088785648345952</v>
      </c>
      <c r="BT34" s="63">
        <v>10.446830835256605</v>
      </c>
      <c r="BU34" s="63">
        <f>INDEX('Junctions — junctions'!$I$2:$I$197,MATCH(BI34,'Junctions — junctions'!$B$2:$B$197,0))</f>
        <v>56.202487945556641</v>
      </c>
      <c r="CA34" s="63">
        <f>MATCH(CD34,Pipes_result_save_V1!$H$2:$H$206,0)</f>
        <v>159</v>
      </c>
      <c r="CB34" s="63" t="s">
        <v>125</v>
      </c>
      <c r="CC34" s="63" t="s">
        <v>640</v>
      </c>
      <c r="CD34" s="63" t="s">
        <v>639</v>
      </c>
      <c r="CE34" s="63">
        <v>204.52523865872314</v>
      </c>
      <c r="CF34" s="63" cm="1">
        <f t="array" ref="CF34">INDEX(Pipes_result_save_V1!$C$2:$C$206,'COMPARAISON EPANET'!CA34)</f>
        <v>156.4</v>
      </c>
      <c r="CG34" s="63">
        <v>250</v>
      </c>
      <c r="CH34" s="63" cm="1">
        <f t="array" ref="CH34">INDEX(Pipes_result_save_V1!$O$2:$O$206,CA34)</f>
        <v>150</v>
      </c>
      <c r="CI34" s="63">
        <v>1.9613566672003892E-2</v>
      </c>
      <c r="CJ34" s="63" cm="1">
        <f t="array" ref="CJ34">INDEX(Pipes_result_save_V1!$R$2:$R$206,CA34)/1000</f>
        <v>2.5138153076171878E-2</v>
      </c>
      <c r="CK34" s="63">
        <v>6.5260313810364706E-2</v>
      </c>
      <c r="CL34" s="63" cm="1">
        <f t="array" ref="CL34">INDEX(Pipes_result_save_V1!$L$2:$L$206,CA34)</f>
        <v>1.3084815740585329</v>
      </c>
      <c r="CM34" s="63">
        <v>2.4972768700094995E-2</v>
      </c>
      <c r="CN34" s="63" cm="1">
        <f t="array" ref="CN34">INDEX(Pipes_result_save_V1!$M$2:$M$206,CA34)</f>
        <v>10.385706901550289</v>
      </c>
      <c r="CO34" s="63">
        <v>13.908305128696833</v>
      </c>
      <c r="CP34" s="63">
        <f>INDEX('Junctions — junctions'!$I$2:$I$197,MATCH(CD34,'Junctions — junctions'!$B$2:$B$197,0))</f>
        <v>58.517562866210938</v>
      </c>
      <c r="CT34" s="63">
        <f>MATCH(CW34,Pipes_result_save_V1!$H$2:$H$206,0)</f>
        <v>15</v>
      </c>
      <c r="CU34" s="63" t="s">
        <v>171</v>
      </c>
      <c r="CV34" s="63" t="s">
        <v>621</v>
      </c>
      <c r="CW34" s="63" t="s">
        <v>622</v>
      </c>
      <c r="CX34" s="63">
        <v>354.24630676955917</v>
      </c>
      <c r="CY34" s="63" cm="1">
        <f t="array" ref="CY34">INDEX(Pipes_result_save_V1!$C$2:$C$206,'COMPARAISON EPANET'!CT34)</f>
        <v>156.4</v>
      </c>
      <c r="CZ34" s="63">
        <v>400</v>
      </c>
      <c r="DA34" s="63" cm="1">
        <f t="array" ref="DA34">INDEX(Pipes_result_save_V1!$O$2:$O$206,CT34)</f>
        <v>150</v>
      </c>
      <c r="DB34" s="63">
        <v>0.10191419697451586</v>
      </c>
      <c r="DC34" s="63" cm="1">
        <f t="array" ref="DC34">INDEX(Pipes_result_save_V1!$R$2:$R$206,CT34)/1000</f>
        <v>8.0635652542114262E-3</v>
      </c>
      <c r="DD34" s="63">
        <v>5.0687963186672756E-2</v>
      </c>
      <c r="DE34" s="63" cm="1">
        <f t="array" ref="DE34">INDEX(Pipes_result_save_V1!$L$2:$L$206,CT34)</f>
        <v>0.41972163319587708</v>
      </c>
      <c r="DF34" s="63">
        <v>0.10167689645312228</v>
      </c>
      <c r="DG34" s="63" cm="1">
        <f t="array" ref="DG34">INDEX(Pipes_result_save_V1!$M$2:$M$206,CT34)</f>
        <v>1.068596720695496</v>
      </c>
      <c r="DH34" s="63">
        <v>18.359313345561873</v>
      </c>
      <c r="DI34" s="63">
        <f>INDEX('Junctions — junctions'!$I$2:$I$197,MATCH(CW34,'Junctions — junctions'!$B$2:$B$197,0))</f>
        <v>67.037513732910156</v>
      </c>
      <c r="DM34" s="63">
        <f>MATCH(DP34,Pipes_result_save_V1!$H$2:$H$206,0)</f>
        <v>124</v>
      </c>
      <c r="DN34" s="63" t="s">
        <v>140</v>
      </c>
      <c r="DO34" s="63" t="s">
        <v>610</v>
      </c>
      <c r="DP34" s="63" t="s">
        <v>609</v>
      </c>
      <c r="DQ34" s="63">
        <v>460.62820576799743</v>
      </c>
      <c r="DR34" s="63" cm="1">
        <f t="array" ref="DR34">INDEX(Pipes_result_save_V1!$C$2:$C$206,'COMPARAISON EPANET'!DM34)</f>
        <v>489.4</v>
      </c>
      <c r="DS34" s="63">
        <v>500</v>
      </c>
      <c r="DT34" s="63" cm="1">
        <f t="array" ref="DT34">INDEX(Pipes_result_save_V1!$O$2:$O$206,DM34)</f>
        <v>500</v>
      </c>
      <c r="DU34" s="63">
        <v>0.1894049105032844</v>
      </c>
      <c r="DV34" s="63" cm="1">
        <f t="array" ref="DV34">INDEX(Pipes_result_save_V1!$R$2:$R$206,DM34)/1000</f>
        <v>0.19685621643066409</v>
      </c>
      <c r="DW34" s="63">
        <v>6.9408001051031884E-2</v>
      </c>
      <c r="DX34" s="63" cm="1">
        <f t="array" ref="DX34">INDEX(Pipes_result_save_V1!$L$2:$L$206,DM34)</f>
        <v>1.046475291252136</v>
      </c>
      <c r="DY34" s="63">
        <v>0.19685621643066409</v>
      </c>
      <c r="DZ34" s="63" cm="1">
        <f t="array" ref="DZ34">INDEX(Pipes_result_save_V1!$M$2:$M$206,DM34)</f>
        <v>1.4519786834716799</v>
      </c>
      <c r="EA34" s="63">
        <v>14.189507675170898</v>
      </c>
      <c r="EB34" s="63">
        <f>INDEX('Junctions — junctions'!$I$2:$I$197,MATCH(DP34,'Junctions — junctions'!$B$2:$B$197,0))</f>
        <v>64.113357543945313</v>
      </c>
    </row>
    <row r="35" spans="1:132" x14ac:dyDescent="0.25">
      <c r="A35" s="63">
        <f>MATCH(D35,Pipes_result_save_V1!$H$2:$H$206,0)</f>
        <v>64</v>
      </c>
      <c r="B35" s="63" t="s">
        <v>225</v>
      </c>
      <c r="C35" s="63" t="s">
        <v>734</v>
      </c>
      <c r="D35" s="63" t="s">
        <v>735</v>
      </c>
      <c r="E35" s="63">
        <v>217.10310444989827</v>
      </c>
      <c r="F35" s="63" cm="1">
        <f t="array" ref="F35">INDEX(Pipes_result_save_V1!$C$2:$C$206,'COMPARAISON EPANET'!A35)</f>
        <v>156.4</v>
      </c>
      <c r="G35" s="63">
        <v>250</v>
      </c>
      <c r="H35" s="63" cm="1">
        <f t="array" ref="H35">INDEX(Pipes_result_save_V1!$O$2:$O$206,A35)</f>
        <v>150</v>
      </c>
      <c r="I35" s="63">
        <v>1.1570607137653602E-2</v>
      </c>
      <c r="J35" s="63" cm="1">
        <f t="array" ref="J35">INDEX(Pipes_result_save_V1!$R$2:$R$206,A35)/1000</f>
        <v>1.6701713562011718E-2</v>
      </c>
      <c r="K35" s="63">
        <v>1.4732154564255497E-2</v>
      </c>
      <c r="L35" s="63" cm="1">
        <f t="array" ref="L35">INDEX(Pipes_result_save_V1!$L$2:$L$206,A35)</f>
        <v>0.86935132741928101</v>
      </c>
      <c r="M35" s="63">
        <v>7.0397155231682926E-2</v>
      </c>
      <c r="N35" s="63" cm="1">
        <f t="array" ref="N35">INDEX(Pipes_result_save_V1!$M$2:$M$206,A35)</f>
        <v>4.5844731330871582</v>
      </c>
      <c r="O35" s="63">
        <v>24.449372445188793</v>
      </c>
      <c r="P35" s="63">
        <f>INDEX('Junctions — junctions'!$I$2:$I$197,MATCH(D35,'Junctions — junctions'!$B$2:$B$197,0))</f>
        <v>54.304294586181641</v>
      </c>
      <c r="S35" s="63">
        <f>MATCH(V35,Pipes_result_save_V1!$H$2:$H$206,0)</f>
        <v>63</v>
      </c>
      <c r="T35" s="63" t="s">
        <v>224</v>
      </c>
      <c r="U35" s="63" t="s">
        <v>733</v>
      </c>
      <c r="V35" s="63" t="s">
        <v>734</v>
      </c>
      <c r="W35" s="63">
        <v>192.30085240163368</v>
      </c>
      <c r="X35" s="63" cm="1">
        <f t="array" ref="X35">INDEX(Pipes_result_save_V1!$C$2:$C$206,'COMPARAISON EPANET'!S35)</f>
        <v>156.4</v>
      </c>
      <c r="Y35" s="63">
        <v>200</v>
      </c>
      <c r="Z35" s="63" cm="1">
        <f t="array" ref="Z35">INDEX(Pipes_result_save_V1!$O$2:$O$206,S35)</f>
        <v>150</v>
      </c>
      <c r="AA35" s="63">
        <v>1.5988191704550677E-2</v>
      </c>
      <c r="AB35" s="63" cm="1">
        <f t="array" ref="AB35">INDEX(Pipes_result_save_V1!$R$2:$R$206,S35)/1000</f>
        <v>1.6051282882690431E-2</v>
      </c>
      <c r="AC35" s="63">
        <v>3.1807496761000947E-2</v>
      </c>
      <c r="AD35" s="63" cm="1">
        <f t="array" ref="AD35">INDEX(Pipes_result_save_V1!$L$2:$L$206,S35)</f>
        <v>0.83549529314041138</v>
      </c>
      <c r="AE35" s="63">
        <v>1.9655302348454322</v>
      </c>
      <c r="AF35" s="63" cm="1">
        <f t="array" ref="AF35">INDEX(Pipes_result_save_V1!$M$2:$M$206,S35)</f>
        <v>4.2344193458557129</v>
      </c>
      <c r="AG35" s="63">
        <v>64.005628338076491</v>
      </c>
      <c r="AH35" s="63">
        <f>INDEX('Junctions — junctions'!$I$2:$I$197,MATCH(V35,'Junctions — junctions'!$B$2:$B$197,0))</f>
        <v>61.132835388183587</v>
      </c>
      <c r="AL35" s="63">
        <f>MATCH(AO35,Pipes_result_save_V1!$H$2:$H$206,0)</f>
        <v>37</v>
      </c>
      <c r="AM35" s="63" t="s">
        <v>293</v>
      </c>
      <c r="AN35" s="63" t="s">
        <v>710</v>
      </c>
      <c r="AO35" s="63" t="s">
        <v>709</v>
      </c>
      <c r="AP35" s="63">
        <v>271.95447352229712</v>
      </c>
      <c r="AQ35" s="63" cm="1">
        <f t="array" ref="AQ35">INDEX(Pipes_result_save_V1!$C$2:$C$206,'COMPARAISON EPANET'!AL35)</f>
        <v>108.4</v>
      </c>
      <c r="AR35" s="63">
        <v>300</v>
      </c>
      <c r="AS35" s="63" cm="1">
        <f t="array" ref="AS35">INDEX(Pipes_result_save_V1!$O$2:$O$206,AL35)</f>
        <v>100</v>
      </c>
      <c r="AT35" s="63">
        <v>1.0173735665667304E-3</v>
      </c>
      <c r="AU35" s="63" cm="1">
        <f t="array" ref="AU35">INDEX(Pipes_result_save_V1!$R$2:$R$206,AL35)/1000</f>
        <v>4.2200489044189457E-3</v>
      </c>
      <c r="AV35" s="63">
        <v>8.9955573383403652E-4</v>
      </c>
      <c r="AW35" s="63" cm="1">
        <f t="array" ref="AW35">INDEX(Pipes_result_save_V1!$L$2:$L$206,AL35)</f>
        <v>0.45726364850997919</v>
      </c>
      <c r="AX35" s="63">
        <v>9.2128510928455962E-2</v>
      </c>
      <c r="AY35" s="63" cm="1">
        <f t="array" ref="AY35">INDEX(Pipes_result_save_V1!$M$2:$M$206,AL35)</f>
        <v>2.067552804946899</v>
      </c>
      <c r="AZ35" s="63">
        <v>10.124601618893495</v>
      </c>
      <c r="BA35" s="63">
        <f>INDEX('Junctions — junctions'!$I$2:$I$197,MATCH(AO35,'Junctions — junctions'!$B$2:$B$197,0))</f>
        <v>58.588417053222663</v>
      </c>
      <c r="BF35" s="63">
        <f>MATCH(BI35,Pipes_result_save_V1!$H$2:$H$206,0)</f>
        <v>184</v>
      </c>
      <c r="BG35" s="63" t="s">
        <v>184</v>
      </c>
      <c r="BH35" s="63" t="s">
        <v>662</v>
      </c>
      <c r="BI35" s="63" t="s">
        <v>661</v>
      </c>
      <c r="BJ35" s="63">
        <v>340.27714444529937</v>
      </c>
      <c r="BK35" s="63" cm="1">
        <f t="array" ref="BK35">INDEX(Pipes_result_save_V1!$C$2:$C$206,'COMPARAISON EPANET'!BF35)</f>
        <v>252</v>
      </c>
      <c r="BL35" s="63">
        <v>350</v>
      </c>
      <c r="BM35" s="63" cm="1">
        <f t="array" ref="BM35">INDEX(Pipes_result_save_V1!$O$2:$O$206,BF35)</f>
        <v>250</v>
      </c>
      <c r="BN35" s="63">
        <v>4.5224191290407702E-2</v>
      </c>
      <c r="BO35" s="63" cm="1">
        <f t="array" ref="BO35">INDEX(Pipes_result_save_V1!$R$2:$R$206,BF35)/1000</f>
        <v>5.1448749542236327E-2</v>
      </c>
      <c r="BP35" s="63">
        <v>2.9378177923272766E-2</v>
      </c>
      <c r="BQ35" s="63" cm="1">
        <f t="array" ref="BQ35">INDEX(Pipes_result_save_V1!$L$2:$L$206,BF35)</f>
        <v>1.0315291881561279</v>
      </c>
      <c r="BR35" s="63">
        <v>0.13273035727434446</v>
      </c>
      <c r="BS35" s="63" cm="1">
        <f t="array" ref="BS35">INDEX(Pipes_result_save_V1!$M$2:$M$206,BF35)</f>
        <v>3.417511940002441</v>
      </c>
      <c r="BT35" s="63">
        <v>12.314100477982262</v>
      </c>
      <c r="BU35" s="63">
        <f>INDEX('Junctions — junctions'!$I$2:$I$197,MATCH(BI35,'Junctions — junctions'!$B$2:$B$197,0))</f>
        <v>57.888214111328118</v>
      </c>
      <c r="CA35" s="63">
        <f>MATCH(CD35,Pipes_result_save_V1!$H$2:$H$206,0)</f>
        <v>160</v>
      </c>
      <c r="CB35" s="63" t="s">
        <v>124</v>
      </c>
      <c r="CC35" s="63" t="s">
        <v>641</v>
      </c>
      <c r="CD35" s="63" t="s">
        <v>640</v>
      </c>
      <c r="CE35" s="63">
        <v>204.52523865872314</v>
      </c>
      <c r="CF35" s="63" cm="1">
        <f t="array" ref="CF35">INDEX(Pipes_result_save_V1!$C$2:$C$206,'COMPARAISON EPANET'!CA35)</f>
        <v>156.4</v>
      </c>
      <c r="CG35" s="63">
        <v>250</v>
      </c>
      <c r="CH35" s="63" cm="1">
        <f t="array" ref="CH35">INDEX(Pipes_result_save_V1!$O$2:$O$206,CA35)</f>
        <v>150</v>
      </c>
      <c r="CI35" s="63">
        <v>1.9346842143917888E-2</v>
      </c>
      <c r="CJ35" s="63" cm="1">
        <f t="array" ref="CJ35">INDEX(Pipes_result_save_V1!$R$2:$R$206,CA35)/1000</f>
        <v>2.439643096923828E-2</v>
      </c>
      <c r="CK35" s="63">
        <v>4.2130076004159488E-2</v>
      </c>
      <c r="CL35" s="63" cm="1">
        <f t="array" ref="CL35">INDEX(Pipes_result_save_V1!$L$2:$L$206,CA35)</f>
        <v>1.2698738574981689</v>
      </c>
      <c r="CM35" s="63">
        <v>2.4633164483385071E-2</v>
      </c>
      <c r="CN35" s="63" cm="1">
        <f t="array" ref="CN35">INDEX(Pipes_result_save_V1!$M$2:$M$206,CA35)</f>
        <v>9.7819814682006836</v>
      </c>
      <c r="CO35" s="63">
        <v>14.866175052692673</v>
      </c>
      <c r="CP35" s="63">
        <f>INDEX('Junctions — junctions'!$I$2:$I$197,MATCH(CD35,'Junctions — junctions'!$B$2:$B$197,0))</f>
        <v>58.697093963623047</v>
      </c>
      <c r="CT35" s="63">
        <f>MATCH(CW35,Pipes_result_save_V1!$H$2:$H$206,0)</f>
        <v>15</v>
      </c>
      <c r="CU35" s="63" t="s">
        <v>413</v>
      </c>
      <c r="CV35" s="63" t="s">
        <v>691</v>
      </c>
      <c r="CW35" s="63" t="s">
        <v>622</v>
      </c>
      <c r="CX35" s="63">
        <v>204.52212438525402</v>
      </c>
      <c r="CY35" s="63" cm="1">
        <f t="array" ref="CY35">INDEX(Pipes_result_save_V1!$C$2:$C$206,'COMPARAISON EPANET'!CT35)</f>
        <v>156.4</v>
      </c>
      <c r="CZ35" s="63">
        <v>250</v>
      </c>
      <c r="DA35" s="63" cm="1">
        <f t="array" ref="DA35">INDEX(Pipes_result_save_V1!$O$2:$O$206,CT35)</f>
        <v>150</v>
      </c>
      <c r="DB35" s="63">
        <v>1.9795627454542077E-3</v>
      </c>
      <c r="DC35" s="63" cm="1">
        <f t="array" ref="DC35">INDEX(Pipes_result_save_V1!$R$2:$R$206,CT35)/1000</f>
        <v>8.0635652542114262E-3</v>
      </c>
      <c r="DD35" s="63">
        <v>2.5204575687968042E-3</v>
      </c>
      <c r="DE35" s="63" cm="1">
        <f t="array" ref="DE35">INDEX(Pipes_result_save_V1!$L$2:$L$206,CT35)</f>
        <v>0.41972163319587708</v>
      </c>
      <c r="DF35" s="63">
        <v>8.9986313765935425E-2</v>
      </c>
      <c r="DG35" s="63" cm="1">
        <f t="array" ref="DG35">INDEX(Pipes_result_save_V1!$M$2:$M$206,CT35)</f>
        <v>1.068596720695496</v>
      </c>
      <c r="DH35" s="63">
        <v>18.269327031795939</v>
      </c>
      <c r="DI35" s="63">
        <f>INDEX('Junctions — junctions'!$I$2:$I$197,MATCH(CW35,'Junctions — junctions'!$B$2:$B$197,0))</f>
        <v>67.037513732910156</v>
      </c>
      <c r="DM35" s="63">
        <f>MATCH(DP35,Pipes_result_save_V1!$H$2:$H$206,0)</f>
        <v>122</v>
      </c>
      <c r="DN35" s="63" t="s">
        <v>909</v>
      </c>
      <c r="DO35" s="63" t="s">
        <v>609</v>
      </c>
      <c r="DP35" s="63" t="s">
        <v>776</v>
      </c>
      <c r="DQ35" s="63">
        <v>460.62820576799743</v>
      </c>
      <c r="DR35" s="63" cm="1">
        <f t="array" ref="DR35">INDEX(Pipes_result_save_V1!$C$2:$C$206,'COMPARAISON EPANET'!DM35)</f>
        <v>489.4</v>
      </c>
      <c r="DS35" s="63">
        <v>500</v>
      </c>
      <c r="DT35" s="63" cm="1">
        <f t="array" ref="DT35">INDEX(Pipes_result_save_V1!$O$2:$O$206,DM35)</f>
        <v>500</v>
      </c>
      <c r="DU35" s="63">
        <v>0.18765519608070916</v>
      </c>
      <c r="DV35" s="63" cm="1">
        <f t="array" ref="DV35">INDEX(Pipes_result_save_V1!$R$2:$R$206,DM35)/1000</f>
        <v>0.19768353271484382</v>
      </c>
      <c r="DW35" s="63">
        <v>6.8766812920489709E-2</v>
      </c>
      <c r="DX35" s="63" cm="1">
        <f t="array" ref="DX35">INDEX(Pipes_result_save_V1!$L$2:$L$206,DM35)</f>
        <v>1.0508731603622441</v>
      </c>
      <c r="DY35" s="63">
        <v>0.19768353271484382</v>
      </c>
      <c r="DZ35" s="63" cm="1">
        <f t="array" ref="DZ35">INDEX(Pipes_result_save_V1!$M$2:$M$206,DM35)</f>
        <v>1.464150547981262</v>
      </c>
      <c r="EA35" s="63">
        <v>16.991824142456053</v>
      </c>
      <c r="EB35" s="63">
        <f>INDEX('Junctions — junctions'!$I$2:$I$197,MATCH(DP35,'Junctions — junctions'!$B$2:$B$197,0))</f>
        <v>67.214385986328125</v>
      </c>
    </row>
    <row r="36" spans="1:132" x14ac:dyDescent="0.25">
      <c r="A36" s="63">
        <f>MATCH(D36,Pipes_result_save_V1!$H$2:$H$206,0)</f>
        <v>65</v>
      </c>
      <c r="B36" s="63" t="s">
        <v>226</v>
      </c>
      <c r="C36" s="63" t="s">
        <v>735</v>
      </c>
      <c r="D36" s="63" t="s">
        <v>736</v>
      </c>
      <c r="E36" s="63">
        <v>405.37786100264873</v>
      </c>
      <c r="F36" s="63" cm="1">
        <f t="array" ref="F36">INDEX(Pipes_result_save_V1!$C$2:$C$206,'COMPARAISON EPANET'!A36)</f>
        <v>156.4</v>
      </c>
      <c r="G36" s="63">
        <v>450</v>
      </c>
      <c r="H36" s="63" cm="1">
        <f t="array" ref="H36">INDEX(Pipes_result_save_V1!$O$2:$O$206,A36)</f>
        <v>150</v>
      </c>
      <c r="I36" s="63">
        <v>1.2080196732373786E-2</v>
      </c>
      <c r="J36" s="63" cm="1">
        <f t="array" ref="J36">INDEX(Pipes_result_save_V1!$R$2:$R$206,A36)/1000</f>
        <v>1.7648836135864262E-2</v>
      </c>
      <c r="K36" s="63">
        <v>5.4237535995617561E-3</v>
      </c>
      <c r="L36" s="63" cm="1">
        <f t="array" ref="L36">INDEX(Pipes_result_save_V1!$L$2:$L$206,A36)</f>
        <v>0.91865050792694092</v>
      </c>
      <c r="M36" s="63">
        <v>0.19585440315176539</v>
      </c>
      <c r="N36" s="63" cm="1">
        <f t="array" ref="N36">INDEX(Pipes_result_save_V1!$M$2:$M$206,A36)</f>
        <v>5.1192193031311044</v>
      </c>
      <c r="O36" s="63">
        <v>26.25351804203703</v>
      </c>
      <c r="P36" s="63">
        <f>INDEX('Junctions — junctions'!$I$2:$I$197,MATCH(D36,'Junctions — junctions'!$B$2:$B$197,0))</f>
        <v>56.963134765625</v>
      </c>
      <c r="S36" s="63">
        <f>MATCH(V36,Pipes_result_save_V1!$H$2:$H$206,0)</f>
        <v>64</v>
      </c>
      <c r="T36" s="63" t="s">
        <v>225</v>
      </c>
      <c r="U36" s="63" t="s">
        <v>734</v>
      </c>
      <c r="V36" s="63" t="s">
        <v>735</v>
      </c>
      <c r="W36" s="63">
        <v>192.30085240163368</v>
      </c>
      <c r="X36" s="63" cm="1">
        <f t="array" ref="X36">INDEX(Pipes_result_save_V1!$C$2:$C$206,'COMPARAISON EPANET'!S36)</f>
        <v>156.4</v>
      </c>
      <c r="Y36" s="63">
        <v>200</v>
      </c>
      <c r="Z36" s="63" cm="1">
        <f t="array" ref="Z36">INDEX(Pipes_result_save_V1!$O$2:$O$206,S36)</f>
        <v>150</v>
      </c>
      <c r="AA36" s="63">
        <v>1.3580285307680264E-2</v>
      </c>
      <c r="AB36" s="63" cm="1">
        <f t="array" ref="AB36">INDEX(Pipes_result_save_V1!$R$2:$R$206,S36)/1000</f>
        <v>1.6701713562011718E-2</v>
      </c>
      <c r="AC36" s="63">
        <v>2.7017119191444432E-2</v>
      </c>
      <c r="AD36" s="63" cm="1">
        <f t="array" ref="AD36">INDEX(Pipes_result_save_V1!$L$2:$L$206,S36)</f>
        <v>0.86935132741928101</v>
      </c>
      <c r="AE36" s="63">
        <v>0.28285680122909845</v>
      </c>
      <c r="AF36" s="63" cm="1">
        <f t="array" ref="AF36">INDEX(Pipes_result_save_V1!$M$2:$M$206,S36)</f>
        <v>4.5844731330871582</v>
      </c>
      <c r="AG36" s="63">
        <v>56.722771536847389</v>
      </c>
      <c r="AH36" s="63">
        <f>INDEX('Junctions — junctions'!$I$2:$I$197,MATCH(V36,'Junctions — junctions'!$B$2:$B$197,0))</f>
        <v>54.304294586181641</v>
      </c>
      <c r="AL36" s="63">
        <f>MATCH(AO36,Pipes_result_save_V1!$H$2:$H$206,0)</f>
        <v>38</v>
      </c>
      <c r="AM36" s="63" t="s">
        <v>294</v>
      </c>
      <c r="AN36" s="63" t="s">
        <v>711</v>
      </c>
      <c r="AO36" s="63" t="s">
        <v>710</v>
      </c>
      <c r="AP36" s="63">
        <v>271.95447352229712</v>
      </c>
      <c r="AQ36" s="63" cm="1">
        <f t="array" ref="AQ36">INDEX(Pipes_result_save_V1!$C$2:$C$206,'COMPARAISON EPANET'!AL36)</f>
        <v>108.4</v>
      </c>
      <c r="AR36" s="63">
        <v>300</v>
      </c>
      <c r="AS36" s="63" cm="1">
        <f t="array" ref="AS36">INDEX(Pipes_result_save_V1!$O$2:$O$206,AL36)</f>
        <v>100</v>
      </c>
      <c r="AT36" s="63">
        <v>1.7731734437795156E-3</v>
      </c>
      <c r="AU36" s="63" cm="1">
        <f t="array" ref="AU36">INDEX(Pipes_result_save_V1!$R$2:$R$206,AL36)/1000</f>
        <v>3.3242774009704591E-3</v>
      </c>
      <c r="AV36" s="63">
        <v>1.5678295474266049E-3</v>
      </c>
      <c r="AW36" s="63" cm="1">
        <f t="array" ref="AW36">INDEX(Pipes_result_save_V1!$L$2:$L$206,AL36)</f>
        <v>0.36020228266715998</v>
      </c>
      <c r="AX36" s="63">
        <v>9.2842685431777316E-2</v>
      </c>
      <c r="AY36" s="63" cm="1">
        <f t="array" ref="AY36">INDEX(Pipes_result_save_V1!$M$2:$M$206,AL36)</f>
        <v>1.282986164093018</v>
      </c>
      <c r="AZ36" s="63">
        <v>15.031758933461717</v>
      </c>
      <c r="BA36" s="63">
        <f>INDEX('Junctions — junctions'!$I$2:$I$197,MATCH(AO36,'Junctions — junctions'!$B$2:$B$197,0))</f>
        <v>63.418048858642578</v>
      </c>
      <c r="BF36" s="63">
        <f>MATCH(BI36,Pipes_result_save_V1!$H$2:$H$206,0)</f>
        <v>185</v>
      </c>
      <c r="BG36" s="63" t="s">
        <v>200</v>
      </c>
      <c r="BH36" s="63" t="s">
        <v>663</v>
      </c>
      <c r="BI36" s="63" t="s">
        <v>662</v>
      </c>
      <c r="BJ36" s="63">
        <v>340.27714444529937</v>
      </c>
      <c r="BK36" s="63" cm="1">
        <f t="array" ref="BK36">INDEX(Pipes_result_save_V1!$C$2:$C$206,'COMPARAISON EPANET'!BF36)</f>
        <v>252</v>
      </c>
      <c r="BL36" s="63">
        <v>350</v>
      </c>
      <c r="BM36" s="63" cm="1">
        <f t="array" ref="BM36">INDEX(Pipes_result_save_V1!$O$2:$O$206,BF36)</f>
        <v>250</v>
      </c>
      <c r="BN36" s="63">
        <v>4.4475582353763941E-2</v>
      </c>
      <c r="BO36" s="63" cm="1">
        <f t="array" ref="BO36">INDEX(Pipes_result_save_V1!$R$2:$R$206,BF36)/1000</f>
        <v>5.0193531036376957E-2</v>
      </c>
      <c r="BP36" s="63">
        <v>2.8891872565274309E-2</v>
      </c>
      <c r="BQ36" s="63" cm="1">
        <f t="array" ref="BQ36">INDEX(Pipes_result_save_V1!$L$2:$L$206,BF36)</f>
        <v>1.0063624382019041</v>
      </c>
      <c r="BR36" s="63">
        <v>0.29669138684853463</v>
      </c>
      <c r="BS36" s="63" cm="1">
        <f t="array" ref="BS36">INDEX(Pipes_result_save_V1!$M$2:$M$206,BF36)</f>
        <v>3.252838134765625</v>
      </c>
      <c r="BT36" s="63">
        <v>15.017409091133725</v>
      </c>
      <c r="BU36" s="63">
        <f>INDEX('Junctions — junctions'!$I$2:$I$197,MATCH(BI36,'Junctions — junctions'!$B$2:$B$197,0))</f>
        <v>60.654457092285163</v>
      </c>
      <c r="CA36" s="63">
        <f>MATCH(CD36,Pipes_result_save_V1!$H$2:$H$206,0)</f>
        <v>161</v>
      </c>
      <c r="CB36" s="63" t="s">
        <v>123</v>
      </c>
      <c r="CC36" s="63" t="s">
        <v>642</v>
      </c>
      <c r="CD36" s="63" t="s">
        <v>641</v>
      </c>
      <c r="CE36" s="63">
        <v>204.52523865872314</v>
      </c>
      <c r="CF36" s="63" cm="1">
        <f t="array" ref="CF36">INDEX(Pipes_result_save_V1!$C$2:$C$206,'COMPARAISON EPANET'!CA36)</f>
        <v>156.4</v>
      </c>
      <c r="CG36" s="63">
        <v>250</v>
      </c>
      <c r="CH36" s="63" cm="1">
        <f t="array" ref="CH36">INDEX(Pipes_result_save_V1!$O$2:$O$206,CA36)</f>
        <v>150</v>
      </c>
      <c r="CI36" s="63">
        <v>1.7954359292195445E-2</v>
      </c>
      <c r="CJ36" s="63" cm="1">
        <f t="array" ref="CJ36">INDEX(Pipes_result_save_V1!$R$2:$R$206,CA36)/1000</f>
        <v>2.3688943862915039E-2</v>
      </c>
      <c r="CK36" s="63">
        <v>6.0303834280463577E-2</v>
      </c>
      <c r="CL36" s="63" cm="1">
        <f t="array" ref="CL36">INDEX(Pipes_result_save_V1!$L$2:$L$206,CA36)</f>
        <v>1.2330479621887209</v>
      </c>
      <c r="CM36" s="63">
        <v>2.2860200251206466E-2</v>
      </c>
      <c r="CN36" s="63" cm="1">
        <f t="array" ref="CN36">INDEX(Pipes_result_save_V1!$M$2:$M$206,CA36)</f>
        <v>9.2228012084960938</v>
      </c>
      <c r="CO36" s="63">
        <v>21.805871218412211</v>
      </c>
      <c r="CP36" s="63">
        <f>INDEX('Junctions — junctions'!$I$2:$I$197,MATCH(CD36,'Junctions — junctions'!$B$2:$B$197,0))</f>
        <v>65.201148986816406</v>
      </c>
      <c r="CT36" s="63">
        <f>MATCH(CW36,Pipes_result_save_V1!$H$2:$H$206,0)</f>
        <v>9</v>
      </c>
      <c r="CU36" s="63" t="s">
        <v>258</v>
      </c>
      <c r="CV36" s="63" t="s">
        <v>686</v>
      </c>
      <c r="CW36" s="63" t="s">
        <v>687</v>
      </c>
      <c r="CX36" s="63">
        <v>325.71332790434337</v>
      </c>
      <c r="CY36" s="63" cm="1">
        <f t="array" ref="CY36">INDEX(Pipes_result_save_V1!$C$2:$C$206,'COMPARAISON EPANET'!CT36)</f>
        <v>299.8</v>
      </c>
      <c r="CZ36" s="63">
        <v>350</v>
      </c>
      <c r="DA36" s="63" cm="1">
        <f t="array" ref="DA36">INDEX(Pipes_result_save_V1!$O$2:$O$206,CT36)</f>
        <v>300</v>
      </c>
      <c r="DB36" s="63">
        <v>7.0133763091527745E-2</v>
      </c>
      <c r="DC36" s="63" cm="1">
        <f t="array" ref="DC36">INDEX(Pipes_result_save_V1!$R$2:$R$206,CT36)/1000</f>
        <v>7.6201789855957033E-2</v>
      </c>
      <c r="DD36" s="63">
        <v>4.5559734994500285E-2</v>
      </c>
      <c r="DE36" s="63" cm="1">
        <f t="array" ref="DE36">INDEX(Pipes_result_save_V1!$L$2:$L$206,CT36)</f>
        <v>1.0794677734375</v>
      </c>
      <c r="DF36" s="63">
        <v>0.36186954243828162</v>
      </c>
      <c r="DG36" s="63" cm="1">
        <f t="array" ref="DG36">INDEX(Pipes_result_save_V1!$M$2:$M$206,CT36)</f>
        <v>2.9690921306610112</v>
      </c>
      <c r="DH36" s="63">
        <v>19.907457489357654</v>
      </c>
      <c r="DI36" s="63">
        <f>INDEX('Junctions — junctions'!$I$2:$I$197,MATCH(CW36,'Junctions — junctions'!$B$2:$B$197,0))</f>
        <v>70.875106811523438</v>
      </c>
      <c r="DM36" s="63">
        <f>MATCH(DP36,Pipes_result_save_V1!$H$2:$H$206,0)</f>
        <v>126</v>
      </c>
      <c r="DN36" s="63" t="s">
        <v>139</v>
      </c>
      <c r="DO36" s="63" t="s">
        <v>611</v>
      </c>
      <c r="DP36" s="63" t="s">
        <v>610</v>
      </c>
      <c r="DQ36" s="63">
        <v>460.62820576799743</v>
      </c>
      <c r="DR36" s="63" cm="1">
        <f t="array" ref="DR36">INDEX(Pipes_result_save_V1!$C$2:$C$206,'COMPARAISON EPANET'!DM36)</f>
        <v>489.4</v>
      </c>
      <c r="DS36" s="63">
        <v>500</v>
      </c>
      <c r="DT36" s="63" cm="1">
        <f t="array" ref="DT36">INDEX(Pipes_result_save_V1!$O$2:$O$206,DM36)</f>
        <v>500</v>
      </c>
      <c r="DU36" s="63">
        <v>0.1859269421591519</v>
      </c>
      <c r="DV36" s="63" cm="1">
        <f t="array" ref="DV36">INDEX(Pipes_result_save_V1!$R$2:$R$206,DM36)/1000</f>
        <v>0.19499050903320309</v>
      </c>
      <c r="DW36" s="63">
        <v>6.8133489055310317E-2</v>
      </c>
      <c r="DX36" s="63" cm="1">
        <f t="array" ref="DX36">INDEX(Pipes_result_save_V1!$L$2:$L$206,DM36)</f>
        <v>1.0365573167800901</v>
      </c>
      <c r="DY36" s="63">
        <v>0.19499050903320311</v>
      </c>
      <c r="DZ36" s="63" cm="1">
        <f t="array" ref="DZ36">INDEX(Pipes_result_save_V1!$M$2:$M$206,DM36)</f>
        <v>1.4245868921279909</v>
      </c>
      <c r="EA36" s="63">
        <v>14.796833633422851</v>
      </c>
      <c r="EB36" s="63">
        <f>INDEX('Junctions — junctions'!$I$2:$I$197,MATCH(DP36,'Junctions — junctions'!$B$2:$B$197,0))</f>
        <v>65.00286865234375</v>
      </c>
    </row>
    <row r="37" spans="1:132" x14ac:dyDescent="0.25">
      <c r="A37" s="63">
        <f>MATCH(D37,Pipes_result_save_V1!$H$2:$H$206,0)</f>
        <v>66</v>
      </c>
      <c r="B37" s="63" t="s">
        <v>228</v>
      </c>
      <c r="C37" s="63" t="s">
        <v>736</v>
      </c>
      <c r="D37" s="63" t="s">
        <v>737</v>
      </c>
      <c r="E37" s="63">
        <v>329.05965230801246</v>
      </c>
      <c r="F37" s="63" cm="1">
        <f t="array" ref="F37">INDEX(Pipes_result_save_V1!$C$2:$C$206,'COMPARAISON EPANET'!A37)</f>
        <v>156.4</v>
      </c>
      <c r="G37" s="63">
        <v>350</v>
      </c>
      <c r="H37" s="63" cm="1">
        <f t="array" ref="H37">INDEX(Pipes_result_save_V1!$O$2:$O$206,A37)</f>
        <v>150</v>
      </c>
      <c r="I37" s="63">
        <v>1.3440495541544629E-2</v>
      </c>
      <c r="J37" s="63" cm="1">
        <f t="array" ref="J37">INDEX(Pipes_result_save_V1!$R$2:$R$206,A37)/1000</f>
        <v>1.886982345581055E-2</v>
      </c>
      <c r="K37" s="63">
        <v>8.7311073593526883E-3</v>
      </c>
      <c r="L37" s="63" cm="1">
        <f t="array" ref="L37">INDEX(Pipes_result_save_V1!$L$2:$L$206,A37)</f>
        <v>0.98220491409301758</v>
      </c>
      <c r="M37" s="63">
        <v>0.14654024282313405</v>
      </c>
      <c r="N37" s="63" cm="1">
        <f t="array" ref="N37">INDEX(Pipes_result_save_V1!$M$2:$M$206,A37)</f>
        <v>5.8520379066467294</v>
      </c>
      <c r="O37" s="63">
        <v>25.106977799213894</v>
      </c>
      <c r="P37" s="63">
        <f>INDEX('Junctions — junctions'!$I$2:$I$197,MATCH(D37,'Junctions — junctions'!$B$2:$B$197,0))</f>
        <v>56.462314605712891</v>
      </c>
      <c r="S37" s="63">
        <f>MATCH(V37,Pipes_result_save_V1!$H$2:$H$206,0)</f>
        <v>65</v>
      </c>
      <c r="T37" s="63" t="s">
        <v>226</v>
      </c>
      <c r="U37" s="63" t="s">
        <v>735</v>
      </c>
      <c r="V37" s="63" t="s">
        <v>736</v>
      </c>
      <c r="W37" s="63">
        <v>192.30085240163368</v>
      </c>
      <c r="X37" s="63" cm="1">
        <f t="array" ref="X37">INDEX(Pipes_result_save_V1!$C$2:$C$206,'COMPARAISON EPANET'!S37)</f>
        <v>156.4</v>
      </c>
      <c r="Y37" s="63">
        <v>200</v>
      </c>
      <c r="Z37" s="63" cm="1">
        <f t="array" ref="Z37">INDEX(Pipes_result_save_V1!$O$2:$O$206,S37)</f>
        <v>150</v>
      </c>
      <c r="AA37" s="63">
        <v>1.4611096030467624E-2</v>
      </c>
      <c r="AB37" s="63" cm="1">
        <f t="array" ref="AB37">INDEX(Pipes_result_save_V1!$R$2:$R$206,S37)/1000</f>
        <v>1.7648836135864262E-2</v>
      </c>
      <c r="AC37" s="63">
        <v>2.9067851965491154E-2</v>
      </c>
      <c r="AD37" s="63" cm="1">
        <f t="array" ref="AD37">INDEX(Pipes_result_save_V1!$L$2:$L$206,S37)</f>
        <v>0.91865050792694092</v>
      </c>
      <c r="AE37" s="63">
        <v>8.0650848595285289</v>
      </c>
      <c r="AF37" s="63" cm="1">
        <f t="array" ref="AF37">INDEX(Pipes_result_save_V1!$M$2:$M$206,S37)</f>
        <v>5.1192193031311044</v>
      </c>
      <c r="AG37" s="63">
        <v>50.657686677318857</v>
      </c>
      <c r="AH37" s="63">
        <f>INDEX('Junctions — junctions'!$I$2:$I$197,MATCH(V37,'Junctions — junctions'!$B$2:$B$197,0))</f>
        <v>56.963134765625</v>
      </c>
      <c r="AL37" s="63">
        <f>MATCH(AO37,Pipes_result_save_V1!$H$2:$H$206,0)</f>
        <v>39</v>
      </c>
      <c r="AM37" s="63" t="s">
        <v>295</v>
      </c>
      <c r="AN37" s="63" t="s">
        <v>712</v>
      </c>
      <c r="AO37" s="63" t="s">
        <v>711</v>
      </c>
      <c r="AP37" s="63">
        <v>271.95447352229712</v>
      </c>
      <c r="AQ37" s="63" cm="1">
        <f t="array" ref="AQ37">INDEX(Pipes_result_save_V1!$C$2:$C$206,'COMPARAISON EPANET'!AL37)</f>
        <v>97.8</v>
      </c>
      <c r="AR37" s="63">
        <v>300</v>
      </c>
      <c r="AS37" s="63" cm="1">
        <f t="array" ref="AS37">INDEX(Pipes_result_save_V1!$O$2:$O$206,AL37)</f>
        <v>100</v>
      </c>
      <c r="AT37" s="63">
        <v>4.1864077444097583E-3</v>
      </c>
      <c r="AU37" s="63" cm="1">
        <f t="array" ref="AU37">INDEX(Pipes_result_save_V1!$R$2:$R$206,AL37)/1000</f>
        <v>2.2801618576049798E-3</v>
      </c>
      <c r="AV37" s="63">
        <v>3.7015971462278055E-3</v>
      </c>
      <c r="AW37" s="63" cm="1">
        <f t="array" ref="AW37">INDEX(Pipes_result_save_V1!$L$2:$L$206,AL37)</f>
        <v>0.3035258948802948</v>
      </c>
      <c r="AX37" s="63">
        <v>9.3556859935098699E-2</v>
      </c>
      <c r="AY37" s="63" cm="1">
        <f t="array" ref="AY37">INDEX(Pipes_result_save_V1!$M$2:$M$206,AL37)</f>
        <v>1.0449404716491699</v>
      </c>
      <c r="AZ37" s="63">
        <v>14.938202073526618</v>
      </c>
      <c r="BA37" s="63">
        <f>INDEX('Junctions — junctions'!$I$2:$I$197,MATCH(AO37,'Junctions — junctions'!$B$2:$B$197,0))</f>
        <v>63.321697235107422</v>
      </c>
      <c r="BF37" s="63">
        <f>MATCH(BI37,Pipes_result_save_V1!$H$2:$H$206,0)</f>
        <v>186</v>
      </c>
      <c r="BG37" s="63" t="s">
        <v>202</v>
      </c>
      <c r="BH37" s="63" t="s">
        <v>664</v>
      </c>
      <c r="BI37" s="63" t="s">
        <v>663</v>
      </c>
      <c r="BJ37" s="63">
        <v>340.27714444529937</v>
      </c>
      <c r="BK37" s="63" cm="1">
        <f t="array" ref="BK37">INDEX(Pipes_result_save_V1!$C$2:$C$206,'COMPARAISON EPANET'!BF37)</f>
        <v>204.2</v>
      </c>
      <c r="BL37" s="63">
        <v>350</v>
      </c>
      <c r="BM37" s="63" cm="1">
        <f t="array" ref="BM37">INDEX(Pipes_result_save_V1!$O$2:$O$206,BF37)</f>
        <v>200</v>
      </c>
      <c r="BN37" s="63">
        <v>4.3797946856807699E-2</v>
      </c>
      <c r="BO37" s="63" cm="1">
        <f t="array" ref="BO37">INDEX(Pipes_result_save_V1!$R$2:$R$206,BF37)/1000</f>
        <v>4.8898372650146474E-2</v>
      </c>
      <c r="BP37" s="63">
        <v>2.8451672406273824E-2</v>
      </c>
      <c r="BQ37" s="63" cm="1">
        <f t="array" ref="BQ37">INDEX(Pipes_result_save_V1!$L$2:$L$206,BF37)</f>
        <v>1.4931061267852781</v>
      </c>
      <c r="BR37" s="63">
        <v>0.14639377640552698</v>
      </c>
      <c r="BS37" s="63" cm="1">
        <f t="array" ref="BS37">INDEX(Pipes_result_save_V1!$M$2:$M$206,BF37)</f>
        <v>9.477630615234375</v>
      </c>
      <c r="BT37" s="63">
        <v>14.871015314728199</v>
      </c>
      <c r="BU37" s="63">
        <f>INDEX('Junctions — junctions'!$I$2:$I$197,MATCH(BI37,'Junctions — junctions'!$B$2:$B$197,0))</f>
        <v>60.158725738525391</v>
      </c>
      <c r="CA37" s="63">
        <f>MATCH(CD37,Pipes_result_save_V1!$H$2:$H$206,0)</f>
        <v>162</v>
      </c>
      <c r="CB37" s="63" t="s">
        <v>122</v>
      </c>
      <c r="CC37" s="63" t="s">
        <v>643</v>
      </c>
      <c r="CD37" s="63" t="s">
        <v>642</v>
      </c>
      <c r="CE37" s="63">
        <v>204.52523865872314</v>
      </c>
      <c r="CF37" s="63" cm="1">
        <f t="array" ref="CF37">INDEX(Pipes_result_save_V1!$C$2:$C$206,'COMPARAISON EPANET'!CA37)</f>
        <v>156.4</v>
      </c>
      <c r="CG37" s="63">
        <v>250</v>
      </c>
      <c r="CH37" s="63" cm="1">
        <f t="array" ref="CH37">INDEX(Pipes_result_save_V1!$O$2:$O$206,CA37)</f>
        <v>150</v>
      </c>
      <c r="CI37" s="63">
        <v>1.7818206246515533E-2</v>
      </c>
      <c r="CJ37" s="63" cm="1">
        <f t="array" ref="CJ37">INDEX(Pipes_result_save_V1!$R$2:$R$206,CA37)/1000</f>
        <v>2.2941516876220699E-2</v>
      </c>
      <c r="CK37" s="63">
        <v>4.7912635455710791E-2</v>
      </c>
      <c r="CL37" s="63" cm="1">
        <f t="array" ref="CL37">INDEX(Pipes_result_save_V1!$L$2:$L$206,CA37)</f>
        <v>1.1941431760787959</v>
      </c>
      <c r="CM37" s="63">
        <v>2.2686844809310672E-2</v>
      </c>
      <c r="CN37" s="63" cm="1">
        <f t="array" ref="CN37">INDEX(Pipes_result_save_V1!$M$2:$M$206,CA37)</f>
        <v>8.649993896484375</v>
      </c>
      <c r="CO37" s="63">
        <v>21.757958582956498</v>
      </c>
      <c r="CP37" s="63">
        <f>INDEX('Junctions — junctions'!$I$2:$I$197,MATCH(CD37,'Junctions — junctions'!$B$2:$B$197,0))</f>
        <v>64.526962280273438</v>
      </c>
      <c r="CT37" s="63">
        <f>MATCH(CW37,Pipes_result_save_V1!$H$2:$H$206,0)</f>
        <v>10</v>
      </c>
      <c r="CU37" s="63" t="s">
        <v>259</v>
      </c>
      <c r="CV37" s="63" t="s">
        <v>687</v>
      </c>
      <c r="CW37" s="63" t="s">
        <v>688</v>
      </c>
      <c r="CX37" s="63">
        <v>325.71332790434337</v>
      </c>
      <c r="CY37" s="63" cm="1">
        <f t="array" ref="CY37">INDEX(Pipes_result_save_V1!$C$2:$C$206,'COMPARAISON EPANET'!CT37)</f>
        <v>299.8</v>
      </c>
      <c r="CZ37" s="63">
        <v>350</v>
      </c>
      <c r="DA37" s="63" cm="1">
        <f t="array" ref="DA37">INDEX(Pipes_result_save_V1!$O$2:$O$206,CT37)</f>
        <v>300</v>
      </c>
      <c r="DB37" s="63">
        <v>6.7808844197154716E-2</v>
      </c>
      <c r="DC37" s="63" cm="1">
        <f t="array" ref="DC37">INDEX(Pipes_result_save_V1!$R$2:$R$206,CT37)/1000</f>
        <v>7.4381721496582037E-2</v>
      </c>
      <c r="DD37" s="63">
        <v>4.4049439752348402E-2</v>
      </c>
      <c r="DE37" s="63" cm="1">
        <f t="array" ref="DE37">INDEX(Pipes_result_save_V1!$L$2:$L$206,CT37)</f>
        <v>1.0536848306655879</v>
      </c>
      <c r="DF37" s="63">
        <v>0.16765515498287359</v>
      </c>
      <c r="DG37" s="63" cm="1">
        <f t="array" ref="DG37">INDEX(Pipes_result_save_V1!$M$2:$M$206,CT37)</f>
        <v>2.8290078639984131</v>
      </c>
      <c r="DH37" s="63">
        <v>12.739802334374783</v>
      </c>
      <c r="DI37" s="63">
        <f>INDEX('Junctions — junctions'!$I$2:$I$197,MATCH(CW37,'Junctions — junctions'!$B$2:$B$197,0))</f>
        <v>63.589942932128913</v>
      </c>
    </row>
    <row r="38" spans="1:132" x14ac:dyDescent="0.25">
      <c r="A38" s="63">
        <f>MATCH(D38,Pipes_result_save_V1!$H$2:$H$206,0)</f>
        <v>67</v>
      </c>
      <c r="B38" s="63" t="s">
        <v>227</v>
      </c>
      <c r="C38" s="63" t="s">
        <v>737</v>
      </c>
      <c r="D38" s="63" t="s">
        <v>738</v>
      </c>
      <c r="E38" s="63">
        <v>309.09772123696632</v>
      </c>
      <c r="F38" s="63" cm="1">
        <f t="array" ref="F38">INDEX(Pipes_result_save_V1!$C$2:$C$206,'COMPARAISON EPANET'!A38)</f>
        <v>156.4</v>
      </c>
      <c r="G38" s="63">
        <v>350</v>
      </c>
      <c r="H38" s="63" cm="1">
        <f t="array" ref="H38">INDEX(Pipes_result_save_V1!$O$2:$O$206,A38)</f>
        <v>150</v>
      </c>
      <c r="I38" s="63">
        <v>1.3551805505591012E-2</v>
      </c>
      <c r="J38" s="63" cm="1">
        <f t="array" ref="J38">INDEX(Pipes_result_save_V1!$R$2:$R$206,A38)/1000</f>
        <v>1.9782709121704101E-2</v>
      </c>
      <c r="K38" s="63">
        <v>8.8034156491215172E-3</v>
      </c>
      <c r="L38" s="63" cm="1">
        <f t="array" ref="L38">INDEX(Pipes_result_save_V1!$L$2:$L$206,A38)</f>
        <v>1.0297220945358281</v>
      </c>
      <c r="M38" s="63">
        <v>0.10254839177742346</v>
      </c>
      <c r="N38" s="63" cm="1">
        <f t="array" ref="N38">INDEX(Pipes_result_save_V1!$M$2:$M$206,A38)</f>
        <v>6.4319539070129386</v>
      </c>
      <c r="O38" s="63">
        <v>24.004429407436472</v>
      </c>
      <c r="P38" s="63">
        <f>INDEX('Junctions — junctions'!$I$2:$I$197,MATCH(D38,'Junctions — junctions'!$B$2:$B$197,0))</f>
        <v>55.943424224853523</v>
      </c>
      <c r="S38" s="63">
        <f>MATCH(V38,Pipes_result_save_V1!$H$2:$H$206,0)</f>
        <v>66</v>
      </c>
      <c r="T38" s="63" t="s">
        <v>228</v>
      </c>
      <c r="U38" s="63" t="s">
        <v>736</v>
      </c>
      <c r="V38" s="63" t="s">
        <v>737</v>
      </c>
      <c r="W38" s="63">
        <v>192.30085240163368</v>
      </c>
      <c r="X38" s="63" cm="1">
        <f t="array" ref="X38">INDEX(Pipes_result_save_V1!$C$2:$C$206,'COMPARAISON EPANET'!S38)</f>
        <v>156.4</v>
      </c>
      <c r="Y38" s="63">
        <v>200</v>
      </c>
      <c r="Z38" s="63" cm="1">
        <f t="array" ref="Z38">INDEX(Pipes_result_save_V1!$O$2:$O$206,S38)</f>
        <v>150</v>
      </c>
      <c r="AA38" s="63">
        <v>1.7163472536927748E-2</v>
      </c>
      <c r="AB38" s="63" cm="1">
        <f t="array" ref="AB38">INDEX(Pipes_result_save_V1!$R$2:$R$206,S38)/1000</f>
        <v>1.886982345581055E-2</v>
      </c>
      <c r="AC38" s="63">
        <v>3.4145643685925549E-2</v>
      </c>
      <c r="AD38" s="63" cm="1">
        <f t="array" ref="AD38">INDEX(Pipes_result_save_V1!$L$2:$L$206,S38)</f>
        <v>0.98220491409301758</v>
      </c>
      <c r="AE38" s="63">
        <v>2.5698921402347308</v>
      </c>
      <c r="AF38" s="63" cm="1">
        <f t="array" ref="AF38">INDEX(Pipes_result_save_V1!$M$2:$M$206,S38)</f>
        <v>5.8520379066467294</v>
      </c>
      <c r="AG38" s="63">
        <v>47.087794537084122</v>
      </c>
      <c r="AH38" s="63">
        <f>INDEX('Junctions — junctions'!$I$2:$I$197,MATCH(V38,'Junctions — junctions'!$B$2:$B$197,0))</f>
        <v>56.462314605712891</v>
      </c>
      <c r="AL38" s="63">
        <f>MATCH(AO38,Pipes_result_save_V1!$H$2:$H$206,0)</f>
        <v>40</v>
      </c>
      <c r="AM38" s="63" t="s">
        <v>296</v>
      </c>
      <c r="AN38" s="63" t="s">
        <v>713</v>
      </c>
      <c r="AO38" s="63" t="s">
        <v>712</v>
      </c>
      <c r="AP38" s="63">
        <v>271.95447352229712</v>
      </c>
      <c r="AQ38" s="63" cm="1">
        <f t="array" ref="AQ38">INDEX(Pipes_result_save_V1!$C$2:$C$206,'COMPARAISON EPANET'!AL38)</f>
        <v>51.4</v>
      </c>
      <c r="AR38" s="63">
        <v>300</v>
      </c>
      <c r="AS38" s="63" cm="1">
        <f t="array" ref="AS38">INDEX(Pipes_result_save_V1!$O$2:$O$206,AL38)</f>
        <v>50</v>
      </c>
      <c r="AT38" s="63">
        <v>4.9287703268229722E-3</v>
      </c>
      <c r="AU38" s="63" cm="1">
        <f t="array" ref="AU38">INDEX(Pipes_result_save_V1!$R$2:$R$206,AL38)/1000</f>
        <v>8.0813032388687132E-4</v>
      </c>
      <c r="AV38" s="63">
        <v>4.357989782658514E-3</v>
      </c>
      <c r="AW38" s="63" cm="1">
        <f t="array" ref="AW38">INDEX(Pipes_result_save_V1!$L$2:$L$206,AL38)</f>
        <v>0.38946005702018738</v>
      </c>
      <c r="AX38" s="63">
        <v>9.4271034438420054E-2</v>
      </c>
      <c r="AY38" s="63" cm="1">
        <f t="array" ref="AY38">INDEX(Pipes_result_save_V1!$M$2:$M$206,AL38)</f>
        <v>4.0553994178771973</v>
      </c>
      <c r="AZ38" s="63">
        <v>20.843931039088197</v>
      </c>
      <c r="BA38" s="63">
        <f>INDEX('Junctions — junctions'!$I$2:$I$197,MATCH(AO38,'Junctions — junctions'!$B$2:$B$197,0))</f>
        <v>69.208839416503906</v>
      </c>
      <c r="BF38" s="63">
        <f>MATCH(BI38,Pipes_result_save_V1!$H$2:$H$206,0)</f>
        <v>187</v>
      </c>
      <c r="BG38" s="63" t="s">
        <v>201</v>
      </c>
      <c r="BH38" s="63" t="s">
        <v>664</v>
      </c>
      <c r="BI38" s="63" t="s">
        <v>665</v>
      </c>
      <c r="BJ38" s="63">
        <v>390.85566756315819</v>
      </c>
      <c r="BK38" s="63" cm="1">
        <f t="array" ref="BK38">INDEX(Pipes_result_save_V1!$C$2:$C$206,'COMPARAISON EPANET'!BF38)</f>
        <v>156.4</v>
      </c>
      <c r="BL38" s="63">
        <v>400</v>
      </c>
      <c r="BM38" s="63" cm="1">
        <f t="array" ref="BM38">INDEX(Pipes_result_save_V1!$O$2:$O$206,BF38)</f>
        <v>150</v>
      </c>
      <c r="BN38" s="63">
        <v>1.5000265543708355E-2</v>
      </c>
      <c r="BO38" s="63" cm="1">
        <f t="array" ref="BO38">INDEX(Pipes_result_save_V1!$R$2:$R$206,BF38)/1000</f>
        <v>2.0083776473999018E-2</v>
      </c>
      <c r="BP38" s="63">
        <v>7.4605200280381924E-3</v>
      </c>
      <c r="BQ38" s="63" cm="1">
        <f t="array" ref="BQ38">INDEX(Pipes_result_save_V1!$L$2:$L$206,BF38)</f>
        <v>1.045393109321594</v>
      </c>
      <c r="BR38" s="63">
        <v>0.16166885526910485</v>
      </c>
      <c r="BS38" s="63" cm="1">
        <f t="array" ref="BS38">INDEX(Pipes_result_save_V1!$M$2:$M$206,BF38)</f>
        <v>6.6291894912719727</v>
      </c>
      <c r="BT38" s="63">
        <v>15.709346459459095</v>
      </c>
      <c r="BU38" s="63">
        <f>INDEX('Junctions — junctions'!$I$2:$I$197,MATCH(BI38,'Junctions — junctions'!$B$2:$B$197,0))</f>
        <v>59.821258544921882</v>
      </c>
      <c r="CA38" s="63">
        <f>MATCH(CD38,Pipes_result_save_V1!$H$2:$H$206,0)</f>
        <v>163</v>
      </c>
      <c r="CB38" s="63" t="s">
        <v>121</v>
      </c>
      <c r="CC38" s="63" t="s">
        <v>644</v>
      </c>
      <c r="CD38" s="63" t="s">
        <v>643</v>
      </c>
      <c r="CE38" s="63">
        <v>204.52523865872314</v>
      </c>
      <c r="CF38" s="63" cm="1">
        <f t="array" ref="CF38">INDEX(Pipes_result_save_V1!$C$2:$C$206,'COMPARAISON EPANET'!CA38)</f>
        <v>156.4</v>
      </c>
      <c r="CG38" s="63">
        <v>250</v>
      </c>
      <c r="CH38" s="63" cm="1">
        <f t="array" ref="CH38">INDEX(Pipes_result_save_V1!$O$2:$O$206,CA38)</f>
        <v>150</v>
      </c>
      <c r="CI38" s="63">
        <v>1.5749708194817382E-2</v>
      </c>
      <c r="CJ38" s="63" cm="1">
        <f t="array" ref="CJ38">INDEX(Pipes_result_save_V1!$R$2:$R$206,CA38)/1000</f>
        <v>2.1378194808959961E-2</v>
      </c>
      <c r="CK38" s="63">
        <v>0.1784332630764402</v>
      </c>
      <c r="CL38" s="63" cm="1">
        <f t="array" ref="CL38">INDEX(Pipes_result_save_V1!$L$2:$L$206,CA38)</f>
        <v>1.112769722938538</v>
      </c>
      <c r="CM38" s="63">
        <v>2.0053151291680945E-2</v>
      </c>
      <c r="CN38" s="63" cm="1">
        <f t="array" ref="CN38">INDEX(Pipes_result_save_V1!$M$2:$M$206,CA38)</f>
        <v>7.5112552642822266</v>
      </c>
      <c r="CO38" s="63">
        <v>15.579525319880059</v>
      </c>
      <c r="CP38" s="63">
        <f>INDEX('Junctions — junctions'!$I$2:$I$197,MATCH(CD38,'Junctions — junctions'!$B$2:$B$197,0))</f>
        <v>58.024394989013672</v>
      </c>
      <c r="CT38" s="63">
        <f>MATCH(CW38,Pipes_result_save_V1!$H$2:$H$206,0)</f>
        <v>11</v>
      </c>
      <c r="CU38" s="63" t="s">
        <v>261</v>
      </c>
      <c r="CV38" s="63" t="s">
        <v>688</v>
      </c>
      <c r="CW38" s="63" t="s">
        <v>689</v>
      </c>
      <c r="CX38" s="63">
        <v>325.71332790434337</v>
      </c>
      <c r="CY38" s="63" cm="1">
        <f t="array" ref="CY38">INDEX(Pipes_result_save_V1!$C$2:$C$206,'COMPARAISON EPANET'!CT38)</f>
        <v>299.8</v>
      </c>
      <c r="CZ38" s="63">
        <v>350</v>
      </c>
      <c r="DA38" s="63" cm="1">
        <f t="array" ref="DA38">INDEX(Pipes_result_save_V1!$O$2:$O$206,CT38)</f>
        <v>300</v>
      </c>
      <c r="DB38" s="63">
        <v>6.6685904906306714E-2</v>
      </c>
      <c r="DC38" s="63" cm="1">
        <f t="array" ref="DC38">INDEX(Pipes_result_save_V1!$R$2:$R$206,CT38)/1000</f>
        <v>7.295532989501953E-2</v>
      </c>
      <c r="DD38" s="63">
        <v>4.331996489957058E-2</v>
      </c>
      <c r="DE38" s="63" cm="1">
        <f t="array" ref="DE38">INDEX(Pipes_result_save_V1!$L$2:$L$206,CT38)</f>
        <v>1.033478736877441</v>
      </c>
      <c r="DF38" s="63">
        <v>0.24733285240047689</v>
      </c>
      <c r="DG38" s="63" cm="1">
        <f t="array" ref="DG38">INDEX(Pipes_result_save_V1!$M$2:$M$206,CT38)</f>
        <v>2.721466064453125</v>
      </c>
      <c r="DH38" s="63">
        <v>12.492469481974306</v>
      </c>
      <c r="DI38" s="63">
        <f>INDEX('Junctions — junctions'!$I$2:$I$197,MATCH(CW38,'Junctions — junctions'!$B$2:$B$197,0))</f>
        <v>63.184169769287109</v>
      </c>
    </row>
    <row r="39" spans="1:132" x14ac:dyDescent="0.25">
      <c r="A39" s="63">
        <f>MATCH(D39,Pipes_result_save_V1!$H$2:$H$206,0)</f>
        <v>68</v>
      </c>
      <c r="B39" s="63" t="s">
        <v>429</v>
      </c>
      <c r="C39" s="63" t="s">
        <v>738</v>
      </c>
      <c r="D39" s="63" t="s">
        <v>739</v>
      </c>
      <c r="E39" s="63">
        <v>325.165318071336</v>
      </c>
      <c r="F39" s="63" cm="1">
        <f t="array" ref="F39">INDEX(Pipes_result_save_V1!$C$2:$C$206,'COMPARAISON EPANET'!A39)</f>
        <v>156.4</v>
      </c>
      <c r="G39" s="63">
        <v>350</v>
      </c>
      <c r="H39" s="63" cm="1">
        <f t="array" ref="H39">INDEX(Pipes_result_save_V1!$O$2:$O$206,A39)</f>
        <v>150</v>
      </c>
      <c r="I39" s="63">
        <v>1.5181102533791693E-2</v>
      </c>
      <c r="J39" s="63" cm="1">
        <f t="array" ref="J39">INDEX(Pipes_result_save_V1!$R$2:$R$206,A39)/1000</f>
        <v>2.06841869354248E-2</v>
      </c>
      <c r="K39" s="63">
        <v>9.8618265707667158E-3</v>
      </c>
      <c r="L39" s="63" cm="1">
        <f t="array" ref="L39">INDEX(Pipes_result_save_V1!$L$2:$L$206,A39)</f>
        <v>1.076645493507385</v>
      </c>
      <c r="M39" s="63">
        <v>0.13691935675646288</v>
      </c>
      <c r="N39" s="63" cm="1">
        <f t="array" ref="N39">INDEX(Pipes_result_save_V1!$M$2:$M$206,A39)</f>
        <v>7.0314812660217294</v>
      </c>
      <c r="O39" s="63">
        <v>26.867510050680011</v>
      </c>
      <c r="P39" s="63">
        <f>INDEX('Junctions — junctions'!$I$2:$I$197,MATCH(D39,'Junctions — junctions'!$B$2:$B$197,0))</f>
        <v>59.529148101806641</v>
      </c>
      <c r="S39" s="63">
        <f>MATCH(V39,Pipes_result_save_V1!$H$2:$H$206,0)</f>
        <v>67</v>
      </c>
      <c r="T39" s="63" t="s">
        <v>227</v>
      </c>
      <c r="U39" s="63" t="s">
        <v>737</v>
      </c>
      <c r="V39" s="63" t="s">
        <v>738</v>
      </c>
      <c r="W39" s="63">
        <v>192.30085240163368</v>
      </c>
      <c r="X39" s="63" cm="1">
        <f t="array" ref="X39">INDEX(Pipes_result_save_V1!$C$2:$C$206,'COMPARAISON EPANET'!S39)</f>
        <v>156.4</v>
      </c>
      <c r="Y39" s="63">
        <v>200</v>
      </c>
      <c r="Z39" s="63" cm="1">
        <f t="array" ref="Z39">INDEX(Pipes_result_save_V1!$O$2:$O$206,S39)</f>
        <v>150</v>
      </c>
      <c r="AA39" s="63">
        <v>1.575112677736926E-2</v>
      </c>
      <c r="AB39" s="63" cm="1">
        <f t="array" ref="AB39">INDEX(Pipes_result_save_V1!$R$2:$R$206,S39)/1000</f>
        <v>1.9782709121704101E-2</v>
      </c>
      <c r="AC39" s="63">
        <v>3.1335871073567917E-2</v>
      </c>
      <c r="AD39" s="63" cm="1">
        <f t="array" ref="AD39">INDEX(Pipes_result_save_V1!$L$2:$L$206,S39)</f>
        <v>1.0297220945358281</v>
      </c>
      <c r="AE39" s="63">
        <v>1.8305166876164278</v>
      </c>
      <c r="AF39" s="63" cm="1">
        <f t="array" ref="AF39">INDEX(Pipes_result_save_V1!$M$2:$M$206,S39)</f>
        <v>6.4319539070129386</v>
      </c>
      <c r="AG39" s="63">
        <v>44.257277849467698</v>
      </c>
      <c r="AH39" s="63">
        <f>INDEX('Junctions — junctions'!$I$2:$I$197,MATCH(V39,'Junctions — junctions'!$B$2:$B$197,0))</f>
        <v>55.943424224853523</v>
      </c>
      <c r="AL39" s="63">
        <f>MATCH(AO39,Pipes_result_save_V1!$H$2:$H$206,0)</f>
        <v>41</v>
      </c>
      <c r="AM39" s="63" t="s">
        <v>297</v>
      </c>
      <c r="AN39" s="63" t="s">
        <v>714</v>
      </c>
      <c r="AO39" s="63" t="s">
        <v>713</v>
      </c>
      <c r="AP39" s="63">
        <v>271.95447352229712</v>
      </c>
      <c r="AQ39" s="63" cm="1">
        <f t="array" ref="AQ39">INDEX(Pipes_result_save_V1!$C$2:$C$206,'COMPARAISON EPANET'!AL39)</f>
        <v>51.4</v>
      </c>
      <c r="AR39" s="63">
        <v>300</v>
      </c>
      <c r="AS39" s="63" cm="1">
        <f t="array" ref="AS39">INDEX(Pipes_result_save_V1!$O$2:$O$206,AL39)</f>
        <v>50</v>
      </c>
      <c r="AT39" s="63">
        <v>5.5204835379649656E-3</v>
      </c>
      <c r="AU39" s="63" cm="1">
        <f t="array" ref="AU39">INDEX(Pipes_result_save_V1!$R$2:$R$206,AL39)/1000</f>
        <v>3.558016419410706E-4</v>
      </c>
      <c r="AV39" s="63">
        <v>4.8811791295808845E-3</v>
      </c>
      <c r="AW39" s="63" cm="1">
        <f t="array" ref="AW39">INDEX(Pipes_result_save_V1!$L$2:$L$206,AL39)</f>
        <v>0.1714705228805542</v>
      </c>
      <c r="AX39" s="63">
        <v>9.4985208941741409E-2</v>
      </c>
      <c r="AY39" s="63" cm="1">
        <f t="array" ref="AY39">INDEX(Pipes_result_save_V1!$M$2:$M$206,AL39)</f>
        <v>0.78617078065872192</v>
      </c>
      <c r="AZ39" s="63">
        <v>11.748945830146457</v>
      </c>
      <c r="BA39" s="63">
        <f>INDEX('Junctions — junctions'!$I$2:$I$197,MATCH(AO39,'Junctions — junctions'!$B$2:$B$197,0))</f>
        <v>59.599723815917969</v>
      </c>
      <c r="BF39" s="63">
        <f>MATCH(BI39,Pipes_result_save_V1!$H$2:$H$206,0)</f>
        <v>188</v>
      </c>
      <c r="BG39" s="63" t="s">
        <v>199</v>
      </c>
      <c r="BH39" s="63" t="s">
        <v>665</v>
      </c>
      <c r="BI39" s="63" t="s">
        <v>666</v>
      </c>
      <c r="BJ39" s="63">
        <v>390.85566756315819</v>
      </c>
      <c r="BK39" s="63" cm="1">
        <f t="array" ref="BK39">INDEX(Pipes_result_save_V1!$C$2:$C$206,'COMPARAISON EPANET'!BF39)</f>
        <v>156.4</v>
      </c>
      <c r="BL39" s="63">
        <v>400</v>
      </c>
      <c r="BM39" s="63" cm="1">
        <f t="array" ref="BM39">INDEX(Pipes_result_save_V1!$O$2:$O$206,BF39)</f>
        <v>150</v>
      </c>
      <c r="BN39" s="63">
        <v>1.2998590957586381E-2</v>
      </c>
      <c r="BO39" s="63" cm="1">
        <f t="array" ref="BO39">INDEX(Pipes_result_save_V1!$R$2:$R$206,BF39)/1000</f>
        <v>1.9125244140625001E-2</v>
      </c>
      <c r="BP39" s="63">
        <v>6.4649687629046429E-3</v>
      </c>
      <c r="BQ39" s="63" cm="1">
        <f t="array" ref="BQ39">INDEX(Pipes_result_save_V1!$L$2:$L$206,BF39)</f>
        <v>0.99549990892410278</v>
      </c>
      <c r="BR39" s="63">
        <v>0.12422975194362795</v>
      </c>
      <c r="BS39" s="63" cm="1">
        <f t="array" ref="BS39">INDEX(Pipes_result_save_V1!$M$2:$M$206,BF39)</f>
        <v>6.0115623474121094</v>
      </c>
      <c r="BT39" s="63">
        <v>19.585116707515468</v>
      </c>
      <c r="BU39" s="63">
        <f>INDEX('Junctions — junctions'!$I$2:$I$197,MATCH(BI39,'Junctions — junctions'!$B$2:$B$197,0))</f>
        <v>63.380611419677727</v>
      </c>
      <c r="CA39" s="63">
        <f>MATCH(CD39,Pipes_result_save_V1!$H$2:$H$206,0)</f>
        <v>164</v>
      </c>
      <c r="CB39" s="63" t="s">
        <v>119</v>
      </c>
      <c r="CC39" s="63" t="s">
        <v>645</v>
      </c>
      <c r="CD39" s="63" t="s">
        <v>644</v>
      </c>
      <c r="CE39" s="63">
        <v>204.52523865872314</v>
      </c>
      <c r="CF39" s="63" cm="1">
        <f t="array" ref="CF39">INDEX(Pipes_result_save_V1!$C$2:$C$206,'COMPARAISON EPANET'!CA39)</f>
        <v>156.4</v>
      </c>
      <c r="CG39" s="63">
        <v>250</v>
      </c>
      <c r="CH39" s="63" cm="1">
        <f t="array" ref="CH39">INDEX(Pipes_result_save_V1!$O$2:$O$206,CA39)</f>
        <v>150</v>
      </c>
      <c r="CI39" s="63">
        <v>1.4314870899545834E-2</v>
      </c>
      <c r="CJ39" s="63" cm="1">
        <f t="array" ref="CJ39">INDEX(Pipes_result_save_V1!$R$2:$R$206,CA39)/1000</f>
        <v>1.9729291915893551E-2</v>
      </c>
      <c r="CK39" s="63">
        <v>6.0303834280463577E-2</v>
      </c>
      <c r="CL39" s="63" cm="1">
        <f t="array" ref="CL39">INDEX(Pipes_result_save_V1!$L$2:$L$206,CA39)</f>
        <v>1.026941657066345</v>
      </c>
      <c r="CM39" s="63">
        <v>1.8226259707080368E-2</v>
      </c>
      <c r="CN39" s="63" cm="1">
        <f t="array" ref="CN39">INDEX(Pipes_result_save_V1!$M$2:$M$206,CA39)</f>
        <v>6.3972806930541992</v>
      </c>
      <c r="CO39" s="63">
        <v>19.519221485599594</v>
      </c>
      <c r="CP39" s="63">
        <f>INDEX('Junctions — junctions'!$I$2:$I$197,MATCH(CD39,'Junctions — junctions'!$B$2:$B$197,0))</f>
        <v>60.400459289550781</v>
      </c>
      <c r="CT39" s="63">
        <f>MATCH(CW39,Pipes_result_save_V1!$H$2:$H$206,0)</f>
        <v>12</v>
      </c>
      <c r="CU39" s="63" t="s">
        <v>260</v>
      </c>
      <c r="CV39" s="63" t="s">
        <v>689</v>
      </c>
      <c r="CW39" s="63" t="s">
        <v>690</v>
      </c>
      <c r="CX39" s="63">
        <v>325.71332790434337</v>
      </c>
      <c r="CY39" s="63" cm="1">
        <f t="array" ref="CY39">INDEX(Pipes_result_save_V1!$C$2:$C$206,'COMPARAISON EPANET'!CT39)</f>
        <v>299.8</v>
      </c>
      <c r="CZ39" s="63">
        <v>350</v>
      </c>
      <c r="DA39" s="63" cm="1">
        <f t="array" ref="DA39">INDEX(Pipes_result_save_V1!$O$2:$O$206,CT39)</f>
        <v>300</v>
      </c>
      <c r="DB39" s="63">
        <v>6.4212306552556886E-2</v>
      </c>
      <c r="DC39" s="63" cm="1">
        <f t="array" ref="DC39">INDEX(Pipes_result_save_V1!$R$2:$R$206,CT39)/1000</f>
        <v>7.062176513671875E-2</v>
      </c>
      <c r="DD39" s="63">
        <v>4.1713085694577677E-2</v>
      </c>
      <c r="DE39" s="63" cm="1">
        <f t="array" ref="DE39">INDEX(Pipes_result_save_V1!$L$2:$L$206,CT39)</f>
        <v>1.0004216432571409</v>
      </c>
      <c r="DF39" s="63">
        <v>0.43158752767868452</v>
      </c>
      <c r="DG39" s="63" cm="1">
        <f t="array" ref="DG39">INDEX(Pipes_result_save_V1!$M$2:$M$206,CT39)</f>
        <v>2.5501632690429692</v>
      </c>
      <c r="DH39" s="63">
        <v>12.06088195429562</v>
      </c>
      <c r="DI39" s="63">
        <f>INDEX('Junctions — junctions'!$I$2:$I$197,MATCH(CW39,'Junctions — junctions'!$B$2:$B$197,0))</f>
        <v>62.521385192871087</v>
      </c>
    </row>
    <row r="40" spans="1:132" x14ac:dyDescent="0.25">
      <c r="A40" s="63">
        <f>MATCH(D40,Pipes_result_save_V1!$H$2:$H$206,0)</f>
        <v>69</v>
      </c>
      <c r="B40" s="63" t="s">
        <v>285</v>
      </c>
      <c r="C40" s="63" t="s">
        <v>739</v>
      </c>
      <c r="D40" s="63" t="s">
        <v>740</v>
      </c>
      <c r="E40" s="63">
        <v>327.11828048391237</v>
      </c>
      <c r="F40" s="63" cm="1">
        <f t="array" ref="F40">INDEX(Pipes_result_save_V1!$C$2:$C$206,'COMPARAISON EPANET'!A40)</f>
        <v>156.4</v>
      </c>
      <c r="G40" s="63">
        <v>350</v>
      </c>
      <c r="H40" s="63" cm="1">
        <f t="array" ref="H40">INDEX(Pipes_result_save_V1!$O$2:$O$206,A40)</f>
        <v>150</v>
      </c>
      <c r="I40" s="63">
        <v>1.5653140908892596E-2</v>
      </c>
      <c r="J40" s="63" cm="1">
        <f t="array" ref="J40">INDEX(Pipes_result_save_V1!$R$2:$R$206,A40)/1000</f>
        <v>2.1637012481689449E-2</v>
      </c>
      <c r="K40" s="63">
        <v>1.016846836964988E-2</v>
      </c>
      <c r="L40" s="63" cm="1">
        <f t="array" ref="L40">INDEX(Pipes_result_save_V1!$L$2:$L$206,A40)</f>
        <v>1.1262416839599609</v>
      </c>
      <c r="M40" s="63">
        <v>0.14167677243743118</v>
      </c>
      <c r="N40" s="63" cm="1">
        <f t="array" ref="N40">INDEX(Pipes_result_save_V1!$M$2:$M$206,A40)</f>
        <v>7.6942839622497559</v>
      </c>
      <c r="O40" s="63">
        <v>22.725833278242579</v>
      </c>
      <c r="P40" s="63">
        <f>INDEX('Junctions — junctions'!$I$2:$I$197,MATCH(D40,'Junctions — junctions'!$B$2:$B$197,0))</f>
        <v>56.178546905517578</v>
      </c>
      <c r="S40" s="63">
        <f>MATCH(V40,Pipes_result_save_V1!$H$2:$H$206,0)</f>
        <v>68</v>
      </c>
      <c r="T40" s="63" t="s">
        <v>429</v>
      </c>
      <c r="U40" s="63" t="s">
        <v>738</v>
      </c>
      <c r="V40" s="63" t="s">
        <v>739</v>
      </c>
      <c r="W40" s="63">
        <v>192.30085240163368</v>
      </c>
      <c r="X40" s="63" cm="1">
        <f t="array" ref="X40">INDEX(Pipes_result_save_V1!$C$2:$C$206,'COMPARAISON EPANET'!S40)</f>
        <v>156.4</v>
      </c>
      <c r="Y40" s="63">
        <v>200</v>
      </c>
      <c r="Z40" s="63" cm="1">
        <f t="array" ref="Z40">INDEX(Pipes_result_save_V1!$O$2:$O$206,S40)</f>
        <v>150</v>
      </c>
      <c r="AA40" s="63">
        <v>1.7869263081348691E-2</v>
      </c>
      <c r="AB40" s="63" cm="1">
        <f t="array" ref="AB40">INDEX(Pipes_result_save_V1!$R$2:$R$206,S40)/1000</f>
        <v>2.06841869354248E-2</v>
      </c>
      <c r="AC40" s="63">
        <v>3.5549769360076963E-2</v>
      </c>
      <c r="AD40" s="63" cm="1">
        <f t="array" ref="AD40">INDEX(Pipes_result_save_V1!$L$2:$L$206,S40)</f>
        <v>1.076645493507385</v>
      </c>
      <c r="AE40" s="63">
        <v>2.4088928286696114</v>
      </c>
      <c r="AF40" s="63" cm="1">
        <f t="array" ref="AF40">INDEX(Pipes_result_save_V1!$M$2:$M$206,S40)</f>
        <v>7.0314812660217294</v>
      </c>
      <c r="AG40" s="63">
        <v>44.848385020798084</v>
      </c>
      <c r="AH40" s="63">
        <f>INDEX('Junctions — junctions'!$I$2:$I$197,MATCH(V40,'Junctions — junctions'!$B$2:$B$197,0))</f>
        <v>59.529148101806641</v>
      </c>
      <c r="AL40" s="63">
        <f>MATCH(AO40,Pipes_result_save_V1!$H$2:$H$206,0)</f>
        <v>42</v>
      </c>
      <c r="AM40" s="63" t="s">
        <v>298</v>
      </c>
      <c r="AN40" s="63" t="s">
        <v>715</v>
      </c>
      <c r="AO40" s="63" t="s">
        <v>714</v>
      </c>
      <c r="AP40" s="63">
        <v>271.95447352229712</v>
      </c>
      <c r="AQ40" s="63" cm="1">
        <f t="array" ref="AQ40">INDEX(Pipes_result_save_V1!$C$2:$C$206,'COMPARAISON EPANET'!AL40)</f>
        <v>51.4</v>
      </c>
      <c r="AR40" s="63">
        <v>300</v>
      </c>
      <c r="AS40" s="63" cm="1">
        <f t="array" ref="AS40">INDEX(Pipes_result_save_V1!$O$2:$O$206,AL40)</f>
        <v>50</v>
      </c>
      <c r="AT40" s="63">
        <v>4.6445384196223353E-3</v>
      </c>
      <c r="AU40" s="63" cm="1">
        <f t="array" ref="AU40">INDEX(Pipes_result_save_V1!$R$2:$R$206,AL40)/1000</f>
        <v>1.194517374038696E-3</v>
      </c>
      <c r="AV40" s="63">
        <v>4.1066735992395234E-3</v>
      </c>
      <c r="AW40" s="63" cm="1">
        <f t="array" ref="AW40">INDEX(Pipes_result_save_V1!$L$2:$L$206,AL40)</f>
        <v>0.57567054033279419</v>
      </c>
      <c r="AX40" s="63">
        <v>9.5699383445062791E-2</v>
      </c>
      <c r="AY40" s="63" cm="1">
        <f t="array" ref="AY40">INDEX(Pipes_result_save_V1!$M$2:$M$206,AL40)</f>
        <v>8.8603992462158203</v>
      </c>
      <c r="AZ40" s="63">
        <v>13.653246446701395</v>
      </c>
      <c r="BA40" s="63">
        <f>INDEX('Junctions — junctions'!$I$2:$I$197,MATCH(AO40,'Junctions — junctions'!$B$2:$B$197,0))</f>
        <v>61.642173767089837</v>
      </c>
      <c r="BF40" s="63">
        <f>MATCH(BI40,Pipes_result_save_V1!$H$2:$H$206,0)</f>
        <v>189</v>
      </c>
      <c r="BG40" s="63" t="s">
        <v>198</v>
      </c>
      <c r="BH40" s="63" t="s">
        <v>666</v>
      </c>
      <c r="BI40" s="63" t="s">
        <v>667</v>
      </c>
      <c r="BJ40" s="63">
        <v>390.85566756315819</v>
      </c>
      <c r="BK40" s="63" cm="1">
        <f t="array" ref="BK40">INDEX(Pipes_result_save_V1!$C$2:$C$206,'COMPARAISON EPANET'!BF40)</f>
        <v>156.4</v>
      </c>
      <c r="BL40" s="63">
        <v>400</v>
      </c>
      <c r="BM40" s="63" cm="1">
        <f t="array" ref="BM40">INDEX(Pipes_result_save_V1!$O$2:$O$206,BF40)</f>
        <v>150</v>
      </c>
      <c r="BN40" s="63">
        <v>1.2791367711759967E-2</v>
      </c>
      <c r="BO40" s="63" cm="1">
        <f t="array" ref="BO40">INDEX(Pipes_result_save_V1!$R$2:$R$206,BF40)/1000</f>
        <v>1.8269411087036128E-2</v>
      </c>
      <c r="BP40" s="63">
        <v>6.3619043757270777E-3</v>
      </c>
      <c r="BQ40" s="63" cm="1">
        <f t="array" ref="BQ40">INDEX(Pipes_result_save_V1!$L$2:$L$206,BF40)</f>
        <v>0.95095252990722656</v>
      </c>
      <c r="BR40" s="63">
        <v>0.13103686163916922</v>
      </c>
      <c r="BS40" s="63" cm="1">
        <f t="array" ref="BS40">INDEX(Pipes_result_save_V1!$M$2:$M$206,BF40)</f>
        <v>5.4855637550354004</v>
      </c>
      <c r="BT40" s="63">
        <v>13.454079845876297</v>
      </c>
      <c r="BU40" s="63">
        <f>INDEX('Junctions — junctions'!$I$2:$I$197,MATCH(BI40,'Junctions — junctions'!$B$2:$B$197,0))</f>
        <v>56.957672119140618</v>
      </c>
      <c r="CA40" s="63">
        <f>MATCH(CD40,Pipes_result_save_V1!$H$2:$H$206,0)</f>
        <v>165</v>
      </c>
      <c r="CB40" s="63" t="s">
        <v>120</v>
      </c>
      <c r="CC40" s="63" t="s">
        <v>646</v>
      </c>
      <c r="CD40" s="63" t="s">
        <v>645</v>
      </c>
      <c r="CE40" s="63">
        <v>204.52523865872314</v>
      </c>
      <c r="CF40" s="63" cm="1">
        <f t="array" ref="CF40">INDEX(Pipes_result_save_V1!$C$2:$C$206,'COMPARAISON EPANET'!CA40)</f>
        <v>156.4</v>
      </c>
      <c r="CG40" s="63">
        <v>250</v>
      </c>
      <c r="CH40" s="63" cm="1">
        <f t="array" ref="CH40">INDEX(Pipes_result_save_V1!$O$2:$O$206,CA40)</f>
        <v>150</v>
      </c>
      <c r="CI40" s="63">
        <v>1.3051364156792495E-2</v>
      </c>
      <c r="CJ40" s="63" cm="1">
        <f t="array" ref="CJ40">INDEX(Pipes_result_save_V1!$R$2:$R$206,CA40)/1000</f>
        <v>1.8941926956176761E-2</v>
      </c>
      <c r="CK40" s="63">
        <v>5.3695194907262093E-2</v>
      </c>
      <c r="CL40" s="63" cm="1">
        <f t="array" ref="CL40">INDEX(Pipes_result_save_V1!$L$2:$L$206,CA40)</f>
        <v>0.9859580397605896</v>
      </c>
      <c r="CM40" s="63">
        <v>1.6617512957167298E-2</v>
      </c>
      <c r="CN40" s="63" cm="1">
        <f t="array" ref="CN40">INDEX(Pipes_result_save_V1!$M$2:$M$206,CA40)</f>
        <v>5.8968548774719238</v>
      </c>
      <c r="CO40" s="63">
        <v>19.465526290692335</v>
      </c>
      <c r="CP40" s="63">
        <f>INDEX('Junctions — junctions'!$I$2:$I$197,MATCH(CD40,'Junctions — junctions'!$B$2:$B$197,0))</f>
        <v>59.932819366455078</v>
      </c>
      <c r="CT40" s="63">
        <f>MATCH(CW40,Pipes_result_save_V1!$H$2:$H$206,0)</f>
        <v>14</v>
      </c>
      <c r="CU40" s="63" t="s">
        <v>410</v>
      </c>
      <c r="CV40" s="63" t="s">
        <v>690</v>
      </c>
      <c r="CW40" s="63" t="s">
        <v>701</v>
      </c>
      <c r="CX40" s="63">
        <v>325.71332790434337</v>
      </c>
      <c r="CY40" s="63" cm="1">
        <f t="array" ref="CY40">INDEX(Pipes_result_save_V1!$C$2:$C$206,'COMPARAISON EPANET'!CT40)</f>
        <v>299.8</v>
      </c>
      <c r="CZ40" s="63">
        <v>350</v>
      </c>
      <c r="DA40" s="63" cm="1">
        <f t="array" ref="DA40">INDEX(Pipes_result_save_V1!$O$2:$O$206,CT40)</f>
        <v>300</v>
      </c>
      <c r="DB40" s="63">
        <v>6.2086070535941118E-2</v>
      </c>
      <c r="DC40" s="63" cm="1">
        <f t="array" ref="DC40">INDEX(Pipes_result_save_V1!$R$2:$R$206,CT40)/1000</f>
        <v>6.8676170349121088E-2</v>
      </c>
      <c r="DD40" s="63">
        <v>4.0331857236518817E-2</v>
      </c>
      <c r="DE40" s="63" cm="1">
        <f t="array" ref="DE40">INDEX(Pipes_result_save_V1!$L$2:$L$206,CT40)</f>
        <v>0.97286051511764526</v>
      </c>
      <c r="DF40" s="63">
        <v>0.13445611439220556</v>
      </c>
      <c r="DG40" s="63" cm="1">
        <f t="array" ref="DG40">INDEX(Pipes_result_save_V1!$M$2:$M$206,CT40)</f>
        <v>2.411648035049438</v>
      </c>
      <c r="DH40" s="63">
        <v>15.926425839903416</v>
      </c>
      <c r="DI40" s="63">
        <f>INDEX('Junctions — junctions'!$I$2:$I$197,MATCH(CW40,'Junctions — junctions'!$B$2:$B$197,0))</f>
        <v>66.327003479003906</v>
      </c>
    </row>
    <row r="41" spans="1:132" x14ac:dyDescent="0.25">
      <c r="A41" s="63">
        <f>MATCH(D41,Pipes_result_save_V1!$H$2:$H$206,0)</f>
        <v>71</v>
      </c>
      <c r="B41" s="63" t="s">
        <v>284</v>
      </c>
      <c r="C41" s="63" t="s">
        <v>740</v>
      </c>
      <c r="D41" s="63" t="s">
        <v>741</v>
      </c>
      <c r="E41" s="63">
        <v>315.21906243887082</v>
      </c>
      <c r="F41" s="63" cm="1">
        <f t="array" ref="F41">INDEX(Pipes_result_save_V1!$C$2:$C$206,'COMPARAISON EPANET'!A41)</f>
        <v>156.4</v>
      </c>
      <c r="G41" s="63">
        <v>350</v>
      </c>
      <c r="H41" s="63" cm="1">
        <f t="array" ref="H41">INDEX(Pipes_result_save_V1!$O$2:$O$206,A41)</f>
        <v>150</v>
      </c>
      <c r="I41" s="63">
        <v>1.6432974118929002E-2</v>
      </c>
      <c r="J41" s="63" cm="1">
        <f t="array" ref="J41">INDEX(Pipes_result_save_V1!$R$2:$R$206,A41)/1000</f>
        <v>2.2561313629150391E-2</v>
      </c>
      <c r="K41" s="63">
        <v>1.0675057390729529E-2</v>
      </c>
      <c r="L41" s="63" cm="1">
        <f t="array" ref="L41">INDEX(Pipes_result_save_V1!$L$2:$L$206,A41)</f>
        <v>1.1743530035018921</v>
      </c>
      <c r="M41" s="63">
        <v>0.11468534822271816</v>
      </c>
      <c r="N41" s="63" cm="1">
        <f t="array" ref="N41">INDEX(Pipes_result_save_V1!$M$2:$M$206,A41)</f>
        <v>8.3656482696533203</v>
      </c>
      <c r="O41" s="63">
        <v>24.611147930019861</v>
      </c>
      <c r="P41" s="63">
        <f>INDEX('Junctions — junctions'!$I$2:$I$197,MATCH(D41,'Junctions — junctions'!$B$2:$B$197,0))</f>
        <v>58.827720642089837</v>
      </c>
      <c r="S41" s="63">
        <f>MATCH(V41,Pipes_result_save_V1!$H$2:$H$206,0)</f>
        <v>69</v>
      </c>
      <c r="T41" s="63" t="s">
        <v>285</v>
      </c>
      <c r="U41" s="63" t="s">
        <v>739</v>
      </c>
      <c r="V41" s="63" t="s">
        <v>740</v>
      </c>
      <c r="W41" s="63">
        <v>192.30085240163368</v>
      </c>
      <c r="X41" s="63" cm="1">
        <f t="array" ref="X41">INDEX(Pipes_result_save_V1!$C$2:$C$206,'COMPARAISON EPANET'!S41)</f>
        <v>156.4</v>
      </c>
      <c r="Y41" s="63">
        <v>200</v>
      </c>
      <c r="Z41" s="63" cm="1">
        <f t="array" ref="Z41">INDEX(Pipes_result_save_V1!$O$2:$O$206,S41)</f>
        <v>150</v>
      </c>
      <c r="AA41" s="63">
        <v>1.7443268151482401E-2</v>
      </c>
      <c r="AB41" s="63" cm="1">
        <f t="array" ref="AB41">INDEX(Pipes_result_save_V1!$R$2:$R$206,S41)/1000</f>
        <v>2.1637012481689449E-2</v>
      </c>
      <c r="AC41" s="63">
        <v>3.4702279374823147E-2</v>
      </c>
      <c r="AD41" s="63" cm="1">
        <f t="array" ref="AD41">INDEX(Pipes_result_save_V1!$L$2:$L$206,S41)</f>
        <v>1.1262416839599609</v>
      </c>
      <c r="AE41" s="63">
        <v>2.4885476694281339</v>
      </c>
      <c r="AF41" s="63" cm="1">
        <f t="array" ref="AF41">INDEX(Pipes_result_save_V1!$M$2:$M$206,S41)</f>
        <v>7.6942839622497559</v>
      </c>
      <c r="AG41" s="63">
        <v>38.359837351369947</v>
      </c>
      <c r="AH41" s="63">
        <f>INDEX('Junctions — junctions'!$I$2:$I$197,MATCH(V41,'Junctions — junctions'!$B$2:$B$197,0))</f>
        <v>56.178546905517578</v>
      </c>
      <c r="BF41" s="63">
        <f>MATCH(BI41,Pipes_result_save_V1!$H$2:$H$206,0)</f>
        <v>190</v>
      </c>
      <c r="BG41" s="63" t="s">
        <v>197</v>
      </c>
      <c r="BH41" s="63" t="s">
        <v>667</v>
      </c>
      <c r="BI41" s="63" t="s">
        <v>668</v>
      </c>
      <c r="BJ41" s="63">
        <v>390.85566756315819</v>
      </c>
      <c r="BK41" s="63" cm="1">
        <f t="array" ref="BK41">INDEX(Pipes_result_save_V1!$C$2:$C$206,'COMPARAISON EPANET'!BF41)</f>
        <v>156.4</v>
      </c>
      <c r="BL41" s="63">
        <v>400</v>
      </c>
      <c r="BM41" s="63" cm="1">
        <f t="array" ref="BM41">INDEX(Pipes_result_save_V1!$O$2:$O$206,BF41)</f>
        <v>150</v>
      </c>
      <c r="BN41" s="63">
        <v>1.031482399744893E-2</v>
      </c>
      <c r="BO41" s="63" cm="1">
        <f t="array" ref="BO41">INDEX(Pipes_result_save_V1!$R$2:$R$206,BF41)/1000</f>
        <v>1.6403696060180661E-2</v>
      </c>
      <c r="BP41" s="63">
        <v>5.1301725822403147E-3</v>
      </c>
      <c r="BQ41" s="63" cm="1">
        <f t="array" ref="BQ41">INDEX(Pipes_result_save_V1!$L$2:$L$206,BF41)</f>
        <v>0.85383903980255127</v>
      </c>
      <c r="BR41" s="63">
        <v>0.42544435597132857</v>
      </c>
      <c r="BS41" s="63" cm="1">
        <f t="array" ref="BS41">INDEX(Pipes_result_save_V1!$M$2:$M$206,BF41)</f>
        <v>4.4223670959472656</v>
      </c>
      <c r="BT41" s="63">
        <v>14.028635489904968</v>
      </c>
      <c r="BU41" s="63">
        <f>INDEX('Junctions — junctions'!$I$2:$I$197,MATCH(BI41,'Junctions — junctions'!$B$2:$B$197,0))</f>
        <v>56.850753784179688</v>
      </c>
      <c r="CA41" s="63">
        <f>MATCH(CD41,Pipes_result_save_V1!$H$2:$H$206,0)</f>
        <v>166</v>
      </c>
      <c r="CB41" s="63" t="s">
        <v>118</v>
      </c>
      <c r="CC41" s="63" t="s">
        <v>647</v>
      </c>
      <c r="CD41" s="63" t="s">
        <v>646</v>
      </c>
      <c r="CE41" s="63">
        <v>204.52523865872314</v>
      </c>
      <c r="CF41" s="63" cm="1">
        <f t="array" ref="CF41">INDEX(Pipes_result_save_V1!$C$2:$C$206,'COMPARAISON EPANET'!CA41)</f>
        <v>156.4</v>
      </c>
      <c r="CG41" s="63">
        <v>250</v>
      </c>
      <c r="CH41" s="63" cm="1">
        <f t="array" ref="CH41">INDEX(Pipes_result_save_V1!$O$2:$O$206,CA41)</f>
        <v>150</v>
      </c>
      <c r="CI41" s="63">
        <v>1.173316550602249E-2</v>
      </c>
      <c r="CJ41" s="63" cm="1">
        <f t="array" ref="CJ41">INDEX(Pipes_result_save_V1!$R$2:$R$206,CA41)/1000</f>
        <v>1.8314315795898442E-2</v>
      </c>
      <c r="CK41" s="63">
        <v>3.7173596474258372E-2</v>
      </c>
      <c r="CL41" s="63" cm="1">
        <f t="array" ref="CL41">INDEX(Pipes_result_save_V1!$L$2:$L$206,CA41)</f>
        <v>0.95328986644744873</v>
      </c>
      <c r="CM41" s="63">
        <v>1.493913030719039E-2</v>
      </c>
      <c r="CN41" s="63" cm="1">
        <f t="array" ref="CN41">INDEX(Pipes_result_save_V1!$M$2:$M$206,CA41)</f>
        <v>5.5125861167907706</v>
      </c>
      <c r="CO41" s="63">
        <v>17.428352694218077</v>
      </c>
      <c r="CP41" s="63">
        <f>INDEX('Junctions — junctions'!$I$2:$I$197,MATCH(CD41,'Junctions — junctions'!$B$2:$B$197,0))</f>
        <v>57.550704956054688</v>
      </c>
      <c r="CT41" s="63">
        <f>MATCH(CW41,Pipes_result_save_V1!$H$2:$H$206,0)</f>
        <v>16</v>
      </c>
      <c r="CU41" s="63" t="s">
        <v>263</v>
      </c>
      <c r="CV41" s="63" t="s">
        <v>692</v>
      </c>
      <c r="CW41" s="63" t="s">
        <v>691</v>
      </c>
      <c r="CX41" s="63">
        <v>204.52523865872314</v>
      </c>
      <c r="CY41" s="63" cm="1">
        <f t="array" ref="CY41">INDEX(Pipes_result_save_V1!$C$2:$C$206,'COMPARAISON EPANET'!CT41)</f>
        <v>100</v>
      </c>
      <c r="CZ41" s="63">
        <v>250</v>
      </c>
      <c r="DA41" s="63" cm="1">
        <f t="array" ref="DA41">INDEX(Pipes_result_save_V1!$O$2:$O$206,CT41)</f>
        <v>100</v>
      </c>
      <c r="DB41" s="63">
        <v>7.5790581407477429E-4</v>
      </c>
      <c r="DC41" s="63" cm="1">
        <f t="array" ref="DC41">INDEX(Pipes_result_save_V1!$R$2:$R$206,CT41)/1000</f>
        <v>6.3918390274047849E-3</v>
      </c>
      <c r="DD41" s="63">
        <v>9.649956536646985E-4</v>
      </c>
      <c r="DE41" s="63" cm="1">
        <f t="array" ref="DE41">INDEX(Pipes_result_save_V1!$L$2:$L$206,CT41)</f>
        <v>0.81382983922958374</v>
      </c>
      <c r="DF41" s="63">
        <v>0.35691500121726061</v>
      </c>
      <c r="DG41" s="63" cm="1">
        <f t="array" ref="DG41">INDEX(Pipes_result_save_V1!$M$2:$M$206,CT41)</f>
        <v>7.292689323425293</v>
      </c>
      <c r="DH41" s="63">
        <v>11.569510838686156</v>
      </c>
      <c r="DI41" s="63">
        <f>INDEX('Junctions — junctions'!$I$2:$I$197,MATCH(CW41,'Junctions — junctions'!$B$2:$B$197,0))</f>
        <v>61.974575042724609</v>
      </c>
    </row>
    <row r="42" spans="1:132" x14ac:dyDescent="0.25">
      <c r="A42" s="63">
        <f>MATCH(D42,Pipes_result_save_V1!$H$2:$H$206,0)</f>
        <v>72</v>
      </c>
      <c r="B42" s="63" t="s">
        <v>283</v>
      </c>
      <c r="C42" s="63" t="s">
        <v>741</v>
      </c>
      <c r="D42" s="63" t="s">
        <v>742</v>
      </c>
      <c r="E42" s="63">
        <v>438.5848696638875</v>
      </c>
      <c r="F42" s="63" cm="1">
        <f t="array" ref="F42">INDEX(Pipes_result_save_V1!$C$2:$C$206,'COMPARAISON EPANET'!A42)</f>
        <v>156.4</v>
      </c>
      <c r="G42" s="63">
        <v>500</v>
      </c>
      <c r="H42" s="63" cm="1">
        <f t="array" ref="H42">INDEX(Pipes_result_save_V1!$O$2:$O$206,A42)</f>
        <v>150</v>
      </c>
      <c r="I42" s="63">
        <v>1.7336437868687445E-2</v>
      </c>
      <c r="J42" s="63" cm="1">
        <f t="array" ref="J42">INDEX(Pipes_result_save_V1!$R$2:$R$206,A42)/1000</f>
        <v>2.3867883682250981E-2</v>
      </c>
      <c r="K42" s="63">
        <v>6.352989975886297E-3</v>
      </c>
      <c r="L42" s="63" cm="1">
        <f t="array" ref="L42">INDEX(Pipes_result_save_V1!$L$2:$L$206,A42)</f>
        <v>1.2423620223999019</v>
      </c>
      <c r="M42" s="63">
        <v>0.18713026311110245</v>
      </c>
      <c r="N42" s="63" cm="1">
        <f t="array" ref="N42">INDEX(Pipes_result_save_V1!$M$2:$M$206,A42)</f>
        <v>9.3626575469970703</v>
      </c>
      <c r="O42" s="63">
        <v>28.424017666908757</v>
      </c>
      <c r="P42" s="63">
        <f>INDEX('Junctions — junctions'!$I$2:$I$197,MATCH(D42,'Junctions — junctions'!$B$2:$B$197,0))</f>
        <v>64.237739562988281</v>
      </c>
      <c r="S42" s="63">
        <f>MATCH(V42,Pipes_result_save_V1!$H$2:$H$206,0)</f>
        <v>71</v>
      </c>
      <c r="T42" s="63" t="s">
        <v>284</v>
      </c>
      <c r="U42" s="63" t="s">
        <v>740</v>
      </c>
      <c r="V42" s="63" t="s">
        <v>741</v>
      </c>
      <c r="W42" s="63">
        <v>192.30085240163368</v>
      </c>
      <c r="X42" s="63" cm="1">
        <f t="array" ref="X42">INDEX(Pipes_result_save_V1!$C$2:$C$206,'COMPARAISON EPANET'!S42)</f>
        <v>156.4</v>
      </c>
      <c r="Y42" s="63">
        <v>200</v>
      </c>
      <c r="Z42" s="63" cm="1">
        <f t="array" ref="Z42">INDEX(Pipes_result_save_V1!$O$2:$O$206,S42)</f>
        <v>150</v>
      </c>
      <c r="AA42" s="63">
        <v>2.2002156226095377E-2</v>
      </c>
      <c r="AB42" s="63" cm="1">
        <f t="array" ref="AB42">INDEX(Pipes_result_save_V1!$R$2:$R$206,S42)/1000</f>
        <v>2.2561313629150391E-2</v>
      </c>
      <c r="AC42" s="63">
        <v>4.3771899025790005E-2</v>
      </c>
      <c r="AD42" s="63" cm="1">
        <f t="array" ref="AD42">INDEX(Pipes_result_save_V1!$L$2:$L$206,S42)</f>
        <v>1.1743530035018921</v>
      </c>
      <c r="AE42" s="63">
        <v>2.0353909603128959</v>
      </c>
      <c r="AF42" s="63" cm="1">
        <f t="array" ref="AF42">INDEX(Pipes_result_save_V1!$M$2:$M$206,S42)</f>
        <v>8.3656482696533203</v>
      </c>
      <c r="AG42" s="63">
        <v>38.324446391057052</v>
      </c>
      <c r="AH42" s="63">
        <f>INDEX('Junctions — junctions'!$I$2:$I$197,MATCH(V42,'Junctions — junctions'!$B$2:$B$197,0))</f>
        <v>58.827720642089837</v>
      </c>
      <c r="BF42" s="63">
        <f>MATCH(BI42,Pipes_result_save_V1!$H$2:$H$206,0)</f>
        <v>191</v>
      </c>
      <c r="BG42" s="63" t="s">
        <v>196</v>
      </c>
      <c r="BH42" s="63" t="s">
        <v>668</v>
      </c>
      <c r="BI42" s="63" t="s">
        <v>669</v>
      </c>
      <c r="BJ42" s="63">
        <v>390.85566756315819</v>
      </c>
      <c r="BK42" s="63" cm="1">
        <f t="array" ref="BK42">INDEX(Pipes_result_save_V1!$C$2:$C$206,'COMPARAISON EPANET'!BF42)</f>
        <v>156.4</v>
      </c>
      <c r="BL42" s="63">
        <v>400</v>
      </c>
      <c r="BM42" s="63" cm="1">
        <f t="array" ref="BM42">INDEX(Pipes_result_save_V1!$O$2:$O$206,BF42)</f>
        <v>150</v>
      </c>
      <c r="BN42" s="63">
        <v>8.9903760997850114E-3</v>
      </c>
      <c r="BO42" s="63" cm="1">
        <f t="array" ref="BO42">INDEX(Pipes_result_save_V1!$R$2:$R$206,BF42)/1000</f>
        <v>1.461785984039307E-2</v>
      </c>
      <c r="BP42" s="63">
        <v>4.4714462391750604E-3</v>
      </c>
      <c r="BQ42" s="63" cm="1">
        <f t="array" ref="BQ42">INDEX(Pipes_result_save_V1!$L$2:$L$206,BF42)</f>
        <v>0.76088333129882813</v>
      </c>
      <c r="BR42" s="63">
        <v>0.10721197770477481</v>
      </c>
      <c r="BS42" s="63" cm="1">
        <f t="array" ref="BS42">INDEX(Pipes_result_save_V1!$M$2:$M$206,BF42)</f>
        <v>3.5118203163146968</v>
      </c>
      <c r="BT42" s="63">
        <v>10.921423512200194</v>
      </c>
      <c r="BU42" s="63">
        <f>INDEX('Junctions — junctions'!$I$2:$I$197,MATCH(BI42,'Junctions — junctions'!$B$2:$B$197,0))</f>
        <v>53.629859924316413</v>
      </c>
      <c r="CA42" s="63">
        <f>MATCH(CD42,Pipes_result_save_V1!$H$2:$H$206,0)</f>
        <v>167</v>
      </c>
      <c r="CB42" s="63" t="s">
        <v>117</v>
      </c>
      <c r="CC42" s="63" t="s">
        <v>648</v>
      </c>
      <c r="CD42" s="63" t="s">
        <v>647</v>
      </c>
      <c r="CE42" s="63">
        <v>204.52523865872314</v>
      </c>
      <c r="CF42" s="63" cm="1">
        <f t="array" ref="CF42">INDEX(Pipes_result_save_V1!$C$2:$C$206,'COMPARAISON EPANET'!CA42)</f>
        <v>156.4</v>
      </c>
      <c r="CG42" s="63">
        <v>250</v>
      </c>
      <c r="CH42" s="63" cm="1">
        <f t="array" ref="CH42">INDEX(Pipes_result_save_V1!$O$2:$O$206,CA42)</f>
        <v>150</v>
      </c>
      <c r="CI42" s="63">
        <v>1.1368146115916826E-2</v>
      </c>
      <c r="CJ42" s="63" cm="1">
        <f t="array" ref="CJ42">INDEX(Pipes_result_save_V1!$R$2:$R$206,CA42)/1000</f>
        <v>1.748701095581055E-2</v>
      </c>
      <c r="CK42" s="63">
        <v>8.2607992165018601E-2</v>
      </c>
      <c r="CL42" s="63" cm="1">
        <f t="array" ref="CL42">INDEX(Pipes_result_save_V1!$L$2:$L$206,CA42)</f>
        <v>0.91022735834121704</v>
      </c>
      <c r="CM42" s="63">
        <v>1.4474373185112747E-2</v>
      </c>
      <c r="CN42" s="63" cm="1">
        <f t="array" ref="CN42">INDEX(Pipes_result_save_V1!$M$2:$M$206,CA42)</f>
        <v>5.0257749557495117</v>
      </c>
      <c r="CO42" s="63">
        <v>20.345744702053057</v>
      </c>
      <c r="CP42" s="63">
        <f>INDEX('Junctions — junctions'!$I$2:$I$197,MATCH(CD42,'Junctions — junctions'!$B$2:$B$197,0))</f>
        <v>60.303188323974609</v>
      </c>
      <c r="CT42" s="63">
        <f>MATCH(CW42,Pipes_result_save_V1!$H$2:$H$206,0)</f>
        <v>17</v>
      </c>
      <c r="CU42" s="63" t="s">
        <v>264</v>
      </c>
      <c r="CV42" s="63" t="s">
        <v>693</v>
      </c>
      <c r="CW42" s="63" t="s">
        <v>692</v>
      </c>
      <c r="CX42" s="63">
        <v>204.52523865872314</v>
      </c>
      <c r="CY42" s="63" cm="1">
        <f t="array" ref="CY42">INDEX(Pipes_result_save_V1!$C$2:$C$206,'COMPARAISON EPANET'!CT42)</f>
        <v>100</v>
      </c>
      <c r="CZ42" s="63">
        <v>250</v>
      </c>
      <c r="DA42" s="63" cm="1">
        <f t="array" ref="DA42">INDEX(Pipes_result_save_V1!$O$2:$O$206,CT42)</f>
        <v>100</v>
      </c>
      <c r="DB42" s="63">
        <v>1.6875265397991862E-3</v>
      </c>
      <c r="DC42" s="63" cm="1">
        <f t="array" ref="DC42">INDEX(Pipes_result_save_V1!$R$2:$R$206,CT42)/1000</f>
        <v>4.6345300674438478E-3</v>
      </c>
      <c r="DD42" s="63">
        <v>2.1486255232624203E-3</v>
      </c>
      <c r="DE42" s="63" cm="1">
        <f t="array" ref="DE42">INDEX(Pipes_result_save_V1!$L$2:$L$206,CT42)</f>
        <v>0.59008347988128662</v>
      </c>
      <c r="DF42" s="63">
        <v>0.1128705559405012</v>
      </c>
      <c r="DG42" s="63" cm="1">
        <f t="array" ref="DG42">INDEX(Pipes_result_save_V1!$M$2:$M$206,CT42)</f>
        <v>3.8339500427246089</v>
      </c>
      <c r="DH42" s="63">
        <v>18.456640282745653</v>
      </c>
      <c r="DI42" s="63">
        <f>INDEX('Junctions — junctions'!$I$2:$I$197,MATCH(CW42,'Junctions — junctions'!$B$2:$B$197,0))</f>
        <v>67.269546508789063</v>
      </c>
    </row>
    <row r="43" spans="1:132" x14ac:dyDescent="0.25">
      <c r="A43" s="63">
        <f>MATCH(D43,Pipes_result_save_V1!$H$2:$H$206,0)</f>
        <v>73</v>
      </c>
      <c r="B43" s="63" t="s">
        <v>280</v>
      </c>
      <c r="C43" s="63" t="s">
        <v>742</v>
      </c>
      <c r="D43" s="63" t="s">
        <v>743</v>
      </c>
      <c r="E43" s="63">
        <v>262.27811368316162</v>
      </c>
      <c r="F43" s="63" cm="1">
        <f t="array" ref="F43">INDEX(Pipes_result_save_V1!$C$2:$C$206,'COMPARAISON EPANET'!A43)</f>
        <v>156.4</v>
      </c>
      <c r="G43" s="63">
        <v>300</v>
      </c>
      <c r="H43" s="63" cm="1">
        <f t="array" ref="H43">INDEX(Pipes_result_save_V1!$O$2:$O$206,A43)</f>
        <v>150</v>
      </c>
      <c r="I43" s="63">
        <v>1.9566196206081993E-2</v>
      </c>
      <c r="J43" s="63" cm="1">
        <f t="array" ref="J43">INDEX(Pipes_result_save_V1!$R$2:$R$206,A43)/1000</f>
        <v>2.503752136230469E-2</v>
      </c>
      <c r="K43" s="63">
        <v>1.7300315798354657E-2</v>
      </c>
      <c r="L43" s="63" cm="1">
        <f t="array" ref="L43">INDEX(Pipes_result_save_V1!$L$2:$L$206,A43)</f>
        <v>1.3032436370849609</v>
      </c>
      <c r="M43" s="63">
        <v>8.5141039063695509E-2</v>
      </c>
      <c r="N43" s="63" cm="1">
        <f t="array" ref="N43">INDEX(Pipes_result_save_V1!$M$2:$M$206,A43)</f>
        <v>10.30277156829834</v>
      </c>
      <c r="O43" s="63">
        <v>27.33887662784506</v>
      </c>
      <c r="P43" s="63">
        <f>INDEX('Junctions — junctions'!$I$2:$I$197,MATCH(D43,'Junctions — junctions'!$B$2:$B$197,0))</f>
        <v>63.795116424560547</v>
      </c>
      <c r="S43" s="63">
        <f>MATCH(V43,Pipes_result_save_V1!$H$2:$H$206,0)</f>
        <v>72</v>
      </c>
      <c r="T43" s="63" t="s">
        <v>283</v>
      </c>
      <c r="U43" s="63" t="s">
        <v>741</v>
      </c>
      <c r="V43" s="63" t="s">
        <v>742</v>
      </c>
      <c r="W43" s="63">
        <v>192.30085240163368</v>
      </c>
      <c r="X43" s="63" cm="1">
        <f t="array" ref="X43">INDEX(Pipes_result_save_V1!$C$2:$C$206,'COMPARAISON EPANET'!S43)</f>
        <v>156.4</v>
      </c>
      <c r="Y43" s="63">
        <v>200</v>
      </c>
      <c r="Z43" s="63" cm="1">
        <f t="array" ref="Z43">INDEX(Pipes_result_save_V1!$O$2:$O$206,S43)</f>
        <v>150</v>
      </c>
      <c r="AA43" s="63">
        <v>2.1427920330376111E-2</v>
      </c>
      <c r="AB43" s="63" cm="1">
        <f t="array" ref="AB43">INDEX(Pipes_result_save_V1!$R$2:$R$206,S43)/1000</f>
        <v>2.3867883682250981E-2</v>
      </c>
      <c r="AC43" s="63">
        <v>4.262949300948346E-2</v>
      </c>
      <c r="AD43" s="63" cm="1">
        <f t="array" ref="AD43">INDEX(Pipes_result_save_V1!$L$2:$L$206,S43)</f>
        <v>1.2423620223999019</v>
      </c>
      <c r="AE43" s="63">
        <v>12.471763818331654</v>
      </c>
      <c r="AF43" s="63" cm="1">
        <f t="array" ref="AF43">INDEX(Pipes_result_save_V1!$M$2:$M$206,S43)</f>
        <v>9.3626575469970703</v>
      </c>
      <c r="AG43" s="63">
        <v>29.852682572725399</v>
      </c>
      <c r="AH43" s="63">
        <f>INDEX('Junctions — junctions'!$I$2:$I$197,MATCH(V43,'Junctions — junctions'!$B$2:$B$197,0))</f>
        <v>64.237739562988281</v>
      </c>
      <c r="BF43" s="63">
        <f>MATCH(BI43,Pipes_result_save_V1!$H$2:$H$206,0)</f>
        <v>192</v>
      </c>
      <c r="BG43" s="63" t="s">
        <v>195</v>
      </c>
      <c r="BH43" s="63" t="s">
        <v>669</v>
      </c>
      <c r="BI43" s="63" t="s">
        <v>670</v>
      </c>
      <c r="BJ43" s="63">
        <v>390.85566756315819</v>
      </c>
      <c r="BK43" s="63" cm="1">
        <f t="array" ref="BK43">INDEX(Pipes_result_save_V1!$C$2:$C$206,'COMPARAISON EPANET'!BF43)</f>
        <v>156.4</v>
      </c>
      <c r="BL43" s="63">
        <v>400</v>
      </c>
      <c r="BM43" s="63" cm="1">
        <f t="array" ref="BM43">INDEX(Pipes_result_save_V1!$O$2:$O$206,BF43)</f>
        <v>150</v>
      </c>
      <c r="BN43" s="63">
        <v>8.2089583080714908E-3</v>
      </c>
      <c r="BO43" s="63" cm="1">
        <f t="array" ref="BO43">INDEX(Pipes_result_save_V1!$R$2:$R$206,BF43)/1000</f>
        <v>1.402448272705078E-2</v>
      </c>
      <c r="BP43" s="63">
        <v>4.0828009136401862E-3</v>
      </c>
      <c r="BQ43" s="63" cm="1">
        <f t="array" ref="BQ43">INDEX(Pipes_result_save_V1!$L$2:$L$206,BF43)</f>
        <v>0.72999703884124756</v>
      </c>
      <c r="BR43" s="63">
        <v>6.9772874379297897E-2</v>
      </c>
      <c r="BS43" s="63" cm="1">
        <f t="array" ref="BS43">INDEX(Pipes_result_save_V1!$M$2:$M$206,BF43)</f>
        <v>3.2325878143310551</v>
      </c>
      <c r="BT43" s="63">
        <v>10.851650637820896</v>
      </c>
      <c r="BU43" s="63">
        <f>INDEX('Junctions — junctions'!$I$2:$I$197,MATCH(BI43,'Junctions — junctions'!$B$2:$B$197,0))</f>
        <v>53.497325897216797</v>
      </c>
      <c r="CA43" s="63">
        <f>MATCH(CD43,Pipes_result_save_V1!$H$2:$H$206,0)</f>
        <v>169</v>
      </c>
      <c r="CB43" s="63" t="s">
        <v>116</v>
      </c>
      <c r="CC43" s="63" t="s">
        <v>649</v>
      </c>
      <c r="CD43" s="63" t="s">
        <v>648</v>
      </c>
      <c r="CE43" s="63">
        <v>204.52212438525402</v>
      </c>
      <c r="CF43" s="63" cm="1">
        <f t="array" ref="CF43">INDEX(Pipes_result_save_V1!$C$2:$C$206,'COMPARAISON EPANET'!CA43)</f>
        <v>156.4</v>
      </c>
      <c r="CG43" s="63">
        <v>250</v>
      </c>
      <c r="CH43" s="63" cm="1">
        <f t="array" ref="CH43">INDEX(Pipes_result_save_V1!$O$2:$O$206,CA43)</f>
        <v>150</v>
      </c>
      <c r="CI43" s="63">
        <v>9.5934509300807762E-3</v>
      </c>
      <c r="CJ43" s="63" cm="1">
        <f t="array" ref="CJ43">INDEX(Pipes_result_save_V1!$R$2:$R$206,CA43)/1000</f>
        <v>1.5763935089111329E-2</v>
      </c>
      <c r="CK43" s="63">
        <v>0.1668550388388729</v>
      </c>
      <c r="CL43" s="63" cm="1">
        <f t="array" ref="CL43">INDEX(Pipes_result_save_V1!$L$2:$L$206,CA43)</f>
        <v>0.82053840160369873</v>
      </c>
      <c r="CM43" s="63">
        <v>1.221476109465517E-2</v>
      </c>
      <c r="CN43" s="63" cm="1">
        <f t="array" ref="CN43">INDEX(Pipes_result_save_V1!$M$2:$M$206,CA43)</f>
        <v>4.0841250419616699</v>
      </c>
      <c r="CO43" s="63">
        <v>18.178889663214186</v>
      </c>
      <c r="CP43" s="63">
        <f>INDEX('Junctions — junctions'!$I$2:$I$197,MATCH(CD43,'Junctions — junctions'!$B$2:$B$197,0))</f>
        <v>57.798599243164063</v>
      </c>
      <c r="CT43" s="63">
        <f>MATCH(CW43,Pipes_result_save_V1!$H$2:$H$206,0)</f>
        <v>18</v>
      </c>
      <c r="CU43" s="63" t="s">
        <v>266</v>
      </c>
      <c r="CV43" s="63" t="s">
        <v>694</v>
      </c>
      <c r="CW43" s="63" t="s">
        <v>693</v>
      </c>
      <c r="CX43" s="63">
        <v>204.52523865872314</v>
      </c>
      <c r="CY43" s="63" cm="1">
        <f t="array" ref="CY43">INDEX(Pipes_result_save_V1!$C$2:$C$206,'COMPARAISON EPANET'!CT43)</f>
        <v>100</v>
      </c>
      <c r="CZ43" s="63">
        <v>250</v>
      </c>
      <c r="DA43" s="63" cm="1">
        <f t="array" ref="DA43">INDEX(Pipes_result_save_V1!$O$2:$O$206,CT43)</f>
        <v>100</v>
      </c>
      <c r="DB43" s="63">
        <v>1.5957880706549475E-3</v>
      </c>
      <c r="DC43" s="63" cm="1">
        <f t="array" ref="DC43">INDEX(Pipes_result_save_V1!$R$2:$R$206,CT43)/1000</f>
        <v>3.761581182479858E-3</v>
      </c>
      <c r="DD43" s="63">
        <v>2.0318204765745092E-3</v>
      </c>
      <c r="DE43" s="63" cm="1">
        <f t="array" ref="DE43">INDEX(Pipes_result_save_V1!$L$2:$L$206,CT43)</f>
        <v>0.47893679141998291</v>
      </c>
      <c r="DF43" s="63">
        <v>0.12049694485539995</v>
      </c>
      <c r="DG43" s="63" cm="1">
        <f t="array" ref="DG43">INDEX(Pipes_result_save_V1!$M$2:$M$206,CT43)</f>
        <v>2.5256319046020508</v>
      </c>
      <c r="DH43" s="63">
        <v>14.336143337890254</v>
      </c>
      <c r="DI43" s="63">
        <f>INDEX('Junctions — junctions'!$I$2:$I$197,MATCH(CW43,'Junctions — junctions'!$B$2:$B$197,0))</f>
        <v>62.986598968505859</v>
      </c>
    </row>
    <row r="44" spans="1:132" x14ac:dyDescent="0.25">
      <c r="A44" s="63">
        <f>MATCH(D44,Pipes_result_save_V1!$H$2:$H$206,0)</f>
        <v>74</v>
      </c>
      <c r="B44" s="63" t="s">
        <v>282</v>
      </c>
      <c r="C44" s="63" t="s">
        <v>743</v>
      </c>
      <c r="D44" s="63" t="s">
        <v>744</v>
      </c>
      <c r="E44" s="63">
        <v>211.15394209236661</v>
      </c>
      <c r="F44" s="63" cm="1">
        <f t="array" ref="F44">INDEX(Pipes_result_save_V1!$C$2:$C$206,'COMPARAISON EPANET'!A44)</f>
        <v>156.4</v>
      </c>
      <c r="G44" s="63">
        <v>250</v>
      </c>
      <c r="H44" s="63" cm="1">
        <f t="array" ref="H44">INDEX(Pipes_result_save_V1!$O$2:$O$206,A44)</f>
        <v>150</v>
      </c>
      <c r="I44" s="63">
        <v>1.9731093319003384E-2</v>
      </c>
      <c r="J44" s="63" cm="1">
        <f t="array" ref="J44">INDEX(Pipes_result_save_V1!$R$2:$R$206,A44)/1000</f>
        <v>2.5545314788818361E-2</v>
      </c>
      <c r="K44" s="63">
        <v>2.5122408274614882E-2</v>
      </c>
      <c r="L44" s="63" cm="1">
        <f t="array" ref="L44">INDEX(Pipes_result_save_V1!$L$2:$L$206,A44)</f>
        <v>1.329675078392029</v>
      </c>
      <c r="M44" s="63">
        <v>6.0079437098534257E-2</v>
      </c>
      <c r="N44" s="63" cm="1">
        <f t="array" ref="N44">INDEX(Pipes_result_save_V1!$M$2:$M$206,A44)</f>
        <v>10.7249002456665</v>
      </c>
      <c r="O44" s="63">
        <v>28.278797190746527</v>
      </c>
      <c r="P44" s="63">
        <f>INDEX('Junctions — junctions'!$I$2:$I$197,MATCH(D44,'Junctions — junctions'!$B$2:$B$197,0))</f>
        <v>65.167266845703125</v>
      </c>
      <c r="S44" s="63">
        <f>MATCH(V44,Pipes_result_save_V1!$H$2:$H$206,0)</f>
        <v>73</v>
      </c>
      <c r="T44" s="63" t="s">
        <v>280</v>
      </c>
      <c r="U44" s="63" t="s">
        <v>742</v>
      </c>
      <c r="V44" s="63" t="s">
        <v>743</v>
      </c>
      <c r="W44" s="63">
        <v>192.30085240163368</v>
      </c>
      <c r="X44" s="63" cm="1">
        <f t="array" ref="X44">INDEX(Pipes_result_save_V1!$C$2:$C$206,'COMPARAISON EPANET'!S44)</f>
        <v>156.4</v>
      </c>
      <c r="Y44" s="63">
        <v>200</v>
      </c>
      <c r="Z44" s="63" cm="1">
        <f t="array" ref="Z44">INDEX(Pipes_result_save_V1!$O$2:$O$206,S44)</f>
        <v>150</v>
      </c>
      <c r="AA44" s="63">
        <v>2.2880308540549472E-2</v>
      </c>
      <c r="AB44" s="63" cm="1">
        <f t="array" ref="AB44">INDEX(Pipes_result_save_V1!$R$2:$R$206,S44)/1000</f>
        <v>2.503752136230469E-2</v>
      </c>
      <c r="AC44" s="63">
        <v>4.5518927546201973E-2</v>
      </c>
      <c r="AD44" s="63" cm="1">
        <f t="array" ref="AD44">INDEX(Pipes_result_save_V1!$L$2:$L$206,S44)</f>
        <v>1.3032436370849609</v>
      </c>
      <c r="AE44" s="63">
        <v>0.75959980646985081</v>
      </c>
      <c r="AF44" s="63" cm="1">
        <f t="array" ref="AF44">INDEX(Pipes_result_save_V1!$M$2:$M$206,S44)</f>
        <v>10.30277156829834</v>
      </c>
      <c r="AG44" s="63">
        <v>28.093082766255549</v>
      </c>
      <c r="AH44" s="63">
        <f>INDEX('Junctions — junctions'!$I$2:$I$197,MATCH(V44,'Junctions — junctions'!$B$2:$B$197,0))</f>
        <v>63.795116424560547</v>
      </c>
      <c r="BF44" s="63">
        <f>MATCH(BI44,Pipes_result_save_V1!$H$2:$H$206,0)</f>
        <v>194</v>
      </c>
      <c r="BG44" s="63" t="s">
        <v>194</v>
      </c>
      <c r="BH44" s="63" t="s">
        <v>670</v>
      </c>
      <c r="BI44" s="63" t="s">
        <v>671</v>
      </c>
      <c r="BJ44" s="63">
        <v>390.85566756315819</v>
      </c>
      <c r="BK44" s="63" cm="1">
        <f t="array" ref="BK44">INDEX(Pipes_result_save_V1!$C$2:$C$206,'COMPARAISON EPANET'!BF44)</f>
        <v>156.4</v>
      </c>
      <c r="BL44" s="63">
        <v>400</v>
      </c>
      <c r="BM44" s="63" cm="1">
        <f t="array" ref="BM44">INDEX(Pipes_result_save_V1!$O$2:$O$206,BF44)</f>
        <v>150</v>
      </c>
      <c r="BN44" s="63">
        <v>7.1716527560649855E-3</v>
      </c>
      <c r="BO44" s="63" cm="1">
        <f t="array" ref="BO44">INDEX(Pipes_result_save_V1!$R$2:$R$206,BF44)/1000</f>
        <v>1.264373970031738E-2</v>
      </c>
      <c r="BP44" s="63">
        <v>3.5668874570823658E-3</v>
      </c>
      <c r="BQ44" s="63" cm="1">
        <f t="array" ref="BQ44">INDEX(Pipes_result_save_V1!$L$2:$L$206,BF44)</f>
        <v>0.65812718868255615</v>
      </c>
      <c r="BR44" s="63">
        <v>0.34205726220094823</v>
      </c>
      <c r="BS44" s="63" cm="1">
        <f t="array" ref="BS44">INDEX(Pipes_result_save_V1!$M$2:$M$206,BF44)</f>
        <v>2.627388477325439</v>
      </c>
      <c r="BT44" s="63">
        <v>15.509593375619946</v>
      </c>
      <c r="BU44" s="63">
        <f>INDEX('Junctions — junctions'!$I$2:$I$197,MATCH(BI44,'Junctions — junctions'!$B$2:$B$197,0))</f>
        <v>57.968433380126953</v>
      </c>
      <c r="CA44" s="63">
        <f>MATCH(CD44,Pipes_result_save_V1!$H$2:$H$206,0)</f>
        <v>204</v>
      </c>
      <c r="CB44" s="63" t="s">
        <v>417</v>
      </c>
      <c r="CC44" s="63" t="s">
        <v>568</v>
      </c>
      <c r="CD44" s="63" t="s">
        <v>621</v>
      </c>
      <c r="CE44" s="63">
        <v>354.24630676955917</v>
      </c>
      <c r="CF44" s="63" cm="1">
        <f t="array" ref="CF44">INDEX(Pipes_result_save_V1!$C$2:$C$206,'COMPARAISON EPANET'!CA44)</f>
        <v>51.4</v>
      </c>
      <c r="CG44" s="63">
        <v>400</v>
      </c>
      <c r="CH44" s="63" cm="1">
        <f t="array" ref="CH44">INDEX(Pipes_result_save_V1!$O$2:$O$206,CA44)</f>
        <v>50</v>
      </c>
      <c r="CI44" s="63">
        <v>8.6925643734511754E-2</v>
      </c>
      <c r="CJ44" s="63" cm="1">
        <f t="array" ref="CJ44">INDEX(Pipes_result_save_V1!$R$2:$R$206,CA44)/1000</f>
        <v>0</v>
      </c>
      <c r="CK44" s="63">
        <v>1.0640043839006231E-2</v>
      </c>
      <c r="CL44" s="63" cm="1">
        <f t="array" ref="CL44">INDEX(Pipes_result_save_V1!$L$2:$L$206,CA44)</f>
        <v>0</v>
      </c>
      <c r="CM44" s="63">
        <v>4.3233268380601833E-2</v>
      </c>
      <c r="CN44" s="63" cm="1">
        <f t="array" ref="CN44">INDEX(Pipes_result_save_V1!$M$2:$M$206,CA44)</f>
        <v>0</v>
      </c>
      <c r="CO44" s="63">
        <v>14.168249619375178</v>
      </c>
      <c r="CP44" s="63">
        <f>INDEX('Junctions — junctions'!$I$2:$I$197,MATCH(CD44,'Junctions — junctions'!$B$2:$B$197,0))</f>
        <v>63.134281158447273</v>
      </c>
      <c r="CT44" s="63">
        <f>MATCH(CW44,Pipes_result_save_V1!$H$2:$H$206,0)</f>
        <v>19</v>
      </c>
      <c r="CU44" s="63" t="s">
        <v>276</v>
      </c>
      <c r="CV44" s="63" t="s">
        <v>695</v>
      </c>
      <c r="CW44" s="63" t="s">
        <v>694</v>
      </c>
      <c r="CX44" s="63">
        <v>204.52523865872314</v>
      </c>
      <c r="CY44" s="63" cm="1">
        <f t="array" ref="CY44">INDEX(Pipes_result_save_V1!$C$2:$C$206,'COMPARAISON EPANET'!CT44)</f>
        <v>51.4</v>
      </c>
      <c r="CZ44" s="63">
        <v>250</v>
      </c>
      <c r="DA44" s="63" cm="1">
        <f t="array" ref="DA44">INDEX(Pipes_result_save_V1!$O$2:$O$206,CT44)</f>
        <v>50</v>
      </c>
      <c r="DB44" s="63">
        <v>3.8781924199989834E-3</v>
      </c>
      <c r="DC44" s="63" cm="1">
        <f t="array" ref="DC44">INDEX(Pipes_result_save_V1!$R$2:$R$206,CT44)/1000</f>
        <v>1.935805678367615E-3</v>
      </c>
      <c r="DD44" s="63">
        <v>4.9378679512348646E-3</v>
      </c>
      <c r="DE44" s="63" cm="1">
        <f t="array" ref="DE44">INDEX(Pipes_result_save_V1!$L$2:$L$206,CT44)</f>
        <v>0.93291759490966797</v>
      </c>
      <c r="DF44" s="63">
        <v>0.36759194569811882</v>
      </c>
      <c r="DG44" s="63" cm="1">
        <f t="array" ref="DG44">INDEX(Pipes_result_save_V1!$M$2:$M$206,CT44)</f>
        <v>23.269832611083981</v>
      </c>
      <c r="DH44" s="63">
        <v>17.968551392192136</v>
      </c>
      <c r="DI44" s="63">
        <f>INDEX('Junctions — junctions'!$I$2:$I$197,MATCH(CW44,'Junctions — junctions'!$B$2:$B$197,0))</f>
        <v>66.785812377929688</v>
      </c>
    </row>
    <row r="45" spans="1:132" x14ac:dyDescent="0.25">
      <c r="A45" s="63">
        <f>MATCH(D45,Pipes_result_save_V1!$H$2:$H$206,0)</f>
        <v>75</v>
      </c>
      <c r="B45" s="63" t="s">
        <v>430</v>
      </c>
      <c r="C45" s="63" t="s">
        <v>744</v>
      </c>
      <c r="D45" s="63" t="s">
        <v>745</v>
      </c>
      <c r="E45" s="63">
        <v>334.81623441527665</v>
      </c>
      <c r="F45" s="63" cm="1">
        <f t="array" ref="F45">INDEX(Pipes_result_save_V1!$C$2:$C$206,'COMPARAISON EPANET'!A45)</f>
        <v>156.4</v>
      </c>
      <c r="G45" s="63">
        <v>350</v>
      </c>
      <c r="H45" s="63" cm="1">
        <f t="array" ref="H45">INDEX(Pipes_result_save_V1!$O$2:$O$206,A45)</f>
        <v>150</v>
      </c>
      <c r="I45" s="63">
        <v>2.1117570768017388E-2</v>
      </c>
      <c r="J45" s="63" cm="1">
        <f t="array" ref="J45">INDEX(Pipes_result_save_V1!$R$2:$R$206,A45)/1000</f>
        <v>2.624709701538086E-2</v>
      </c>
      <c r="K45" s="63">
        <v>1.3718227648256656E-2</v>
      </c>
      <c r="L45" s="63" cm="1">
        <f t="array" ref="L45">INDEX(Pipes_result_save_V1!$L$2:$L$206,A45)</f>
        <v>1.3662040233612061</v>
      </c>
      <c r="M45" s="63">
        <v>0.16177772046556005</v>
      </c>
      <c r="N45" s="63" cm="1">
        <f t="array" ref="N45">INDEX(Pipes_result_save_V1!$M$2:$M$206,A45)</f>
        <v>11.3223123550415</v>
      </c>
      <c r="O45" s="63">
        <v>21.117019470280969</v>
      </c>
      <c r="P45" s="63">
        <f>INDEX('Junctions — junctions'!$I$2:$I$197,MATCH(D45,'Junctions — junctions'!$B$2:$B$197,0))</f>
        <v>59.168163299560547</v>
      </c>
      <c r="S45" s="63">
        <f>MATCH(V45,Pipes_result_save_V1!$H$2:$H$206,0)</f>
        <v>74</v>
      </c>
      <c r="T45" s="63" t="s">
        <v>282</v>
      </c>
      <c r="U45" s="63" t="s">
        <v>743</v>
      </c>
      <c r="V45" s="63" t="s">
        <v>744</v>
      </c>
      <c r="W45" s="63">
        <v>192.30085240163368</v>
      </c>
      <c r="X45" s="63" cm="1">
        <f t="array" ref="X45">INDEX(Pipes_result_save_V1!$C$2:$C$206,'COMPARAISON EPANET'!S45)</f>
        <v>156.4</v>
      </c>
      <c r="Y45" s="63">
        <v>200</v>
      </c>
      <c r="Z45" s="63" cm="1">
        <f t="array" ref="Z45">INDEX(Pipes_result_save_V1!$O$2:$O$206,S45)</f>
        <v>150</v>
      </c>
      <c r="AA45" s="63">
        <v>2.1097988070816663E-2</v>
      </c>
      <c r="AB45" s="63" cm="1">
        <f t="array" ref="AB45">INDEX(Pipes_result_save_V1!$R$2:$R$206,S45)/1000</f>
        <v>2.5545314788818361E-2</v>
      </c>
      <c r="AC45" s="63">
        <v>4.1973113634553909E-2</v>
      </c>
      <c r="AD45" s="63" cm="1">
        <f t="array" ref="AD45">INDEX(Pipes_result_save_V1!$L$2:$L$206,S45)</f>
        <v>1.329675078392029</v>
      </c>
      <c r="AE45" s="63">
        <v>0.24527997752358771</v>
      </c>
      <c r="AF45" s="63" cm="1">
        <f t="array" ref="AF45">INDEX(Pipes_result_save_V1!$M$2:$M$206,S45)</f>
        <v>10.7249002456665</v>
      </c>
      <c r="AG45" s="63">
        <v>28.847802788731961</v>
      </c>
      <c r="AH45" s="63">
        <f>INDEX('Junctions — junctions'!$I$2:$I$197,MATCH(V45,'Junctions — junctions'!$B$2:$B$197,0))</f>
        <v>65.167266845703125</v>
      </c>
      <c r="BF45" s="63">
        <f>MATCH(BI45,Pipes_result_save_V1!$H$2:$H$206,0)</f>
        <v>195</v>
      </c>
      <c r="BG45" s="63" t="s">
        <v>425</v>
      </c>
      <c r="BH45" s="63" t="s">
        <v>671</v>
      </c>
      <c r="BI45" s="63" t="s">
        <v>672</v>
      </c>
      <c r="BJ45" s="63">
        <v>390.85566756315819</v>
      </c>
      <c r="BK45" s="63" cm="1">
        <f t="array" ref="BK45">INDEX(Pipes_result_save_V1!$C$2:$C$206,'COMPARAISON EPANET'!BF45)</f>
        <v>156.4</v>
      </c>
      <c r="BL45" s="63">
        <v>400</v>
      </c>
      <c r="BM45" s="63" cm="1">
        <f t="array" ref="BM45">INDEX(Pipes_result_save_V1!$O$2:$O$206,BF45)</f>
        <v>150</v>
      </c>
      <c r="BN45" s="63">
        <v>4.447456650375315E-3</v>
      </c>
      <c r="BO45" s="63" cm="1">
        <f t="array" ref="BO45">INDEX(Pipes_result_save_V1!$R$2:$R$206,BF45)/1000</f>
        <v>1.0760909080505369E-2</v>
      </c>
      <c r="BP45" s="63">
        <v>2.2119834690442334E-3</v>
      </c>
      <c r="BQ45" s="63" cm="1">
        <f t="array" ref="BQ45">INDEX(Pipes_result_save_V1!$L$2:$L$206,BF45)</f>
        <v>0.5601227879524231</v>
      </c>
      <c r="BR45" s="63">
        <v>0.21952928768120558</v>
      </c>
      <c r="BS45" s="63" cm="1">
        <f t="array" ref="BS45">INDEX(Pipes_result_save_V1!$M$2:$M$206,BF45)</f>
        <v>1.903107881546021</v>
      </c>
      <c r="BT45" s="63">
        <v>17.290064087938742</v>
      </c>
      <c r="BU45" s="63">
        <f>INDEX('Junctions — junctions'!$I$2:$I$197,MATCH(BI45,'Junctions — junctions'!$B$2:$B$197,0))</f>
        <v>59.723121643066413</v>
      </c>
      <c r="CT45" s="63">
        <f>MATCH(CW45,Pipes_result_save_V1!$H$2:$H$206,0)</f>
        <v>20</v>
      </c>
      <c r="CU45" s="63" t="s">
        <v>316</v>
      </c>
      <c r="CV45" s="63" t="s">
        <v>696</v>
      </c>
      <c r="CW45" s="63" t="s">
        <v>695</v>
      </c>
      <c r="CX45" s="63">
        <v>204.52523865872314</v>
      </c>
      <c r="CY45" s="63" cm="1">
        <f t="array" ref="CY45">INDEX(Pipes_result_save_V1!$C$2:$C$206,'COMPARAISON EPANET'!CT45)</f>
        <v>51.4</v>
      </c>
      <c r="CZ45" s="63">
        <v>250</v>
      </c>
      <c r="DA45" s="63" cm="1">
        <f t="array" ref="DA45">INDEX(Pipes_result_save_V1!$O$2:$O$206,CT45)</f>
        <v>50</v>
      </c>
      <c r="DB45" s="63">
        <v>6.2940476480171049E-3</v>
      </c>
      <c r="DC45" s="63" cm="1">
        <f t="array" ref="DC45">INDEX(Pipes_result_save_V1!$R$2:$R$206,CT45)/1000</f>
        <v>2.1272979676723481E-4</v>
      </c>
      <c r="DD45" s="63">
        <v>8.0138303619027209E-3</v>
      </c>
      <c r="DE45" s="63" cm="1">
        <f t="array" ref="DE45">INDEX(Pipes_result_save_V1!$L$2:$L$206,CT45)</f>
        <v>0.1025203019380569</v>
      </c>
      <c r="DF45" s="63">
        <v>9.30419447617645E-2</v>
      </c>
      <c r="DG45" s="63" cm="1">
        <f t="array" ref="DG45">INDEX(Pipes_result_save_V1!$M$2:$M$206,CT45)</f>
        <v>0.28104487061500549</v>
      </c>
      <c r="DH45" s="63">
        <v>13.875509447430371</v>
      </c>
      <c r="DI45" s="63">
        <f>INDEX('Junctions — junctions'!$I$2:$I$197,MATCH(CW45,'Junctions — junctions'!$B$2:$B$197,0))</f>
        <v>57.184761047363281</v>
      </c>
    </row>
    <row r="46" spans="1:132" x14ac:dyDescent="0.25">
      <c r="A46" s="63">
        <f>MATCH(D46,Pipes_result_save_V1!$H$2:$H$206,0)</f>
        <v>77</v>
      </c>
      <c r="B46" s="63" t="s">
        <v>252</v>
      </c>
      <c r="C46" s="63" t="s">
        <v>746</v>
      </c>
      <c r="D46" s="63" t="s">
        <v>747</v>
      </c>
      <c r="E46" s="63">
        <v>541.28886056637862</v>
      </c>
      <c r="F46" s="63" cm="1">
        <f t="array" ref="F46">INDEX(Pipes_result_save_V1!$C$2:$C$206,'COMPARAISON EPANET'!A46)</f>
        <v>156.4</v>
      </c>
      <c r="G46" s="63">
        <v>600</v>
      </c>
      <c r="H46" s="63" cm="1">
        <f t="array" ref="H46">INDEX(Pipes_result_save_V1!$O$2:$O$206,A46)</f>
        <v>150</v>
      </c>
      <c r="I46" s="63">
        <v>5.7204614229803994E-3</v>
      </c>
      <c r="J46" s="63" cm="1">
        <f t="array" ref="J46">INDEX(Pipes_result_save_V1!$R$2:$R$206,A46)/1000</f>
        <v>1.17913990020752E-2</v>
      </c>
      <c r="K46" s="63">
        <v>1.4260156820954319E-3</v>
      </c>
      <c r="L46" s="63" cm="1">
        <f t="array" ref="L46">INDEX(Pipes_result_save_V1!$L$2:$L$206,A46)</f>
        <v>0.61376148462295532</v>
      </c>
      <c r="M46" s="63">
        <v>0.24312486288101076</v>
      </c>
      <c r="N46" s="63" cm="1">
        <f t="array" ref="N46">INDEX(Pipes_result_save_V1!$M$2:$M$206,A46)</f>
        <v>2.2850725650787349</v>
      </c>
      <c r="O46" s="63">
        <v>23.873894607399958</v>
      </c>
      <c r="P46" s="63">
        <f>INDEX('Junctions — junctions'!$I$2:$I$197,MATCH(D46,'Junctions — junctions'!$B$2:$B$197,0))</f>
        <v>53.029460906982422</v>
      </c>
      <c r="S46" s="63">
        <f>MATCH(V46,Pipes_result_save_V1!$H$2:$H$206,0)</f>
        <v>75</v>
      </c>
      <c r="T46" s="63" t="s">
        <v>430</v>
      </c>
      <c r="U46" s="63" t="s">
        <v>744</v>
      </c>
      <c r="V46" s="63" t="s">
        <v>745</v>
      </c>
      <c r="W46" s="63">
        <v>192.30085240163368</v>
      </c>
      <c r="X46" s="63" cm="1">
        <f t="array" ref="X46">INDEX(Pipes_result_save_V1!$C$2:$C$206,'COMPARAISON EPANET'!S46)</f>
        <v>156.4</v>
      </c>
      <c r="Y46" s="63">
        <v>200</v>
      </c>
      <c r="Z46" s="63" cm="1">
        <f t="array" ref="Z46">INDEX(Pipes_result_save_V1!$O$2:$O$206,S46)</f>
        <v>150</v>
      </c>
      <c r="AA46" s="63">
        <v>2.3312312747534994E-2</v>
      </c>
      <c r="AB46" s="63" cm="1">
        <f t="array" ref="AB46">INDEX(Pipes_result_save_V1!$R$2:$R$206,S46)/1000</f>
        <v>2.624709701538086E-2</v>
      </c>
      <c r="AC46" s="63">
        <v>4.6378372608429974E-2</v>
      </c>
      <c r="AD46" s="63" cm="1">
        <f t="array" ref="AD46">INDEX(Pipes_result_save_V1!$L$2:$L$206,S46)</f>
        <v>1.3662040233612061</v>
      </c>
      <c r="AE46" s="63">
        <v>2.8242261078771005</v>
      </c>
      <c r="AF46" s="63" cm="1">
        <f t="array" ref="AF46">INDEX(Pipes_result_save_V1!$M$2:$M$206,S46)</f>
        <v>11.3223123550415</v>
      </c>
      <c r="AG46" s="63">
        <v>19.023576680854859</v>
      </c>
      <c r="AH46" s="63">
        <f>INDEX('Junctions — junctions'!$I$2:$I$197,MATCH(V46,'Junctions — junctions'!$B$2:$B$197,0))</f>
        <v>59.168163299560547</v>
      </c>
      <c r="BF46" s="63">
        <f>MATCH(BI46,Pipes_result_save_V1!$H$2:$H$206,0)</f>
        <v>196</v>
      </c>
      <c r="BG46" s="63" t="s">
        <v>183</v>
      </c>
      <c r="BH46" s="63" t="s">
        <v>672</v>
      </c>
      <c r="BI46" s="63" t="s">
        <v>673</v>
      </c>
      <c r="BJ46" s="63">
        <v>390.85566756315819</v>
      </c>
      <c r="BK46" s="63" cm="1">
        <f t="array" ref="BK46">INDEX(Pipes_result_save_V1!$C$2:$C$206,'COMPARAISON EPANET'!BF46)</f>
        <v>108.4</v>
      </c>
      <c r="BL46" s="63">
        <v>400</v>
      </c>
      <c r="BM46" s="63" cm="1">
        <f t="array" ref="BM46">INDEX(Pipes_result_save_V1!$O$2:$O$206,BF46)</f>
        <v>100</v>
      </c>
      <c r="BN46" s="63">
        <v>4.1994560157712427E-3</v>
      </c>
      <c r="BO46" s="63" cm="1">
        <f t="array" ref="BO46">INDEX(Pipes_result_save_V1!$R$2:$R$206,BF46)/1000</f>
        <v>9.3915777206420893E-3</v>
      </c>
      <c r="BP46" s="63">
        <v>2.0886380725218426E-3</v>
      </c>
      <c r="BQ46" s="63" cm="1">
        <f t="array" ref="BQ46">INDEX(Pipes_result_save_V1!$L$2:$L$206,BF46)</f>
        <v>1.017624974250793</v>
      </c>
      <c r="BR46" s="63">
        <v>0.18889729405126993</v>
      </c>
      <c r="BS46" s="63" cm="1">
        <f t="array" ref="BS46">INDEX(Pipes_result_save_V1!$M$2:$M$206,BF46)</f>
        <v>10.240055084228519</v>
      </c>
      <c r="BT46" s="63">
        <v>11.101166793887472</v>
      </c>
      <c r="BU46" s="63">
        <f>INDEX('Junctions — junctions'!$I$2:$I$197,MATCH(BI46,'Junctions — junctions'!$B$2:$B$197,0))</f>
        <v>52.585453033447273</v>
      </c>
      <c r="CT46" s="63">
        <f>MATCH(CW46,Pipes_result_save_V1!$H$2:$H$206,0)</f>
        <v>110</v>
      </c>
      <c r="CU46" s="63" t="s">
        <v>412</v>
      </c>
      <c r="CV46" s="63" t="s">
        <v>775</v>
      </c>
      <c r="CW46" s="63" t="s">
        <v>696</v>
      </c>
      <c r="CX46" s="63">
        <v>204.52523865872314</v>
      </c>
      <c r="CY46" s="63" cm="1">
        <f t="array" ref="CY46">INDEX(Pipes_result_save_V1!$C$2:$C$206,'COMPARAISON EPANET'!CT46)</f>
        <v>51.4</v>
      </c>
      <c r="CZ46" s="63">
        <v>250</v>
      </c>
      <c r="DA46" s="63" cm="1">
        <f t="array" ref="DA46">INDEX(Pipes_result_save_V1!$O$2:$O$206,CT46)</f>
        <v>50</v>
      </c>
      <c r="DB46" s="63">
        <v>4.8204183594252655E-3</v>
      </c>
      <c r="DC46" s="63" cm="1">
        <f t="array" ref="DC46">INDEX(Pipes_result_save_V1!$R$2:$R$206,CT46)/1000</f>
        <v>5.689303874969482E-4</v>
      </c>
      <c r="DD46" s="63">
        <v>6.1375472773876451E-3</v>
      </c>
      <c r="DE46" s="63" cm="1">
        <f t="array" ref="DE46">INDEX(Pipes_result_save_V1!$L$2:$L$206,CT46)</f>
        <v>0.27418306469917297</v>
      </c>
      <c r="DF46" s="63">
        <v>0.1159211115064607</v>
      </c>
      <c r="DG46" s="63" cm="1">
        <f t="array" ref="DG46">INDEX(Pipes_result_save_V1!$M$2:$M$206,CT46)</f>
        <v>2.0100018978118901</v>
      </c>
      <c r="DH46" s="63">
        <v>11.75958833592391</v>
      </c>
      <c r="DI46" s="63">
        <f>INDEX('Junctions — junctions'!$I$2:$I$197,MATCH(CW46,'Junctions — junctions'!$B$2:$B$197,0))</f>
        <v>55.167701721191413</v>
      </c>
    </row>
    <row r="47" spans="1:132" x14ac:dyDescent="0.25">
      <c r="A47" s="63">
        <f>MATCH(D47,Pipes_result_save_V1!$H$2:$H$206,0)</f>
        <v>78</v>
      </c>
      <c r="B47" s="63" t="s">
        <v>253</v>
      </c>
      <c r="C47" s="63" t="s">
        <v>747</v>
      </c>
      <c r="D47" s="63" t="s">
        <v>748</v>
      </c>
      <c r="E47" s="63">
        <v>192.30085240163368</v>
      </c>
      <c r="F47" s="63" cm="1">
        <f t="array" ref="F47">INDEX(Pipes_result_save_V1!$C$2:$C$206,'COMPARAISON EPANET'!A47)</f>
        <v>108.4</v>
      </c>
      <c r="G47" s="63">
        <v>200</v>
      </c>
      <c r="H47" s="63" cm="1">
        <f t="array" ref="H47">INDEX(Pipes_result_save_V1!$O$2:$O$206,A47)</f>
        <v>100</v>
      </c>
      <c r="I47" s="63">
        <v>3.4158959983891946E-3</v>
      </c>
      <c r="J47" s="63" cm="1">
        <f t="array" ref="J47">INDEX(Pipes_result_save_V1!$R$2:$R$206,A47)/1000</f>
        <v>9.6518192291259759E-3</v>
      </c>
      <c r="K47" s="63">
        <v>6.7957091653933158E-3</v>
      </c>
      <c r="L47" s="63" cm="1">
        <f t="array" ref="L47">INDEX(Pipes_result_save_V1!$L$2:$L$206,A47)</f>
        <v>1.045823454856873</v>
      </c>
      <c r="M47" s="63">
        <v>0.52194587745420518</v>
      </c>
      <c r="N47" s="63" cm="1">
        <f t="array" ref="N47">INDEX(Pipes_result_save_V1!$M$2:$M$206,A47)</f>
        <v>10.815413475036619</v>
      </c>
      <c r="O47" s="63">
        <v>23.351948729945754</v>
      </c>
      <c r="P47" s="63">
        <f>INDEX('Junctions — junctions'!$I$2:$I$197,MATCH(D47,'Junctions — junctions'!$B$2:$B$197,0))</f>
        <v>51.463386535644531</v>
      </c>
      <c r="S47" s="63">
        <f>MATCH(V47,Pipes_result_save_V1!$H$2:$H$206,0)</f>
        <v>78</v>
      </c>
      <c r="T47" s="63" t="s">
        <v>253</v>
      </c>
      <c r="U47" s="63" t="s">
        <v>747</v>
      </c>
      <c r="V47" s="63" t="s">
        <v>748</v>
      </c>
      <c r="W47" s="63">
        <v>192.30085240163368</v>
      </c>
      <c r="X47" s="63" cm="1">
        <f t="array" ref="X47">INDEX(Pipes_result_save_V1!$C$2:$C$206,'COMPARAISON EPANET'!S47)</f>
        <v>108.4</v>
      </c>
      <c r="Y47" s="63">
        <v>200</v>
      </c>
      <c r="Z47" s="63" cm="1">
        <f t="array" ref="Z47">INDEX(Pipes_result_save_V1!$O$2:$O$206,S47)</f>
        <v>100</v>
      </c>
      <c r="AA47" s="63">
        <v>5.7178107520392636E-3</v>
      </c>
      <c r="AB47" s="63" cm="1">
        <f t="array" ref="AB47">INDEX(Pipes_result_save_V1!$R$2:$R$206,S47)/1000</f>
        <v>9.6518192291259759E-3</v>
      </c>
      <c r="AC47" s="63">
        <v>1.1375223060637953E-2</v>
      </c>
      <c r="AD47" s="63" cm="1">
        <f t="array" ref="AD47">INDEX(Pipes_result_save_V1!$L$2:$L$206,S47)</f>
        <v>1.045823454856873</v>
      </c>
      <c r="AE47" s="63">
        <v>0.3237951393825354</v>
      </c>
      <c r="AF47" s="63" cm="1">
        <f t="array" ref="AF47">INDEX(Pipes_result_save_V1!$M$2:$M$206,S47)</f>
        <v>10.815413475036619</v>
      </c>
      <c r="AG47" s="63">
        <v>21.699781541472326</v>
      </c>
      <c r="AH47" s="63">
        <f>INDEX('Junctions — junctions'!$I$2:$I$197,MATCH(V47,'Junctions — junctions'!$B$2:$B$197,0))</f>
        <v>51.463386535644531</v>
      </c>
      <c r="BF47" s="63">
        <f>MATCH(BI47,Pipes_result_save_V1!$H$2:$H$206,0)</f>
        <v>197</v>
      </c>
      <c r="BG47" s="63" t="s">
        <v>192</v>
      </c>
      <c r="BH47" s="63" t="s">
        <v>673</v>
      </c>
      <c r="BI47" s="63" t="s">
        <v>674</v>
      </c>
      <c r="BJ47" s="63">
        <v>429.78294032706594</v>
      </c>
      <c r="BK47" s="63" cm="1">
        <f t="array" ref="BK47">INDEX(Pipes_result_save_V1!$C$2:$C$206,'COMPARAISON EPANET'!BF47)</f>
        <v>108.4</v>
      </c>
      <c r="BL47" s="63">
        <v>500</v>
      </c>
      <c r="BM47" s="63" cm="1">
        <f t="array" ref="BM47">INDEX(Pipes_result_save_V1!$O$2:$O$206,BF47)</f>
        <v>100</v>
      </c>
      <c r="BN47" s="63">
        <v>2.3955468716315258E-3</v>
      </c>
      <c r="BO47" s="63" cm="1">
        <f t="array" ref="BO47">INDEX(Pipes_result_save_V1!$R$2:$R$206,BF47)/1000</f>
        <v>8.256173133850098E-3</v>
      </c>
      <c r="BP47" s="63">
        <v>8.7785538052939681E-4</v>
      </c>
      <c r="BQ47" s="63" cm="1">
        <f t="array" ref="BQ47">INDEX(Pipes_result_save_V1!$L$2:$L$206,BF47)</f>
        <v>0.89459812641143799</v>
      </c>
      <c r="BR47" s="63">
        <v>0.10116679388747182</v>
      </c>
      <c r="BS47" s="63" cm="1">
        <f t="array" ref="BS47">INDEX(Pipes_result_save_V1!$M$2:$M$206,BF47)</f>
        <v>7.9137349128723136</v>
      </c>
      <c r="BT47" s="63">
        <v>10</v>
      </c>
      <c r="BU47" s="63">
        <f>INDEX('Junctions — junctions'!$I$2:$I$197,MATCH(BI47,'Junctions — junctions'!$B$2:$B$197,0))</f>
        <v>50.889041900634773</v>
      </c>
      <c r="CT47" s="63">
        <f>MATCH(CW47,Pipes_result_save_V1!$H$2:$H$206,0)</f>
        <v>22</v>
      </c>
      <c r="CU47" s="63" t="s">
        <v>308</v>
      </c>
      <c r="CV47" s="63" t="s">
        <v>698</v>
      </c>
      <c r="CW47" s="63" t="s">
        <v>697</v>
      </c>
      <c r="CX47" s="63">
        <v>204.52523865872314</v>
      </c>
      <c r="CY47" s="63" cm="1">
        <f t="array" ref="CY47">INDEX(Pipes_result_save_V1!$C$2:$C$206,'COMPARAISON EPANET'!CT47)</f>
        <v>100</v>
      </c>
      <c r="CZ47" s="63">
        <v>250</v>
      </c>
      <c r="DA47" s="63" cm="1">
        <f t="array" ref="DA47">INDEX(Pipes_result_save_V1!$O$2:$O$206,CT47)</f>
        <v>100</v>
      </c>
      <c r="DB47" s="63">
        <v>2.7931675626914295E-3</v>
      </c>
      <c r="DC47" s="63" cm="1">
        <f t="array" ref="DC47">INDEX(Pipes_result_save_V1!$R$2:$R$206,CT47)/1000</f>
        <v>3.5129935741424561E-3</v>
      </c>
      <c r="DD47" s="63">
        <v>3.5563713958902598E-3</v>
      </c>
      <c r="DE47" s="63" cm="1">
        <f t="array" ref="DE47">INDEX(Pipes_result_save_V1!$L$2:$L$206,CT47)</f>
        <v>0.44728583097457891</v>
      </c>
      <c r="DF47" s="63">
        <v>0.20133666735332648</v>
      </c>
      <c r="DG47" s="63" cm="1">
        <f t="array" ref="DG47">INDEX(Pipes_result_save_V1!$M$2:$M$206,CT47)</f>
        <v>2.2028639316558838</v>
      </c>
      <c r="DH47" s="63">
        <v>18.558251668570584</v>
      </c>
      <c r="DI47" s="63">
        <f>INDEX('Junctions — junctions'!$I$2:$I$197,MATCH(CW47,'Junctions — junctions'!$B$2:$B$197,0))</f>
        <v>65.715301513671875</v>
      </c>
    </row>
    <row r="48" spans="1:132" x14ac:dyDescent="0.25">
      <c r="A48" s="63">
        <f>MATCH(D48,Pipes_result_save_V1!$H$2:$H$206,0)</f>
        <v>79</v>
      </c>
      <c r="B48" s="63" t="s">
        <v>235</v>
      </c>
      <c r="C48" s="63" t="s">
        <v>748</v>
      </c>
      <c r="D48" s="63" t="s">
        <v>749</v>
      </c>
      <c r="E48" s="63">
        <v>192.30085240163368</v>
      </c>
      <c r="F48" s="63" cm="1">
        <f t="array" ref="F48">INDEX(Pipes_result_save_V1!$C$2:$C$206,'COMPARAISON EPANET'!A48)</f>
        <v>108.4</v>
      </c>
      <c r="G48" s="63">
        <v>200</v>
      </c>
      <c r="H48" s="63" cm="1">
        <f t="array" ref="H48">INDEX(Pipes_result_save_V1!$O$2:$O$206,A48)</f>
        <v>100</v>
      </c>
      <c r="I48" s="63">
        <v>2.8483790914413144E-3</v>
      </c>
      <c r="J48" s="63" cm="1">
        <f t="array" ref="J48">INDEX(Pipes_result_save_V1!$R$2:$R$206,A48)/1000</f>
        <v>8.0884981155395514E-3</v>
      </c>
      <c r="K48" s="63">
        <v>5.6666701525310862E-3</v>
      </c>
      <c r="L48" s="63" cm="1">
        <f t="array" ref="L48">INDEX(Pipes_result_save_V1!$L$2:$L$206,A48)</f>
        <v>0.87642973661422729</v>
      </c>
      <c r="M48" s="63">
        <v>0.46435184959718945</v>
      </c>
      <c r="N48" s="63" cm="1">
        <f t="array" ref="N48">INDEX(Pipes_result_save_V1!$M$2:$M$206,A48)</f>
        <v>7.5955853462219238</v>
      </c>
      <c r="O48" s="63">
        <v>21.887596880348561</v>
      </c>
      <c r="P48" s="63">
        <f>INDEX('Junctions — junctions'!$I$2:$I$197,MATCH(D48,'Junctions — junctions'!$B$2:$B$197,0))</f>
        <v>49.479759216308587</v>
      </c>
      <c r="S48" s="63">
        <f>MATCH(V48,Pipes_result_save_V1!$H$2:$H$206,0)</f>
        <v>79</v>
      </c>
      <c r="T48" s="63" t="s">
        <v>235</v>
      </c>
      <c r="U48" s="63" t="s">
        <v>748</v>
      </c>
      <c r="V48" s="63" t="s">
        <v>749</v>
      </c>
      <c r="W48" s="63">
        <v>192.30085240163368</v>
      </c>
      <c r="X48" s="63" cm="1">
        <f t="array" ref="X48">INDEX(Pipes_result_save_V1!$C$2:$C$206,'COMPARAISON EPANET'!S48)</f>
        <v>108.4</v>
      </c>
      <c r="Y48" s="63">
        <v>200</v>
      </c>
      <c r="Z48" s="63" cm="1">
        <f t="array" ref="Z48">INDEX(Pipes_result_save_V1!$O$2:$O$206,S48)</f>
        <v>100</v>
      </c>
      <c r="AA48" s="63">
        <v>7.4004426018153989E-3</v>
      </c>
      <c r="AB48" s="63" cm="1">
        <f t="array" ref="AB48">INDEX(Pipes_result_save_V1!$R$2:$R$206,S48)/1000</f>
        <v>8.0884981155395514E-3</v>
      </c>
      <c r="AC48" s="63">
        <v>1.4722712764334595E-2</v>
      </c>
      <c r="AD48" s="63" cm="1">
        <f t="array" ref="AD48">INDEX(Pipes_result_save_V1!$L$2:$L$206,S48)</f>
        <v>0.87642973661422729</v>
      </c>
      <c r="AE48" s="63">
        <v>0.28806602055411779</v>
      </c>
      <c r="AF48" s="63" cm="1">
        <f t="array" ref="AF48">INDEX(Pipes_result_save_V1!$M$2:$M$206,S48)</f>
        <v>7.5955853462219238</v>
      </c>
      <c r="AG48" s="63">
        <v>20.411715520918207</v>
      </c>
      <c r="AH48" s="63">
        <f>INDEX('Junctions — junctions'!$I$2:$I$197,MATCH(V48,'Junctions — junctions'!$B$2:$B$197,0))</f>
        <v>49.479759216308587</v>
      </c>
      <c r="BF48" s="63">
        <f>MATCH(BI48,Pipes_result_save_V1!$H$2:$H$206,0)</f>
        <v>198</v>
      </c>
      <c r="BG48" s="63" t="s">
        <v>230</v>
      </c>
      <c r="BH48" s="63" t="s">
        <v>674</v>
      </c>
      <c r="BI48" s="63" t="s">
        <v>675</v>
      </c>
      <c r="BJ48" s="63">
        <v>405.37786100264873</v>
      </c>
      <c r="BK48" s="63" cm="1">
        <f t="array" ref="BK48">INDEX(Pipes_result_save_V1!$C$2:$C$206,'COMPARAISON EPANET'!BF48)</f>
        <v>97.8</v>
      </c>
      <c r="BL48" s="63">
        <v>450</v>
      </c>
      <c r="BM48" s="63" cm="1">
        <f t="array" ref="BM48">INDEX(Pipes_result_save_V1!$O$2:$O$206,BF48)</f>
        <v>100</v>
      </c>
      <c r="BN48" s="63">
        <v>1.5235698901016606E-3</v>
      </c>
      <c r="BO48" s="63" cm="1">
        <f t="array" ref="BO48">INDEX(Pipes_result_save_V1!$R$2:$R$206,BF48)/1000</f>
        <v>7.3318743705749513E-3</v>
      </c>
      <c r="BP48" s="63">
        <v>6.8405075336873259E-4</v>
      </c>
      <c r="BQ48" s="63" cm="1">
        <f t="array" ref="BQ48">INDEX(Pipes_result_save_V1!$L$2:$L$206,BF48)</f>
        <v>0.97598934173583984</v>
      </c>
      <c r="BR48" s="63">
        <v>0.11235058785450108</v>
      </c>
      <c r="BS48" s="63" cm="1">
        <f t="array" ref="BS48">INDEX(Pipes_result_save_V1!$M$2:$M$206,BF48)</f>
        <v>10.804136276245121</v>
      </c>
      <c r="BT48" s="63">
        <v>12.8876494121455</v>
      </c>
      <c r="BU48" s="63">
        <f>INDEX('Junctions — junctions'!$I$2:$I$197,MATCH(BI48,'Junctions — junctions'!$B$2:$B$197,0))</f>
        <v>53.090618133544922</v>
      </c>
      <c r="CT48" s="63">
        <f>MATCH(CW48,Pipes_result_save_V1!$H$2:$H$206,0)</f>
        <v>21</v>
      </c>
      <c r="CU48" s="63" t="s">
        <v>411</v>
      </c>
      <c r="CV48" s="63" t="s">
        <v>697</v>
      </c>
      <c r="CW48" s="63" t="s">
        <v>775</v>
      </c>
      <c r="CX48" s="63">
        <v>204.52523865872314</v>
      </c>
      <c r="CY48" s="63" cm="1">
        <f t="array" ref="CY48">INDEX(Pipes_result_save_V1!$C$2:$C$206,'COMPARAISON EPANET'!CT48)</f>
        <v>51.4</v>
      </c>
      <c r="CZ48" s="63">
        <v>250</v>
      </c>
      <c r="DA48" s="63" cm="1">
        <f t="array" ref="DA48">INDEX(Pipes_result_save_V1!$O$2:$O$206,CT48)</f>
        <v>50</v>
      </c>
      <c r="DB48" s="63">
        <v>3.7213845051180475E-3</v>
      </c>
      <c r="DC48" s="63" cm="1">
        <f t="array" ref="DC48">INDEX(Pipes_result_save_V1!$R$2:$R$206,CT48)/1000</f>
        <v>1.881206631660461E-3</v>
      </c>
      <c r="DD48" s="63">
        <v>4.7382139130809917E-3</v>
      </c>
      <c r="DE48" s="63" cm="1">
        <f t="array" ref="DE48">INDEX(Pipes_result_save_V1!$L$2:$L$206,CT48)</f>
        <v>0.9066048264503479</v>
      </c>
      <c r="DF48" s="63">
        <v>0.23489277857888088</v>
      </c>
      <c r="DG48" s="63" cm="1">
        <f t="array" ref="DG48">INDEX(Pipes_result_save_V1!$M$2:$M$206,CT48)</f>
        <v>21.975688934326168</v>
      </c>
      <c r="DH48" s="63">
        <v>16.323358889991702</v>
      </c>
      <c r="DI48" s="63">
        <f>INDEX('Junctions — junctions'!$I$2:$I$197,MATCH(CW48,'Junctions — junctions'!$B$2:$B$197,0))</f>
        <v>60.320060729980469</v>
      </c>
    </row>
    <row r="49" spans="1:113" x14ac:dyDescent="0.25">
      <c r="A49" s="63">
        <f>MATCH(D49,Pipes_result_save_V1!$H$2:$H$206,0)</f>
        <v>80</v>
      </c>
      <c r="B49" s="63" t="s">
        <v>236</v>
      </c>
      <c r="C49" s="63" t="s">
        <v>749</v>
      </c>
      <c r="D49" s="63" t="s">
        <v>750</v>
      </c>
      <c r="E49" s="63">
        <v>192.30085240163368</v>
      </c>
      <c r="F49" s="63" cm="1">
        <f t="array" ref="F49">INDEX(Pipes_result_save_V1!$C$2:$C$206,'COMPARAISON EPANET'!A49)</f>
        <v>94.4</v>
      </c>
      <c r="G49" s="63">
        <v>200</v>
      </c>
      <c r="H49" s="63" cm="1">
        <f t="array" ref="H49">INDEX(Pipes_result_save_V1!$O$2:$O$206,A49)</f>
        <v>100</v>
      </c>
      <c r="I49" s="63">
        <v>8.2525626731084004E-4</v>
      </c>
      <c r="J49" s="63" cm="1">
        <f t="array" ref="J49">INDEX(Pipes_result_save_V1!$R$2:$R$206,A49)/1000</f>
        <v>6.7591056823730466E-3</v>
      </c>
      <c r="K49" s="63">
        <v>1.6417951782510837E-3</v>
      </c>
      <c r="L49" s="63" cm="1">
        <f t="array" ref="L49">INDEX(Pipes_result_save_V1!$L$2:$L$206,A49)</f>
        <v>0.96572393178939819</v>
      </c>
      <c r="M49" s="63">
        <v>0.37436118107060234</v>
      </c>
      <c r="N49" s="63" cm="1">
        <f t="array" ref="N49">INDEX(Pipes_result_save_V1!$M$2:$M$206,A49)</f>
        <v>11.08889007568359</v>
      </c>
      <c r="O49" s="63">
        <v>23.51323569927796</v>
      </c>
      <c r="P49" s="63">
        <f>INDEX('Junctions — junctions'!$I$2:$I$197,MATCH(D49,'Junctions — junctions'!$B$2:$B$197,0))</f>
        <v>50.323188781738281</v>
      </c>
      <c r="S49" s="63">
        <f>MATCH(V49,Pipes_result_save_V1!$H$2:$H$206,0)</f>
        <v>80</v>
      </c>
      <c r="T49" s="63" t="s">
        <v>236</v>
      </c>
      <c r="U49" s="63" t="s">
        <v>749</v>
      </c>
      <c r="V49" s="63" t="s">
        <v>750</v>
      </c>
      <c r="W49" s="63">
        <v>192.30085240163368</v>
      </c>
      <c r="X49" s="63" cm="1">
        <f t="array" ref="X49">INDEX(Pipes_result_save_V1!$C$2:$C$206,'COMPARAISON EPANET'!S49)</f>
        <v>94.4</v>
      </c>
      <c r="Y49" s="63">
        <v>200</v>
      </c>
      <c r="Z49" s="63" cm="1">
        <f t="array" ref="Z49">INDEX(Pipes_result_save_V1!$O$2:$O$206,S49)</f>
        <v>100</v>
      </c>
      <c r="AA49" s="63">
        <v>2.7450861712727077E-3</v>
      </c>
      <c r="AB49" s="63" cm="1">
        <f t="array" ref="AB49">INDEX(Pipes_result_save_V1!$R$2:$R$206,S49)/1000</f>
        <v>6.7591056823730466E-3</v>
      </c>
      <c r="AC49" s="63">
        <v>5.4611754171407078E-3</v>
      </c>
      <c r="AD49" s="63" cm="1">
        <f t="array" ref="AD49">INDEX(Pipes_result_save_V1!$L$2:$L$206,S49)</f>
        <v>0.96572393178939819</v>
      </c>
      <c r="AE49" s="63">
        <v>0.23223927238471509</v>
      </c>
      <c r="AF49" s="63" cm="1">
        <f t="array" ref="AF49">INDEX(Pipes_result_save_V1!$M$2:$M$206,S49)</f>
        <v>11.08889007568359</v>
      </c>
      <c r="AG49" s="63">
        <v>22.17947624853349</v>
      </c>
      <c r="AH49" s="63">
        <f>INDEX('Junctions — junctions'!$I$2:$I$197,MATCH(V49,'Junctions — junctions'!$B$2:$B$197,0))</f>
        <v>50.323188781738281</v>
      </c>
      <c r="BF49" s="63">
        <f>MATCH(BI49,Pipes_result_save_V1!$H$2:$H$206,0)</f>
        <v>199</v>
      </c>
      <c r="BG49" s="63" t="s">
        <v>215</v>
      </c>
      <c r="BH49" s="63" t="s">
        <v>675</v>
      </c>
      <c r="BI49" s="63" t="s">
        <v>676</v>
      </c>
      <c r="BJ49" s="63">
        <v>363.98362110556707</v>
      </c>
      <c r="BK49" s="63" cm="1">
        <f t="array" ref="BK49">INDEX(Pipes_result_save_V1!$C$2:$C$206,'COMPARAISON EPANET'!BF49)</f>
        <v>94.4</v>
      </c>
      <c r="BL49" s="63">
        <v>400</v>
      </c>
      <c r="BM49" s="63" cm="1">
        <f t="array" ref="BM49">INDEX(Pipes_result_save_V1!$O$2:$O$206,BF49)</f>
        <v>100</v>
      </c>
      <c r="BN49" s="63">
        <v>5.1529138225554685E-4</v>
      </c>
      <c r="BO49" s="63" cm="1">
        <f t="array" ref="BO49">INDEX(Pipes_result_save_V1!$R$2:$R$206,BF49)/1000</f>
        <v>5.4946870803833005E-3</v>
      </c>
      <c r="BP49" s="63">
        <v>2.5628490818320514E-4</v>
      </c>
      <c r="BQ49" s="63" cm="1">
        <f t="array" ref="BQ49">INDEX(Pipes_result_save_V1!$L$2:$L$206,BF49)</f>
        <v>0.78506708145141602</v>
      </c>
      <c r="BR49" s="63">
        <v>0.32416997102445538</v>
      </c>
      <c r="BS49" s="63" cm="1">
        <f t="array" ref="BS49">INDEX(Pipes_result_save_V1!$M$2:$M$206,BF49)</f>
        <v>7.328188419342041</v>
      </c>
      <c r="BT49" s="63">
        <v>11.563479441121043</v>
      </c>
      <c r="BU49" s="63">
        <f>INDEX('Junctions — junctions'!$I$2:$I$197,MATCH(BI49,'Junctions — junctions'!$B$2:$B$197,0))</f>
        <v>50.271759033203118</v>
      </c>
      <c r="CT49" s="63">
        <f>MATCH(CW49,Pipes_result_save_V1!$H$2:$H$206,0)</f>
        <v>23</v>
      </c>
      <c r="CU49" s="63" t="s">
        <v>309</v>
      </c>
      <c r="CV49" s="63" t="s">
        <v>699</v>
      </c>
      <c r="CW49" s="63" t="s">
        <v>698</v>
      </c>
      <c r="CX49" s="63">
        <v>204.52523865872314</v>
      </c>
      <c r="CY49" s="63" cm="1">
        <f t="array" ref="CY49">INDEX(Pipes_result_save_V1!$C$2:$C$206,'COMPARAISON EPANET'!CT49)</f>
        <v>100</v>
      </c>
      <c r="CZ49" s="63">
        <v>250</v>
      </c>
      <c r="DA49" s="63" cm="1">
        <f t="array" ref="DA49">INDEX(Pipes_result_save_V1!$O$2:$O$206,CT49)</f>
        <v>100</v>
      </c>
      <c r="DB49" s="63">
        <v>9.8794479951817143E-7</v>
      </c>
      <c r="DC49" s="63" cm="1">
        <f t="array" ref="DC49">INDEX(Pipes_result_save_V1!$R$2:$R$206,CT49)/1000</f>
        <v>5.4757027626037595E-3</v>
      </c>
      <c r="DD49" s="63">
        <v>1.2578903867619882E-6</v>
      </c>
      <c r="DE49" s="63" cm="1">
        <f t="array" ref="DE49">INDEX(Pipes_result_save_V1!$L$2:$L$206,CT49)</f>
        <v>0.69718432426452637</v>
      </c>
      <c r="DF49" s="63">
        <v>0.32335888999170614</v>
      </c>
      <c r="DG49" s="63" cm="1">
        <f t="array" ref="DG49">INDEX(Pipes_result_save_V1!$M$2:$M$206,CT49)</f>
        <v>5.3519940376281738</v>
      </c>
      <c r="DH49" s="63">
        <v>9.9999999999999964</v>
      </c>
      <c r="DI49" s="63">
        <f>INDEX('Junctions — junctions'!$I$2:$I$197,MATCH(CW49,'Junctions — junctions'!$B$2:$B$197,0))</f>
        <v>58.005420684814453</v>
      </c>
    </row>
    <row r="50" spans="1:113" x14ac:dyDescent="0.25">
      <c r="A50" s="63">
        <f>MATCH(D50,Pipes_result_save_V1!$H$2:$H$206,0)</f>
        <v>82</v>
      </c>
      <c r="B50" s="63" t="s">
        <v>237</v>
      </c>
      <c r="C50" s="63" t="s">
        <v>750</v>
      </c>
      <c r="D50" s="63" t="s">
        <v>751</v>
      </c>
      <c r="E50" s="63">
        <v>192.30085240163368</v>
      </c>
      <c r="F50" s="63" cm="1">
        <f t="array" ref="F50">INDEX(Pipes_result_save_V1!$C$2:$C$206,'COMPARAISON EPANET'!A50)</f>
        <v>94.4</v>
      </c>
      <c r="G50" s="63">
        <v>200</v>
      </c>
      <c r="H50" s="63" cm="1">
        <f t="array" ref="H50">INDEX(Pipes_result_save_V1!$O$2:$O$206,A50)</f>
        <v>100</v>
      </c>
      <c r="I50" s="63">
        <v>5.5067698178077554E-4</v>
      </c>
      <c r="J50" s="63" cm="1">
        <f t="array" ref="J50">INDEX(Pipes_result_save_V1!$R$2:$R$206,A50)/1000</f>
        <v>5.7149901390075681E-3</v>
      </c>
      <c r="K50" s="63">
        <v>1.0955370462167001E-3</v>
      </c>
      <c r="L50" s="63" cm="1">
        <f t="array" ref="L50">INDEX(Pipes_result_save_V1!$L$2:$L$206,A50)</f>
        <v>0.81654340028762817</v>
      </c>
      <c r="M50" s="63">
        <v>0.28437051254401524</v>
      </c>
      <c r="N50" s="63" cm="1">
        <f t="array" ref="N50">INDEX(Pipes_result_save_V1!$M$2:$M$206,A50)</f>
        <v>7.9276022911071777</v>
      </c>
      <c r="O50" s="63">
        <v>19.228865186733945</v>
      </c>
      <c r="P50" s="63">
        <f>INDEX('Junctions — junctions'!$I$2:$I$197,MATCH(D50,'Junctions — junctions'!$B$2:$B$197,0))</f>
        <v>45.696113586425781</v>
      </c>
      <c r="S50" s="63">
        <f>MATCH(V50,Pipes_result_save_V1!$H$2:$H$206,0)</f>
        <v>82</v>
      </c>
      <c r="T50" s="63" t="s">
        <v>237</v>
      </c>
      <c r="U50" s="63" t="s">
        <v>750</v>
      </c>
      <c r="V50" s="63" t="s">
        <v>751</v>
      </c>
      <c r="W50" s="63">
        <v>192.30085240163368</v>
      </c>
      <c r="X50" s="63" cm="1">
        <f t="array" ref="X50">INDEX(Pipes_result_save_V1!$C$2:$C$206,'COMPARAISON EPANET'!S50)</f>
        <v>94.4</v>
      </c>
      <c r="Y50" s="63">
        <v>200</v>
      </c>
      <c r="Z50" s="63" cm="1">
        <f t="array" ref="Z50">INDEX(Pipes_result_save_V1!$O$2:$O$206,S50)</f>
        <v>100</v>
      </c>
      <c r="AA50" s="63">
        <v>4.4884453938549137E-3</v>
      </c>
      <c r="AB50" s="63" cm="1">
        <f t="array" ref="AB50">INDEX(Pipes_result_save_V1!$R$2:$R$206,S50)/1000</f>
        <v>5.7149901390075681E-3</v>
      </c>
      <c r="AC50" s="63">
        <v>8.9294783903757311E-3</v>
      </c>
      <c r="AD50" s="63" cm="1">
        <f t="array" ref="AD50">INDEX(Pipes_result_save_V1!$L$2:$L$206,S50)</f>
        <v>0.81654340028762817</v>
      </c>
      <c r="AE50" s="63">
        <v>0.17641252421531242</v>
      </c>
      <c r="AF50" s="63" cm="1">
        <f t="array" ref="AF50">INDEX(Pipes_result_save_V1!$M$2:$M$206,S50)</f>
        <v>7.9276022911071777</v>
      </c>
      <c r="AG50" s="63">
        <v>18.003063724318174</v>
      </c>
      <c r="AH50" s="63">
        <f>INDEX('Junctions — junctions'!$I$2:$I$197,MATCH(V50,'Junctions — junctions'!$B$2:$B$197,0))</f>
        <v>45.696113586425781</v>
      </c>
      <c r="BF50" s="63">
        <f>MATCH(BI50,Pipes_result_save_V1!$H$2:$H$206,0)</f>
        <v>200</v>
      </c>
      <c r="BG50" s="63" t="s">
        <v>214</v>
      </c>
      <c r="BH50" s="63" t="s">
        <v>676</v>
      </c>
      <c r="BI50" s="63" t="s">
        <v>677</v>
      </c>
      <c r="BJ50" s="63">
        <v>317.23326224587362</v>
      </c>
      <c r="BK50" s="63" cm="1">
        <f t="array" ref="BK50">INDEX(Pipes_result_save_V1!$C$2:$C$206,'COMPARAISON EPANET'!BF50)</f>
        <v>72.8</v>
      </c>
      <c r="BL50" s="63">
        <v>350</v>
      </c>
      <c r="BM50" s="63" cm="1">
        <f t="array" ref="BM50">INDEX(Pipes_result_save_V1!$O$2:$O$206,BF50)</f>
        <v>75</v>
      </c>
      <c r="BN50" s="63">
        <v>2.7954308054694227E-3</v>
      </c>
      <c r="BO50" s="63" cm="1">
        <f t="array" ref="BO50">INDEX(Pipes_result_save_V1!$R$2:$R$206,BF50)/1000</f>
        <v>3.417867422103882E-3</v>
      </c>
      <c r="BP50" s="63">
        <v>1.8159454316808866E-3</v>
      </c>
      <c r="BQ50" s="63" cm="1">
        <f t="array" ref="BQ50">INDEX(Pipes_result_save_V1!$L$2:$L$206,BF50)</f>
        <v>0.82110786437988281</v>
      </c>
      <c r="BR50" s="63">
        <v>0.17462945274308583</v>
      </c>
      <c r="BS50" s="63" cm="1">
        <f t="array" ref="BS50">INDEX(Pipes_result_save_V1!$M$2:$M$206,BF50)</f>
        <v>11.33439922332764</v>
      </c>
      <c r="BT50" s="63">
        <v>15.388849988377958</v>
      </c>
      <c r="BU50" s="63">
        <f>INDEX('Junctions — junctions'!$I$2:$I$197,MATCH(BI50,'Junctions — junctions'!$B$2:$B$197,0))</f>
        <v>52.952438354492188</v>
      </c>
      <c r="CT50" s="63">
        <f>MATCH(CW50,Pipes_result_save_V1!$H$2:$H$206,0)</f>
        <v>25</v>
      </c>
      <c r="CU50" s="63" t="s">
        <v>310</v>
      </c>
      <c r="CV50" s="63" t="s">
        <v>700</v>
      </c>
      <c r="CW50" s="63" t="s">
        <v>699</v>
      </c>
      <c r="CX50" s="63">
        <v>204.52523865872314</v>
      </c>
      <c r="CY50" s="63" cm="1">
        <f t="array" ref="CY50">INDEX(Pipes_result_save_V1!$C$2:$C$206,'COMPARAISON EPANET'!CT50)</f>
        <v>100</v>
      </c>
      <c r="CZ50" s="63">
        <v>250</v>
      </c>
      <c r="DA50" s="63" cm="1">
        <f t="array" ref="DA50">INDEX(Pipes_result_save_V1!$O$2:$O$206,CT50)</f>
        <v>100</v>
      </c>
      <c r="DB50" s="63">
        <v>2.3196888687243922E-3</v>
      </c>
      <c r="DC50" s="63" cm="1">
        <f t="array" ref="DC50">INDEX(Pipes_result_save_V1!$R$2:$R$206,CT50)/1000</f>
        <v>7.6723389625549315E-3</v>
      </c>
      <c r="DD50" s="63">
        <v>2.9535195991418697E-3</v>
      </c>
      <c r="DE50" s="63" cm="1">
        <f t="array" ref="DE50">INDEX(Pipes_result_save_V1!$L$2:$L$206,CT50)</f>
        <v>0.97686725854873657</v>
      </c>
      <c r="DF50" s="63">
        <v>0.26387305645549608</v>
      </c>
      <c r="DG50" s="63" cm="1">
        <f t="array" ref="DG50">INDEX(Pipes_result_save_V1!$M$2:$M$206,CT50)</f>
        <v>10.507328033447269</v>
      </c>
      <c r="DH50" s="63">
        <v>17.736126943544498</v>
      </c>
      <c r="DI50" s="63">
        <f>INDEX('Junctions — junctions'!$I$2:$I$197,MATCH(CW50,'Junctions — junctions'!$B$2:$B$197,0))</f>
        <v>67.141647338867188</v>
      </c>
    </row>
    <row r="51" spans="1:113" x14ac:dyDescent="0.25">
      <c r="A51" s="63">
        <f>MATCH(D51,Pipes_result_save_V1!$H$2:$H$206,0)</f>
        <v>83</v>
      </c>
      <c r="B51" s="63" t="s">
        <v>238</v>
      </c>
      <c r="C51" s="63" t="s">
        <v>751</v>
      </c>
      <c r="D51" s="63" t="s">
        <v>752</v>
      </c>
      <c r="E51" s="63">
        <v>192.30085240163368</v>
      </c>
      <c r="F51" s="63" cm="1">
        <f t="array" ref="F51">INDEX(Pipes_result_save_V1!$C$2:$C$206,'COMPARAISON EPANET'!A51)</f>
        <v>94.4</v>
      </c>
      <c r="G51" s="63">
        <v>200</v>
      </c>
      <c r="H51" s="63" cm="1">
        <f t="array" ref="H51">INDEX(Pipes_result_save_V1!$O$2:$O$206,A51)</f>
        <v>100</v>
      </c>
      <c r="I51" s="63">
        <v>1.0289757278739231E-3</v>
      </c>
      <c r="J51" s="63" cm="1">
        <f t="array" ref="J51">INDEX(Pipes_result_save_V1!$R$2:$R$206,A51)/1000</f>
        <v>4.7564578056335446E-3</v>
      </c>
      <c r="K51" s="63">
        <v>2.0470821676589475E-3</v>
      </c>
      <c r="L51" s="63" cm="1">
        <f t="array" ref="L51">INDEX(Pipes_result_save_V1!$L$2:$L$206,A51)</f>
        <v>0.67959064245223999</v>
      </c>
      <c r="M51" s="63">
        <v>0.32036677995465007</v>
      </c>
      <c r="N51" s="63" cm="1">
        <f t="array" ref="N51">INDEX(Pipes_result_save_V1!$M$2:$M$206,A51)</f>
        <v>5.4913220405578613</v>
      </c>
      <c r="O51" s="63">
        <v>18.908498406779294</v>
      </c>
      <c r="P51" s="63">
        <f>INDEX('Junctions — junctions'!$I$2:$I$197,MATCH(D51,'Junctions — junctions'!$B$2:$B$197,0))</f>
        <v>45.206287384033203</v>
      </c>
      <c r="S51" s="63">
        <f>MATCH(V51,Pipes_result_save_V1!$H$2:$H$206,0)</f>
        <v>83</v>
      </c>
      <c r="T51" s="63" t="s">
        <v>238</v>
      </c>
      <c r="U51" s="63" t="s">
        <v>751</v>
      </c>
      <c r="V51" s="63" t="s">
        <v>752</v>
      </c>
      <c r="W51" s="63">
        <v>192.30085240163368</v>
      </c>
      <c r="X51" s="63" cm="1">
        <f t="array" ref="X51">INDEX(Pipes_result_save_V1!$C$2:$C$206,'COMPARAISON EPANET'!S51)</f>
        <v>94.4</v>
      </c>
      <c r="Y51" s="63">
        <v>200</v>
      </c>
      <c r="Z51" s="63" cm="1">
        <f t="array" ref="Z51">INDEX(Pipes_result_save_V1!$O$2:$O$206,S51)</f>
        <v>100</v>
      </c>
      <c r="AA51" s="63">
        <v>2.378096114085002E-3</v>
      </c>
      <c r="AB51" s="63" cm="1">
        <f t="array" ref="AB51">INDEX(Pipes_result_save_V1!$R$2:$R$206,S51)/1000</f>
        <v>4.7564578056335446E-3</v>
      </c>
      <c r="AC51" s="63">
        <v>4.7310718963031991E-3</v>
      </c>
      <c r="AD51" s="63" cm="1">
        <f t="array" ref="AD51">INDEX(Pipes_result_save_V1!$L$2:$L$206,S51)</f>
        <v>0.67959064245223999</v>
      </c>
      <c r="AE51" s="63">
        <v>0.19874322348307349</v>
      </c>
      <c r="AF51" s="63" cm="1">
        <f t="array" ref="AF51">INDEX(Pipes_result_save_V1!$M$2:$M$206,S51)</f>
        <v>5.4913220405578613</v>
      </c>
      <c r="AG51" s="63">
        <v>17.804320500835104</v>
      </c>
      <c r="AH51" s="63">
        <f>INDEX('Junctions — junctions'!$I$2:$I$197,MATCH(V51,'Junctions — junctions'!$B$2:$B$197,0))</f>
        <v>45.206287384033203</v>
      </c>
      <c r="BF51" s="63">
        <f>MATCH(BI51,Pipes_result_save_V1!$H$2:$H$206,0)</f>
        <v>201</v>
      </c>
      <c r="BG51" s="63" t="s">
        <v>213</v>
      </c>
      <c r="BH51" s="63" t="s">
        <v>677</v>
      </c>
      <c r="BI51" s="63" t="s">
        <v>678</v>
      </c>
      <c r="BJ51" s="63">
        <v>336.71322542832195</v>
      </c>
      <c r="BK51" s="63" cm="1">
        <f t="array" ref="BK51">INDEX(Pipes_result_save_V1!$C$2:$C$206,'COMPARAISON EPANET'!BF51)</f>
        <v>54.6</v>
      </c>
      <c r="BL51" s="63">
        <v>350</v>
      </c>
      <c r="BM51" s="63" cm="1">
        <f t="array" ref="BM51">INDEX(Pipes_result_save_V1!$O$2:$O$206,BF51)</f>
        <v>50</v>
      </c>
      <c r="BN51" s="63">
        <v>4.271707055219111E-3</v>
      </c>
      <c r="BO51" s="63" cm="1">
        <f t="array" ref="BO51">INDEX(Pipes_result_save_V1!$R$2:$R$206,BF51)/1000</f>
        <v>2.0257134437561041E-3</v>
      </c>
      <c r="BP51" s="63">
        <v>2.7749522174638592E-3</v>
      </c>
      <c r="BQ51" s="63" cm="1">
        <f t="array" ref="BQ51">INDEX(Pipes_result_save_V1!$L$2:$L$206,BF51)</f>
        <v>0.86516809463500977</v>
      </c>
      <c r="BR51" s="63">
        <v>0.24028927809755118</v>
      </c>
      <c r="BS51" s="63" cm="1">
        <f t="array" ref="BS51">INDEX(Pipes_result_save_V1!$M$2:$M$206,BF51)</f>
        <v>18.464790344238281</v>
      </c>
      <c r="BT51" s="63">
        <v>13.148560710280407</v>
      </c>
      <c r="BU51" s="63">
        <f>INDEX('Junctions — junctions'!$I$2:$I$197,MATCH(BI51,'Junctions — junctions'!$B$2:$B$197,0))</f>
        <v>48.594482421875</v>
      </c>
      <c r="CT51" s="63">
        <f>MATCH(CW51,Pipes_result_save_V1!$H$2:$H$206,0)</f>
        <v>26</v>
      </c>
      <c r="CU51" s="63" t="s">
        <v>312</v>
      </c>
      <c r="CV51" s="63" t="s">
        <v>701</v>
      </c>
      <c r="CW51" s="63" t="s">
        <v>700</v>
      </c>
      <c r="CX51" s="63">
        <v>204.52212438525402</v>
      </c>
      <c r="CY51" s="63" cm="1">
        <f t="array" ref="CY51">INDEX(Pipes_result_save_V1!$C$2:$C$206,'COMPARAISON EPANET'!CT51)</f>
        <v>108.4</v>
      </c>
      <c r="CZ51" s="63">
        <v>250</v>
      </c>
      <c r="DA51" s="63" cm="1">
        <f t="array" ref="DA51">INDEX(Pipes_result_save_V1!$O$2:$O$206,CT51)</f>
        <v>100</v>
      </c>
      <c r="DB51" s="63">
        <v>4.2142145374784905E-3</v>
      </c>
      <c r="DC51" s="63" cm="1">
        <f t="array" ref="DC51">INDEX(Pipes_result_save_V1!$R$2:$R$206,CT51)/1000</f>
        <v>9.4182367324829094E-3</v>
      </c>
      <c r="DD51" s="63">
        <v>5.3657045991154177E-3</v>
      </c>
      <c r="DE51" s="63" cm="1">
        <f t="array" ref="DE51">INDEX(Pipes_result_save_V1!$L$2:$L$206,CT51)</f>
        <v>1.020513653755188</v>
      </c>
      <c r="DF51" s="63">
        <v>0.20285050391304088</v>
      </c>
      <c r="DG51" s="63" cm="1">
        <f t="array" ref="DG51">INDEX(Pipes_result_save_V1!$M$2:$M$206,CT51)</f>
        <v>10.29825019836426</v>
      </c>
      <c r="DH51" s="63">
        <v>12.533276439631459</v>
      </c>
      <c r="DI51" s="63">
        <f>INDEX('Junctions — junctions'!$I$2:$I$197,MATCH(CW51,'Junctions — junctions'!$B$2:$B$197,0))</f>
        <v>63.958366394042969</v>
      </c>
    </row>
    <row r="52" spans="1:113" x14ac:dyDescent="0.25">
      <c r="A52" s="63">
        <f>MATCH(D52,Pipes_result_save_V1!$H$2:$H$206,0)</f>
        <v>84</v>
      </c>
      <c r="B52" s="63" t="s">
        <v>239</v>
      </c>
      <c r="C52" s="63" t="s">
        <v>752</v>
      </c>
      <c r="D52" s="63" t="s">
        <v>753</v>
      </c>
      <c r="E52" s="63">
        <v>192.30085240163368</v>
      </c>
      <c r="F52" s="63" cm="1">
        <f t="array" ref="F52">INDEX(Pipes_result_save_V1!$C$2:$C$206,'COMPARAISON EPANET'!A52)</f>
        <v>72.8</v>
      </c>
      <c r="G52" s="63">
        <v>200</v>
      </c>
      <c r="H52" s="63" cm="1">
        <f t="array" ref="H52">INDEX(Pipes_result_save_V1!$O$2:$O$206,A52)</f>
        <v>75</v>
      </c>
      <c r="I52" s="63">
        <v>1.8232894456951519E-3</v>
      </c>
      <c r="J52" s="63" cm="1">
        <f t="array" ref="J52">INDEX(Pipes_result_save_V1!$R$2:$R$206,A52)/1000</f>
        <v>3.7408702373504638E-3</v>
      </c>
      <c r="K52" s="63">
        <v>3.6273190996208159E-3</v>
      </c>
      <c r="L52" s="63" cm="1">
        <f t="array" ref="L52">INDEX(Pipes_result_save_V1!$L$2:$L$206,A52)</f>
        <v>0.89870601892471313</v>
      </c>
      <c r="M52" s="63">
        <v>0.32036677995465007</v>
      </c>
      <c r="N52" s="63" cm="1">
        <f t="array" ref="N52">INDEX(Pipes_result_save_V1!$M$2:$M$206,A52)</f>
        <v>13.57794761657715</v>
      </c>
      <c r="O52" s="63">
        <v>20.588131626824644</v>
      </c>
      <c r="P52" s="63">
        <f>INDEX('Junctions — junctions'!$I$2:$I$197,MATCH(D52,'Junctions — junctions'!$B$2:$B$197,0))</f>
        <v>46.000568389892578</v>
      </c>
      <c r="S52" s="63">
        <f>MATCH(V52,Pipes_result_save_V1!$H$2:$H$206,0)</f>
        <v>84</v>
      </c>
      <c r="T52" s="63" t="s">
        <v>239</v>
      </c>
      <c r="U52" s="63" t="s">
        <v>752</v>
      </c>
      <c r="V52" s="63" t="s">
        <v>753</v>
      </c>
      <c r="W52" s="63">
        <v>192.30085240163368</v>
      </c>
      <c r="X52" s="63" cm="1">
        <f t="array" ref="X52">INDEX(Pipes_result_save_V1!$C$2:$C$206,'COMPARAISON EPANET'!S52)</f>
        <v>72.8</v>
      </c>
      <c r="Y52" s="63">
        <v>200</v>
      </c>
      <c r="Z52" s="63" cm="1">
        <f t="array" ref="Z52">INDEX(Pipes_result_save_V1!$O$2:$O$206,S52)</f>
        <v>75</v>
      </c>
      <c r="AA52" s="63">
        <v>5.1559089004894016E-4</v>
      </c>
      <c r="AB52" s="63" cm="1">
        <f t="array" ref="AB52">INDEX(Pipes_result_save_V1!$R$2:$R$206,S52)/1000</f>
        <v>3.7408702373504638E-3</v>
      </c>
      <c r="AC52" s="63">
        <v>1.0257354845554841E-3</v>
      </c>
      <c r="AD52" s="63" cm="1">
        <f t="array" ref="AD52">INDEX(Pipes_result_save_V1!$L$2:$L$206,S52)</f>
        <v>0.89870601892471313</v>
      </c>
      <c r="AE52" s="63">
        <v>0.19874322348307349</v>
      </c>
      <c r="AF52" s="63" cm="1">
        <f t="array" ref="AF52">INDEX(Pipes_result_save_V1!$M$2:$M$206,S52)</f>
        <v>13.57794761657715</v>
      </c>
      <c r="AG52" s="63">
        <v>19.605577277352033</v>
      </c>
      <c r="AH52" s="63">
        <f>INDEX('Junctions — junctions'!$I$2:$I$197,MATCH(V52,'Junctions — junctions'!$B$2:$B$197,0))</f>
        <v>46.000568389892578</v>
      </c>
      <c r="BF52" s="63">
        <f>MATCH(BI52,Pipes_result_save_V1!$H$2:$H$206,0)</f>
        <v>202</v>
      </c>
      <c r="BG52" s="63" t="s">
        <v>212</v>
      </c>
      <c r="BH52" s="63" t="s">
        <v>678</v>
      </c>
      <c r="BI52" s="63" t="s">
        <v>679</v>
      </c>
      <c r="BJ52" s="63">
        <v>336.71322542832195</v>
      </c>
      <c r="BK52" s="63" cm="1">
        <f t="array" ref="BK52">INDEX(Pipes_result_save_V1!$C$2:$C$206,'COMPARAISON EPANET'!BF52)</f>
        <v>51.4</v>
      </c>
      <c r="BL52" s="63">
        <v>350</v>
      </c>
      <c r="BM52" s="63" cm="1">
        <f t="array" ref="BM52">INDEX(Pipes_result_save_V1!$O$2:$O$206,BF52)</f>
        <v>50</v>
      </c>
      <c r="BN52" s="63">
        <v>4.8575364315767448E-3</v>
      </c>
      <c r="BO52" s="63" cm="1">
        <f t="array" ref="BO52">INDEX(Pipes_result_save_V1!$R$2:$R$206,BF52)/1000</f>
        <v>5.0803762674331667E-4</v>
      </c>
      <c r="BP52" s="63">
        <v>3.1555140176914502E-3</v>
      </c>
      <c r="BQ52" s="63" cm="1">
        <f t="array" ref="BQ52">INDEX(Pipes_result_save_V1!$L$2:$L$206,BF52)</f>
        <v>0.2448371946811676</v>
      </c>
      <c r="BR52" s="63">
        <v>0.25906187794892238</v>
      </c>
      <c r="BS52" s="63" cm="1">
        <f t="array" ref="BS52">INDEX(Pipes_result_save_V1!$M$2:$M$206,BF52)</f>
        <v>1.6027151346206669</v>
      </c>
      <c r="BT52" s="63">
        <v>11.889498832331485</v>
      </c>
      <c r="BU52" s="63">
        <f>INDEX('Junctions — junctions'!$I$2:$I$197,MATCH(BI52,'Junctions — junctions'!$B$2:$B$197,0))</f>
        <v>47.373466491699219</v>
      </c>
    </row>
    <row r="53" spans="1:113" x14ac:dyDescent="0.25">
      <c r="A53" s="63">
        <f>MATCH(D53,Pipes_result_save_V1!$H$2:$H$206,0)</f>
        <v>85</v>
      </c>
      <c r="B53" s="63" t="s">
        <v>240</v>
      </c>
      <c r="C53" s="63" t="s">
        <v>753</v>
      </c>
      <c r="D53" s="63" t="s">
        <v>754</v>
      </c>
      <c r="E53" s="63">
        <v>192.30085240163368</v>
      </c>
      <c r="F53" s="63" cm="1">
        <f t="array" ref="F53">INDEX(Pipes_result_save_V1!$C$2:$C$206,'COMPARAISON EPANET'!A53)</f>
        <v>72.8</v>
      </c>
      <c r="G53" s="63">
        <v>200</v>
      </c>
      <c r="H53" s="63" cm="1">
        <f t="array" ref="H53">INDEX(Pipes_result_save_V1!$O$2:$O$206,A53)</f>
        <v>75</v>
      </c>
      <c r="I53" s="63">
        <v>2.7536849631541582E-3</v>
      </c>
      <c r="J53" s="63" cm="1">
        <f t="array" ref="J53">INDEX(Pipes_result_save_V1!$R$2:$R$206,A53)/1000</f>
        <v>2.9763264656066891E-3</v>
      </c>
      <c r="K53" s="63">
        <v>5.4782821700475994E-3</v>
      </c>
      <c r="L53" s="63" cm="1">
        <f t="array" ref="L53">INDEX(Pipes_result_save_V1!$L$2:$L$206,A53)</f>
        <v>0.71503216028213501</v>
      </c>
      <c r="M53" s="63">
        <v>0.16198320334785676</v>
      </c>
      <c r="N53" s="63" cm="1">
        <f t="array" ref="N53">INDEX(Pipes_result_save_V1!$M$2:$M$206,A53)</f>
        <v>8.5950908660888672</v>
      </c>
      <c r="O53" s="63">
        <v>23.426148423476789</v>
      </c>
      <c r="P53" s="63">
        <f>INDEX('Junctions — junctions'!$I$2:$I$197,MATCH(D53,'Junctions — junctions'!$B$2:$B$197,0))</f>
        <v>48.611209869384773</v>
      </c>
      <c r="S53" s="63">
        <f>MATCH(V53,Pipes_result_save_V1!$H$2:$H$206,0)</f>
        <v>85</v>
      </c>
      <c r="T53" s="63" t="s">
        <v>240</v>
      </c>
      <c r="U53" s="63" t="s">
        <v>753</v>
      </c>
      <c r="V53" s="63" t="s">
        <v>754</v>
      </c>
      <c r="W53" s="63">
        <v>192.30085240163368</v>
      </c>
      <c r="X53" s="63" cm="1">
        <f t="array" ref="X53">INDEX(Pipes_result_save_V1!$C$2:$C$206,'COMPARAISON EPANET'!S53)</f>
        <v>72.8</v>
      </c>
      <c r="Y53" s="63">
        <v>200</v>
      </c>
      <c r="Z53" s="63" cm="1">
        <f t="array" ref="Z53">INDEX(Pipes_result_save_V1!$O$2:$O$206,S53)</f>
        <v>75</v>
      </c>
      <c r="AA53" s="63">
        <v>1.8946841983272754E-3</v>
      </c>
      <c r="AB53" s="63" cm="1">
        <f t="array" ref="AB53">INDEX(Pipes_result_save_V1!$R$2:$R$206,S53)/1000</f>
        <v>2.9763264656066891E-3</v>
      </c>
      <c r="AC53" s="63">
        <v>3.7693544470236355E-3</v>
      </c>
      <c r="AD53" s="63" cm="1">
        <f t="array" ref="AD53">INDEX(Pipes_result_save_V1!$L$2:$L$206,S53)</f>
        <v>0.71503216028213501</v>
      </c>
      <c r="AE53" s="63">
        <v>0.10048814670492479</v>
      </c>
      <c r="AF53" s="63" cm="1">
        <f t="array" ref="AF53">INDEX(Pipes_result_save_V1!$M$2:$M$206,S53)</f>
        <v>8.5950908660888672</v>
      </c>
      <c r="AG53" s="63">
        <v>22.505089130647107</v>
      </c>
      <c r="AH53" s="63">
        <f>INDEX('Junctions — junctions'!$I$2:$I$197,MATCH(V53,'Junctions — junctions'!$B$2:$B$197,0))</f>
        <v>48.611209869384773</v>
      </c>
      <c r="BF53" s="63">
        <f>MATCH(BI53,Pipes_result_save_V1!$H$2:$H$206,0)</f>
        <v>109</v>
      </c>
      <c r="BG53" s="63" t="s">
        <v>426</v>
      </c>
      <c r="BH53" s="63" t="s">
        <v>679</v>
      </c>
      <c r="BI53" s="63" t="s">
        <v>774</v>
      </c>
      <c r="BJ53" s="63">
        <v>239.42606534028661</v>
      </c>
      <c r="BK53" s="63" cm="1">
        <f t="array" ref="BK53">INDEX(Pipes_result_save_V1!$C$2:$C$206,'COMPARAISON EPANET'!BF53)</f>
        <v>156.4</v>
      </c>
      <c r="BL53" s="63">
        <v>250</v>
      </c>
      <c r="BM53" s="63" cm="1">
        <f t="array" ref="BM53">INDEX(Pipes_result_save_V1!$O$2:$O$206,BF53)</f>
        <v>150</v>
      </c>
      <c r="BN53" s="63">
        <v>3.9728490816759296E-3</v>
      </c>
      <c r="BO53" s="63" cm="1">
        <f t="array" ref="BO53">INDEX(Pipes_result_save_V1!$R$2:$R$206,BF53)/1000</f>
        <v>9.0544853210449226E-3</v>
      </c>
      <c r="BP53" s="63">
        <v>5.05838855605457E-3</v>
      </c>
      <c r="BQ53" s="63" cm="1">
        <f t="array" ref="BQ53">INDEX(Pipes_result_save_V1!$L$2:$L$206,BF53)</f>
        <v>0.4713006317615509</v>
      </c>
      <c r="BR53" s="63">
        <v>0.50305004365010741</v>
      </c>
      <c r="BS53" s="63" cm="1">
        <f t="array" ref="BS53">INDEX(Pipes_result_save_V1!$M$2:$M$206,BF53)</f>
        <v>1.3474123477935791</v>
      </c>
      <c r="BT53" s="63">
        <v>16.386448788681378</v>
      </c>
      <c r="BU53" s="63">
        <f>INDEX('Junctions — junctions'!$I$2:$I$197,MATCH(BI53,'Junctions — junctions'!$B$2:$B$197,0))</f>
        <v>52.620853424072273</v>
      </c>
    </row>
    <row r="54" spans="1:113" x14ac:dyDescent="0.25">
      <c r="A54" s="63">
        <f>MATCH(D54,Pipes_result_save_V1!$H$2:$H$206,0)</f>
        <v>86</v>
      </c>
      <c r="B54" s="63" t="s">
        <v>241</v>
      </c>
      <c r="C54" s="63" t="s">
        <v>754</v>
      </c>
      <c r="D54" s="63" t="s">
        <v>755</v>
      </c>
      <c r="E54" s="63">
        <v>192.30085240163368</v>
      </c>
      <c r="F54" s="63" cm="1">
        <f t="array" ref="F54">INDEX(Pipes_result_save_V1!$C$2:$C$206,'COMPARAISON EPANET'!A54)</f>
        <v>72.8</v>
      </c>
      <c r="G54" s="63">
        <v>200</v>
      </c>
      <c r="H54" s="63" cm="1">
        <f t="array" ref="H54">INDEX(Pipes_result_save_V1!$O$2:$O$206,A54)</f>
        <v>75</v>
      </c>
      <c r="I54" s="63">
        <v>2.6788435646668452E-3</v>
      </c>
      <c r="J54" s="63" cm="1">
        <f t="array" ref="J54">INDEX(Pipes_result_save_V1!$R$2:$R$206,A54)/1000</f>
        <v>2.4742381572723389E-3</v>
      </c>
      <c r="K54" s="63">
        <v>5.3293899385830224E-3</v>
      </c>
      <c r="L54" s="63" cm="1">
        <f t="array" ref="L54">INDEX(Pipes_result_save_V1!$L$2:$L$206,A54)</f>
        <v>0.59441053867340088</v>
      </c>
      <c r="M54" s="63">
        <v>0.1547839498657298</v>
      </c>
      <c r="N54" s="63" cm="1">
        <f t="array" ref="N54">INDEX(Pipes_result_save_V1!$M$2:$M$206,A54)</f>
        <v>5.939852237701416</v>
      </c>
      <c r="O54" s="63">
        <v>22.271364473611058</v>
      </c>
      <c r="P54" s="63">
        <f>INDEX('Junctions — junctions'!$I$2:$I$197,MATCH(D54,'Junctions — junctions'!$B$2:$B$197,0))</f>
        <v>47.355201721191413</v>
      </c>
      <c r="S54" s="63">
        <f>MATCH(V54,Pipes_result_save_V1!$H$2:$H$206,0)</f>
        <v>86</v>
      </c>
      <c r="T54" s="63" t="s">
        <v>241</v>
      </c>
      <c r="U54" s="63" t="s">
        <v>754</v>
      </c>
      <c r="V54" s="63" t="s">
        <v>755</v>
      </c>
      <c r="W54" s="63">
        <v>192.30085240163368</v>
      </c>
      <c r="X54" s="63" cm="1">
        <f t="array" ref="X54">INDEX(Pipes_result_save_V1!$C$2:$C$206,'COMPARAISON EPANET'!S54)</f>
        <v>72.8</v>
      </c>
      <c r="Y54" s="63">
        <v>200</v>
      </c>
      <c r="Z54" s="63" cm="1">
        <f t="array" ref="Z54">INDEX(Pipes_result_save_V1!$O$2:$O$206,S54)</f>
        <v>75</v>
      </c>
      <c r="AA54" s="63">
        <v>1.6010217641143263E-3</v>
      </c>
      <c r="AB54" s="63" cm="1">
        <f t="array" ref="AB54">INDEX(Pipes_result_save_V1!$R$2:$R$206,S54)/1000</f>
        <v>2.4742381572723389E-3</v>
      </c>
      <c r="AC54" s="63">
        <v>3.1851315969562682E-3</v>
      </c>
      <c r="AD54" s="63" cm="1">
        <f t="array" ref="AD54">INDEX(Pipes_result_save_V1!$L$2:$L$206,S54)</f>
        <v>0.59441053867340088</v>
      </c>
      <c r="AE54" s="63">
        <v>9.6022006851372577E-2</v>
      </c>
      <c r="AF54" s="63" cm="1">
        <f t="array" ref="AF54">INDEX(Pipes_result_save_V1!$M$2:$M$206,S54)</f>
        <v>5.939852237701416</v>
      </c>
      <c r="AG54" s="63">
        <v>21.409067123795737</v>
      </c>
      <c r="AH54" s="63">
        <f>INDEX('Junctions — junctions'!$I$2:$I$197,MATCH(V54,'Junctions — junctions'!$B$2:$B$197,0))</f>
        <v>47.355201721191413</v>
      </c>
      <c r="BF54" s="63">
        <f>MATCH(BI54,Pipes_result_save_V1!$H$2:$H$206,0)</f>
        <v>105</v>
      </c>
      <c r="BG54" s="63" t="s">
        <v>277</v>
      </c>
      <c r="BH54" s="63" t="s">
        <v>773</v>
      </c>
      <c r="BI54" s="63" t="s">
        <v>772</v>
      </c>
      <c r="BJ54" s="63">
        <v>234.04501717339394</v>
      </c>
      <c r="BK54" s="63" cm="1">
        <f t="array" ref="BK54">INDEX(Pipes_result_save_V1!$C$2:$C$206,'COMPARAISON EPANET'!BF54)</f>
        <v>156.4</v>
      </c>
      <c r="BL54" s="63">
        <v>250</v>
      </c>
      <c r="BM54" s="63" cm="1">
        <f t="array" ref="BM54">INDEX(Pipes_result_save_V1!$O$2:$O$206,BF54)</f>
        <v>150</v>
      </c>
      <c r="BN54" s="63">
        <v>8.9717460407450298E-3</v>
      </c>
      <c r="BO54" s="63" cm="1">
        <f t="array" ref="BO54">INDEX(Pipes_result_save_V1!$R$2:$R$206,BF54)/1000</f>
        <v>2.05305347442627E-2</v>
      </c>
      <c r="BP54" s="63">
        <v>1.14231818443977E-2</v>
      </c>
      <c r="BQ54" s="63" cm="1">
        <f t="array" ref="BQ54">INDEX(Pipes_result_save_V1!$L$2:$L$206,BF54)</f>
        <v>1.068647623062134</v>
      </c>
      <c r="BR54" s="63">
        <v>0.8821338523934692</v>
      </c>
      <c r="BS54" s="63" cm="1">
        <f t="array" ref="BS54">INDEX(Pipes_result_save_V1!$M$2:$M$206,BF54)</f>
        <v>6.9274296760559082</v>
      </c>
      <c r="BT54" s="63">
        <v>13.504314936287908</v>
      </c>
      <c r="BU54" s="63">
        <f>INDEX('Junctions — junctions'!$I$2:$I$197,MATCH(BI54,'Junctions — junctions'!$B$2:$B$197,0))</f>
        <v>52.097568511962891</v>
      </c>
    </row>
    <row r="55" spans="1:113" x14ac:dyDescent="0.25">
      <c r="A55" s="63">
        <f>MATCH(D55,Pipes_result_save_V1!$H$2:$H$206,0)</f>
        <v>87</v>
      </c>
      <c r="B55" s="63" t="s">
        <v>243</v>
      </c>
      <c r="C55" s="63" t="s">
        <v>755</v>
      </c>
      <c r="D55" s="63" t="s">
        <v>756</v>
      </c>
      <c r="E55" s="63">
        <v>192.30085240163368</v>
      </c>
      <c r="F55" s="63" cm="1">
        <f t="array" ref="F55">INDEX(Pipes_result_save_V1!$C$2:$C$206,'COMPARAISON EPANET'!A55)</f>
        <v>51.4</v>
      </c>
      <c r="G55" s="63">
        <v>200</v>
      </c>
      <c r="H55" s="63" cm="1">
        <f t="array" ref="H55">INDEX(Pipes_result_save_V1!$O$2:$O$206,A55)</f>
        <v>50</v>
      </c>
      <c r="I55" s="63">
        <v>4.1520211677015337E-3</v>
      </c>
      <c r="J55" s="63" cm="1">
        <f t="array" ref="J55">INDEX(Pipes_result_save_V1!$R$2:$R$206,A55)/1000</f>
        <v>1.8523334264755249E-3</v>
      </c>
      <c r="K55" s="63">
        <v>8.2601836582735302E-3</v>
      </c>
      <c r="L55" s="63" cm="1">
        <f t="array" ref="L55">INDEX(Pipes_result_save_V1!$L$2:$L$206,A55)</f>
        <v>0.89269006252288818</v>
      </c>
      <c r="M55" s="63">
        <v>0.23757536491018991</v>
      </c>
      <c r="N55" s="63" cm="1">
        <f t="array" ref="N55">INDEX(Pipes_result_save_V1!$M$2:$M$206,A55)</f>
        <v>21.306278228759769</v>
      </c>
      <c r="O55" s="63">
        <v>21.033789108700866</v>
      </c>
      <c r="P55" s="63">
        <f>INDEX('Junctions — junctions'!$I$2:$I$197,MATCH(D55,'Junctions — junctions'!$B$2:$B$197,0))</f>
        <v>44.940464019775391</v>
      </c>
      <c r="S55" s="63">
        <f>MATCH(V55,Pipes_result_save_V1!$H$2:$H$206,0)</f>
        <v>87</v>
      </c>
      <c r="T55" s="63" t="s">
        <v>243</v>
      </c>
      <c r="U55" s="63" t="s">
        <v>755</v>
      </c>
      <c r="V55" s="63" t="s">
        <v>756</v>
      </c>
      <c r="W55" s="63">
        <v>192.30085240163368</v>
      </c>
      <c r="X55" s="63" cm="1">
        <f t="array" ref="X55">INDEX(Pipes_result_save_V1!$C$2:$C$206,'COMPARAISON EPANET'!S55)</f>
        <v>51.4</v>
      </c>
      <c r="Y55" s="63">
        <v>200</v>
      </c>
      <c r="Z55" s="63" cm="1">
        <f t="array" ref="Z55">INDEX(Pipes_result_save_V1!$O$2:$O$206,S55)</f>
        <v>50</v>
      </c>
      <c r="AA55" s="63">
        <v>1.4127237990254182E-3</v>
      </c>
      <c r="AB55" s="63" cm="1">
        <f t="array" ref="AB55">INDEX(Pipes_result_save_V1!$R$2:$R$206,S55)/1000</f>
        <v>1.8523334264755249E-3</v>
      </c>
      <c r="AC55" s="63">
        <v>2.8105246979807075E-3</v>
      </c>
      <c r="AD55" s="63" cm="1">
        <f t="array" ref="AD55">INDEX(Pipes_result_save_V1!$L$2:$L$206,S55)</f>
        <v>0.89269006252288818</v>
      </c>
      <c r="AE55" s="63">
        <v>0.14738261516722301</v>
      </c>
      <c r="AF55" s="63" cm="1">
        <f t="array" ref="AF55">INDEX(Pipes_result_save_V1!$M$2:$M$206,S55)</f>
        <v>21.306278228759769</v>
      </c>
      <c r="AG55" s="63">
        <v>20.261684508628512</v>
      </c>
      <c r="AH55" s="63">
        <f>INDEX('Junctions — junctions'!$I$2:$I$197,MATCH(V55,'Junctions — junctions'!$B$2:$B$197,0))</f>
        <v>44.940464019775391</v>
      </c>
      <c r="BF55" s="63">
        <f>MATCH(BI55,Pipes_result_save_V1!$H$2:$H$206,0)</f>
        <v>108</v>
      </c>
      <c r="BG55" s="63" t="s">
        <v>427</v>
      </c>
      <c r="BH55" s="63" t="s">
        <v>774</v>
      </c>
      <c r="BI55" s="63" t="s">
        <v>773</v>
      </c>
      <c r="BJ55" s="63">
        <v>289.95936460307519</v>
      </c>
      <c r="BK55" s="63" cm="1">
        <f t="array" ref="BK55">INDEX(Pipes_result_save_V1!$C$2:$C$206,'COMPARAISON EPANET'!BF55)</f>
        <v>156.4</v>
      </c>
      <c r="BL55" s="63">
        <v>300</v>
      </c>
      <c r="BM55" s="63" cm="1">
        <f t="array" ref="BM55">INDEX(Pipes_result_save_V1!$O$2:$O$206,BF55)</f>
        <v>150</v>
      </c>
      <c r="BN55" s="63">
        <v>5.5868056531075501E-3</v>
      </c>
      <c r="BO55" s="63" cm="1">
        <f t="array" ref="BO55">INDEX(Pipes_result_save_V1!$R$2:$R$206,BF55)/1000</f>
        <v>1.1068543434143071E-2</v>
      </c>
      <c r="BP55" s="63">
        <v>4.9398207543656179E-3</v>
      </c>
      <c r="BQ55" s="63" cm="1">
        <f t="array" ref="BQ55">INDEX(Pipes_result_save_V1!$L$2:$L$206,BF55)</f>
        <v>0.57613563537597656</v>
      </c>
      <c r="BR55" s="63">
        <v>0.38639724054184493</v>
      </c>
      <c r="BS55" s="63" cm="1">
        <f t="array" ref="BS55">INDEX(Pipes_result_save_V1!$M$2:$M$206,BF55)</f>
        <v>2.013487577438354</v>
      </c>
      <c r="BT55" s="63">
        <v>13.117917695746064</v>
      </c>
      <c r="BU55" s="63">
        <f>INDEX('Junctions — junctions'!$I$2:$I$197,MATCH(BI55,'Junctions — junctions'!$B$2:$B$197,0))</f>
        <v>50.962139129638672</v>
      </c>
    </row>
    <row r="56" spans="1:113" x14ac:dyDescent="0.25">
      <c r="A56" s="63">
        <f>MATCH(D56,Pipes_result_save_V1!$H$2:$H$206,0)</f>
        <v>88</v>
      </c>
      <c r="B56" s="63" t="s">
        <v>242</v>
      </c>
      <c r="C56" s="63" t="s">
        <v>756</v>
      </c>
      <c r="D56" s="63" t="s">
        <v>757</v>
      </c>
      <c r="E56" s="63">
        <v>192.30085240163368</v>
      </c>
      <c r="F56" s="63" cm="1">
        <f t="array" ref="F56">INDEX(Pipes_result_save_V1!$C$2:$C$206,'COMPARAISON EPANET'!A56)</f>
        <v>51.4</v>
      </c>
      <c r="G56" s="63">
        <v>200</v>
      </c>
      <c r="H56" s="63" cm="1">
        <f t="array" ref="H56">INDEX(Pipes_result_save_V1!$O$2:$O$206,A56)</f>
        <v>50</v>
      </c>
      <c r="I56" s="63">
        <v>4.6472620234922542E-3</v>
      </c>
      <c r="J56" s="63" cm="1">
        <f t="array" ref="J56">INDEX(Pipes_result_save_V1!$R$2:$R$206,A56)/1000</f>
        <v>1.201900839805603E-3</v>
      </c>
      <c r="K56" s="63">
        <v>9.2454340360254503E-3</v>
      </c>
      <c r="L56" s="63" cm="1">
        <f t="array" ref="L56">INDEX(Pipes_result_save_V1!$L$2:$L$206,A56)</f>
        <v>0.57922881841659546</v>
      </c>
      <c r="M56" s="63">
        <v>0.17278208357104724</v>
      </c>
      <c r="N56" s="63" cm="1">
        <f t="array" ref="N56">INDEX(Pipes_result_save_V1!$M$2:$M$206,A56)</f>
        <v>8.9702978134155273</v>
      </c>
      <c r="O56" s="63">
        <v>16.861007025129823</v>
      </c>
      <c r="P56" s="63">
        <f>INDEX('Junctions — junctions'!$I$2:$I$197,MATCH(D56,'Junctions — junctions'!$B$2:$B$197,0))</f>
        <v>40.508995056152337</v>
      </c>
      <c r="S56" s="63">
        <f>MATCH(V56,Pipes_result_save_V1!$H$2:$H$206,0)</f>
        <v>88</v>
      </c>
      <c r="T56" s="63" t="s">
        <v>242</v>
      </c>
      <c r="U56" s="63" t="s">
        <v>756</v>
      </c>
      <c r="V56" s="63" t="s">
        <v>757</v>
      </c>
      <c r="W56" s="63">
        <v>192.30085240163368</v>
      </c>
      <c r="X56" s="63" cm="1">
        <f t="array" ref="X56">INDEX(Pipes_result_save_V1!$C$2:$C$206,'COMPARAISON EPANET'!S56)</f>
        <v>51.4</v>
      </c>
      <c r="Y56" s="63">
        <v>200</v>
      </c>
      <c r="Z56" s="63" cm="1">
        <f t="array" ref="Z56">INDEX(Pipes_result_save_V1!$O$2:$O$206,S56)</f>
        <v>50</v>
      </c>
      <c r="AA56" s="63">
        <v>1.1848186181109639E-3</v>
      </c>
      <c r="AB56" s="63" cm="1">
        <f t="array" ref="AB56">INDEX(Pipes_result_save_V1!$R$2:$R$206,S56)/1000</f>
        <v>1.201900839805603E-3</v>
      </c>
      <c r="AC56" s="63">
        <v>2.3571217467458568E-3</v>
      </c>
      <c r="AD56" s="63" cm="1">
        <f t="array" ref="AD56">INDEX(Pipes_result_save_V1!$L$2:$L$206,S56)</f>
        <v>0.57922881841659546</v>
      </c>
      <c r="AE56" s="63">
        <v>0.10718735648525311</v>
      </c>
      <c r="AF56" s="63" cm="1">
        <f t="array" ref="AF56">INDEX(Pipes_result_save_V1!$M$2:$M$206,S56)</f>
        <v>8.9702978134155273</v>
      </c>
      <c r="AG56" s="63">
        <v>16.154497152143257</v>
      </c>
      <c r="AH56" s="63">
        <f>INDEX('Junctions — junctions'!$I$2:$I$197,MATCH(V56,'Junctions — junctions'!$B$2:$B$197,0))</f>
        <v>40.508995056152337</v>
      </c>
    </row>
    <row r="57" spans="1:113" x14ac:dyDescent="0.25">
      <c r="A57" s="63">
        <f>MATCH(D57,Pipes_result_save_V1!$H$2:$H$206,0)</f>
        <v>89</v>
      </c>
      <c r="B57" s="63" t="s">
        <v>244</v>
      </c>
      <c r="C57" s="63" t="s">
        <v>757</v>
      </c>
      <c r="D57" s="63" t="s">
        <v>758</v>
      </c>
      <c r="E57" s="63">
        <v>192.30085240163368</v>
      </c>
      <c r="F57" s="63" cm="1">
        <f t="array" ref="F57">INDEX(Pipes_result_save_V1!$C$2:$C$206,'COMPARAISON EPANET'!A57)</f>
        <v>51.4</v>
      </c>
      <c r="G57" s="63">
        <v>200</v>
      </c>
      <c r="H57" s="63" cm="1">
        <f t="array" ref="H57">INDEX(Pipes_result_save_V1!$O$2:$O$206,A57)</f>
        <v>50</v>
      </c>
      <c r="I57" s="63">
        <v>5.5280134627942725E-3</v>
      </c>
      <c r="J57" s="63" cm="1">
        <f t="array" ref="J57">INDEX(Pipes_result_save_V1!$R$2:$R$206,A57)/1000</f>
        <v>8.1962907314300532E-4</v>
      </c>
      <c r="K57" s="63">
        <v>1.0997633351028172E-2</v>
      </c>
      <c r="L57" s="63" cm="1">
        <f t="array" ref="L57">INDEX(Pipes_result_save_V1!$L$2:$L$206,A57)</f>
        <v>0.395001620054245</v>
      </c>
      <c r="M57" s="63">
        <v>6.8392908080206191E-2</v>
      </c>
      <c r="N57" s="63" cm="1">
        <f t="array" ref="N57">INDEX(Pipes_result_save_V1!$M$2:$M$206,A57)</f>
        <v>4.1715936660766602</v>
      </c>
      <c r="O57" s="63">
        <v>18.792614117049617</v>
      </c>
      <c r="P57" s="63">
        <f>INDEX('Junctions — junctions'!$I$2:$I$197,MATCH(D57,'Junctions — junctions'!$B$2:$B$197,0))</f>
        <v>42.429733276367188</v>
      </c>
      <c r="S57" s="63">
        <f>MATCH(V57,Pipes_result_save_V1!$H$2:$H$206,0)</f>
        <v>89</v>
      </c>
      <c r="T57" s="63" t="s">
        <v>244</v>
      </c>
      <c r="U57" s="63" t="s">
        <v>757</v>
      </c>
      <c r="V57" s="63" t="s">
        <v>758</v>
      </c>
      <c r="W57" s="63">
        <v>192.30085240163368</v>
      </c>
      <c r="X57" s="63" cm="1">
        <f t="array" ref="X57">INDEX(Pipes_result_save_V1!$C$2:$C$206,'COMPARAISON EPANET'!S57)</f>
        <v>51.4</v>
      </c>
      <c r="Y57" s="63">
        <v>200</v>
      </c>
      <c r="Z57" s="63" cm="1">
        <f t="array" ref="Z57">INDEX(Pipes_result_save_V1!$O$2:$O$206,S57)</f>
        <v>50</v>
      </c>
      <c r="AA57" s="63">
        <v>2.6710731842888259E-5</v>
      </c>
      <c r="AB57" s="63" cm="1">
        <f t="array" ref="AB57">INDEX(Pipes_result_save_V1!$R$2:$R$206,S57)/1000</f>
        <v>8.1962907314300532E-4</v>
      </c>
      <c r="AC57" s="63">
        <v>5.3139312579971964E-5</v>
      </c>
      <c r="AD57" s="63" cm="1">
        <f t="array" ref="AD57">INDEX(Pipes_result_save_V1!$L$2:$L$206,S57)</f>
        <v>0.395001620054245</v>
      </c>
      <c r="AE57" s="63">
        <v>4.2428328608746027E-2</v>
      </c>
      <c r="AF57" s="63" cm="1">
        <f t="array" ref="AF57">INDEX(Pipes_result_save_V1!$M$2:$M$206,S57)</f>
        <v>4.1715936660766602</v>
      </c>
      <c r="AG57" s="63">
        <v>18.112068823534514</v>
      </c>
      <c r="AH57" s="63">
        <f>INDEX('Junctions — junctions'!$I$2:$I$197,MATCH(V57,'Junctions — junctions'!$B$2:$B$197,0))</f>
        <v>42.429733276367188</v>
      </c>
    </row>
    <row r="58" spans="1:113" x14ac:dyDescent="0.25">
      <c r="A58" s="63">
        <f>MATCH(D58,Pipes_result_save_V1!$H$2:$H$206,0)</f>
        <v>90</v>
      </c>
      <c r="B58" s="63" t="s">
        <v>245</v>
      </c>
      <c r="C58" s="63" t="s">
        <v>758</v>
      </c>
      <c r="D58" s="63" t="s">
        <v>759</v>
      </c>
      <c r="E58" s="63">
        <v>192.30085240163368</v>
      </c>
      <c r="F58" s="63" cm="1">
        <f t="array" ref="F58">INDEX(Pipes_result_save_V1!$C$2:$C$206,'COMPARAISON EPANET'!A58)</f>
        <v>51.4</v>
      </c>
      <c r="G58" s="63">
        <v>200</v>
      </c>
      <c r="H58" s="63" cm="1">
        <f t="array" ref="H58">INDEX(Pipes_result_save_V1!$O$2:$O$206,A58)</f>
        <v>50</v>
      </c>
      <c r="I58" s="63">
        <v>5.5123198527817444E-3</v>
      </c>
      <c r="J58" s="63" cm="1">
        <f t="array" ref="J58">INDEX(Pipes_result_save_V1!$R$2:$R$206,A58)/1000</f>
        <v>3.803018033504486E-4</v>
      </c>
      <c r="K58" s="63">
        <v>1.0966411905922542E-2</v>
      </c>
      <c r="L58" s="63" cm="1">
        <f t="array" ref="L58">INDEX(Pipes_result_save_V1!$L$2:$L$206,A58)</f>
        <v>0.18327781558036799</v>
      </c>
      <c r="M58" s="63">
        <v>0.20877835098168207</v>
      </c>
      <c r="N58" s="63" cm="1">
        <f t="array" ref="N58">INDEX(Pipes_result_save_V1!$M$2:$M$206,A58)</f>
        <v>0.89813637733459473</v>
      </c>
      <c r="O58" s="63">
        <v>17.583835766067935</v>
      </c>
      <c r="P58" s="63">
        <f>INDEX('Junctions — junctions'!$I$2:$I$197,MATCH(D58,'Junctions — junctions'!$B$2:$B$197,0))</f>
        <v>41.377193450927727</v>
      </c>
      <c r="S58" s="63">
        <f>MATCH(V58,Pipes_result_save_V1!$H$2:$H$206,0)</f>
        <v>90</v>
      </c>
      <c r="T58" s="63" t="s">
        <v>245</v>
      </c>
      <c r="U58" s="63" t="s">
        <v>758</v>
      </c>
      <c r="V58" s="63" t="s">
        <v>759</v>
      </c>
      <c r="W58" s="63">
        <v>192.30085240163368</v>
      </c>
      <c r="X58" s="63" cm="1">
        <f t="array" ref="X58">INDEX(Pipes_result_save_V1!$C$2:$C$206,'COMPARAISON EPANET'!S58)</f>
        <v>51.4</v>
      </c>
      <c r="Y58" s="63">
        <v>200</v>
      </c>
      <c r="Z58" s="63" cm="1">
        <f t="array" ref="Z58">INDEX(Pipes_result_save_V1!$O$2:$O$206,S58)</f>
        <v>50</v>
      </c>
      <c r="AA58" s="63">
        <v>3.2236682525302956E-3</v>
      </c>
      <c r="AB58" s="63" cm="1">
        <f t="array" ref="AB58">INDEX(Pipes_result_save_V1!$R$2:$R$206,S58)/1000</f>
        <v>3.803018033504486E-4</v>
      </c>
      <c r="AC58" s="63">
        <v>6.4132842159826103E-3</v>
      </c>
      <c r="AD58" s="63" cm="1">
        <f t="array" ref="AD58">INDEX(Pipes_result_save_V1!$L$2:$L$206,S58)</f>
        <v>0.18327781558036799</v>
      </c>
      <c r="AE58" s="63">
        <v>0.12951805575301417</v>
      </c>
      <c r="AF58" s="63" cm="1">
        <f t="array" ref="AF58">INDEX(Pipes_result_save_V1!$M$2:$M$206,S58)</f>
        <v>0.89813637733459473</v>
      </c>
      <c r="AG58" s="63">
        <v>16.982550767781497</v>
      </c>
      <c r="AH58" s="63">
        <f>INDEX('Junctions — junctions'!$I$2:$I$197,MATCH(V58,'Junctions — junctions'!$B$2:$B$197,0))</f>
        <v>41.377193450927727</v>
      </c>
    </row>
    <row r="59" spans="1:113" x14ac:dyDescent="0.25">
      <c r="A59" s="63">
        <f>MATCH(D59,Pipes_result_save_V1!$H$2:$H$206,0)</f>
        <v>91</v>
      </c>
      <c r="B59" s="63" t="s">
        <v>246</v>
      </c>
      <c r="C59" s="63" t="s">
        <v>759</v>
      </c>
      <c r="D59" s="63" t="s">
        <v>760</v>
      </c>
      <c r="E59" s="63">
        <v>192.30085240163368</v>
      </c>
      <c r="F59" s="63" cm="1">
        <f t="array" ref="F59">INDEX(Pipes_result_save_V1!$C$2:$C$206,'COMPARAISON EPANET'!A59)</f>
        <v>53.4</v>
      </c>
      <c r="G59" s="63">
        <v>200</v>
      </c>
      <c r="H59" s="63" cm="1">
        <f t="array" ref="H59">INDEX(Pipes_result_save_V1!$O$2:$O$206,A59)</f>
        <v>50</v>
      </c>
      <c r="I59" s="63">
        <v>4.8093251469635348E-3</v>
      </c>
      <c r="J59" s="63" cm="1">
        <f t="array" ref="J59">INDEX(Pipes_result_save_V1!$R$2:$R$206,A59)/1000</f>
        <v>4.2988613247871396E-4</v>
      </c>
      <c r="K59" s="63">
        <v>9.5678483759425309E-3</v>
      </c>
      <c r="L59" s="63" cm="1">
        <f t="array" ref="L59">INDEX(Pipes_result_save_V1!$L$2:$L$206,A59)</f>
        <v>0.19194583594799039</v>
      </c>
      <c r="M59" s="63">
        <v>0.30236864624933263</v>
      </c>
      <c r="N59" s="63" cm="1">
        <f t="array" ref="N59">INDEX(Pipes_result_save_V1!$M$2:$M$206,A59)</f>
        <v>0.93621087074279785</v>
      </c>
      <c r="O59" s="63">
        <v>19.281467119818601</v>
      </c>
      <c r="P59" s="63">
        <f>INDEX('Junctions — junctions'!$I$2:$I$197,MATCH(D59,'Junctions — junctions'!$B$2:$B$197,0))</f>
        <v>43.455833435058587</v>
      </c>
      <c r="S59" s="63">
        <f>MATCH(V59,Pipes_result_save_V1!$H$2:$H$206,0)</f>
        <v>91</v>
      </c>
      <c r="T59" s="63" t="s">
        <v>246</v>
      </c>
      <c r="U59" s="63" t="s">
        <v>759</v>
      </c>
      <c r="V59" s="63" t="s">
        <v>760</v>
      </c>
      <c r="W59" s="63">
        <v>192.30085240163368</v>
      </c>
      <c r="X59" s="63" cm="1">
        <f t="array" ref="X59">INDEX(Pipes_result_save_V1!$C$2:$C$206,'COMPARAISON EPANET'!S59)</f>
        <v>53.4</v>
      </c>
      <c r="Y59" s="63">
        <v>200</v>
      </c>
      <c r="Z59" s="63" cm="1">
        <f t="array" ref="Z59">INDEX(Pipes_result_save_V1!$O$2:$O$206,S59)</f>
        <v>50</v>
      </c>
      <c r="AA59" s="63">
        <v>3.0381313582258647E-3</v>
      </c>
      <c r="AB59" s="63" cm="1">
        <f t="array" ref="AB59">INDEX(Pipes_result_save_V1!$R$2:$R$206,S59)/1000</f>
        <v>4.2988613247871396E-4</v>
      </c>
      <c r="AC59" s="63">
        <v>6.0441702928017522E-3</v>
      </c>
      <c r="AD59" s="63" cm="1">
        <f t="array" ref="AD59">INDEX(Pipes_result_save_V1!$L$2:$L$206,S59)</f>
        <v>0.19194583594799039</v>
      </c>
      <c r="AE59" s="63">
        <v>0.18757787384919294</v>
      </c>
      <c r="AF59" s="63" cm="1">
        <f t="array" ref="AF59">INDEX(Pipes_result_save_V1!$M$2:$M$206,S59)</f>
        <v>0.93621087074279785</v>
      </c>
      <c r="AG59" s="63">
        <v>18.794972893932304</v>
      </c>
      <c r="AH59" s="63">
        <f>INDEX('Junctions — junctions'!$I$2:$I$197,MATCH(V59,'Junctions — junctions'!$B$2:$B$197,0))</f>
        <v>43.455833435058587</v>
      </c>
    </row>
    <row r="60" spans="1:113" x14ac:dyDescent="0.25">
      <c r="A60" s="63">
        <f>MATCH(D60,Pipes_result_save_V1!$H$2:$H$206,0)</f>
        <v>93</v>
      </c>
      <c r="B60" s="63" t="s">
        <v>247</v>
      </c>
      <c r="C60" s="63" t="s">
        <v>760</v>
      </c>
      <c r="D60" s="63" t="s">
        <v>761</v>
      </c>
      <c r="E60" s="63">
        <v>192.30085240163368</v>
      </c>
      <c r="F60" s="63" cm="1">
        <f t="array" ref="F60">INDEX(Pipes_result_save_V1!$C$2:$C$206,'COMPARAISON EPANET'!A60)</f>
        <v>72.8</v>
      </c>
      <c r="G60" s="63">
        <v>200</v>
      </c>
      <c r="H60" s="63" cm="1">
        <f t="array" ref="H60">INDEX(Pipes_result_save_V1!$O$2:$O$206,A60)</f>
        <v>75</v>
      </c>
      <c r="I60" s="63">
        <v>4.7892963499085606E-3</v>
      </c>
      <c r="J60" s="63" cm="1">
        <f t="array" ref="J60">INDEX(Pipes_result_save_V1!$R$2:$R$206,A60)/1000</f>
        <v>1.508234858512878E-3</v>
      </c>
      <c r="K60" s="63">
        <v>9.5280023502489868E-3</v>
      </c>
      <c r="L60" s="63" cm="1">
        <f t="array" ref="L60">INDEX(Pipes_result_save_V1!$L$2:$L$206,A60)</f>
        <v>0.36233809590339661</v>
      </c>
      <c r="M60" s="63">
        <v>0.37796080781166586</v>
      </c>
      <c r="N60" s="63" cm="1">
        <f t="array" ref="N60">INDEX(Pipes_result_save_V1!$M$2:$M$206,A60)</f>
        <v>2.207109689712524</v>
      </c>
      <c r="O60" s="63">
        <v>21.903506312006932</v>
      </c>
      <c r="P60" s="63">
        <f>INDEX('Junctions — junctions'!$I$2:$I$197,MATCH(D60,'Junctions — junctions'!$B$2:$B$197,0))</f>
        <v>46.687801361083977</v>
      </c>
      <c r="S60" s="63">
        <f>MATCH(V60,Pipes_result_save_V1!$H$2:$H$206,0)</f>
        <v>93</v>
      </c>
      <c r="T60" s="63" t="s">
        <v>247</v>
      </c>
      <c r="U60" s="63" t="s">
        <v>760</v>
      </c>
      <c r="V60" s="63" t="s">
        <v>761</v>
      </c>
      <c r="W60" s="63">
        <v>192.30085240163368</v>
      </c>
      <c r="X60" s="63" cm="1">
        <f t="array" ref="X60">INDEX(Pipes_result_save_V1!$C$2:$C$206,'COMPARAISON EPANET'!S60)</f>
        <v>72.8</v>
      </c>
      <c r="Y60" s="63">
        <v>200</v>
      </c>
      <c r="Z60" s="63" cm="1">
        <f t="array" ref="Z60">INDEX(Pipes_result_save_V1!$O$2:$O$206,S60)</f>
        <v>75</v>
      </c>
      <c r="AA60" s="63">
        <v>7.4587637964537126E-4</v>
      </c>
      <c r="AB60" s="63" cm="1">
        <f t="array" ref="AB60">INDEX(Pipes_result_save_V1!$R$2:$R$206,S60)/1000</f>
        <v>1.508234858512878E-3</v>
      </c>
      <c r="AC60" s="63">
        <v>1.4838739094505998E-3</v>
      </c>
      <c r="AD60" s="63" cm="1">
        <f t="array" ref="AD60">INDEX(Pipes_result_save_V1!$L$2:$L$206,S60)</f>
        <v>0.36233809590339661</v>
      </c>
      <c r="AE60" s="63">
        <v>0.23447234231149122</v>
      </c>
      <c r="AF60" s="63" cm="1">
        <f t="array" ref="AF60">INDEX(Pipes_result_save_V1!$M$2:$M$206,S60)</f>
        <v>2.207109689712524</v>
      </c>
      <c r="AG60" s="63">
        <v>21.560500551620812</v>
      </c>
      <c r="AH60" s="63">
        <f>INDEX('Junctions — junctions'!$I$2:$I$197,MATCH(V60,'Junctions — junctions'!$B$2:$B$197,0))</f>
        <v>46.687801361083977</v>
      </c>
    </row>
    <row r="61" spans="1:113" x14ac:dyDescent="0.25">
      <c r="A61" s="63">
        <f>MATCH(D61,Pipes_result_save_V1!$H$2:$H$206,0)</f>
        <v>94</v>
      </c>
      <c r="B61" s="63" t="s">
        <v>248</v>
      </c>
      <c r="C61" s="63" t="s">
        <v>761</v>
      </c>
      <c r="D61" s="63" t="s">
        <v>762</v>
      </c>
      <c r="E61" s="63">
        <v>192.30085240163368</v>
      </c>
      <c r="F61" s="63" cm="1">
        <f t="array" ref="F61">INDEX(Pipes_result_save_V1!$C$2:$C$206,'COMPARAISON EPANET'!A61)</f>
        <v>77.2</v>
      </c>
      <c r="G61" s="63">
        <v>200</v>
      </c>
      <c r="H61" s="63" cm="1">
        <f t="array" ref="H61">INDEX(Pipes_result_save_V1!$O$2:$O$206,A61)</f>
        <v>75</v>
      </c>
      <c r="I61" s="63">
        <v>2.5181153393386497E-3</v>
      </c>
      <c r="J61" s="63" cm="1">
        <f t="array" ref="J61">INDEX(Pipes_result_save_V1!$R$2:$R$206,A61)/1000</f>
        <v>2.6208169460296632E-3</v>
      </c>
      <c r="K61" s="63">
        <v>5.0096312941408936E-3</v>
      </c>
      <c r="L61" s="63" cm="1">
        <f t="array" ref="L61">INDEX(Pipes_result_save_V1!$L$2:$L$206,A61)</f>
        <v>0.55989921092987061</v>
      </c>
      <c r="M61" s="63">
        <v>0.32396640669571353</v>
      </c>
      <c r="N61" s="63" cm="1">
        <f t="array" ref="N61">INDEX(Pipes_result_save_V1!$M$2:$M$206,A61)</f>
        <v>4.8735637664794922</v>
      </c>
      <c r="O61" s="63">
        <v>20.579539905311222</v>
      </c>
      <c r="P61" s="63">
        <f>INDEX('Junctions — junctions'!$I$2:$I$197,MATCH(D61,'Junctions — junctions'!$B$2:$B$197,0))</f>
        <v>46.126911163330078</v>
      </c>
      <c r="S61" s="63">
        <f>MATCH(V61,Pipes_result_save_V1!$H$2:$H$206,0)</f>
        <v>94</v>
      </c>
      <c r="T61" s="63" t="s">
        <v>248</v>
      </c>
      <c r="U61" s="63" t="s">
        <v>761</v>
      </c>
      <c r="V61" s="63" t="s">
        <v>762</v>
      </c>
      <c r="W61" s="63">
        <v>192.30085240163368</v>
      </c>
      <c r="X61" s="63" cm="1">
        <f t="array" ref="X61">INDEX(Pipes_result_save_V1!$C$2:$C$206,'COMPARAISON EPANET'!S61)</f>
        <v>77.2</v>
      </c>
      <c r="Y61" s="63">
        <v>200</v>
      </c>
      <c r="Z61" s="63" cm="1">
        <f t="array" ref="Z61">INDEX(Pipes_result_save_V1!$O$2:$O$206,S61)</f>
        <v>75</v>
      </c>
      <c r="AA61" s="63">
        <v>2.957262738368556E-4</v>
      </c>
      <c r="AB61" s="63" cm="1">
        <f t="array" ref="AB61">INDEX(Pipes_result_save_V1!$R$2:$R$206,S61)/1000</f>
        <v>2.6208169460296632E-3</v>
      </c>
      <c r="AC61" s="63">
        <v>5.8832872854103755E-4</v>
      </c>
      <c r="AD61" s="63" cm="1">
        <f t="array" ref="AD61">INDEX(Pipes_result_save_V1!$L$2:$L$206,S61)</f>
        <v>0.55989921092987061</v>
      </c>
      <c r="AE61" s="63">
        <v>0.20097629340984957</v>
      </c>
      <c r="AF61" s="63" cm="1">
        <f t="array" ref="AF61">INDEX(Pipes_result_save_V1!$M$2:$M$206,S61)</f>
        <v>4.8735637664794922</v>
      </c>
      <c r="AG61" s="63">
        <v>20.359524258210961</v>
      </c>
      <c r="AH61" s="63">
        <f>INDEX('Junctions — junctions'!$I$2:$I$197,MATCH(V61,'Junctions — junctions'!$B$2:$B$197,0))</f>
        <v>46.126911163330078</v>
      </c>
    </row>
    <row r="62" spans="1:113" x14ac:dyDescent="0.25">
      <c r="A62" s="63">
        <f>MATCH(D62,Pipes_result_save_V1!$H$2:$H$206,0)</f>
        <v>95</v>
      </c>
      <c r="B62" s="63" t="s">
        <v>249</v>
      </c>
      <c r="C62" s="63" t="s">
        <v>762</v>
      </c>
      <c r="D62" s="63" t="s">
        <v>763</v>
      </c>
      <c r="E62" s="63">
        <v>192.30085240163368</v>
      </c>
      <c r="F62" s="63" cm="1">
        <f t="array" ref="F62">INDEX(Pipes_result_save_V1!$C$2:$C$206,'COMPARAISON EPANET'!A62)</f>
        <v>94.4</v>
      </c>
      <c r="G62" s="63">
        <v>200</v>
      </c>
      <c r="H62" s="63" cm="1">
        <f t="array" ref="H62">INDEX(Pipes_result_save_V1!$O$2:$O$206,A62)</f>
        <v>100</v>
      </c>
      <c r="I62" s="63">
        <v>2.715960240648236E-3</v>
      </c>
      <c r="J62" s="63" cm="1">
        <f t="array" ref="J62">INDEX(Pipes_result_save_V1!$R$2:$R$206,A62)/1000</f>
        <v>3.5793492794036872E-3</v>
      </c>
      <c r="K62" s="63">
        <v>5.4032312192527545E-3</v>
      </c>
      <c r="L62" s="63" cm="1">
        <f t="array" ref="L62">INDEX(Pipes_result_save_V1!$L$2:$L$206,A62)</f>
        <v>0.51140838861465454</v>
      </c>
      <c r="M62" s="63">
        <v>0.28077088580295173</v>
      </c>
      <c r="N62" s="63" cm="1">
        <f t="array" ref="N62">INDEX(Pipes_result_save_V1!$M$2:$M$206,A62)</f>
        <v>3.1096739768981929</v>
      </c>
      <c r="O62" s="63">
        <v>15.298769019508269</v>
      </c>
      <c r="P62" s="63">
        <f>INDEX('Junctions — junctions'!$I$2:$I$197,MATCH(D62,'Junctions — junctions'!$B$2:$B$197,0))</f>
        <v>41.370395660400391</v>
      </c>
      <c r="S62" s="63">
        <f>MATCH(V62,Pipes_result_save_V1!$H$2:$H$206,0)</f>
        <v>95</v>
      </c>
      <c r="T62" s="63" t="s">
        <v>249</v>
      </c>
      <c r="U62" s="63" t="s">
        <v>762</v>
      </c>
      <c r="V62" s="63" t="s">
        <v>763</v>
      </c>
      <c r="W62" s="63">
        <v>192.30085240163368</v>
      </c>
      <c r="X62" s="63" cm="1">
        <f t="array" ref="X62">INDEX(Pipes_result_save_V1!$C$2:$C$206,'COMPARAISON EPANET'!S62)</f>
        <v>94.4</v>
      </c>
      <c r="Y62" s="63">
        <v>200</v>
      </c>
      <c r="Z62" s="63" cm="1">
        <f t="array" ref="Z62">INDEX(Pipes_result_save_V1!$O$2:$O$206,S62)</f>
        <v>100</v>
      </c>
      <c r="AA62" s="63">
        <v>3.5155096728153672E-3</v>
      </c>
      <c r="AB62" s="63" cm="1">
        <f t="array" ref="AB62">INDEX(Pipes_result_save_V1!$R$2:$R$206,S62)/1000</f>
        <v>3.5793492794036872E-3</v>
      </c>
      <c r="AC62" s="63">
        <v>6.9938842739492163E-3</v>
      </c>
      <c r="AD62" s="63" cm="1">
        <f t="array" ref="AD62">INDEX(Pipes_result_save_V1!$L$2:$L$206,S62)</f>
        <v>0.51140838861465454</v>
      </c>
      <c r="AE62" s="63">
        <v>0.17417945428853632</v>
      </c>
      <c r="AF62" s="63" cm="1">
        <f t="array" ref="AF62">INDEX(Pipes_result_save_V1!$M$2:$M$206,S62)</f>
        <v>3.1096739768981929</v>
      </c>
      <c r="AG62" s="63">
        <v>15.185344803922426</v>
      </c>
      <c r="AH62" s="63">
        <f>INDEX('Junctions — junctions'!$I$2:$I$197,MATCH(V62,'Junctions — junctions'!$B$2:$B$197,0))</f>
        <v>41.370395660400391</v>
      </c>
    </row>
    <row r="63" spans="1:113" x14ac:dyDescent="0.25">
      <c r="A63" s="63">
        <f>MATCH(D63,Pipes_result_save_V1!$H$2:$H$206,0)</f>
        <v>96</v>
      </c>
      <c r="B63" s="63" t="s">
        <v>250</v>
      </c>
      <c r="C63" s="63" t="s">
        <v>763</v>
      </c>
      <c r="D63" s="63" t="s">
        <v>764</v>
      </c>
      <c r="E63" s="63">
        <v>192.30085240163368</v>
      </c>
      <c r="F63" s="63" cm="1">
        <f t="array" ref="F63">INDEX(Pipes_result_save_V1!$C$2:$C$206,'COMPARAISON EPANET'!A63)</f>
        <v>94.4</v>
      </c>
      <c r="G63" s="63">
        <v>200</v>
      </c>
      <c r="H63" s="63" cm="1">
        <f t="array" ref="H63">INDEX(Pipes_result_save_V1!$O$2:$O$206,A63)</f>
        <v>100</v>
      </c>
      <c r="I63" s="63">
        <v>9.5932252197964644E-4</v>
      </c>
      <c r="J63" s="63" cm="1">
        <f t="array" ref="J63">INDEX(Pipes_result_save_V1!$R$2:$R$206,A63)/1000</f>
        <v>4.4979424476623547E-3</v>
      </c>
      <c r="K63" s="63">
        <v>1.9085115174055517E-3</v>
      </c>
      <c r="L63" s="63" cm="1">
        <f t="array" ref="L63">INDEX(Pipes_result_save_V1!$L$2:$L$206,A63)</f>
        <v>0.6426546573638916</v>
      </c>
      <c r="M63" s="63">
        <v>0.29876901950826917</v>
      </c>
      <c r="N63" s="63" cm="1">
        <f t="array" ref="N63">INDEX(Pipes_result_save_V1!$M$2:$M$206,A63)</f>
        <v>4.9106364250183114</v>
      </c>
      <c r="O63" s="63">
        <v>10</v>
      </c>
      <c r="P63" s="63">
        <f>INDEX('Junctions — junctions'!$I$2:$I$197,MATCH(D63,'Junctions — junctions'!$B$2:$B$197,0))</f>
        <v>36.779945373535163</v>
      </c>
      <c r="S63" s="63">
        <f>MATCH(V63,Pipes_result_save_V1!$H$2:$H$206,0)</f>
        <v>96</v>
      </c>
      <c r="T63" s="63" t="s">
        <v>250</v>
      </c>
      <c r="U63" s="63" t="s">
        <v>763</v>
      </c>
      <c r="V63" s="63" t="s">
        <v>764</v>
      </c>
      <c r="W63" s="63">
        <v>192.30085240163368</v>
      </c>
      <c r="X63" s="63" cm="1">
        <f t="array" ref="X63">INDEX(Pipes_result_save_V1!$C$2:$C$206,'COMPARAISON EPANET'!S63)</f>
        <v>94.4</v>
      </c>
      <c r="Y63" s="63">
        <v>200</v>
      </c>
      <c r="Z63" s="63" cm="1">
        <f t="array" ref="Z63">INDEX(Pipes_result_save_V1!$O$2:$O$206,S63)</f>
        <v>100</v>
      </c>
      <c r="AA63" s="63">
        <v>1.8616910468267048E-3</v>
      </c>
      <c r="AB63" s="63" cm="1">
        <f t="array" ref="AB63">INDEX(Pipes_result_save_V1!$R$2:$R$206,S63)/1000</f>
        <v>4.4979424476623547E-3</v>
      </c>
      <c r="AC63" s="63">
        <v>3.7037166576549406E-3</v>
      </c>
      <c r="AD63" s="63" cm="1">
        <f t="array" ref="AD63">INDEX(Pipes_result_save_V1!$L$2:$L$206,S63)</f>
        <v>0.6426546573638916</v>
      </c>
      <c r="AE63" s="63">
        <v>0.18534480392241684</v>
      </c>
      <c r="AF63" s="63" cm="1">
        <f t="array" ref="AF63">INDEX(Pipes_result_save_V1!$M$2:$M$206,S63)</f>
        <v>4.9106364250183114</v>
      </c>
      <c r="AG63" s="63">
        <v>10.000000000000007</v>
      </c>
      <c r="AH63" s="63">
        <f>INDEX('Junctions — junctions'!$I$2:$I$197,MATCH(V63,'Junctions — junctions'!$B$2:$B$197,0))</f>
        <v>36.779945373535163</v>
      </c>
    </row>
    <row r="64" spans="1:113" x14ac:dyDescent="0.25">
      <c r="A64" s="63">
        <f>MATCH(D64,Pipes_result_save_V1!$H$2:$H$206,0)</f>
        <v>97</v>
      </c>
      <c r="B64" s="63" t="s">
        <v>432</v>
      </c>
      <c r="C64" s="63" t="s">
        <v>764</v>
      </c>
      <c r="D64" s="63" t="s">
        <v>765</v>
      </c>
      <c r="E64" s="63">
        <v>192.30085240163368</v>
      </c>
      <c r="F64" s="63" cm="1">
        <f t="array" ref="F64">INDEX(Pipes_result_save_V1!$C$2:$C$206,'COMPARAISON EPANET'!A64)</f>
        <v>100</v>
      </c>
      <c r="G64" s="63">
        <v>200</v>
      </c>
      <c r="H64" s="63" cm="1">
        <f t="array" ref="H64">INDEX(Pipes_result_save_V1!$O$2:$O$206,A64)</f>
        <v>100</v>
      </c>
      <c r="I64" s="63">
        <v>4.5938434527676136E-4</v>
      </c>
      <c r="J64" s="63" cm="1">
        <f t="array" ref="J64">INDEX(Pipes_result_save_V1!$R$2:$R$206,A64)/1000</f>
        <v>5.9699740409851071E-3</v>
      </c>
      <c r="K64" s="63">
        <v>9.1391611662288189E-4</v>
      </c>
      <c r="L64" s="63" cm="1">
        <f t="array" ref="L64">INDEX(Pipes_result_save_V1!$L$2:$L$206,A64)</f>
        <v>0.7601165771484375</v>
      </c>
      <c r="M64" s="63">
        <v>0.62993467968610972</v>
      </c>
      <c r="N64" s="63" cm="1">
        <f t="array" ref="N64">INDEX(Pipes_result_save_V1!$M$2:$M$206,A64)</f>
        <v>6.3618330955505371</v>
      </c>
      <c r="O64" s="63">
        <v>17.370065320313891</v>
      </c>
      <c r="P64" s="63">
        <f>INDEX('Junctions — junctions'!$I$2:$I$197,MATCH(D64,'Junctions — junctions'!$B$2:$B$197,0))</f>
        <v>45.891990661621087</v>
      </c>
      <c r="S64" s="63">
        <f>MATCH(V64,Pipes_result_save_V1!$H$2:$H$206,0)</f>
        <v>97</v>
      </c>
      <c r="T64" s="63" t="s">
        <v>432</v>
      </c>
      <c r="U64" s="63" t="s">
        <v>764</v>
      </c>
      <c r="V64" s="63" t="s">
        <v>765</v>
      </c>
      <c r="W64" s="63">
        <v>192.30085240163368</v>
      </c>
      <c r="X64" s="63" cm="1">
        <f t="array" ref="X64">INDEX(Pipes_result_save_V1!$C$2:$C$206,'COMPARAISON EPANET'!S64)</f>
        <v>100</v>
      </c>
      <c r="Y64" s="63">
        <v>200</v>
      </c>
      <c r="Z64" s="63" cm="1">
        <f t="array" ref="Z64">INDEX(Pipes_result_save_V1!$O$2:$O$206,S64)</f>
        <v>100</v>
      </c>
      <c r="AA64" s="63">
        <v>4.8548107601697425E-3</v>
      </c>
      <c r="AB64" s="63" cm="1">
        <f t="array" ref="AB64">INDEX(Pipes_result_save_V1!$R$2:$R$206,S64)/1000</f>
        <v>5.9699740409851071E-3</v>
      </c>
      <c r="AC64" s="63">
        <v>9.6583391282092056E-3</v>
      </c>
      <c r="AD64" s="63" cm="1">
        <f t="array" ref="AD64">INDEX(Pipes_result_save_V1!$L$2:$L$206,S64)</f>
        <v>0.7601165771484375</v>
      </c>
      <c r="AE64" s="63">
        <v>0.39078723718581865</v>
      </c>
      <c r="AF64" s="63" cm="1">
        <f t="array" ref="AF64">INDEX(Pipes_result_save_V1!$M$2:$M$206,S64)</f>
        <v>6.3618330955505371</v>
      </c>
      <c r="AG64" s="63">
        <v>17.609212762814188</v>
      </c>
      <c r="AH64" s="63">
        <f>INDEX('Junctions — junctions'!$I$2:$I$197,MATCH(V64,'Junctions — junctions'!$B$2:$B$197,0))</f>
        <v>45.891990661621087</v>
      </c>
    </row>
    <row r="65" spans="1:34" x14ac:dyDescent="0.25">
      <c r="A65" s="63">
        <f>MATCH(D65,Pipes_result_save_V1!$H$2:$H$206,0)</f>
        <v>98</v>
      </c>
      <c r="B65" s="63" t="s">
        <v>269</v>
      </c>
      <c r="C65" s="63" t="s">
        <v>765</v>
      </c>
      <c r="D65" s="63" t="s">
        <v>766</v>
      </c>
      <c r="E65" s="63">
        <v>192.30085240163368</v>
      </c>
      <c r="F65" s="63" cm="1">
        <f t="array" ref="F65">INDEX(Pipes_result_save_V1!$C$2:$C$206,'COMPARAISON EPANET'!A65)</f>
        <v>108.4</v>
      </c>
      <c r="G65" s="63">
        <v>200</v>
      </c>
      <c r="H65" s="63" cm="1">
        <f t="array" ref="H65">INDEX(Pipes_result_save_V1!$O$2:$O$206,A65)</f>
        <v>100</v>
      </c>
      <c r="I65" s="63">
        <v>2.2238442319289578E-3</v>
      </c>
      <c r="J65" s="63" cm="1">
        <f t="array" ref="J65">INDEX(Pipes_result_save_V1!$R$2:$R$206,A65)/1000</f>
        <v>7.9326825141906743E-3</v>
      </c>
      <c r="K65" s="63">
        <v>4.4241975272236618E-3</v>
      </c>
      <c r="L65" s="63" cm="1">
        <f t="array" ref="L65">INDEX(Pipes_result_save_V1!$L$2:$L$206,A65)</f>
        <v>0.85954630374908447</v>
      </c>
      <c r="M65" s="63">
        <v>0.60833691923972877</v>
      </c>
      <c r="N65" s="63" cm="1">
        <f t="array" ref="N65">INDEX(Pipes_result_save_V1!$M$2:$M$206,A65)</f>
        <v>7.3057327270507813</v>
      </c>
      <c r="O65" s="63">
        <v>18.761728401074159</v>
      </c>
      <c r="P65" s="63">
        <f>INDEX('Junctions — junctions'!$I$2:$I$197,MATCH(D65,'Junctions — junctions'!$B$2:$B$197,0))</f>
        <v>49.126663208007813</v>
      </c>
      <c r="S65" s="63">
        <f>MATCH(V65,Pipes_result_save_V1!$H$2:$H$206,0)</f>
        <v>98</v>
      </c>
      <c r="T65" s="63" t="s">
        <v>269</v>
      </c>
      <c r="U65" s="63" t="s">
        <v>765</v>
      </c>
      <c r="V65" s="63" t="s">
        <v>766</v>
      </c>
      <c r="W65" s="63">
        <v>192.30085240163368</v>
      </c>
      <c r="X65" s="63" cm="1">
        <f t="array" ref="X65">INDEX(Pipes_result_save_V1!$C$2:$C$206,'COMPARAISON EPANET'!S65)</f>
        <v>108.4</v>
      </c>
      <c r="Y65" s="63">
        <v>200</v>
      </c>
      <c r="Z65" s="63" cm="1">
        <f t="array" ref="Z65">INDEX(Pipes_result_save_V1!$O$2:$O$206,S65)</f>
        <v>100</v>
      </c>
      <c r="AA65" s="63">
        <v>5.3979373016433685E-3</v>
      </c>
      <c r="AB65" s="63" cm="1">
        <f t="array" ref="AB65">INDEX(Pipes_result_save_V1!$R$2:$R$206,S65)/1000</f>
        <v>7.9326825141906743E-3</v>
      </c>
      <c r="AC65" s="63">
        <v>1.0738855050708367E-2</v>
      </c>
      <c r="AD65" s="63" cm="1">
        <f t="array" ref="AD65">INDEX(Pipes_result_save_V1!$L$2:$L$206,S65)</f>
        <v>0.85954630374908447</v>
      </c>
      <c r="AE65" s="63">
        <v>0.37738881762516202</v>
      </c>
      <c r="AF65" s="63" cm="1">
        <f t="array" ref="AF65">INDEX(Pipes_result_save_V1!$M$2:$M$206,S65)</f>
        <v>7.3057327270507813</v>
      </c>
      <c r="AG65" s="63">
        <v>19.231823945189028</v>
      </c>
      <c r="AH65" s="63">
        <f>INDEX('Junctions — junctions'!$I$2:$I$197,MATCH(V65,'Junctions — junctions'!$B$2:$B$197,0))</f>
        <v>49.126663208007813</v>
      </c>
    </row>
    <row r="66" spans="1:34" x14ac:dyDescent="0.25">
      <c r="A66" s="63">
        <f>MATCH(D66,Pipes_result_save_V1!$H$2:$H$206,0)</f>
        <v>99</v>
      </c>
      <c r="B66" s="63" t="s">
        <v>270</v>
      </c>
      <c r="C66" s="63" t="s">
        <v>766</v>
      </c>
      <c r="D66" s="63" t="s">
        <v>767</v>
      </c>
      <c r="E66" s="63">
        <v>192.30085240163368</v>
      </c>
      <c r="F66" s="63" cm="1">
        <f t="array" ref="F66">INDEX(Pipes_result_save_V1!$C$2:$C$206,'COMPARAISON EPANET'!A66)</f>
        <v>156.4</v>
      </c>
      <c r="G66" s="63">
        <v>200</v>
      </c>
      <c r="H66" s="63" cm="1">
        <f t="array" ref="H66">INDEX(Pipes_result_save_V1!$O$2:$O$206,A66)</f>
        <v>150</v>
      </c>
      <c r="I66" s="63">
        <v>3.8880935052790343E-3</v>
      </c>
      <c r="J66" s="63" cm="1">
        <f t="array" ref="J66">INDEX(Pipes_result_save_V1!$R$2:$R$206,A66)/1000</f>
        <v>9.8611583709716805E-3</v>
      </c>
      <c r="K66" s="63">
        <v>7.735116257108157E-3</v>
      </c>
      <c r="L66" s="63" cm="1">
        <f t="array" ref="L66">INDEX(Pipes_result_save_V1!$L$2:$L$206,A66)</f>
        <v>0.51328927278518677</v>
      </c>
      <c r="M66" s="63">
        <v>0.60833691923972877</v>
      </c>
      <c r="N66" s="63" cm="1">
        <f t="array" ref="N66">INDEX(Pipes_result_save_V1!$M$2:$M$206,A66)</f>
        <v>1.598186135292053</v>
      </c>
      <c r="O66" s="63">
        <v>16.153391481834433</v>
      </c>
      <c r="P66" s="63">
        <f>INDEX('Junctions — junctions'!$I$2:$I$197,MATCH(D66,'Junctions — junctions'!$B$2:$B$197,0))</f>
        <v>47.396915435791023</v>
      </c>
      <c r="S66" s="63">
        <f>MATCH(V66,Pipes_result_save_V1!$H$2:$H$206,0)</f>
        <v>99</v>
      </c>
      <c r="T66" s="63" t="s">
        <v>270</v>
      </c>
      <c r="U66" s="63" t="s">
        <v>766</v>
      </c>
      <c r="V66" s="63" t="s">
        <v>767</v>
      </c>
      <c r="W66" s="63">
        <v>192.30085240163368</v>
      </c>
      <c r="X66" s="63" cm="1">
        <f t="array" ref="X66">INDEX(Pipes_result_save_V1!$C$2:$C$206,'COMPARAISON EPANET'!S66)</f>
        <v>156.4</v>
      </c>
      <c r="Y66" s="63">
        <v>200</v>
      </c>
      <c r="Z66" s="63" cm="1">
        <f t="array" ref="Z66">INDEX(Pipes_result_save_V1!$O$2:$O$206,S66)</f>
        <v>150</v>
      </c>
      <c r="AA66" s="63">
        <v>5.2083728670454053E-3</v>
      </c>
      <c r="AB66" s="63" cm="1">
        <f t="array" ref="AB66">INDEX(Pipes_result_save_V1!$R$2:$R$206,S66)/1000</f>
        <v>9.8611583709716805E-3</v>
      </c>
      <c r="AC66" s="63">
        <v>1.036172859069979E-2</v>
      </c>
      <c r="AD66" s="63" cm="1">
        <f t="array" ref="AD66">INDEX(Pipes_result_save_V1!$L$2:$L$206,S66)</f>
        <v>0.51328927278518677</v>
      </c>
      <c r="AE66" s="63">
        <v>0.37738881762516202</v>
      </c>
      <c r="AF66" s="63" cm="1">
        <f t="array" ref="AF66">INDEX(Pipes_result_save_V1!$M$2:$M$206,S66)</f>
        <v>1.598186135292053</v>
      </c>
      <c r="AG66" s="63">
        <v>16.854435127563868</v>
      </c>
      <c r="AH66" s="63">
        <f>INDEX('Junctions — junctions'!$I$2:$I$197,MATCH(V66,'Junctions — junctions'!$B$2:$B$197,0))</f>
        <v>47.396915435791023</v>
      </c>
    </row>
    <row r="67" spans="1:34" x14ac:dyDescent="0.25">
      <c r="A67" s="63">
        <f>MATCH(D67,Pipes_result_save_V1!$H$2:$H$206,0)</f>
        <v>100</v>
      </c>
      <c r="B67" s="63" t="s">
        <v>272</v>
      </c>
      <c r="C67" s="63" t="s">
        <v>767</v>
      </c>
      <c r="D67" s="63" t="s">
        <v>768</v>
      </c>
      <c r="E67" s="63">
        <v>192.30085240163368</v>
      </c>
      <c r="F67" s="63" cm="1">
        <f t="array" ref="F67">INDEX(Pipes_result_save_V1!$C$2:$C$206,'COMPARAISON EPANET'!A67)</f>
        <v>156.4</v>
      </c>
      <c r="G67" s="63">
        <v>200</v>
      </c>
      <c r="H67" s="63" cm="1">
        <f t="array" ref="H67">INDEX(Pipes_result_save_V1!$O$2:$O$206,A67)</f>
        <v>150</v>
      </c>
      <c r="I67" s="63">
        <v>6.175869455249651E-3</v>
      </c>
      <c r="J67" s="63" cm="1">
        <f t="array" ref="J67">INDEX(Pipes_result_save_V1!$R$2:$R$206,A67)/1000</f>
        <v>1.1589940071105961E-2</v>
      </c>
      <c r="K67" s="63">
        <v>1.2286501896165409E-2</v>
      </c>
      <c r="L67" s="63" cm="1">
        <f t="array" ref="L67">INDEX(Pipes_result_save_V1!$L$2:$L$206,A67)</f>
        <v>0.60327517986297607</v>
      </c>
      <c r="M67" s="63">
        <v>0.48234998330250689</v>
      </c>
      <c r="N67" s="63" cm="1">
        <f t="array" ref="N67">INDEX(Pipes_result_save_V1!$M$2:$M$206,A67)</f>
        <v>2.2076749801635742</v>
      </c>
      <c r="O67" s="63">
        <v>20.671041498531924</v>
      </c>
      <c r="P67" s="63">
        <f>INDEX('Junctions — junctions'!$I$2:$I$197,MATCH(D67,'Junctions — junctions'!$B$2:$B$197,0))</f>
        <v>52.692741394042969</v>
      </c>
      <c r="S67" s="63">
        <f>MATCH(V67,Pipes_result_save_V1!$H$2:$H$206,0)</f>
        <v>100</v>
      </c>
      <c r="T67" s="63" t="s">
        <v>272</v>
      </c>
      <c r="U67" s="63" t="s">
        <v>767</v>
      </c>
      <c r="V67" s="63" t="s">
        <v>768</v>
      </c>
      <c r="W67" s="63">
        <v>192.30085240163368</v>
      </c>
      <c r="X67" s="63" cm="1">
        <f t="array" ref="X67">INDEX(Pipes_result_save_V1!$C$2:$C$206,'COMPARAISON EPANET'!S67)</f>
        <v>156.4</v>
      </c>
      <c r="Y67" s="63">
        <v>200</v>
      </c>
      <c r="Z67" s="63" cm="1">
        <f t="array" ref="Z67">INDEX(Pipes_result_save_V1!$O$2:$O$206,S67)</f>
        <v>150</v>
      </c>
      <c r="AA67" s="63">
        <v>1.0509470737790256E-2</v>
      </c>
      <c r="AB67" s="63" cm="1">
        <f t="array" ref="AB67">INDEX(Pipes_result_save_V1!$R$2:$R$206,S67)/1000</f>
        <v>1.1589940071105961E-2</v>
      </c>
      <c r="AC67" s="63">
        <v>2.0907927714986844E-2</v>
      </c>
      <c r="AD67" s="63" cm="1">
        <f t="array" ref="AD67">INDEX(Pipes_result_save_V1!$L$2:$L$206,S67)</f>
        <v>0.60327517986297607</v>
      </c>
      <c r="AE67" s="63">
        <v>0.29923137018799828</v>
      </c>
      <c r="AF67" s="63" cm="1">
        <f t="array" ref="AF67">INDEX(Pipes_result_save_V1!$M$2:$M$206,S67)</f>
        <v>2.2076749801635742</v>
      </c>
      <c r="AG67" s="63">
        <v>21.555203757375871</v>
      </c>
      <c r="AH67" s="63">
        <f>INDEX('Junctions — junctions'!$I$2:$I$197,MATCH(V67,'Junctions — junctions'!$B$2:$B$197,0))</f>
        <v>52.692741394042969</v>
      </c>
    </row>
    <row r="68" spans="1:34" x14ac:dyDescent="0.25">
      <c r="A68" s="63">
        <f>MATCH(D68,Pipes_result_save_V1!$H$2:$H$206,0)</f>
        <v>101</v>
      </c>
      <c r="B68" s="63" t="s">
        <v>271</v>
      </c>
      <c r="C68" s="63" t="s">
        <v>768</v>
      </c>
      <c r="D68" s="63" t="s">
        <v>769</v>
      </c>
      <c r="E68" s="63">
        <v>192.30085240163368</v>
      </c>
      <c r="F68" s="63" cm="1">
        <f t="array" ref="F68">INDEX(Pipes_result_save_V1!$C$2:$C$206,'COMPARAISON EPANET'!A68)</f>
        <v>156.4</v>
      </c>
      <c r="G68" s="63">
        <v>200</v>
      </c>
      <c r="H68" s="63" cm="1">
        <f t="array" ref="H68">INDEX(Pipes_result_save_V1!$O$2:$O$206,A68)</f>
        <v>150</v>
      </c>
      <c r="I68" s="63">
        <v>8.5702441369695393E-3</v>
      </c>
      <c r="J68" s="63" cm="1">
        <f t="array" ref="J68">INDEX(Pipes_result_save_V1!$R$2:$R$206,A68)/1000</f>
        <v>1.385504245758057E-2</v>
      </c>
      <c r="K68" s="63">
        <v>1.7049958973787957E-2</v>
      </c>
      <c r="L68" s="63" cm="1">
        <f t="array" ref="L68">INDEX(Pipes_result_save_V1!$L$2:$L$206,A68)</f>
        <v>0.72117745876312256</v>
      </c>
      <c r="M68" s="63">
        <v>0.94670183289969634</v>
      </c>
      <c r="N68" s="63" cm="1">
        <f t="array" ref="N68">INDEX(Pipes_result_save_V1!$M$2:$M$206,A68)</f>
        <v>3.1549141407012939</v>
      </c>
      <c r="O68" s="63">
        <v>13.724339665632227</v>
      </c>
      <c r="P68" s="63">
        <f>INDEX('Junctions — junctions'!$I$2:$I$197,MATCH(D68,'Junctions — junctions'!$B$2:$B$197,0))</f>
        <v>47.521537780761719</v>
      </c>
      <c r="S68" s="63">
        <f>MATCH(V68,Pipes_result_save_V1!$H$2:$H$206,0)</f>
        <v>101</v>
      </c>
      <c r="T68" s="63" t="s">
        <v>271</v>
      </c>
      <c r="U68" s="63" t="s">
        <v>768</v>
      </c>
      <c r="V68" s="63" t="s">
        <v>769</v>
      </c>
      <c r="W68" s="63">
        <v>192.30085240163368</v>
      </c>
      <c r="X68" s="63" cm="1">
        <f t="array" ref="X68">INDEX(Pipes_result_save_V1!$C$2:$C$206,'COMPARAISON EPANET'!S68)</f>
        <v>156.4</v>
      </c>
      <c r="Y68" s="63">
        <v>200</v>
      </c>
      <c r="Z68" s="63" cm="1">
        <f t="array" ref="Z68">INDEX(Pipes_result_save_V1!$O$2:$O$206,S68)</f>
        <v>150</v>
      </c>
      <c r="AA68" s="63">
        <v>1.0149517383691499E-2</v>
      </c>
      <c r="AB68" s="63" cm="1">
        <f t="array" ref="AB68">INDEX(Pipes_result_save_V1!$R$2:$R$206,S68)/1000</f>
        <v>1.385504245758057E-2</v>
      </c>
      <c r="AC68" s="63">
        <v>2.0191823270145286E-2</v>
      </c>
      <c r="AD68" s="63" cm="1">
        <f t="array" ref="AD68">INDEX(Pipes_result_save_V1!$L$2:$L$206,S68)</f>
        <v>0.72117745876312256</v>
      </c>
      <c r="AE68" s="63">
        <v>0.58729739074211607</v>
      </c>
      <c r="AF68" s="63" cm="1">
        <f t="array" ref="AF68">INDEX(Pipes_result_save_V1!$M$2:$M$206,S68)</f>
        <v>3.1549141407012939</v>
      </c>
      <c r="AG68" s="63">
        <v>14.967906366633756</v>
      </c>
      <c r="AH68" s="63">
        <f>INDEX('Junctions — junctions'!$I$2:$I$197,MATCH(V68,'Junctions — junctions'!$B$2:$B$197,0))</f>
        <v>47.521537780761719</v>
      </c>
    </row>
    <row r="69" spans="1:34" x14ac:dyDescent="0.25">
      <c r="A69" s="63">
        <f>MATCH(D69,Pipes_result_save_V1!$H$2:$H$206,0)</f>
        <v>102</v>
      </c>
      <c r="B69" s="63" t="s">
        <v>273</v>
      </c>
      <c r="C69" s="63" t="s">
        <v>769</v>
      </c>
      <c r="D69" s="63" t="s">
        <v>770</v>
      </c>
      <c r="E69" s="63">
        <v>192.30085240163368</v>
      </c>
      <c r="F69" s="63" cm="1">
        <f t="array" ref="F69">INDEX(Pipes_result_save_V1!$C$2:$C$206,'COMPARAISON EPANET'!A69)</f>
        <v>156.4</v>
      </c>
      <c r="G69" s="63">
        <v>200</v>
      </c>
      <c r="H69" s="63" cm="1">
        <f t="array" ref="H69">INDEX(Pipes_result_save_V1!$O$2:$O$206,A69)</f>
        <v>150</v>
      </c>
      <c r="I69" s="63">
        <v>1.0650585959359166E-2</v>
      </c>
      <c r="J69" s="63" cm="1">
        <f t="array" ref="J69">INDEX(Pipes_result_save_V1!$R$2:$R$206,A69)/1000</f>
        <v>1.6821928024291988E-2</v>
      </c>
      <c r="K69" s="63">
        <v>2.1188667528214342E-2</v>
      </c>
      <c r="L69" s="63" cm="1">
        <f t="array" ref="L69">INDEX(Pipes_result_save_V1!$L$2:$L$206,A69)</f>
        <v>0.87560862302780151</v>
      </c>
      <c r="M69" s="63">
        <v>0.92510407245331538</v>
      </c>
      <c r="N69" s="63" cm="1">
        <f t="array" ref="N69">INDEX(Pipes_result_save_V1!$M$2:$M$206,A69)</f>
        <v>4.650752067565918</v>
      </c>
      <c r="O69" s="63">
        <v>20.799235593178913</v>
      </c>
      <c r="P69" s="63">
        <f>INDEX('Junctions — junctions'!$I$2:$I$197,MATCH(D69,'Junctions — junctions'!$B$2:$B$197,0))</f>
        <v>56.714458465576172</v>
      </c>
      <c r="S69" s="63">
        <f>MATCH(V69,Pipes_result_save_V1!$H$2:$H$206,0)</f>
        <v>102</v>
      </c>
      <c r="T69" s="63" t="s">
        <v>273</v>
      </c>
      <c r="U69" s="63" t="s">
        <v>769</v>
      </c>
      <c r="V69" s="63" t="s">
        <v>770</v>
      </c>
      <c r="W69" s="63">
        <v>192.30085240163368</v>
      </c>
      <c r="X69" s="63" cm="1">
        <f t="array" ref="X69">INDEX(Pipes_result_save_V1!$C$2:$C$206,'COMPARAISON EPANET'!S69)</f>
        <v>156.4</v>
      </c>
      <c r="Y69" s="63">
        <v>200</v>
      </c>
      <c r="Z69" s="63" cm="1">
        <f t="array" ref="Z69">INDEX(Pipes_result_save_V1!$O$2:$O$206,S69)</f>
        <v>150</v>
      </c>
      <c r="AA69" s="63">
        <v>1.6801488560265924E-2</v>
      </c>
      <c r="AB69" s="63" cm="1">
        <f t="array" ref="AB69">INDEX(Pipes_result_save_V1!$R$2:$R$206,S69)/1000</f>
        <v>1.6821928024291988E-2</v>
      </c>
      <c r="AC69" s="63">
        <v>3.3425499445853171E-2</v>
      </c>
      <c r="AD69" s="63" cm="1">
        <f t="array" ref="AD69">INDEX(Pipes_result_save_V1!$L$2:$L$206,S69)</f>
        <v>0.87560862302780151</v>
      </c>
      <c r="AE69" s="63">
        <v>0.57389897118145938</v>
      </c>
      <c r="AF69" s="63" cm="1">
        <f t="array" ref="AF69">INDEX(Pipes_result_save_V1!$M$2:$M$206,S69)</f>
        <v>4.650752067565918</v>
      </c>
      <c r="AG69" s="63">
        <v>22.394007395452299</v>
      </c>
      <c r="AH69" s="63">
        <f>INDEX('Junctions — junctions'!$I$2:$I$197,MATCH(V69,'Junctions — junctions'!$B$2:$B$197,0))</f>
        <v>56.714458465576172</v>
      </c>
    </row>
    <row r="70" spans="1:34" x14ac:dyDescent="0.25">
      <c r="A70" s="63">
        <f>MATCH(D70,Pipes_result_save_V1!$H$2:$H$206,0)</f>
        <v>104</v>
      </c>
      <c r="B70" s="63" t="s">
        <v>274</v>
      </c>
      <c r="C70" s="63" t="s">
        <v>770</v>
      </c>
      <c r="D70" s="63" t="s">
        <v>771</v>
      </c>
      <c r="E70" s="63">
        <v>192.30085240163368</v>
      </c>
      <c r="F70" s="63" cm="1">
        <f t="array" ref="F70">INDEX(Pipes_result_save_V1!$C$2:$C$206,'COMPARAISON EPANET'!A70)</f>
        <v>156.4</v>
      </c>
      <c r="G70" s="63">
        <v>200</v>
      </c>
      <c r="H70" s="63" cm="1">
        <f t="array" ref="H70">INDEX(Pipes_result_save_V1!$O$2:$O$206,A70)</f>
        <v>150</v>
      </c>
      <c r="I70" s="63">
        <v>1.4191223912138524E-2</v>
      </c>
      <c r="J70" s="63" cm="1">
        <f t="array" ref="J70">INDEX(Pipes_result_save_V1!$R$2:$R$206,A70)/1000</f>
        <v>1.9275314331054692E-2</v>
      </c>
      <c r="K70" s="63">
        <v>2.8232542926759387E-2</v>
      </c>
      <c r="L70" s="63" cm="1">
        <f t="array" ref="L70">INDEX(Pipes_result_save_V1!$L$2:$L$206,A70)</f>
        <v>1.003311395645142</v>
      </c>
      <c r="M70" s="63">
        <v>0.6227354262039827</v>
      </c>
      <c r="N70" s="63" cm="1">
        <f t="array" ref="N70">INDEX(Pipes_result_save_V1!$M$2:$M$206,A70)</f>
        <v>6.1062579154968262</v>
      </c>
      <c r="O70" s="63">
        <v>16.176500166974929</v>
      </c>
      <c r="P70" s="63">
        <f>INDEX('Junctions — junctions'!$I$2:$I$197,MATCH(D70,'Junctions — junctions'!$B$2:$B$197,0))</f>
        <v>53.772670745849609</v>
      </c>
      <c r="S70" s="63">
        <f>MATCH(V70,Pipes_result_save_V1!$H$2:$H$206,0)</f>
        <v>104</v>
      </c>
      <c r="T70" s="63" t="s">
        <v>274</v>
      </c>
      <c r="U70" s="63" t="s">
        <v>770</v>
      </c>
      <c r="V70" s="63" t="s">
        <v>771</v>
      </c>
      <c r="W70" s="63">
        <v>192.30085240163368</v>
      </c>
      <c r="X70" s="63" cm="1">
        <f t="array" ref="X70">INDEX(Pipes_result_save_V1!$C$2:$C$206,'COMPARAISON EPANET'!S70)</f>
        <v>156.4</v>
      </c>
      <c r="Y70" s="63">
        <v>200</v>
      </c>
      <c r="Z70" s="63" cm="1">
        <f t="array" ref="Z70">INDEX(Pipes_result_save_V1!$O$2:$O$206,S70)</f>
        <v>150</v>
      </c>
      <c r="AA70" s="63">
        <v>1.6890519998458413E-2</v>
      </c>
      <c r="AB70" s="63" cm="1">
        <f t="array" ref="AB70">INDEX(Pipes_result_save_V1!$R$2:$R$206,S70)/1000</f>
        <v>1.9275314331054692E-2</v>
      </c>
      <c r="AC70" s="63">
        <v>3.3602621864339606E-2</v>
      </c>
      <c r="AD70" s="63" cm="1">
        <f t="array" ref="AD70">INDEX(Pipes_result_save_V1!$L$2:$L$206,S70)</f>
        <v>1.003311395645142</v>
      </c>
      <c r="AE70" s="63">
        <v>0.38632109733226644</v>
      </c>
      <c r="AF70" s="63" cm="1">
        <f t="array" ref="AF70">INDEX(Pipes_result_save_V1!$M$2:$M$206,S70)</f>
        <v>6.1062579154968262</v>
      </c>
      <c r="AG70" s="63">
        <v>18.007686298120035</v>
      </c>
      <c r="AH70" s="63">
        <f>INDEX('Junctions — junctions'!$I$2:$I$197,MATCH(V70,'Junctions — junctions'!$B$2:$B$197,0))</f>
        <v>53.772670745849609</v>
      </c>
    </row>
    <row r="71" spans="1:34" x14ac:dyDescent="0.25">
      <c r="A71" s="63">
        <f>MATCH(D71,Pipes_result_save_V1!$H$2:$H$206,0)</f>
        <v>105</v>
      </c>
      <c r="B71" s="63" t="s">
        <v>275</v>
      </c>
      <c r="C71" s="63" t="s">
        <v>771</v>
      </c>
      <c r="D71" s="63" t="s">
        <v>772</v>
      </c>
      <c r="E71" s="63">
        <v>192.30085240163368</v>
      </c>
      <c r="F71" s="63" cm="1">
        <f t="array" ref="F71">INDEX(Pipes_result_save_V1!$C$2:$C$206,'COMPARAISON EPANET'!A71)</f>
        <v>156.4</v>
      </c>
      <c r="G71" s="63">
        <v>200</v>
      </c>
      <c r="H71" s="63" cm="1">
        <f t="array" ref="H71">INDEX(Pipes_result_save_V1!$O$2:$O$206,A71)</f>
        <v>150</v>
      </c>
      <c r="I71" s="63">
        <v>1.5034547802609786E-2</v>
      </c>
      <c r="J71" s="63" cm="1">
        <f t="array" ref="J71">INDEX(Pipes_result_save_V1!$R$2:$R$206,A71)/1000</f>
        <v>2.05305347442627E-2</v>
      </c>
      <c r="K71" s="63">
        <v>2.9910282499209257E-2</v>
      </c>
      <c r="L71" s="63" cm="1">
        <f t="array" ref="L71">INDEX(Pipes_result_save_V1!$L$2:$L$206,A71)</f>
        <v>1.068647623062134</v>
      </c>
      <c r="M71" s="63">
        <v>0.16918245682998373</v>
      </c>
      <c r="N71" s="63" cm="1">
        <f t="array" ref="N71">INDEX(Pipes_result_save_V1!$M$2:$M$206,A71)</f>
        <v>6.9274296760559082</v>
      </c>
      <c r="O71" s="63">
        <v>14.007317710144946</v>
      </c>
      <c r="P71" s="63">
        <f>INDEX('Junctions — junctions'!$I$2:$I$197,MATCH(D71,'Junctions — junctions'!$B$2:$B$197,0))</f>
        <v>52.097568511962891</v>
      </c>
      <c r="S71" s="63">
        <f>MATCH(V71,Pipes_result_save_V1!$H$2:$H$206,0)</f>
        <v>105</v>
      </c>
      <c r="T71" s="63" t="s">
        <v>275</v>
      </c>
      <c r="U71" s="63" t="s">
        <v>771</v>
      </c>
      <c r="V71" s="63" t="s">
        <v>772</v>
      </c>
      <c r="W71" s="63">
        <v>192.30085240163368</v>
      </c>
      <c r="X71" s="63" cm="1">
        <f t="array" ref="X71">INDEX(Pipes_result_save_V1!$C$2:$C$206,'COMPARAISON EPANET'!S71)</f>
        <v>156.4</v>
      </c>
      <c r="Y71" s="63">
        <v>200</v>
      </c>
      <c r="Z71" s="63" cm="1">
        <f t="array" ref="Z71">INDEX(Pipes_result_save_V1!$O$2:$O$206,S71)</f>
        <v>150</v>
      </c>
      <c r="AA71" s="63">
        <v>1.7622536230404908E-2</v>
      </c>
      <c r="AB71" s="63" cm="1">
        <f t="array" ref="AB71">INDEX(Pipes_result_save_V1!$R$2:$R$206,S71)/1000</f>
        <v>2.05305347442627E-2</v>
      </c>
      <c r="AC71" s="63">
        <v>3.505892188606196E-2</v>
      </c>
      <c r="AD71" s="63" cm="1">
        <f t="array" ref="AD71">INDEX(Pipes_result_save_V1!$L$2:$L$206,S71)</f>
        <v>1.068647623062134</v>
      </c>
      <c r="AE71" s="63">
        <v>0.10495428655847701</v>
      </c>
      <c r="AF71" s="63" cm="1">
        <f t="array" ref="AF71">INDEX(Pipes_result_save_V1!$M$2:$M$206,S71)</f>
        <v>6.9274296760559082</v>
      </c>
      <c r="AG71" s="63">
        <v>15.902732011561561</v>
      </c>
      <c r="AH71" s="63">
        <f>INDEX('Junctions — junctions'!$I$2:$I$197,MATCH(V71,'Junctions — junctions'!$B$2:$B$197,0))</f>
        <v>52.097568511962891</v>
      </c>
    </row>
    <row r="72" spans="1:34" x14ac:dyDescent="0.25">
      <c r="A72" s="63">
        <f>MATCH(D72,Pipes_result_save_V1!$H$2:$H$206,0)</f>
        <v>105</v>
      </c>
      <c r="B72" s="63" t="s">
        <v>277</v>
      </c>
      <c r="C72" s="63" t="s">
        <v>773</v>
      </c>
      <c r="D72" s="63" t="s">
        <v>772</v>
      </c>
      <c r="E72" s="63">
        <v>539.43235085272443</v>
      </c>
      <c r="F72" s="63" cm="1">
        <f t="array" ref="F72">INDEX(Pipes_result_save_V1!$C$2:$C$206,'COMPARAISON EPANET'!A72)</f>
        <v>156.4</v>
      </c>
      <c r="G72" s="63">
        <v>600</v>
      </c>
      <c r="H72" s="63" cm="1">
        <f t="array" ref="H72">INDEX(Pipes_result_save_V1!$O$2:$O$206,A72)</f>
        <v>150</v>
      </c>
      <c r="I72" s="63">
        <v>8.5786050978224893E-3</v>
      </c>
      <c r="J72" s="63" cm="1">
        <f t="array" ref="J72">INDEX(Pipes_result_save_V1!$R$2:$R$206,A72)/1000</f>
        <v>2.05305347442627E-2</v>
      </c>
      <c r="K72" s="63">
        <v>2.1385032596942313E-3</v>
      </c>
      <c r="L72" s="63" cm="1">
        <f t="array" ref="L72">INDEX(Pipes_result_save_V1!$L$2:$L$206,A72)</f>
        <v>1.068647623062134</v>
      </c>
      <c r="M72" s="63">
        <v>0.36633795039434436</v>
      </c>
      <c r="N72" s="63" cm="1">
        <f t="array" ref="N72">INDEX(Pipes_result_save_V1!$M$2:$M$206,A72)</f>
        <v>6.9274296760559082</v>
      </c>
      <c r="O72" s="63">
        <v>13.6409797597506</v>
      </c>
      <c r="P72" s="63">
        <f>INDEX('Junctions — junctions'!$I$2:$I$197,MATCH(D72,'Junctions — junctions'!$B$2:$B$197,0))</f>
        <v>52.097568511962891</v>
      </c>
      <c r="S72" s="63">
        <f>MATCH(V72,Pipes_result_save_V1!$H$2:$H$206,0)</f>
        <v>105</v>
      </c>
      <c r="T72" s="63" t="s">
        <v>277</v>
      </c>
      <c r="U72" s="63" t="s">
        <v>773</v>
      </c>
      <c r="V72" s="63" t="s">
        <v>772</v>
      </c>
      <c r="W72" s="63">
        <v>539.43235085272443</v>
      </c>
      <c r="X72" s="63" cm="1">
        <f t="array" ref="X72">INDEX(Pipes_result_save_V1!$C$2:$C$206,'COMPARAISON EPANET'!S72)</f>
        <v>156.4</v>
      </c>
      <c r="Y72" s="63">
        <v>600</v>
      </c>
      <c r="Z72" s="63" cm="1">
        <f t="array" ref="Z72">INDEX(Pipes_result_save_V1!$O$2:$O$206,S72)</f>
        <v>150</v>
      </c>
      <c r="AA72" s="63">
        <v>9.5365150519625026E-3</v>
      </c>
      <c r="AB72" s="63" cm="1">
        <f t="array" ref="AB72">INDEX(Pipes_result_save_V1!$R$2:$R$206,S72)/1000</f>
        <v>2.05305347442627E-2</v>
      </c>
      <c r="AC72" s="63">
        <v>2.3772942444828821E-3</v>
      </c>
      <c r="AD72" s="63" cm="1">
        <f t="array" ref="AD72">INDEX(Pipes_result_save_V1!$L$2:$L$206,S72)</f>
        <v>1.068647623062134</v>
      </c>
      <c r="AE72" s="63">
        <v>0.34698543293187428</v>
      </c>
      <c r="AF72" s="63" cm="1">
        <f t="array" ref="AF72">INDEX(Pipes_result_save_V1!$M$2:$M$206,S72)</f>
        <v>6.9274296760559082</v>
      </c>
      <c r="AG72" s="63">
        <v>15.555746578629687</v>
      </c>
      <c r="AH72" s="63">
        <f>INDEX('Junctions — junctions'!$I$2:$I$197,MATCH(V72,'Junctions — junctions'!$B$2:$B$197,0))</f>
        <v>52.097568511962891</v>
      </c>
    </row>
    <row r="73" spans="1:34" x14ac:dyDescent="0.25">
      <c r="A73" s="63">
        <f>MATCH(D73,Pipes_result_save_V1!$H$2:$H$206,0)</f>
        <v>108</v>
      </c>
      <c r="B73" s="63" t="s">
        <v>427</v>
      </c>
      <c r="C73" s="63" t="s">
        <v>774</v>
      </c>
      <c r="D73" s="63" t="s">
        <v>773</v>
      </c>
      <c r="E73" s="63">
        <v>539.43235085272443</v>
      </c>
      <c r="F73" s="63" cm="1">
        <f t="array" ref="F73">INDEX(Pipes_result_save_V1!$C$2:$C$206,'COMPARAISON EPANET'!A73)</f>
        <v>156.4</v>
      </c>
      <c r="G73" s="63">
        <v>600</v>
      </c>
      <c r="H73" s="63" cm="1">
        <f t="array" ref="H73">INDEX(Pipes_result_save_V1!$O$2:$O$206,A73)</f>
        <v>150</v>
      </c>
      <c r="I73" s="63">
        <v>4.5141885895355009E-3</v>
      </c>
      <c r="J73" s="63" cm="1">
        <f t="array" ref="J73">INDEX(Pipes_result_save_V1!$R$2:$R$206,A73)/1000</f>
        <v>1.1068543434143071E-2</v>
      </c>
      <c r="K73" s="63">
        <v>1.125311971295491E-3</v>
      </c>
      <c r="L73" s="63" cm="1">
        <f t="array" ref="L73">INDEX(Pipes_result_save_V1!$L$2:$L$206,A73)</f>
        <v>0.57613563537597656</v>
      </c>
      <c r="M73" s="63">
        <v>0.17638493907875838</v>
      </c>
      <c r="N73" s="63" cm="1">
        <f t="array" ref="N73">INDEX(Pipes_result_save_V1!$M$2:$M$206,A73)</f>
        <v>2.013487577438354</v>
      </c>
      <c r="O73" s="63">
        <v>13.464594820671842</v>
      </c>
      <c r="P73" s="63">
        <f>INDEX('Junctions — junctions'!$I$2:$I$197,MATCH(D73,'Junctions — junctions'!$B$2:$B$197,0))</f>
        <v>50.962139129638672</v>
      </c>
      <c r="S73" s="63">
        <f>MATCH(V73,Pipes_result_save_V1!$H$2:$H$206,0)</f>
        <v>108</v>
      </c>
      <c r="T73" s="63" t="s">
        <v>427</v>
      </c>
      <c r="U73" s="63" t="s">
        <v>774</v>
      </c>
      <c r="V73" s="63" t="s">
        <v>773</v>
      </c>
      <c r="W73" s="63">
        <v>539.43235085272443</v>
      </c>
      <c r="X73" s="63" cm="1">
        <f t="array" ref="X73">INDEX(Pipes_result_save_V1!$C$2:$C$206,'COMPARAISON EPANET'!S73)</f>
        <v>156.4</v>
      </c>
      <c r="Y73" s="63">
        <v>600</v>
      </c>
      <c r="Z73" s="63" cm="1">
        <f t="array" ref="Z73">INDEX(Pipes_result_save_V1!$O$2:$O$206,S73)</f>
        <v>150</v>
      </c>
      <c r="AA73" s="63">
        <v>9.7256388023146748E-3</v>
      </c>
      <c r="AB73" s="63" cm="1">
        <f t="array" ref="AB73">INDEX(Pipes_result_save_V1!$R$2:$R$206,S73)/1000</f>
        <v>1.1068543434143071E-2</v>
      </c>
      <c r="AC73" s="63">
        <v>2.4244396430648002E-3</v>
      </c>
      <c r="AD73" s="63" cm="1">
        <f t="array" ref="AD73">INDEX(Pipes_result_save_V1!$L$2:$L$206,S73)</f>
        <v>0.57613563537597656</v>
      </c>
      <c r="AE73" s="63">
        <v>0.16706706030053203</v>
      </c>
      <c r="AF73" s="63" cm="1">
        <f t="array" ref="AF73">INDEX(Pipes_result_save_V1!$M$2:$M$206,S73)</f>
        <v>2.013487577438354</v>
      </c>
      <c r="AG73" s="63">
        <v>15.388679518329155</v>
      </c>
      <c r="AH73" s="63">
        <f>INDEX('Junctions — junctions'!$I$2:$I$197,MATCH(V73,'Junctions — junctions'!$B$2:$B$197,0))</f>
        <v>50.962139129638672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309D28-744B-4550-8C13-7FB0C8FDA7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25</vt:i4>
      </vt:variant>
    </vt:vector>
  </HeadingPairs>
  <TitlesOfParts>
    <vt:vector size="25" baseType="lpstr">
      <vt:lpstr>BESOIN SELON ETAT</vt:lpstr>
      <vt:lpstr>Feuil1</vt:lpstr>
      <vt:lpstr>DEMANDE SELON ETAT</vt:lpstr>
      <vt:lpstr>ADUCTION</vt:lpstr>
      <vt:lpstr>PIPE</vt:lpstr>
      <vt:lpstr>FORAGE_POMPE</vt:lpstr>
      <vt:lpstr>Coup_belier</vt:lpstr>
      <vt:lpstr>Junctions — junctions</vt:lpstr>
      <vt:lpstr>Pipes_result_save_V1</vt:lpstr>
      <vt:lpstr>Tanks — tanks</vt:lpstr>
      <vt:lpstr>DIST _PHASE_1_V1</vt:lpstr>
      <vt:lpstr>DIST_PHASE_1_v2</vt:lpstr>
      <vt:lpstr>DIST_PHASE_2_V1</vt:lpstr>
      <vt:lpstr>DIST_PHASE_2_v2</vt:lpstr>
      <vt:lpstr>TRONCONS_V1</vt:lpstr>
      <vt:lpstr>TRONCONS_V2</vt:lpstr>
      <vt:lpstr>REF_TABLE</vt:lpstr>
      <vt:lpstr>RESULT_ITTE</vt:lpstr>
      <vt:lpstr>SUITE_DIM_PIPE</vt:lpstr>
      <vt:lpstr>RESERVOIR</vt:lpstr>
      <vt:lpstr>DIST_TRONCONS ADAPT SAVE FORMUL</vt:lpstr>
      <vt:lpstr>dimensionnement de fouilles</vt:lpstr>
      <vt:lpstr>DIMENTIONEMENT POMPE</vt:lpstr>
      <vt:lpstr>ETUDE_FINANCIER</vt:lpstr>
      <vt:lpstr>COMPARAISON EPANET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 TABE DJATO</dc:creator>
  <cp:lastModifiedBy>serge TABE DJATO</cp:lastModifiedBy>
  <dcterms:created xsi:type="dcterms:W3CDTF">2015-06-05T18:19:34Z</dcterms:created>
  <dcterms:modified xsi:type="dcterms:W3CDTF">2025-06-26T16:38:35Z</dcterms:modified>
</cp:coreProperties>
</file>