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680" yWindow="1845" windowWidth="19815" windowHeight="12255" tabRatio="546"/>
  </bookViews>
  <sheets>
    <sheet name="2018-2019 work sheet Rev tj" sheetId="30" r:id="rId1"/>
  </sheets>
  <definedNames>
    <definedName name="_xlnm._FilterDatabase" localSheetId="0" hidden="1">'2018-2019 work sheet Rev tj'!$C$1:$J$10</definedName>
    <definedName name="Batteries" localSheetId="0">#REF!</definedName>
    <definedName name="Batteries">#REF!</definedName>
    <definedName name="Box" localSheetId="0">'2018-2019 work sheet Rev tj'!$O$142:$O$148</definedName>
    <definedName name="Box">#REF!</definedName>
    <definedName name="Boxes" localSheetId="0">#REF!</definedName>
    <definedName name="Boxes">#REF!</definedName>
    <definedName name="Geophones" localSheetId="0">#REF!</definedName>
    <definedName name="Geophones">#REF!</definedName>
    <definedName name="_xlnm.Print_Area" localSheetId="0">'2018-2019 work sheet Rev tj'!$A$1:$J$200</definedName>
    <definedName name="RecordingSystem" localSheetId="0">#REF!</definedName>
    <definedName name="RecordingSystem">#REF!</definedName>
    <definedName name="YESNO" localSheetId="0">#REF!</definedName>
    <definedName name="YESNO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3" i="30"/>
  <c r="H82" l="1"/>
  <c r="H81"/>
  <c r="I189" l="1"/>
  <c r="G187"/>
  <c r="I186"/>
  <c r="G186"/>
  <c r="I185"/>
  <c r="G185"/>
  <c r="I184"/>
  <c r="G184"/>
  <c r="I183"/>
  <c r="G183"/>
  <c r="I182"/>
  <c r="G182"/>
  <c r="I181"/>
  <c r="G181"/>
  <c r="I180"/>
  <c r="G180"/>
  <c r="I179"/>
  <c r="G179"/>
  <c r="I178"/>
  <c r="G178"/>
  <c r="I177"/>
  <c r="G177"/>
  <c r="I176"/>
  <c r="G176"/>
  <c r="I175"/>
  <c r="G175"/>
  <c r="I174"/>
  <c r="G174"/>
  <c r="I173"/>
  <c r="G173"/>
  <c r="I172"/>
  <c r="G172"/>
  <c r="I171"/>
  <c r="G171"/>
  <c r="I170"/>
  <c r="G170"/>
  <c r="I169"/>
  <c r="G169"/>
  <c r="I168"/>
  <c r="G168"/>
  <c r="I158"/>
  <c r="G158"/>
  <c r="I157"/>
  <c r="G157"/>
  <c r="I156"/>
  <c r="G156"/>
  <c r="I155"/>
  <c r="G155"/>
  <c r="I154"/>
  <c r="G154"/>
  <c r="I153"/>
  <c r="G153"/>
  <c r="I152"/>
  <c r="G152"/>
  <c r="I151"/>
  <c r="G151"/>
  <c r="I150"/>
  <c r="G150"/>
  <c r="I149"/>
  <c r="G149"/>
  <c r="I148"/>
  <c r="G148"/>
  <c r="I147"/>
  <c r="G147"/>
  <c r="I146"/>
  <c r="G146"/>
  <c r="I145"/>
  <c r="G145"/>
  <c r="D142"/>
  <c r="D141"/>
  <c r="D140"/>
  <c r="F135"/>
  <c r="E135"/>
  <c r="F133"/>
  <c r="E133"/>
  <c r="H113"/>
  <c r="E108"/>
  <c r="E107"/>
  <c r="G106"/>
  <c r="F106"/>
  <c r="I135" s="1"/>
  <c r="E106"/>
  <c r="H105"/>
  <c r="G105"/>
  <c r="E101"/>
  <c r="E100"/>
  <c r="E96"/>
  <c r="G115" s="1"/>
  <c r="H115" s="1"/>
  <c r="G91"/>
  <c r="G96" s="1"/>
  <c r="J87"/>
  <c r="J88" s="1"/>
  <c r="F90" s="1"/>
  <c r="H80"/>
  <c r="F123" s="1"/>
  <c r="J77"/>
  <c r="G77"/>
  <c r="C77"/>
  <c r="J76"/>
  <c r="G76"/>
  <c r="C76"/>
  <c r="J75"/>
  <c r="G75"/>
  <c r="C75"/>
  <c r="J73"/>
  <c r="G108" s="1"/>
  <c r="H67"/>
  <c r="I67" s="1"/>
  <c r="H66"/>
  <c r="I66" s="1"/>
  <c r="D66"/>
  <c r="F66" s="1"/>
  <c r="G66" s="1"/>
  <c r="D64"/>
  <c r="F64" s="1"/>
  <c r="H63"/>
  <c r="I63" s="1"/>
  <c r="D63"/>
  <c r="F63" s="1"/>
  <c r="H62"/>
  <c r="H64" s="1"/>
  <c r="F62"/>
  <c r="G62" s="1"/>
  <c r="J61"/>
  <c r="I61"/>
  <c r="F61"/>
  <c r="G61" s="1"/>
  <c r="J60"/>
  <c r="I60"/>
  <c r="F60"/>
  <c r="G60" s="1"/>
  <c r="I59"/>
  <c r="F59"/>
  <c r="G59" s="1"/>
  <c r="G55"/>
  <c r="H55" s="1"/>
  <c r="G54"/>
  <c r="H54" s="1"/>
  <c r="G53"/>
  <c r="J53" s="1"/>
  <c r="G52"/>
  <c r="J52" s="1"/>
  <c r="G51"/>
  <c r="J51" s="1"/>
  <c r="G50"/>
  <c r="H50" s="1"/>
  <c r="G49"/>
  <c r="H49" s="1"/>
  <c r="G48"/>
  <c r="H48" s="1"/>
  <c r="G47"/>
  <c r="J47" s="1"/>
  <c r="G46"/>
  <c r="H46" s="1"/>
  <c r="G45"/>
  <c r="H45" s="1"/>
  <c r="G44"/>
  <c r="J44" s="1"/>
  <c r="G43"/>
  <c r="J43" s="1"/>
  <c r="G42"/>
  <c r="H42" s="1"/>
  <c r="G40"/>
  <c r="H40" s="1"/>
  <c r="G39"/>
  <c r="H39" s="1"/>
  <c r="G38"/>
  <c r="H38" s="1"/>
  <c r="G37"/>
  <c r="H37" s="1"/>
  <c r="H34"/>
  <c r="I40" s="1"/>
  <c r="I33"/>
  <c r="D67"/>
  <c r="I32"/>
  <c r="F32"/>
  <c r="G32" s="1"/>
  <c r="I31"/>
  <c r="F31"/>
  <c r="G31" s="1"/>
  <c r="I30"/>
  <c r="F30"/>
  <c r="G30" s="1"/>
  <c r="I29"/>
  <c r="F29"/>
  <c r="G29" s="1"/>
  <c r="I28"/>
  <c r="F28"/>
  <c r="G28" s="1"/>
  <c r="I27"/>
  <c r="F27"/>
  <c r="G27" s="1"/>
  <c r="I26"/>
  <c r="F26"/>
  <c r="G26" s="1"/>
  <c r="I25"/>
  <c r="F25"/>
  <c r="J25" s="1"/>
  <c r="I24"/>
  <c r="F24"/>
  <c r="G24" s="1"/>
  <c r="I23"/>
  <c r="F23"/>
  <c r="J23" s="1"/>
  <c r="I22"/>
  <c r="F22"/>
  <c r="G22" s="1"/>
  <c r="I21"/>
  <c r="F21"/>
  <c r="J21" s="1"/>
  <c r="I20"/>
  <c r="F20"/>
  <c r="J20" s="1"/>
  <c r="I19"/>
  <c r="F19"/>
  <c r="J19" s="1"/>
  <c r="I18"/>
  <c r="F18"/>
  <c r="G18" s="1"/>
  <c r="I17"/>
  <c r="F17"/>
  <c r="J17" s="1"/>
  <c r="I16"/>
  <c r="F16"/>
  <c r="G16" s="1"/>
  <c r="I15"/>
  <c r="F15"/>
  <c r="J15" s="1"/>
  <c r="I14"/>
  <c r="F14"/>
  <c r="J14" s="1"/>
  <c r="H10"/>
  <c r="E89" s="1"/>
  <c r="J7"/>
  <c r="D6"/>
  <c r="H90" l="1"/>
  <c r="I81"/>
  <c r="G7"/>
  <c r="I115" s="1"/>
  <c r="J81"/>
  <c r="I64"/>
  <c r="J39"/>
  <c r="H108"/>
  <c r="J108" s="1"/>
  <c r="J27"/>
  <c r="J49"/>
  <c r="J31"/>
  <c r="J24"/>
  <c r="I39"/>
  <c r="H52"/>
  <c r="I55"/>
  <c r="G17"/>
  <c r="J37"/>
  <c r="J29"/>
  <c r="J40"/>
  <c r="G15"/>
  <c r="J32"/>
  <c r="I38"/>
  <c r="H53"/>
  <c r="J22"/>
  <c r="J55"/>
  <c r="J38"/>
  <c r="J59"/>
  <c r="I54"/>
  <c r="G19"/>
  <c r="J45"/>
  <c r="I37"/>
  <c r="H65"/>
  <c r="I65" s="1"/>
  <c r="J26"/>
  <c r="H106"/>
  <c r="J106" s="1"/>
  <c r="I62"/>
  <c r="J54"/>
  <c r="J48"/>
  <c r="H44"/>
  <c r="J63"/>
  <c r="G63"/>
  <c r="J28"/>
  <c r="G25"/>
  <c r="G23"/>
  <c r="G21"/>
  <c r="G20"/>
  <c r="D34"/>
  <c r="D65" s="1"/>
  <c r="J65" s="1"/>
  <c r="F33"/>
  <c r="J33" s="1"/>
  <c r="J18"/>
  <c r="J16"/>
  <c r="I191"/>
  <c r="J113"/>
  <c r="J105"/>
  <c r="J80"/>
  <c r="J82" s="1"/>
  <c r="J30"/>
  <c r="I34"/>
  <c r="G14"/>
  <c r="J67"/>
  <c r="F67"/>
  <c r="G67" s="1"/>
  <c r="G64"/>
  <c r="J64"/>
  <c r="J123"/>
  <c r="I123"/>
  <c r="J115"/>
  <c r="J92"/>
  <c r="J93" s="1"/>
  <c r="J96" s="1"/>
  <c r="J42"/>
  <c r="J46"/>
  <c r="J50"/>
  <c r="E91"/>
  <c r="D102" s="1"/>
  <c r="F109"/>
  <c r="H109" s="1"/>
  <c r="I113"/>
  <c r="F125"/>
  <c r="I187"/>
  <c r="I190" s="1"/>
  <c r="I80"/>
  <c r="I82" s="1"/>
  <c r="H43"/>
  <c r="H47"/>
  <c r="J66"/>
  <c r="I105"/>
  <c r="H51"/>
  <c r="G56"/>
  <c r="I136" s="1"/>
  <c r="J62"/>
  <c r="G116"/>
  <c r="H116" s="1"/>
  <c r="I108" l="1"/>
  <c r="H123"/>
  <c r="D98"/>
  <c r="E90" s="1"/>
  <c r="I106"/>
  <c r="G33"/>
  <c r="G34" s="1"/>
  <c r="I56"/>
  <c r="I68"/>
  <c r="I71" s="1"/>
  <c r="I72" s="1"/>
  <c r="J56"/>
  <c r="F65"/>
  <c r="G65" s="1"/>
  <c r="G68" s="1"/>
  <c r="C72"/>
  <c r="F34"/>
  <c r="G107" s="1"/>
  <c r="H107" s="1"/>
  <c r="J107" s="1"/>
  <c r="J34"/>
  <c r="J68"/>
  <c r="H56"/>
  <c r="J116"/>
  <c r="I116"/>
  <c r="J109"/>
  <c r="I109"/>
  <c r="F127"/>
  <c r="I125"/>
  <c r="H125"/>
  <c r="J125"/>
  <c r="J95"/>
  <c r="D95"/>
  <c r="D101"/>
  <c r="G101" s="1"/>
  <c r="I101" s="1"/>
  <c r="D100"/>
  <c r="E114" l="1"/>
  <c r="A114" s="1"/>
  <c r="J110"/>
  <c r="F68"/>
  <c r="J71"/>
  <c r="J72" s="1"/>
  <c r="H110"/>
  <c r="I107"/>
  <c r="I110" s="1"/>
  <c r="F124"/>
  <c r="J137" s="1"/>
  <c r="G70"/>
  <c r="G72"/>
  <c r="G71"/>
  <c r="E102"/>
  <c r="G100"/>
  <c r="I100" s="1"/>
  <c r="H114"/>
  <c r="J127"/>
  <c r="I127"/>
  <c r="H127"/>
  <c r="J124" l="1"/>
  <c r="I124"/>
  <c r="H124"/>
  <c r="J114"/>
  <c r="F126"/>
  <c r="I114"/>
  <c r="H117"/>
  <c r="J117" l="1"/>
  <c r="I117"/>
  <c r="H126"/>
  <c r="H128" s="1"/>
  <c r="J126"/>
  <c r="J128" s="1"/>
  <c r="J130" s="1"/>
  <c r="I126"/>
  <c r="I128" s="1"/>
  <c r="I130" s="1"/>
  <c r="F128"/>
  <c r="J132"/>
  <c r="F129" l="1"/>
  <c r="F130" s="1"/>
  <c r="E132" l="1"/>
  <c r="G123"/>
  <c r="G125"/>
  <c r="G127"/>
  <c r="G124"/>
  <c r="G126"/>
  <c r="G128" l="1"/>
  <c r="E134"/>
  <c r="D134"/>
  <c r="D136" s="1"/>
  <c r="J134"/>
  <c r="J133"/>
  <c r="G137"/>
  <c r="F134" l="1"/>
  <c r="F136" s="1"/>
  <c r="E136"/>
</calcChain>
</file>

<file path=xl/comments1.xml><?xml version="1.0" encoding="utf-8"?>
<comments xmlns="http://schemas.openxmlformats.org/spreadsheetml/2006/main">
  <authors>
    <author>Mark Nordquist</author>
    <author>Western Geophysical</author>
  </authors>
  <commentList>
    <comment ref="A63" authorId="0">
      <text>
        <r>
          <rPr>
            <sz val="8"/>
            <color indexed="81"/>
            <rFont val="Tahoma"/>
            <family val="2"/>
          </rPr>
          <t>Use this cell to calculate fuel for Mob/Demob Rate
Enter 0 if client supplies
enter 2 for 2 x fuel, 
enter 3 for 3 x fuel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Hours One Way</t>
        </r>
      </text>
    </comment>
    <comment ref="F105" authorId="0">
      <text>
        <r>
          <rPr>
            <sz val="8"/>
            <color indexed="81"/>
            <rFont val="Tahoma"/>
            <family val="2"/>
          </rPr>
          <t># of Days to Charge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Hours / Day</t>
        </r>
      </text>
    </comment>
    <comment ref="F108" authorId="0">
      <text>
        <r>
          <rPr>
            <sz val="8"/>
            <color indexed="81"/>
            <rFont val="Tahoma"/>
            <family val="2"/>
          </rPr>
          <t># of Wx Days ?</t>
        </r>
      </text>
    </comment>
    <comment ref="C112" authorId="1">
      <text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(Peace Helicopter)
</t>
        </r>
        <r>
          <rPr>
            <b/>
            <sz val="9"/>
            <color indexed="12"/>
            <rFont val="Tahoma"/>
            <family val="2"/>
          </rPr>
          <t>206B
H500D
ASTAR-B
ASTAR-BA
ASTAR-B1
ASTAR-B2
B204
B205
B212</t>
        </r>
      </text>
    </comment>
    <comment ref="G112" authorId="1">
      <text>
        <r>
          <rPr>
            <b/>
            <sz val="8"/>
            <color indexed="81"/>
            <rFont val="Tahoma"/>
            <family val="2"/>
          </rPr>
          <t>"</t>
        </r>
        <r>
          <rPr>
            <b/>
            <sz val="8"/>
            <color indexed="12"/>
            <rFont val="Tahoma"/>
            <family val="2"/>
          </rPr>
          <t>YES"</t>
        </r>
        <r>
          <rPr>
            <b/>
            <sz val="8"/>
            <color indexed="81"/>
            <rFont val="Tahoma"/>
            <family val="2"/>
          </rPr>
          <t xml:space="preserve">  if Fuel is </t>
        </r>
        <r>
          <rPr>
            <b/>
            <u/>
            <sz val="8"/>
            <color indexed="81"/>
            <rFont val="Tahoma"/>
            <family val="2"/>
          </rPr>
          <t>I</t>
        </r>
        <r>
          <rPr>
            <b/>
            <sz val="8"/>
            <color indexed="81"/>
            <rFont val="Tahoma"/>
            <family val="2"/>
          </rPr>
          <t xml:space="preserve">ncluded or              </t>
        </r>
        <r>
          <rPr>
            <b/>
            <sz val="8"/>
            <color indexed="81"/>
            <rFont val="Tahoma"/>
            <family val="2"/>
          </rPr>
          <t xml:space="preserve">
"</t>
        </r>
        <r>
          <rPr>
            <b/>
            <sz val="8"/>
            <color indexed="12"/>
            <rFont val="Tahoma"/>
            <family val="2"/>
          </rPr>
          <t>NO</t>
        </r>
        <r>
          <rPr>
            <b/>
            <sz val="8"/>
            <color indexed="81"/>
            <rFont val="Tahoma"/>
            <family val="2"/>
          </rPr>
          <t>" if Fuel is an Outside Cost</t>
        </r>
      </text>
    </comment>
    <comment ref="G114" authorId="0">
      <text>
        <r>
          <rPr>
            <sz val="8"/>
            <color indexed="81"/>
            <rFont val="Tahoma"/>
            <family val="2"/>
          </rPr>
          <t>Enter Hours per Km</t>
        </r>
      </text>
    </comment>
  </commentList>
</comments>
</file>

<file path=xl/sharedStrings.xml><?xml version="1.0" encoding="utf-8"?>
<sst xmlns="http://schemas.openxmlformats.org/spreadsheetml/2006/main" count="468" uniqueCount="310">
  <si>
    <t>CLIENT:</t>
  </si>
  <si>
    <t>DATE:</t>
  </si>
  <si>
    <t>PROVINCE:</t>
  </si>
  <si>
    <t>Km's Receiver Lines:</t>
  </si>
  <si>
    <t>(3D Bids)     # Receiver Lines:</t>
  </si>
  <si>
    <t># Source Lines:</t>
  </si>
  <si>
    <t>Km's Source Lines:</t>
  </si>
  <si>
    <t>(2D Bids)   Receiver Interval:</t>
  </si>
  <si>
    <t>S.P. Interval:</t>
  </si>
  <si>
    <t>Receiver Line Interval:</t>
  </si>
  <si>
    <t>Source Line Interval:</t>
  </si>
  <si>
    <t>Total Square Km's:</t>
  </si>
  <si>
    <t>Total Receiver points:</t>
  </si>
  <si>
    <t>Total /S.P.'s:</t>
  </si>
  <si>
    <t>Holes Per /S.P.:</t>
  </si>
  <si>
    <t>Hole Depth:</t>
  </si>
  <si>
    <t>Extra Hole per Line:</t>
  </si>
  <si>
    <t>Double Cap:</t>
  </si>
  <si>
    <t>Double Plug:</t>
  </si>
  <si>
    <t>Patch Size: (No. of Lines)</t>
  </si>
  <si>
    <t>x Rec.'s/Line</t>
  </si>
  <si>
    <t>Channels</t>
  </si>
  <si>
    <t>x</t>
  </si>
  <si>
    <t>Party Manager</t>
  </si>
  <si>
    <t>Clerk</t>
  </si>
  <si>
    <t>Mechanic</t>
  </si>
  <si>
    <t>Shooters</t>
  </si>
  <si>
    <t>Shooter's Helpers</t>
  </si>
  <si>
    <t>Line Boss</t>
  </si>
  <si>
    <t>Recorder Helpers</t>
  </si>
  <si>
    <t>Night Watchman</t>
  </si>
  <si>
    <t>AMOUNT</t>
  </si>
  <si>
    <t>DAILY COST</t>
  </si>
  <si>
    <t>A.T.V./QUADS</t>
  </si>
  <si>
    <t>No. Sweeps:</t>
  </si>
  <si>
    <t>Move-up  Between Sweeps:</t>
  </si>
  <si>
    <t>Sweep Length:</t>
  </si>
  <si>
    <t>Listen Time:</t>
  </si>
  <si>
    <t>Vibrator Technician</t>
  </si>
  <si>
    <t>Vibrator Operators</t>
  </si>
  <si>
    <t>Vibrator Tech Truck</t>
  </si>
  <si>
    <t>DAYS</t>
  </si>
  <si>
    <t>TOTAL COST</t>
  </si>
  <si>
    <t>TRUCKING</t>
  </si>
  <si>
    <t>Equipment Trailers</t>
  </si>
  <si>
    <t>Motel - Single Rooms</t>
  </si>
  <si>
    <t>Motel - Double Rooms</t>
  </si>
  <si>
    <t>Recording Days Calculation</t>
  </si>
  <si>
    <t>DYNAMITE</t>
  </si>
  <si>
    <t>VIBRATORS</t>
  </si>
  <si>
    <t>Shotpoints/Day (Average):</t>
  </si>
  <si>
    <t>Extra Days (Layout &amp; Pick-up):</t>
  </si>
  <si>
    <t>Seconds Move-up Between VPs:</t>
  </si>
  <si>
    <r>
      <t>Total Amount of Pad Time Required:</t>
    </r>
    <r>
      <rPr>
        <sz val="8"/>
        <rFont val="Arial"/>
        <family val="2"/>
      </rPr>
      <t xml:space="preserve"> (Pad Time per VP x Total VPs in Program)</t>
    </r>
  </si>
  <si>
    <t>=</t>
  </si>
  <si>
    <t>Total Seconds</t>
  </si>
  <si>
    <t xml:space="preserve">Crew Hrs </t>
  </si>
  <si>
    <t xml:space="preserve">Field Travel Hrs </t>
  </si>
  <si>
    <t xml:space="preserve">Start up Hrs </t>
  </si>
  <si>
    <t xml:space="preserve">Total Days For Program: </t>
  </si>
  <si>
    <t xml:space="preserve">Dynamite Recording </t>
  </si>
  <si>
    <t xml:space="preserve">Detour Hrs </t>
  </si>
  <si>
    <t>Vibroseis Recording</t>
  </si>
  <si>
    <t xml:space="preserve">Move Up Hrs </t>
  </si>
  <si>
    <t xml:space="preserve">Average Kms per Day: </t>
  </si>
  <si>
    <t>Total Recording Days:</t>
  </si>
  <si>
    <t xml:space="preserve">Vib Hrs / Day </t>
  </si>
  <si>
    <t xml:space="preserve">Average V.P. per Day: </t>
  </si>
  <si>
    <t>RECORDING</t>
  </si>
  <si>
    <t>Mob/Demob</t>
  </si>
  <si>
    <t>Weather Days</t>
  </si>
  <si>
    <t>Recording</t>
  </si>
  <si>
    <t>TOTAL ESTIMATED COST</t>
  </si>
  <si>
    <t>TOTAL TURNKEY COST</t>
  </si>
  <si>
    <t>CANADIAN</t>
  </si>
  <si>
    <t>DOLLARS</t>
  </si>
  <si>
    <t>US DOLLARS</t>
  </si>
  <si>
    <t>Fuel - Recording</t>
  </si>
  <si>
    <t>Fuel - Vibrators</t>
  </si>
  <si>
    <t>RATE/HOUR</t>
  </si>
  <si>
    <t>COST/S.P.</t>
  </si>
  <si>
    <t>COST/KM.</t>
  </si>
  <si>
    <t>RATE /HOUR</t>
  </si>
  <si>
    <t>HOURS</t>
  </si>
  <si>
    <t>RATE/DAY</t>
  </si>
  <si>
    <t>Turnkey</t>
  </si>
  <si>
    <t>Receiver Points/Day (Average):</t>
  </si>
  <si>
    <r>
      <t>Kgs per Hole</t>
    </r>
    <r>
      <rPr>
        <sz val="9"/>
        <color indexed="8"/>
        <rFont val="Arial"/>
        <family val="2"/>
      </rPr>
      <t xml:space="preserve"> ("0" if Vib Job)=&gt;</t>
    </r>
    <r>
      <rPr>
        <b/>
        <sz val="9"/>
        <color indexed="8"/>
        <rFont val="Arial"/>
        <family val="2"/>
      </rPr>
      <t>:</t>
    </r>
  </si>
  <si>
    <t>OVERHEAD</t>
  </si>
  <si>
    <t>Recording Costs:</t>
  </si>
  <si>
    <t>Helicopter - Recording:</t>
  </si>
  <si>
    <t>Helicopter - Other:</t>
  </si>
  <si>
    <t>ITEM</t>
  </si>
  <si>
    <t>TOTAL COSTS</t>
  </si>
  <si>
    <t>INSIDE</t>
  </si>
  <si>
    <t>SUMMARY PAGE</t>
  </si>
  <si>
    <t>Crew No.</t>
  </si>
  <si>
    <t>COST/PT.</t>
  </si>
  <si>
    <t>NO</t>
  </si>
  <si>
    <t>WX DAYS</t>
  </si>
  <si>
    <t>NO. OF</t>
  </si>
  <si>
    <t xml:space="preserve"> RATE</t>
  </si>
  <si>
    <t>Assist.Party Manager</t>
  </si>
  <si>
    <t>PERSONNEL</t>
  </si>
  <si>
    <t>% USED FOR NIGHTSHIFT</t>
  </si>
  <si>
    <t>DAYSHIFT</t>
  </si>
  <si>
    <t>NIGHTSHIFT</t>
  </si>
  <si>
    <t>WEATHER/STANDBY</t>
  </si>
  <si>
    <t>Hotshot</t>
  </si>
  <si>
    <t>RATE/HR</t>
  </si>
  <si>
    <t>COST/HR</t>
  </si>
  <si>
    <t>RATE/UNIT</t>
  </si>
  <si>
    <r>
      <t xml:space="preserve">Field Days to Shoot - </t>
    </r>
    <r>
      <rPr>
        <b/>
        <sz val="9"/>
        <rFont val="Arial"/>
        <family val="2"/>
      </rPr>
      <t>DAYSHIFT</t>
    </r>
  </si>
  <si>
    <r>
      <t xml:space="preserve">Field Days to Shoot - </t>
    </r>
    <r>
      <rPr>
        <b/>
        <sz val="9"/>
        <rFont val="Arial"/>
        <family val="2"/>
      </rPr>
      <t>NIGHTSHIFT</t>
    </r>
  </si>
  <si>
    <t>Mob/Demob Rate</t>
  </si>
  <si>
    <t>Pilot/Engineer Accomodations</t>
  </si>
  <si>
    <t>Wx Day</t>
  </si>
  <si>
    <t>Mob</t>
  </si>
  <si>
    <t>ENTER NUMBERS TO USE IN BID:</t>
  </si>
  <si>
    <t xml:space="preserve"> &lt;= Avg. Hrs/Day Flying</t>
  </si>
  <si>
    <t>FUEL</t>
  </si>
  <si>
    <t>ASTAR-B2</t>
  </si>
  <si>
    <t>Total Groups</t>
  </si>
  <si>
    <t>Hours / Day Worked</t>
  </si>
  <si>
    <t>Men / Crew</t>
  </si>
  <si>
    <t>Group / Hour         / Person</t>
  </si>
  <si>
    <t>Groups / Day                   / Person</t>
  </si>
  <si>
    <t>SP's / Day / Shooter:</t>
  </si>
  <si>
    <t>Groups Layout / Day:</t>
  </si>
  <si>
    <t>Groups Pickup / Day:</t>
  </si>
  <si>
    <t>SHOOT ALL LIVE:</t>
  </si>
  <si>
    <r>
      <t>&lt;</t>
    </r>
    <r>
      <rPr>
        <sz val="8"/>
        <rFont val="Arial"/>
        <family val="2"/>
      </rPr>
      <t>==</t>
    </r>
    <r>
      <rPr>
        <sz val="6"/>
        <rFont val="Arial"/>
        <family val="2"/>
      </rPr>
      <t xml:space="preserve"> (YES/NO)</t>
    </r>
  </si>
  <si>
    <t>HRS/DAY</t>
  </si>
  <si>
    <t># Crews</t>
  </si>
  <si>
    <t>ZIPPER REQUIRED:</t>
  </si>
  <si>
    <t>Additional Stations to Re-Lay:</t>
  </si>
  <si>
    <t>No. of  Zippers</t>
  </si>
  <si>
    <t>Groups / Swath</t>
  </si>
  <si>
    <t>No. of Receiver Lines</t>
  </si>
  <si>
    <t>RECORDING DAYS</t>
  </si>
  <si>
    <t>TOTAL PAD TIME:</t>
  </si>
  <si>
    <t xml:space="preserve">Total Pad Time per VP: </t>
  </si>
  <si>
    <t>PROV. TAX:</t>
  </si>
  <si>
    <t>PERCENT OF       COST</t>
  </si>
  <si>
    <t>Total Kms (all Inclusive):</t>
  </si>
  <si>
    <t>Co-ordinator</t>
  </si>
  <si>
    <t>Repairs &amp; Maint.</t>
  </si>
  <si>
    <t>Cost per Receiver Point:</t>
  </si>
  <si>
    <t>REC PT/HR</t>
  </si>
  <si>
    <t>RATE HR/PT</t>
  </si>
  <si>
    <t>Cost per Source Point:</t>
  </si>
  <si>
    <t>Cost per Receiver Point Rec. Only:</t>
  </si>
  <si>
    <t>$/Rec. Pt.</t>
  </si>
  <si>
    <t>COST PER KILOMETER</t>
  </si>
  <si>
    <t>Total Number of Days</t>
  </si>
  <si>
    <t>Profit</t>
  </si>
  <si>
    <t>Recording Crew moves</t>
  </si>
  <si>
    <t>YES</t>
  </si>
  <si>
    <t>Management Fee</t>
  </si>
  <si>
    <t>Trucking (Equipment Highboy):</t>
  </si>
  <si>
    <t>Recording Mob/Demob:</t>
  </si>
  <si>
    <t>DynaNav</t>
  </si>
  <si>
    <t>(# Sweeps x (Sweep Length + Listen Time))+(# Moves x Move up/Sweep) =</t>
  </si>
  <si>
    <t>Profit Margins</t>
  </si>
  <si>
    <t>Helicopter In</t>
  </si>
  <si>
    <t>Without Helicopter</t>
  </si>
  <si>
    <t>HSE Advisor</t>
  </si>
  <si>
    <t>RECORDING EQUIPMENT (REVENUE)</t>
  </si>
  <si>
    <t>TRUCKS, VIBRATORS &amp; ATV'S (REVENUE)</t>
  </si>
  <si>
    <t>EQUIPMENT EXPENSES</t>
  </si>
  <si>
    <t>Rental Recording System</t>
  </si>
  <si>
    <t>Rental Geophones</t>
  </si>
  <si>
    <t>HELICOPTER EXPENSE</t>
  </si>
  <si>
    <t>COST PER REC. POINT</t>
  </si>
  <si>
    <t>COST PER SOUR POINT</t>
  </si>
  <si>
    <t>Tapes and Supplies</t>
  </si>
  <si>
    <t>H550D</t>
  </si>
  <si>
    <t>UTV's/Kubotas</t>
  </si>
  <si>
    <t>TOTAL</t>
  </si>
  <si>
    <t>Rotation</t>
  </si>
  <si>
    <t>Trouble Shooters/Viewers</t>
  </si>
  <si>
    <t>Fuel Driver</t>
  </si>
  <si>
    <t>Staging Helpers</t>
  </si>
  <si>
    <t>AB</t>
  </si>
  <si>
    <t>ARAM ARIES</t>
  </si>
  <si>
    <t>Geospace GSX1</t>
  </si>
  <si>
    <t>Geospace GSX3C</t>
  </si>
  <si>
    <t>Fuel Truck/Picker Truck</t>
  </si>
  <si>
    <t xml:space="preserve">Stat Holiday </t>
  </si>
  <si>
    <t>CREW DEPLOYMENT SHEET</t>
  </si>
  <si>
    <t>CLIENT</t>
  </si>
  <si>
    <t>CREW</t>
  </si>
  <si>
    <t>DESCRIPTION</t>
  </si>
  <si>
    <t>SYSTEM</t>
  </si>
  <si>
    <t>BOX</t>
  </si>
  <si>
    <t>BATTERY</t>
  </si>
  <si>
    <t>CABLE</t>
  </si>
  <si>
    <t>GEOPHONE</t>
  </si>
  <si>
    <t>BLASTERS</t>
  </si>
  <si>
    <t>VEHICLES</t>
  </si>
  <si>
    <t>JOB NAME</t>
  </si>
  <si>
    <t>JOB NUMBER</t>
  </si>
  <si>
    <t>AREA</t>
  </si>
  <si>
    <t>none</t>
  </si>
  <si>
    <t>BOXES</t>
  </si>
  <si>
    <t>ARAM</t>
  </si>
  <si>
    <t>ARIES</t>
  </si>
  <si>
    <t>72 meter</t>
  </si>
  <si>
    <t>O.N.E.</t>
  </si>
  <si>
    <t>BOOM BOX</t>
  </si>
  <si>
    <t>IVI MINI</t>
  </si>
  <si>
    <t>GROUND EQUIPMENT</t>
  </si>
  <si>
    <t>TYPE</t>
  </si>
  <si>
    <t>HUMAN RESOURCES</t>
  </si>
  <si>
    <t>NAME</t>
  </si>
  <si>
    <t>BATTERIES</t>
  </si>
  <si>
    <t>GSR</t>
  </si>
  <si>
    <t>TAP</t>
  </si>
  <si>
    <t>LiPO</t>
  </si>
  <si>
    <t>36 meter</t>
  </si>
  <si>
    <t>3 Per</t>
  </si>
  <si>
    <t>SHOT PRO</t>
  </si>
  <si>
    <t>IVI 50,000</t>
  </si>
  <si>
    <t>Boxes</t>
  </si>
  <si>
    <t>GEOPHONES</t>
  </si>
  <si>
    <t>INOVA</t>
  </si>
  <si>
    <t>GSX1</t>
  </si>
  <si>
    <t>BX10</t>
  </si>
  <si>
    <t>22 meter</t>
  </si>
  <si>
    <t>6 Per</t>
  </si>
  <si>
    <t>Austin</t>
  </si>
  <si>
    <t>IVI 60,000</t>
  </si>
  <si>
    <t>CABLES</t>
  </si>
  <si>
    <t>SERCEL</t>
  </si>
  <si>
    <t>GSX3</t>
  </si>
  <si>
    <t>HAWK</t>
  </si>
  <si>
    <t>3 C</t>
  </si>
  <si>
    <t>Dyno Nobel</t>
  </si>
  <si>
    <t>Explosives Ltd</t>
  </si>
  <si>
    <t>ADVANCE II</t>
  </si>
  <si>
    <t>Batteries</t>
  </si>
  <si>
    <t>3C DRILLS</t>
  </si>
  <si>
    <t>Maxam</t>
  </si>
  <si>
    <t>FORCE II</t>
  </si>
  <si>
    <t>PLANTING POLE</t>
  </si>
  <si>
    <t>VIBE PRO</t>
  </si>
  <si>
    <t>Geophones</t>
  </si>
  <si>
    <t>Cables</t>
  </si>
  <si>
    <t>Equipment Van</t>
  </si>
  <si>
    <t>SOURCE EQUIPMENT</t>
  </si>
  <si>
    <t>Charging Van</t>
  </si>
  <si>
    <t>Blasters</t>
  </si>
  <si>
    <t>Vibrator Electronics</t>
  </si>
  <si>
    <t>Daily Field Total</t>
  </si>
  <si>
    <t>PERIPHERAL EQUIPMENT</t>
  </si>
  <si>
    <t>PARAMETERS</t>
  </si>
  <si>
    <t>Crew Total</t>
  </si>
  <si>
    <t>Planting Pole</t>
  </si>
  <si>
    <t>Scripting</t>
  </si>
  <si>
    <t>hr</t>
  </si>
  <si>
    <t>3C Drills</t>
  </si>
  <si>
    <t>Cycle Time</t>
  </si>
  <si>
    <t>HSE REQUIREMENTS</t>
  </si>
  <si>
    <t>Bag Runner</t>
  </si>
  <si>
    <t>Pre Amp Gain</t>
  </si>
  <si>
    <t>dB</t>
  </si>
  <si>
    <t>Heli Bags</t>
  </si>
  <si>
    <t>Sample Rate</t>
  </si>
  <si>
    <t>ms</t>
  </si>
  <si>
    <t>Line Viewers</t>
  </si>
  <si>
    <t>GPS</t>
  </si>
  <si>
    <t>ERP on file</t>
  </si>
  <si>
    <t>Radios</t>
  </si>
  <si>
    <t>Hazard Assessment on file</t>
  </si>
  <si>
    <t>Crew Supervisor</t>
  </si>
  <si>
    <t>HSE Supervisor</t>
  </si>
  <si>
    <t>Technical Advisor</t>
  </si>
  <si>
    <t>Special Training Requirements</t>
  </si>
  <si>
    <t>Special PPE Requirements</t>
  </si>
  <si>
    <t>24 hour Operations</t>
  </si>
  <si>
    <t>JOBNAME:</t>
  </si>
  <si>
    <t>Quad / UTV Trailers</t>
  </si>
  <si>
    <t>Comments:</t>
  </si>
  <si>
    <t>Boat</t>
  </si>
  <si>
    <t>Floats</t>
  </si>
  <si>
    <t>O-Seis?</t>
  </si>
  <si>
    <t>Heli - Assist?</t>
  </si>
  <si>
    <t>START  DATE</t>
  </si>
  <si>
    <t>ADDITIONAL  REQUIREMENTS</t>
  </si>
  <si>
    <t>Merge Operator</t>
  </si>
  <si>
    <t>FMC Operator</t>
  </si>
  <si>
    <t>Electronic Detonators (O-Seis)</t>
  </si>
  <si>
    <t>Mechanic Truck</t>
  </si>
  <si>
    <t xml:space="preserve">Crew Trucks - F150 </t>
  </si>
  <si>
    <t xml:space="preserve">Crew Trucks - F250/F350 </t>
  </si>
  <si>
    <t>Vibrators - Mini IVI</t>
  </si>
  <si>
    <t>Vibrators - Y2400</t>
  </si>
  <si>
    <t>Vibrators - ATS 60</t>
  </si>
  <si>
    <t>Vibrators - Other</t>
  </si>
  <si>
    <t xml:space="preserve">Party Manager / Personal </t>
  </si>
  <si>
    <t>TRAILERS</t>
  </si>
  <si>
    <t>FMC Truck</t>
  </si>
  <si>
    <t>Merge Trailer</t>
  </si>
  <si>
    <t>Marketing</t>
  </si>
  <si>
    <t>Geophones (3per or 6per)</t>
  </si>
  <si>
    <t>Field Service Tech</t>
  </si>
  <si>
    <t xml:space="preserve">(Client Supplies Subsitance only)  </t>
  </si>
  <si>
    <t xml:space="preserve">(Client Supplies Subsistance and Fuel)  </t>
  </si>
  <si>
    <t xml:space="preserve">(Eagle supplies Subsistance and Fuel)  </t>
  </si>
  <si>
    <t>Vibe Trucking</t>
  </si>
</sst>
</file>

<file path=xl/styles.xml><?xml version="1.0" encoding="utf-8"?>
<styleSheet xmlns="http://schemas.openxmlformats.org/spreadsheetml/2006/main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0.0"/>
    <numFmt numFmtId="166" formatCode="#\ ?/?\ \K\G"/>
    <numFmt numFmtId="167" formatCode="0.0%"/>
    <numFmt numFmtId="168" formatCode="&quot;$&quot;\ #,##0.00;\-&quot;$&quot;#,##0.00"/>
    <numFmt numFmtId="169" formatCode="\(\ \ \ 0\ \ \ \x"/>
    <numFmt numFmtId="170" formatCode="0\ \ \ \)\ \ \ \ \ \+"/>
    <numFmt numFmtId="171" formatCode="&quot;$&quot;#,##0.00"/>
    <numFmt numFmtId="172" formatCode="&quot;$&quot;#,##0.0000"/>
    <numFmt numFmtId="173" formatCode="#\ &quot;M&quot;"/>
    <numFmt numFmtId="174" formatCode="&quot;=&quot;\ #"/>
    <numFmt numFmtId="175" formatCode="0.0\ &quot;Days&quot;"/>
    <numFmt numFmtId="176" formatCode="0.00\ &quot;Hr/Km&quot;"/>
    <numFmt numFmtId="177" formatCode="&quot;$&quot;#,##0.000000"/>
    <numFmt numFmtId="178" formatCode="&quot;/ &quot;0\ &quot;crews =&quot;"/>
    <numFmt numFmtId="179" formatCode="0.00\ &quot;Sets/Hr&quot;"/>
    <numFmt numFmtId="180" formatCode="0.000\ &quot;Kms/Day Average&quot;"/>
    <numFmt numFmtId="181" formatCode="0&quot; Men&quot;"/>
    <numFmt numFmtId="182" formatCode="0.0\ &quot;Hrs&quot;"/>
    <numFmt numFmtId="183" formatCode="0\ &quot;(Seconds)&quot;"/>
    <numFmt numFmtId="184" formatCode="0\ &quot;(Total VPs)&quot;"/>
    <numFmt numFmtId="185" formatCode="[$-409]mmmm\ d\,\ yyyy;@"/>
    <numFmt numFmtId="186" formatCode="&quot;$&quot;0.00\ &quot;pt&quot;"/>
  </numFmts>
  <fonts count="47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8"/>
      <color indexed="8"/>
      <name val="Arial"/>
      <family val="2"/>
    </font>
    <font>
      <sz val="7.5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b/>
      <i/>
      <sz val="14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6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8"/>
      <color indexed="12"/>
      <name val="Tahoma"/>
      <family val="2"/>
    </font>
    <font>
      <b/>
      <sz val="14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9"/>
      <color indexed="56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b/>
      <sz val="9"/>
      <color indexed="12"/>
      <name val="Tahoma"/>
      <family val="2"/>
    </font>
    <font>
      <b/>
      <u/>
      <sz val="8"/>
      <color indexed="81"/>
      <name val="Tahoma"/>
      <family val="2"/>
    </font>
    <font>
      <b/>
      <sz val="8"/>
      <color indexed="10"/>
      <name val="Tahoma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12"/>
      <color indexed="8"/>
      <name val="Arial"/>
      <family val="2"/>
    </font>
    <font>
      <b/>
      <i/>
      <sz val="12"/>
      <name val="Arial"/>
      <family val="2"/>
    </font>
    <font>
      <b/>
      <i/>
      <sz val="12"/>
      <color indexed="8"/>
      <name val="Arial"/>
      <family val="2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</cellStyleXfs>
  <cellXfs count="581">
    <xf numFmtId="0" fontId="0" fillId="0" borderId="0" xfId="0"/>
    <xf numFmtId="0" fontId="5" fillId="0" borderId="0" xfId="0" applyFont="1" applyAlignment="1" applyProtection="1"/>
    <xf numFmtId="0" fontId="9" fillId="0" borderId="0" xfId="0" applyFont="1" applyAlignment="1" applyProtection="1">
      <alignment horizontal="right"/>
    </xf>
    <xf numFmtId="0" fontId="0" fillId="0" borderId="0" xfId="0" applyAlignment="1" applyProtection="1"/>
    <xf numFmtId="165" fontId="29" fillId="0" borderId="0" xfId="0" applyNumberFormat="1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6" fillId="0" borderId="0" xfId="0" applyFont="1" applyAlignment="1" applyProtection="1"/>
    <xf numFmtId="0" fontId="15" fillId="0" borderId="0" xfId="0" applyFont="1" applyAlignment="1" applyProtection="1"/>
    <xf numFmtId="0" fontId="22" fillId="0" borderId="0" xfId="0" applyFont="1" applyAlignment="1" applyProtection="1">
      <alignment horizontal="right"/>
    </xf>
    <xf numFmtId="164" fontId="22" fillId="2" borderId="1" xfId="0" applyNumberFormat="1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/>
    <xf numFmtId="0" fontId="22" fillId="2" borderId="1" xfId="0" applyFont="1" applyFill="1" applyBorder="1" applyAlignment="1" applyProtection="1">
      <alignment horizontal="center"/>
    </xf>
    <xf numFmtId="0" fontId="23" fillId="0" borderId="0" xfId="0" applyFont="1" applyFill="1" applyAlignment="1" applyProtection="1">
      <alignment horizontal="right"/>
    </xf>
    <xf numFmtId="0" fontId="23" fillId="2" borderId="1" xfId="0" applyFont="1" applyFill="1" applyBorder="1" applyAlignment="1" applyProtection="1">
      <alignment horizontal="center"/>
    </xf>
    <xf numFmtId="164" fontId="22" fillId="0" borderId="1" xfId="0" applyNumberFormat="1" applyFont="1" applyBorder="1" applyAlignment="1" applyProtection="1">
      <alignment horizontal="center"/>
    </xf>
    <xf numFmtId="0" fontId="15" fillId="0" borderId="0" xfId="0" applyFont="1" applyAlignment="1" applyProtection="1">
      <alignment textRotation="90"/>
    </xf>
    <xf numFmtId="2" fontId="22" fillId="2" borderId="1" xfId="0" applyNumberFormat="1" applyFont="1" applyFill="1" applyBorder="1" applyAlignment="1" applyProtection="1">
      <alignment horizontal="center"/>
    </xf>
    <xf numFmtId="0" fontId="23" fillId="0" borderId="1" xfId="0" applyFont="1" applyFill="1" applyBorder="1" applyAlignment="1" applyProtection="1">
      <alignment horizontal="center"/>
    </xf>
    <xf numFmtId="0" fontId="22" fillId="0" borderId="0" xfId="0" applyFont="1" applyAlignment="1" applyProtection="1"/>
    <xf numFmtId="166" fontId="23" fillId="2" borderId="1" xfId="0" applyNumberFormat="1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center"/>
    </xf>
    <xf numFmtId="174" fontId="23" fillId="0" borderId="1" xfId="0" applyNumberFormat="1" applyFont="1" applyFill="1" applyBorder="1" applyAlignment="1" applyProtection="1">
      <alignment horizontal="center"/>
    </xf>
    <xf numFmtId="0" fontId="6" fillId="0" borderId="0" xfId="0" applyFont="1" applyBorder="1" applyAlignment="1" applyProtection="1"/>
    <xf numFmtId="0" fontId="12" fillId="0" borderId="0" xfId="0" applyFont="1" applyFill="1" applyAlignment="1" applyProtection="1"/>
    <xf numFmtId="0" fontId="13" fillId="0" borderId="0" xfId="0" applyFont="1" applyFill="1" applyAlignment="1" applyProtection="1"/>
    <xf numFmtId="0" fontId="22" fillId="3" borderId="2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wrapText="1"/>
    </xf>
    <xf numFmtId="0" fontId="22" fillId="0" borderId="2" xfId="0" applyFont="1" applyBorder="1" applyAlignment="1" applyProtection="1">
      <alignment horizontal="center"/>
    </xf>
    <xf numFmtId="0" fontId="22" fillId="2" borderId="2" xfId="0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center"/>
    </xf>
    <xf numFmtId="171" fontId="22" fillId="2" borderId="2" xfId="2" applyNumberFormat="1" applyFont="1" applyFill="1" applyBorder="1" applyAlignment="1" applyProtection="1">
      <alignment horizontal="center"/>
    </xf>
    <xf numFmtId="2" fontId="15" fillId="0" borderId="0" xfId="0" applyNumberFormat="1" applyFont="1" applyAlignment="1" applyProtection="1"/>
    <xf numFmtId="0" fontId="22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22" fillId="0" borderId="0" xfId="0" applyFont="1" applyAlignment="1" applyProtection="1">
      <alignment horizontal="center" wrapText="1"/>
    </xf>
    <xf numFmtId="1" fontId="22" fillId="0" borderId="2" xfId="0" applyNumberFormat="1" applyFont="1" applyFill="1" applyBorder="1" applyAlignment="1" applyProtection="1">
      <alignment horizontal="center"/>
    </xf>
    <xf numFmtId="172" fontId="22" fillId="0" borderId="0" xfId="0" applyNumberFormat="1" applyFont="1" applyAlignment="1" applyProtection="1"/>
    <xf numFmtId="0" fontId="9" fillId="0" borderId="0" xfId="0" applyFont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44" fontId="13" fillId="0" borderId="0" xfId="0" applyNumberFormat="1" applyFont="1" applyFill="1" applyAlignment="1" applyProtection="1">
      <alignment horizontal="center"/>
    </xf>
    <xf numFmtId="0" fontId="15" fillId="0" borderId="0" xfId="0" applyFont="1" applyAlignment="1" applyProtection="1">
      <alignment horizontal="center" wrapText="1"/>
    </xf>
    <xf numFmtId="0" fontId="22" fillId="0" borderId="2" xfId="0" applyFont="1" applyFill="1" applyBorder="1" applyAlignment="1" applyProtection="1">
      <alignment horizontal="center"/>
    </xf>
    <xf numFmtId="0" fontId="8" fillId="0" borderId="0" xfId="0" applyFont="1" applyAlignment="1" applyProtection="1"/>
    <xf numFmtId="0" fontId="8" fillId="0" borderId="0" xfId="0" applyFont="1" applyBorder="1" applyAlignment="1" applyProtection="1"/>
    <xf numFmtId="0" fontId="15" fillId="0" borderId="0" xfId="0" applyFont="1" applyFill="1" applyBorder="1" applyAlignment="1" applyProtection="1">
      <alignment horizontal="left"/>
    </xf>
    <xf numFmtId="0" fontId="22" fillId="0" borderId="6" xfId="0" applyFont="1" applyBorder="1" applyAlignment="1" applyProtection="1">
      <alignment horizontal="center"/>
    </xf>
    <xf numFmtId="0" fontId="19" fillId="0" borderId="0" xfId="0" applyFont="1" applyAlignment="1" applyProtection="1"/>
    <xf numFmtId="0" fontId="15" fillId="0" borderId="0" xfId="0" applyFont="1" applyFill="1" applyBorder="1" applyAlignment="1" applyProtection="1"/>
    <xf numFmtId="0" fontId="23" fillId="3" borderId="2" xfId="0" applyFont="1" applyFill="1" applyBorder="1" applyAlignment="1" applyProtection="1">
      <alignment horizontal="center" wrapText="1"/>
    </xf>
    <xf numFmtId="171" fontId="15" fillId="0" borderId="2" xfId="2" applyNumberFormat="1" applyFont="1" applyFill="1" applyBorder="1" applyAlignment="1" applyProtection="1"/>
    <xf numFmtId="0" fontId="22" fillId="0" borderId="7" xfId="0" applyFont="1" applyBorder="1" applyAlignment="1" applyProtection="1">
      <alignment horizontal="center"/>
    </xf>
    <xf numFmtId="1" fontId="22" fillId="2" borderId="2" xfId="2" applyNumberFormat="1" applyFont="1" applyFill="1" applyBorder="1" applyAlignment="1" applyProtection="1">
      <alignment horizontal="center"/>
    </xf>
    <xf numFmtId="0" fontId="22" fillId="0" borderId="8" xfId="0" applyFont="1" applyBorder="1" applyAlignment="1" applyProtection="1">
      <alignment horizontal="center"/>
    </xf>
    <xf numFmtId="171" fontId="22" fillId="0" borderId="0" xfId="2" applyNumberFormat="1" applyFont="1" applyFill="1" applyBorder="1" applyAlignment="1" applyProtection="1">
      <alignment horizontal="center"/>
    </xf>
    <xf numFmtId="0" fontId="18" fillId="0" borderId="0" xfId="0" applyFont="1" applyBorder="1" applyAlignment="1" applyProtection="1"/>
    <xf numFmtId="0" fontId="6" fillId="0" borderId="1" xfId="0" applyFont="1" applyFill="1" applyBorder="1" applyAlignment="1" applyProtection="1"/>
    <xf numFmtId="0" fontId="6" fillId="0" borderId="0" xfId="0" applyFont="1" applyFill="1" applyBorder="1" applyAlignment="1" applyProtection="1"/>
    <xf numFmtId="171" fontId="15" fillId="0" borderId="2" xfId="2" applyNumberFormat="1" applyFont="1" applyBorder="1" applyAlignment="1" applyProtection="1"/>
    <xf numFmtId="171" fontId="24" fillId="0" borderId="2" xfId="2" applyNumberFormat="1" applyFont="1" applyFill="1" applyBorder="1" applyAlignment="1" applyProtection="1"/>
    <xf numFmtId="0" fontId="6" fillId="0" borderId="0" xfId="0" applyFont="1" applyAlignment="1" applyProtection="1">
      <alignment horizontal="left"/>
    </xf>
    <xf numFmtId="44" fontId="13" fillId="0" borderId="0" xfId="0" applyNumberFormat="1" applyFont="1" applyFill="1" applyBorder="1" applyAlignment="1" applyProtection="1"/>
    <xf numFmtId="0" fontId="15" fillId="0" borderId="0" xfId="0" applyFont="1" applyBorder="1" applyAlignment="1" applyProtection="1"/>
    <xf numFmtId="171" fontId="13" fillId="2" borderId="2" xfId="2" applyNumberFormat="1" applyFont="1" applyFill="1" applyBorder="1" applyAlignment="1" applyProtection="1"/>
    <xf numFmtId="0" fontId="10" fillId="0" borderId="0" xfId="0" applyFont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left"/>
    </xf>
    <xf numFmtId="165" fontId="22" fillId="2" borderId="2" xfId="0" applyNumberFormat="1" applyFont="1" applyFill="1" applyBorder="1" applyAlignment="1" applyProtection="1">
      <alignment horizontal="center"/>
    </xf>
    <xf numFmtId="44" fontId="15" fillId="0" borderId="2" xfId="2" applyFont="1" applyFill="1" applyBorder="1" applyAlignment="1" applyProtection="1"/>
    <xf numFmtId="0" fontId="6" fillId="0" borderId="0" xfId="0" applyFont="1" applyBorder="1" applyAlignment="1" applyProtection="1">
      <alignment horizontal="center"/>
    </xf>
    <xf numFmtId="165" fontId="6" fillId="0" borderId="0" xfId="0" applyNumberFormat="1" applyFont="1" applyBorder="1" applyAlignment="1" applyProtection="1">
      <alignment horizontal="center"/>
    </xf>
    <xf numFmtId="44" fontId="6" fillId="0" borderId="9" xfId="2" applyFont="1" applyBorder="1" applyAlignment="1" applyProtection="1"/>
    <xf numFmtId="1" fontId="22" fillId="0" borderId="10" xfId="0" applyNumberFormat="1" applyFont="1" applyFill="1" applyBorder="1" applyAlignment="1" applyProtection="1">
      <alignment horizontal="center"/>
    </xf>
    <xf numFmtId="171" fontId="22" fillId="2" borderId="10" xfId="2" applyNumberFormat="1" applyFont="1" applyFill="1" applyBorder="1" applyAlignment="1" applyProtection="1">
      <alignment horizontal="center"/>
    </xf>
    <xf numFmtId="1" fontId="22" fillId="2" borderId="2" xfId="0" applyNumberFormat="1" applyFont="1" applyFill="1" applyBorder="1" applyAlignment="1" applyProtection="1">
      <alignment horizontal="center"/>
    </xf>
    <xf numFmtId="0" fontId="15" fillId="0" borderId="0" xfId="0" applyFont="1" applyFill="1" applyAlignment="1" applyProtection="1"/>
    <xf numFmtId="0" fontId="22" fillId="0" borderId="0" xfId="0" applyFont="1" applyFill="1" applyAlignment="1" applyProtection="1">
      <alignment horizontal="center" wrapText="1"/>
    </xf>
    <xf numFmtId="171" fontId="22" fillId="0" borderId="2" xfId="2" applyNumberFormat="1" applyFont="1" applyFill="1" applyBorder="1" applyAlignment="1" applyProtection="1">
      <alignment horizontal="center"/>
    </xf>
    <xf numFmtId="0" fontId="6" fillId="0" borderId="0" xfId="0" applyFont="1" applyFill="1" applyAlignment="1" applyProtection="1"/>
    <xf numFmtId="0" fontId="0" fillId="0" borderId="0" xfId="0" applyFill="1" applyAlignment="1" applyProtection="1"/>
    <xf numFmtId="165" fontId="22" fillId="0" borderId="2" xfId="0" applyNumberFormat="1" applyFont="1" applyFill="1" applyBorder="1" applyAlignment="1" applyProtection="1">
      <alignment horizontal="center"/>
    </xf>
    <xf numFmtId="44" fontId="6" fillId="0" borderId="11" xfId="2" applyFont="1" applyBorder="1" applyAlignment="1" applyProtection="1"/>
    <xf numFmtId="44" fontId="15" fillId="0" borderId="0" xfId="2" applyFont="1" applyFill="1" applyBorder="1" applyAlignment="1" applyProtection="1"/>
    <xf numFmtId="0" fontId="6" fillId="0" borderId="0" xfId="0" applyFont="1" applyBorder="1" applyAlignment="1" applyProtection="1">
      <alignment horizontal="centerContinuous"/>
    </xf>
    <xf numFmtId="0" fontId="16" fillId="0" borderId="0" xfId="0" applyFont="1" applyAlignment="1" applyProtection="1">
      <alignment horizontal="center" wrapText="1"/>
    </xf>
    <xf numFmtId="0" fontId="16" fillId="0" borderId="0" xfId="0" applyFont="1" applyAlignment="1" applyProtection="1">
      <alignment horizontal="center"/>
    </xf>
    <xf numFmtId="0" fontId="11" fillId="0" borderId="0" xfId="0" applyFont="1" applyAlignment="1" applyProtection="1">
      <alignment wrapText="1"/>
    </xf>
    <xf numFmtId="0" fontId="25" fillId="0" borderId="0" xfId="0" applyFont="1" applyAlignment="1" applyProtection="1">
      <alignment horizontal="center" wrapText="1"/>
    </xf>
    <xf numFmtId="0" fontId="11" fillId="0" borderId="0" xfId="0" applyFont="1" applyAlignment="1" applyProtection="1"/>
    <xf numFmtId="0" fontId="25" fillId="0" borderId="0" xfId="0" applyFont="1" applyAlignment="1" applyProtection="1">
      <alignment horizontal="center"/>
    </xf>
    <xf numFmtId="44" fontId="15" fillId="0" borderId="0" xfId="2" applyFont="1" applyFill="1" applyAlignment="1" applyProtection="1"/>
    <xf numFmtId="0" fontId="6" fillId="0" borderId="0" xfId="0" applyFont="1" applyFill="1" applyBorder="1" applyAlignment="1" applyProtection="1">
      <alignment horizontal="left"/>
    </xf>
    <xf numFmtId="0" fontId="18" fillId="0" borderId="12" xfId="0" applyFont="1" applyBorder="1" applyAlignment="1" applyProtection="1"/>
    <xf numFmtId="165" fontId="22" fillId="2" borderId="2" xfId="2" applyNumberFormat="1" applyFont="1" applyFill="1" applyBorder="1" applyAlignment="1" applyProtection="1">
      <alignment horizontal="center"/>
    </xf>
    <xf numFmtId="165" fontId="22" fillId="0" borderId="2" xfId="2" applyNumberFormat="1" applyFont="1" applyFill="1" applyBorder="1" applyAlignment="1" applyProtection="1">
      <alignment horizontal="center"/>
    </xf>
    <xf numFmtId="176" fontId="22" fillId="2" borderId="2" xfId="2" applyNumberFormat="1" applyFont="1" applyFill="1" applyBorder="1" applyAlignment="1" applyProtection="1">
      <alignment horizontal="center"/>
    </xf>
    <xf numFmtId="0" fontId="8" fillId="0" borderId="0" xfId="0" applyFont="1" applyFill="1" applyAlignment="1" applyProtection="1"/>
    <xf numFmtId="0" fontId="15" fillId="0" borderId="0" xfId="0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171" fontId="15" fillId="0" borderId="2" xfId="0" applyNumberFormat="1" applyFont="1" applyBorder="1" applyAlignment="1" applyProtection="1"/>
    <xf numFmtId="171" fontId="24" fillId="0" borderId="2" xfId="0" applyNumberFormat="1" applyFont="1" applyFill="1" applyBorder="1" applyAlignment="1" applyProtection="1"/>
    <xf numFmtId="0" fontId="15" fillId="0" borderId="13" xfId="0" applyFont="1" applyBorder="1" applyAlignment="1" applyProtection="1">
      <alignment horizontal="left"/>
    </xf>
    <xf numFmtId="171" fontId="15" fillId="0" borderId="14" xfId="0" applyNumberFormat="1" applyFont="1" applyBorder="1" applyAlignment="1" applyProtection="1"/>
    <xf numFmtId="171" fontId="15" fillId="0" borderId="0" xfId="0" applyNumberFormat="1" applyFont="1" applyAlignment="1" applyProtection="1"/>
    <xf numFmtId="4" fontId="8" fillId="0" borderId="0" xfId="0" applyNumberFormat="1" applyFont="1" applyBorder="1" applyAlignment="1" applyProtection="1"/>
    <xf numFmtId="0" fontId="23" fillId="3" borderId="15" xfId="0" applyFont="1" applyFill="1" applyBorder="1" applyAlignment="1" applyProtection="1">
      <alignment horizontal="center" wrapText="1"/>
    </xf>
    <xf numFmtId="0" fontId="23" fillId="3" borderId="16" xfId="0" applyFont="1" applyFill="1" applyBorder="1" applyAlignment="1" applyProtection="1">
      <alignment horizontal="center" wrapText="1"/>
    </xf>
    <xf numFmtId="0" fontId="23" fillId="3" borderId="17" xfId="0" applyFont="1" applyFill="1" applyBorder="1" applyAlignment="1" applyProtection="1">
      <alignment horizontal="center" wrapText="1"/>
    </xf>
    <xf numFmtId="0" fontId="23" fillId="3" borderId="18" xfId="0" applyFont="1" applyFill="1" applyBorder="1" applyAlignment="1" applyProtection="1">
      <alignment horizontal="center" wrapText="1"/>
    </xf>
    <xf numFmtId="171" fontId="23" fillId="0" borderId="19" xfId="0" applyNumberFormat="1" applyFont="1" applyFill="1" applyBorder="1" applyAlignment="1" applyProtection="1">
      <alignment horizontal="center"/>
    </xf>
    <xf numFmtId="171" fontId="23" fillId="0" borderId="20" xfId="0" applyNumberFormat="1" applyFont="1" applyFill="1" applyBorder="1" applyAlignment="1" applyProtection="1">
      <alignment horizontal="center"/>
    </xf>
    <xf numFmtId="171" fontId="23" fillId="0" borderId="21" xfId="0" applyNumberFormat="1" applyFont="1" applyFill="1" applyBorder="1" applyAlignment="1" applyProtection="1">
      <alignment horizontal="center"/>
    </xf>
    <xf numFmtId="0" fontId="23" fillId="3" borderId="22" xfId="0" applyFont="1" applyFill="1" applyBorder="1" applyAlignment="1" applyProtection="1">
      <alignment horizontal="center" wrapText="1"/>
    </xf>
    <xf numFmtId="171" fontId="23" fillId="0" borderId="23" xfId="0" applyNumberFormat="1" applyFont="1" applyFill="1" applyBorder="1" applyAlignment="1" applyProtection="1">
      <alignment horizontal="center"/>
    </xf>
    <xf numFmtId="0" fontId="22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right"/>
    </xf>
    <xf numFmtId="174" fontId="23" fillId="0" borderId="0" xfId="0" applyNumberFormat="1" applyFont="1" applyFill="1" applyBorder="1" applyAlignment="1" applyProtection="1">
      <alignment horizontal="center"/>
    </xf>
    <xf numFmtId="0" fontId="22" fillId="4" borderId="24" xfId="0" applyFont="1" applyFill="1" applyBorder="1" applyAlignment="1">
      <alignment horizontal="centerContinuous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 applyProtection="1">
      <alignment horizontal="center" vertical="center" wrapText="1"/>
    </xf>
    <xf numFmtId="0" fontId="23" fillId="3" borderId="25" xfId="0" applyFont="1" applyFill="1" applyBorder="1" applyAlignment="1" applyProtection="1">
      <alignment horizontal="center" vertical="center" wrapText="1"/>
    </xf>
    <xf numFmtId="0" fontId="23" fillId="5" borderId="26" xfId="0" applyFont="1" applyFill="1" applyBorder="1" applyAlignment="1" applyProtection="1">
      <alignment horizontal="center" vertical="center" wrapText="1"/>
    </xf>
    <xf numFmtId="0" fontId="23" fillId="6" borderId="24" xfId="0" applyFont="1" applyFill="1" applyBorder="1" applyAlignment="1" applyProtection="1">
      <alignment horizontal="center" vertical="center" wrapText="1"/>
    </xf>
    <xf numFmtId="0" fontId="15" fillId="0" borderId="27" xfId="0" applyFont="1" applyBorder="1" applyAlignment="1">
      <alignment horizontal="left"/>
    </xf>
    <xf numFmtId="171" fontId="15" fillId="0" borderId="28" xfId="2" applyNumberFormat="1" applyFont="1" applyBorder="1" applyAlignment="1">
      <alignment horizontal="right"/>
    </xf>
    <xf numFmtId="171" fontId="15" fillId="0" borderId="29" xfId="2" applyNumberFormat="1" applyFont="1" applyBorder="1" applyAlignment="1">
      <alignment horizontal="right"/>
    </xf>
    <xf numFmtId="0" fontId="30" fillId="7" borderId="28" xfId="0" applyFont="1" applyFill="1" applyBorder="1" applyAlignment="1" applyProtection="1">
      <alignment horizontal="center"/>
      <protection locked="0"/>
    </xf>
    <xf numFmtId="0" fontId="30" fillId="7" borderId="30" xfId="0" applyFont="1" applyFill="1" applyBorder="1" applyAlignment="1" applyProtection="1">
      <alignment horizontal="center"/>
      <protection locked="0"/>
    </xf>
    <xf numFmtId="0" fontId="15" fillId="0" borderId="31" xfId="0" applyFont="1" applyBorder="1"/>
    <xf numFmtId="0" fontId="22" fillId="0" borderId="32" xfId="0" applyFont="1" applyBorder="1" applyAlignment="1">
      <alignment horizontal="left" vertical="top"/>
    </xf>
    <xf numFmtId="0" fontId="22" fillId="3" borderId="3" xfId="0" applyFont="1" applyFill="1" applyBorder="1" applyAlignment="1">
      <alignment horizontal="center" vertical="top"/>
    </xf>
    <xf numFmtId="0" fontId="22" fillId="3" borderId="33" xfId="0" applyFont="1" applyFill="1" applyBorder="1" applyAlignment="1">
      <alignment vertical="center"/>
    </xf>
    <xf numFmtId="171" fontId="22" fillId="3" borderId="25" xfId="2" applyNumberFormat="1" applyFont="1" applyFill="1" applyBorder="1" applyAlignment="1">
      <alignment horizontal="right" vertical="top"/>
    </xf>
    <xf numFmtId="171" fontId="22" fillId="3" borderId="34" xfId="2" applyNumberFormat="1" applyFont="1" applyFill="1" applyBorder="1" applyAlignment="1">
      <alignment horizontal="right" vertical="top"/>
    </xf>
    <xf numFmtId="0" fontId="22" fillId="5" borderId="26" xfId="0" applyFont="1" applyFill="1" applyBorder="1" applyAlignment="1">
      <alignment horizontal="center" vertical="top"/>
    </xf>
    <xf numFmtId="171" fontId="22" fillId="6" borderId="24" xfId="2" applyNumberFormat="1" applyFont="1" applyFill="1" applyBorder="1" applyAlignment="1">
      <alignment horizontal="right" vertical="center"/>
    </xf>
    <xf numFmtId="0" fontId="22" fillId="5" borderId="24" xfId="0" applyFont="1" applyFill="1" applyBorder="1" applyAlignment="1">
      <alignment horizontal="center" vertical="center" wrapText="1"/>
    </xf>
    <xf numFmtId="0" fontId="22" fillId="6" borderId="24" xfId="0" applyFont="1" applyFill="1" applyBorder="1" applyAlignment="1">
      <alignment horizontal="center" vertical="center" wrapText="1"/>
    </xf>
    <xf numFmtId="171" fontId="31" fillId="0" borderId="35" xfId="2" applyNumberFormat="1" applyFont="1" applyFill="1" applyBorder="1" applyAlignment="1">
      <alignment horizontal="right"/>
    </xf>
    <xf numFmtId="171" fontId="31" fillId="0" borderId="36" xfId="2" applyNumberFormat="1" applyFont="1" applyFill="1" applyBorder="1" applyAlignment="1">
      <alignment horizontal="right"/>
    </xf>
    <xf numFmtId="171" fontId="22" fillId="3" borderId="26" xfId="0" applyNumberFormat="1" applyFont="1" applyFill="1" applyBorder="1"/>
    <xf numFmtId="171" fontId="22" fillId="3" borderId="34" xfId="0" applyNumberFormat="1" applyFont="1" applyFill="1" applyBorder="1"/>
    <xf numFmtId="0" fontId="6" fillId="0" borderId="0" xfId="0" applyFont="1" applyBorder="1" applyAlignment="1">
      <alignment horizontal="left"/>
    </xf>
    <xf numFmtId="0" fontId="6" fillId="0" borderId="0" xfId="0" applyFont="1" applyBorder="1"/>
    <xf numFmtId="171" fontId="23" fillId="6" borderId="24" xfId="2" applyNumberFormat="1" applyFont="1" applyFill="1" applyBorder="1" applyAlignment="1">
      <alignment horizontal="center" vertical="center"/>
    </xf>
    <xf numFmtId="0" fontId="22" fillId="0" borderId="0" xfId="0" applyFont="1" applyFill="1" applyAlignment="1" applyProtection="1">
      <alignment horizontal="right"/>
    </xf>
    <xf numFmtId="0" fontId="22" fillId="0" borderId="0" xfId="0" applyFont="1" applyFill="1" applyAlignment="1" applyProtection="1">
      <alignment horizontal="center"/>
    </xf>
    <xf numFmtId="0" fontId="23" fillId="0" borderId="0" xfId="0" applyFont="1" applyFill="1" applyBorder="1" applyAlignment="1" applyProtection="1">
      <alignment horizontal="center"/>
    </xf>
    <xf numFmtId="0" fontId="22" fillId="0" borderId="0" xfId="0" applyFont="1" applyFill="1" applyAlignment="1" applyProtection="1"/>
    <xf numFmtId="0" fontId="10" fillId="0" borderId="0" xfId="0" applyFont="1" applyBorder="1" applyAlignment="1" applyProtection="1">
      <alignment horizontal="center" textRotation="90"/>
    </xf>
    <xf numFmtId="0" fontId="10" fillId="0" borderId="1" xfId="0" applyFont="1" applyBorder="1" applyAlignment="1" applyProtection="1">
      <alignment horizontal="center" textRotation="90"/>
    </xf>
    <xf numFmtId="2" fontId="32" fillId="0" borderId="0" xfId="0" applyNumberFormat="1" applyFont="1" applyAlignment="1" applyProtection="1"/>
    <xf numFmtId="0" fontId="22" fillId="8" borderId="2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left"/>
    </xf>
    <xf numFmtId="0" fontId="15" fillId="0" borderId="37" xfId="0" applyFont="1" applyFill="1" applyBorder="1" applyAlignment="1" applyProtection="1">
      <alignment horizontal="left"/>
    </xf>
    <xf numFmtId="0" fontId="15" fillId="0" borderId="28" xfId="0" applyFont="1" applyBorder="1" applyAlignment="1">
      <alignment horizontal="left"/>
    </xf>
    <xf numFmtId="1" fontId="22" fillId="0" borderId="7" xfId="1" applyNumberFormat="1" applyFont="1" applyBorder="1" applyAlignment="1" applyProtection="1">
      <alignment horizontal="center"/>
    </xf>
    <xf numFmtId="165" fontId="20" fillId="2" borderId="38" xfId="0" applyNumberFormat="1" applyFont="1" applyFill="1" applyBorder="1" applyAlignment="1" applyProtection="1">
      <alignment horizontal="center"/>
    </xf>
    <xf numFmtId="165" fontId="20" fillId="6" borderId="38" xfId="0" applyNumberFormat="1" applyFont="1" applyFill="1" applyBorder="1" applyAlignment="1" applyProtection="1">
      <alignment horizontal="center"/>
      <protection locked="0"/>
    </xf>
    <xf numFmtId="171" fontId="13" fillId="2" borderId="38" xfId="0" applyNumberFormat="1" applyFont="1" applyFill="1" applyBorder="1" applyAlignment="1" applyProtection="1">
      <alignment horizontal="center"/>
    </xf>
    <xf numFmtId="171" fontId="22" fillId="0" borderId="39" xfId="2" applyNumberFormat="1" applyFont="1" applyFill="1" applyBorder="1" applyAlignment="1" applyProtection="1">
      <alignment horizontal="center"/>
    </xf>
    <xf numFmtId="0" fontId="9" fillId="0" borderId="15" xfId="0" applyFont="1" applyBorder="1" applyAlignment="1" applyProtection="1">
      <alignment horizontal="center"/>
    </xf>
    <xf numFmtId="171" fontId="22" fillId="0" borderId="29" xfId="2" applyNumberFormat="1" applyFont="1" applyBorder="1" applyAlignment="1">
      <alignment horizontal="right"/>
    </xf>
    <xf numFmtId="171" fontId="23" fillId="5" borderId="24" xfId="2" applyNumberFormat="1" applyFont="1" applyFill="1" applyBorder="1" applyAlignment="1">
      <alignment horizontal="center" vertical="center"/>
    </xf>
    <xf numFmtId="0" fontId="22" fillId="7" borderId="24" xfId="0" applyFont="1" applyFill="1" applyBorder="1" applyAlignment="1">
      <alignment horizontal="center" vertical="center" wrapText="1"/>
    </xf>
    <xf numFmtId="0" fontId="6" fillId="0" borderId="40" xfId="0" applyFont="1" applyBorder="1" applyAlignment="1" applyProtection="1"/>
    <xf numFmtId="171" fontId="20" fillId="0" borderId="0" xfId="0" applyNumberFormat="1" applyFont="1" applyFill="1" applyBorder="1" applyAlignment="1" applyProtection="1">
      <alignment horizontal="center"/>
    </xf>
    <xf numFmtId="165" fontId="20" fillId="7" borderId="38" xfId="0" applyNumberFormat="1" applyFont="1" applyFill="1" applyBorder="1" applyAlignment="1" applyProtection="1">
      <alignment horizontal="center"/>
    </xf>
    <xf numFmtId="171" fontId="22" fillId="0" borderId="41" xfId="2" applyNumberFormat="1" applyFont="1" applyBorder="1" applyAlignment="1">
      <alignment horizontal="right"/>
    </xf>
    <xf numFmtId="171" fontId="22" fillId="0" borderId="41" xfId="2" applyNumberFormat="1" applyFont="1" applyBorder="1" applyAlignment="1" applyProtection="1">
      <alignment horizontal="right"/>
    </xf>
    <xf numFmtId="171" fontId="15" fillId="0" borderId="41" xfId="2" applyNumberFormat="1" applyFont="1" applyBorder="1" applyAlignment="1">
      <alignment horizontal="right"/>
    </xf>
    <xf numFmtId="0" fontId="22" fillId="7" borderId="30" xfId="0" applyFont="1" applyFill="1" applyBorder="1" applyAlignment="1" applyProtection="1">
      <alignment horizontal="center"/>
      <protection locked="0"/>
    </xf>
    <xf numFmtId="171" fontId="30" fillId="0" borderId="41" xfId="2" applyNumberFormat="1" applyFont="1" applyFill="1" applyBorder="1" applyAlignment="1">
      <alignment horizontal="right"/>
    </xf>
    <xf numFmtId="0" fontId="22" fillId="0" borderId="30" xfId="0" applyFont="1" applyFill="1" applyBorder="1" applyAlignment="1" applyProtection="1">
      <alignment horizontal="center"/>
      <protection locked="0"/>
    </xf>
    <xf numFmtId="0" fontId="22" fillId="0" borderId="28" xfId="0" applyFont="1" applyFill="1" applyBorder="1" applyAlignment="1" applyProtection="1">
      <alignment horizontal="center"/>
      <protection locked="0"/>
    </xf>
    <xf numFmtId="0" fontId="22" fillId="0" borderId="30" xfId="0" applyFont="1" applyFill="1" applyBorder="1" applyAlignment="1" applyProtection="1">
      <alignment horizontal="center"/>
    </xf>
    <xf numFmtId="171" fontId="30" fillId="0" borderId="42" xfId="2" applyNumberFormat="1" applyFont="1" applyFill="1" applyBorder="1" applyAlignment="1">
      <alignment horizontal="right"/>
    </xf>
    <xf numFmtId="1" fontId="22" fillId="0" borderId="28" xfId="1" applyNumberFormat="1" applyFont="1" applyBorder="1" applyAlignment="1" applyProtection="1">
      <alignment horizontal="center"/>
    </xf>
    <xf numFmtId="171" fontId="30" fillId="0" borderId="29" xfId="2" applyNumberFormat="1" applyFont="1" applyFill="1" applyBorder="1" applyAlignment="1">
      <alignment horizontal="right"/>
    </xf>
    <xf numFmtId="1" fontId="22" fillId="0" borderId="30" xfId="0" applyNumberFormat="1" applyFont="1" applyFill="1" applyBorder="1" applyAlignment="1" applyProtection="1">
      <alignment horizontal="center"/>
    </xf>
    <xf numFmtId="1" fontId="22" fillId="0" borderId="37" xfId="0" applyNumberFormat="1" applyFont="1" applyFill="1" applyBorder="1" applyAlignment="1" applyProtection="1">
      <alignment horizontal="center"/>
    </xf>
    <xf numFmtId="0" fontId="15" fillId="0" borderId="43" xfId="0" applyFont="1" applyFill="1" applyBorder="1" applyAlignment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center"/>
    </xf>
    <xf numFmtId="44" fontId="6" fillId="0" borderId="1" xfId="2" applyFont="1" applyFill="1" applyBorder="1" applyAlignment="1" applyProtection="1"/>
    <xf numFmtId="44" fontId="9" fillId="0" borderId="1" xfId="2" applyFont="1" applyBorder="1" applyAlignment="1" applyProtection="1">
      <alignment horizontal="right"/>
    </xf>
    <xf numFmtId="44" fontId="13" fillId="0" borderId="1" xfId="2" applyFont="1" applyFill="1" applyBorder="1" applyAlignment="1" applyProtection="1"/>
    <xf numFmtId="171" fontId="31" fillId="0" borderId="44" xfId="2" applyNumberFormat="1" applyFont="1" applyBorder="1" applyAlignment="1">
      <alignment horizontal="right"/>
    </xf>
    <xf numFmtId="171" fontId="22" fillId="0" borderId="2" xfId="2" applyNumberFormat="1" applyFont="1" applyBorder="1" applyAlignment="1">
      <alignment horizontal="right"/>
    </xf>
    <xf numFmtId="0" fontId="23" fillId="5" borderId="34" xfId="0" applyFont="1" applyFill="1" applyBorder="1" applyAlignment="1" applyProtection="1">
      <alignment horizontal="center" vertical="center" wrapText="1"/>
    </xf>
    <xf numFmtId="171" fontId="23" fillId="5" borderId="34" xfId="2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right"/>
    </xf>
    <xf numFmtId="0" fontId="22" fillId="2" borderId="45" xfId="0" applyFont="1" applyFill="1" applyBorder="1" applyAlignment="1" applyProtection="1">
      <alignment horizontal="center"/>
    </xf>
    <xf numFmtId="171" fontId="22" fillId="2" borderId="46" xfId="2" applyNumberFormat="1" applyFont="1" applyFill="1" applyBorder="1" applyAlignment="1" applyProtection="1">
      <alignment horizontal="center"/>
      <protection locked="0"/>
    </xf>
    <xf numFmtId="171" fontId="22" fillId="2" borderId="29" xfId="2" applyNumberFormat="1" applyFont="1" applyFill="1" applyBorder="1" applyAlignment="1" applyProtection="1">
      <alignment horizontal="center"/>
      <protection locked="0"/>
    </xf>
    <xf numFmtId="0" fontId="22" fillId="2" borderId="30" xfId="0" applyFont="1" applyFill="1" applyBorder="1" applyAlignment="1" applyProtection="1">
      <alignment horizontal="center"/>
    </xf>
    <xf numFmtId="171" fontId="22" fillId="2" borderId="41" xfId="2" applyNumberFormat="1" applyFont="1" applyFill="1" applyBorder="1" applyAlignment="1" applyProtection="1">
      <alignment horizontal="center"/>
      <protection locked="0"/>
    </xf>
    <xf numFmtId="0" fontId="22" fillId="2" borderId="30" xfId="0" applyFont="1" applyFill="1" applyBorder="1" applyAlignment="1" applyProtection="1">
      <alignment horizontal="center"/>
      <protection locked="0"/>
    </xf>
    <xf numFmtId="0" fontId="22" fillId="2" borderId="2" xfId="0" applyFont="1" applyFill="1" applyBorder="1" applyAlignment="1" applyProtection="1">
      <alignment horizontal="center"/>
      <protection locked="0"/>
    </xf>
    <xf numFmtId="165" fontId="19" fillId="8" borderId="2" xfId="0" applyNumberFormat="1" applyFont="1" applyFill="1" applyBorder="1" applyAlignment="1" applyProtection="1">
      <alignment horizontal="center"/>
    </xf>
    <xf numFmtId="171" fontId="35" fillId="2" borderId="2" xfId="2" applyNumberFormat="1" applyFont="1" applyFill="1" applyBorder="1" applyAlignment="1" applyProtection="1">
      <alignment horizontal="left"/>
    </xf>
    <xf numFmtId="177" fontId="22" fillId="8" borderId="47" xfId="0" applyNumberFormat="1" applyFont="1" applyFill="1" applyBorder="1" applyAlignment="1" applyProtection="1">
      <alignment horizontal="center"/>
    </xf>
    <xf numFmtId="178" fontId="15" fillId="0" borderId="2" xfId="0" applyNumberFormat="1" applyFont="1" applyBorder="1" applyAlignment="1" applyProtection="1">
      <alignment horizontal="center"/>
    </xf>
    <xf numFmtId="165" fontId="15" fillId="0" borderId="2" xfId="0" applyNumberFormat="1" applyFont="1" applyBorder="1" applyAlignment="1" applyProtection="1">
      <alignment horizontal="center"/>
    </xf>
    <xf numFmtId="179" fontId="15" fillId="0" borderId="2" xfId="0" applyNumberFormat="1" applyFont="1" applyBorder="1" applyAlignment="1" applyProtection="1">
      <alignment horizontal="center"/>
    </xf>
    <xf numFmtId="178" fontId="15" fillId="0" borderId="48" xfId="0" applyNumberFormat="1" applyFont="1" applyBorder="1" applyAlignment="1" applyProtection="1">
      <alignment horizontal="center"/>
    </xf>
    <xf numFmtId="1" fontId="22" fillId="3" borderId="48" xfId="0" applyNumberFormat="1" applyFont="1" applyFill="1" applyBorder="1" applyAlignment="1" applyProtection="1">
      <alignment horizontal="center"/>
    </xf>
    <xf numFmtId="175" fontId="22" fillId="0" borderId="49" xfId="2" applyNumberFormat="1" applyFont="1" applyFill="1" applyBorder="1" applyAlignment="1" applyProtection="1">
      <alignment horizontal="center"/>
    </xf>
    <xf numFmtId="181" fontId="22" fillId="2" borderId="2" xfId="2" applyNumberFormat="1" applyFont="1" applyFill="1" applyBorder="1" applyAlignment="1" applyProtection="1">
      <alignment horizontal="center"/>
    </xf>
    <xf numFmtId="175" fontId="22" fillId="0" borderId="2" xfId="2" applyNumberFormat="1" applyFont="1" applyFill="1" applyBorder="1" applyAlignment="1" applyProtection="1">
      <alignment horizontal="center"/>
    </xf>
    <xf numFmtId="9" fontId="22" fillId="7" borderId="5" xfId="4" applyFont="1" applyFill="1" applyBorder="1" applyAlignment="1">
      <alignment horizontal="center" vertical="center"/>
    </xf>
    <xf numFmtId="0" fontId="22" fillId="6" borderId="24" xfId="0" applyFont="1" applyFill="1" applyBorder="1" applyAlignment="1" applyProtection="1">
      <alignment horizontal="center" vertical="center" wrapText="1"/>
    </xf>
    <xf numFmtId="165" fontId="9" fillId="2" borderId="4" xfId="0" applyNumberFormat="1" applyFont="1" applyFill="1" applyBorder="1" applyAlignment="1" applyProtection="1">
      <alignment horizontal="center"/>
    </xf>
    <xf numFmtId="0" fontId="19" fillId="0" borderId="5" xfId="0" applyFont="1" applyBorder="1" applyAlignment="1" applyProtection="1">
      <alignment horizontal="left"/>
    </xf>
    <xf numFmtId="0" fontId="6" fillId="0" borderId="50" xfId="0" applyFont="1" applyBorder="1" applyAlignment="1" applyProtection="1">
      <alignment horizontal="centerContinuous"/>
    </xf>
    <xf numFmtId="0" fontId="14" fillId="0" borderId="50" xfId="0" applyFont="1" applyFill="1" applyBorder="1" applyAlignment="1" applyProtection="1">
      <alignment horizontal="centerContinuous"/>
    </xf>
    <xf numFmtId="0" fontId="14" fillId="0" borderId="50" xfId="0" applyFont="1" applyFill="1" applyBorder="1" applyAlignment="1" applyProtection="1">
      <alignment horizontal="left"/>
    </xf>
    <xf numFmtId="0" fontId="15" fillId="0" borderId="51" xfId="0" applyFont="1" applyFill="1" applyBorder="1" applyAlignment="1" applyProtection="1"/>
    <xf numFmtId="1" fontId="22" fillId="3" borderId="52" xfId="0" applyNumberFormat="1" applyFont="1" applyFill="1" applyBorder="1" applyAlignment="1" applyProtection="1">
      <alignment horizontal="center"/>
    </xf>
    <xf numFmtId="0" fontId="15" fillId="0" borderId="53" xfId="0" applyFont="1" applyFill="1" applyBorder="1" applyAlignment="1" applyProtection="1"/>
    <xf numFmtId="0" fontId="15" fillId="0" borderId="54" xfId="0" applyFont="1" applyFill="1" applyBorder="1" applyAlignment="1" applyProtection="1"/>
    <xf numFmtId="0" fontId="24" fillId="0" borderId="55" xfId="0" applyFont="1" applyFill="1" applyBorder="1" applyAlignment="1" applyProtection="1">
      <alignment horizontal="left"/>
    </xf>
    <xf numFmtId="1" fontId="19" fillId="0" borderId="50" xfId="0" applyNumberFormat="1" applyFont="1" applyBorder="1" applyAlignment="1" applyProtection="1">
      <alignment horizontal="center"/>
    </xf>
    <xf numFmtId="0" fontId="19" fillId="0" borderId="56" xfId="0" applyFont="1" applyBorder="1" applyAlignment="1" applyProtection="1">
      <alignment horizontal="centerContinuous"/>
    </xf>
    <xf numFmtId="0" fontId="26" fillId="0" borderId="0" xfId="0" applyFont="1" applyFill="1" applyBorder="1" applyAlignment="1" applyProtection="1">
      <alignment horizontal="center" textRotation="90"/>
    </xf>
    <xf numFmtId="0" fontId="39" fillId="0" borderId="4" xfId="0" applyFont="1" applyBorder="1" applyAlignment="1" applyProtection="1">
      <alignment horizontal="right"/>
    </xf>
    <xf numFmtId="0" fontId="9" fillId="2" borderId="41" xfId="0" applyFont="1" applyFill="1" applyBorder="1" applyAlignment="1" applyProtection="1">
      <alignment horizontal="center"/>
    </xf>
    <xf numFmtId="0" fontId="9" fillId="0" borderId="42" xfId="0" applyFont="1" applyBorder="1" applyAlignment="1" applyProtection="1">
      <alignment horizontal="center"/>
    </xf>
    <xf numFmtId="1" fontId="9" fillId="0" borderId="46" xfId="0" applyNumberFormat="1" applyFont="1" applyBorder="1" applyAlignment="1" applyProtection="1">
      <alignment horizontal="center"/>
    </xf>
    <xf numFmtId="1" fontId="9" fillId="0" borderId="57" xfId="0" applyNumberFormat="1" applyFont="1" applyBorder="1" applyAlignment="1" applyProtection="1">
      <alignment horizontal="center"/>
    </xf>
    <xf numFmtId="165" fontId="17" fillId="0" borderId="50" xfId="0" applyNumberFormat="1" applyFont="1" applyFill="1" applyBorder="1" applyAlignment="1" applyProtection="1">
      <alignment horizontal="center"/>
    </xf>
    <xf numFmtId="165" fontId="9" fillId="2" borderId="41" xfId="0" applyNumberFormat="1" applyFont="1" applyFill="1" applyBorder="1" applyAlignment="1" applyProtection="1">
      <alignment horizontal="center"/>
    </xf>
    <xf numFmtId="0" fontId="6" fillId="0" borderId="28" xfId="0" applyFont="1" applyBorder="1" applyAlignment="1" applyProtection="1">
      <alignment horizontal="left"/>
    </xf>
    <xf numFmtId="165" fontId="9" fillId="0" borderId="7" xfId="0" applyNumberFormat="1" applyFont="1" applyFill="1" applyBorder="1" applyAlignment="1" applyProtection="1">
      <alignment horizontal="center"/>
    </xf>
    <xf numFmtId="165" fontId="9" fillId="2" borderId="29" xfId="0" applyNumberFormat="1" applyFont="1" applyFill="1" applyBorder="1" applyAlignment="1" applyProtection="1">
      <alignment horizontal="center"/>
    </xf>
    <xf numFmtId="165" fontId="9" fillId="0" borderId="42" xfId="0" applyNumberFormat="1" applyFont="1" applyBorder="1" applyAlignment="1" applyProtection="1">
      <alignment horizontal="center"/>
    </xf>
    <xf numFmtId="165" fontId="17" fillId="0" borderId="1" xfId="0" applyNumberFormat="1" applyFont="1" applyFill="1" applyBorder="1" applyAlignment="1" applyProtection="1">
      <alignment horizontal="center"/>
    </xf>
    <xf numFmtId="0" fontId="22" fillId="3" borderId="8" xfId="0" applyFont="1" applyFill="1" applyBorder="1" applyAlignment="1" applyProtection="1">
      <alignment horizontal="right"/>
    </xf>
    <xf numFmtId="0" fontId="22" fillId="3" borderId="54" xfId="0" applyFont="1" applyFill="1" applyBorder="1" applyAlignment="1" applyProtection="1">
      <alignment horizontal="right"/>
    </xf>
    <xf numFmtId="0" fontId="15" fillId="0" borderId="56" xfId="0" applyFont="1" applyBorder="1" applyAlignment="1" applyProtection="1"/>
    <xf numFmtId="165" fontId="23" fillId="0" borderId="10" xfId="0" applyNumberFormat="1" applyFont="1" applyFill="1" applyBorder="1" applyAlignment="1" applyProtection="1">
      <alignment horizontal="center"/>
    </xf>
    <xf numFmtId="0" fontId="15" fillId="0" borderId="58" xfId="0" applyFont="1" applyBorder="1" applyAlignment="1" applyProtection="1"/>
    <xf numFmtId="0" fontId="14" fillId="0" borderId="32" xfId="0" applyFont="1" applyFill="1" applyBorder="1" applyAlignment="1" applyProtection="1">
      <alignment horizontal="right"/>
    </xf>
    <xf numFmtId="0" fontId="9" fillId="2" borderId="59" xfId="0" applyFont="1" applyFill="1" applyBorder="1" applyAlignment="1" applyProtection="1">
      <alignment horizontal="center"/>
    </xf>
    <xf numFmtId="1" fontId="13" fillId="2" borderId="8" xfId="0" applyNumberFormat="1" applyFont="1" applyFill="1" applyBorder="1" applyAlignment="1" applyProtection="1">
      <alignment horizontal="center"/>
    </xf>
    <xf numFmtId="1" fontId="13" fillId="2" borderId="1" xfId="0" applyNumberFormat="1" applyFont="1" applyFill="1" applyBorder="1" applyAlignment="1" applyProtection="1">
      <alignment horizontal="center"/>
    </xf>
    <xf numFmtId="0" fontId="9" fillId="2" borderId="60" xfId="0" applyFont="1" applyFill="1" applyBorder="1" applyAlignment="1" applyProtection="1">
      <alignment horizontal="center"/>
    </xf>
    <xf numFmtId="0" fontId="9" fillId="2" borderId="61" xfId="0" applyFont="1" applyFill="1" applyBorder="1" applyAlignment="1" applyProtection="1">
      <alignment horizontal="center"/>
    </xf>
    <xf numFmtId="0" fontId="6" fillId="0" borderId="44" xfId="0" applyFont="1" applyBorder="1" applyAlignment="1" applyProtection="1">
      <alignment horizontal="center"/>
    </xf>
    <xf numFmtId="1" fontId="9" fillId="0" borderId="44" xfId="0" applyNumberFormat="1" applyFont="1" applyBorder="1" applyAlignment="1" applyProtection="1">
      <alignment horizontal="center"/>
    </xf>
    <xf numFmtId="182" fontId="9" fillId="0" borderId="44" xfId="1" applyNumberFormat="1" applyFont="1" applyBorder="1" applyAlignment="1" applyProtection="1">
      <alignment horizontal="centerContinuous"/>
    </xf>
    <xf numFmtId="165" fontId="13" fillId="0" borderId="44" xfId="0" applyNumberFormat="1" applyFont="1" applyFill="1" applyBorder="1" applyAlignment="1" applyProtection="1">
      <alignment horizontal="center"/>
    </xf>
    <xf numFmtId="0" fontId="13" fillId="0" borderId="50" xfId="0" applyFont="1" applyFill="1" applyBorder="1" applyAlignment="1" applyProtection="1"/>
    <xf numFmtId="164" fontId="9" fillId="0" borderId="44" xfId="0" applyNumberFormat="1" applyFont="1" applyBorder="1" applyAlignment="1" applyProtection="1">
      <alignment horizontal="center"/>
    </xf>
    <xf numFmtId="1" fontId="9" fillId="0" borderId="55" xfId="0" applyNumberFormat="1" applyFont="1" applyBorder="1" applyAlignment="1" applyProtection="1">
      <alignment horizontal="center"/>
    </xf>
    <xf numFmtId="0" fontId="15" fillId="0" borderId="53" xfId="0" applyFont="1" applyBorder="1" applyAlignment="1" applyProtection="1">
      <alignment horizontal="right"/>
    </xf>
    <xf numFmtId="0" fontId="23" fillId="0" borderId="0" xfId="0" applyFont="1" applyFill="1" applyBorder="1" applyAlignment="1" applyProtection="1">
      <alignment horizontal="right"/>
    </xf>
    <xf numFmtId="171" fontId="15" fillId="0" borderId="7" xfId="2" applyNumberFormat="1" applyFont="1" applyFill="1" applyBorder="1" applyAlignment="1" applyProtection="1">
      <alignment horizontal="right"/>
    </xf>
    <xf numFmtId="0" fontId="22" fillId="2" borderId="7" xfId="0" applyFont="1" applyFill="1" applyBorder="1" applyAlignment="1" applyProtection="1">
      <alignment horizontal="center"/>
      <protection locked="0"/>
    </xf>
    <xf numFmtId="0" fontId="22" fillId="7" borderId="28" xfId="0" applyFont="1" applyFill="1" applyBorder="1" applyAlignment="1" applyProtection="1">
      <alignment horizontal="center"/>
      <protection locked="0"/>
    </xf>
    <xf numFmtId="0" fontId="22" fillId="2" borderId="0" xfId="0" applyFont="1" applyFill="1" applyBorder="1" applyAlignment="1" applyProtection="1">
      <alignment horizontal="center" wrapText="1"/>
    </xf>
    <xf numFmtId="171" fontId="23" fillId="0" borderId="0" xfId="0" applyNumberFormat="1" applyFont="1" applyFill="1" applyBorder="1" applyAlignment="1" applyProtection="1">
      <alignment horizontal="center"/>
    </xf>
    <xf numFmtId="171" fontId="15" fillId="0" borderId="0" xfId="0" applyNumberFormat="1" applyFont="1" applyBorder="1" applyAlignment="1" applyProtection="1">
      <alignment horizontal="center"/>
    </xf>
    <xf numFmtId="0" fontId="22" fillId="2" borderId="62" xfId="0" applyFont="1" applyFill="1" applyBorder="1" applyAlignment="1" applyProtection="1">
      <alignment horizontal="center"/>
    </xf>
    <xf numFmtId="0" fontId="23" fillId="2" borderId="44" xfId="0" applyFont="1" applyFill="1" applyBorder="1" applyAlignment="1" applyProtection="1">
      <alignment horizontal="center"/>
    </xf>
    <xf numFmtId="0" fontId="23" fillId="0" borderId="44" xfId="0" applyFont="1" applyFill="1" applyBorder="1" applyAlignment="1" applyProtection="1">
      <alignment horizontal="center"/>
    </xf>
    <xf numFmtId="173" fontId="22" fillId="2" borderId="44" xfId="0" applyNumberFormat="1" applyFont="1" applyFill="1" applyBorder="1" applyAlignment="1" applyProtection="1">
      <alignment horizontal="center"/>
    </xf>
    <xf numFmtId="0" fontId="15" fillId="0" borderId="55" xfId="0" applyFont="1" applyFill="1" applyBorder="1" applyAlignment="1" applyProtection="1"/>
    <xf numFmtId="171" fontId="9" fillId="3" borderId="38" xfId="0" applyNumberFormat="1" applyFont="1" applyFill="1" applyBorder="1" applyAlignment="1">
      <alignment horizontal="center"/>
    </xf>
    <xf numFmtId="0" fontId="23" fillId="0" borderId="0" xfId="0" applyFont="1" applyFill="1" applyBorder="1" applyAlignment="1" applyProtection="1">
      <alignment horizontal="center" wrapText="1"/>
    </xf>
    <xf numFmtId="171" fontId="7" fillId="9" borderId="63" xfId="0" applyNumberFormat="1" applyFont="1" applyFill="1" applyBorder="1" applyAlignment="1" applyProtection="1">
      <alignment horizontal="center"/>
    </xf>
    <xf numFmtId="171" fontId="41" fillId="8" borderId="64" xfId="0" quotePrefix="1" applyNumberFormat="1" applyFont="1" applyFill="1" applyBorder="1" applyAlignment="1" applyProtection="1">
      <alignment horizontal="center"/>
    </xf>
    <xf numFmtId="171" fontId="41" fillId="10" borderId="65" xfId="0" applyNumberFormat="1" applyFont="1" applyFill="1" applyBorder="1" applyAlignment="1" applyProtection="1">
      <alignment horizontal="center"/>
    </xf>
    <xf numFmtId="0" fontId="22" fillId="2" borderId="61" xfId="0" applyFont="1" applyFill="1" applyBorder="1" applyAlignment="1" applyProtection="1">
      <alignment horizontal="center" wrapText="1"/>
    </xf>
    <xf numFmtId="0" fontId="22" fillId="2" borderId="61" xfId="0" applyFont="1" applyFill="1" applyBorder="1" applyAlignment="1" applyProtection="1">
      <alignment horizontal="center"/>
    </xf>
    <xf numFmtId="9" fontId="15" fillId="0" borderId="2" xfId="4" applyNumberFormat="1" applyFont="1" applyBorder="1" applyAlignment="1" applyProtection="1">
      <alignment horizontal="center"/>
    </xf>
    <xf numFmtId="171" fontId="15" fillId="0" borderId="0" xfId="0" applyNumberFormat="1" applyFont="1" applyBorder="1" applyAlignment="1" applyProtection="1"/>
    <xf numFmtId="10" fontId="15" fillId="0" borderId="0" xfId="4" applyNumberFormat="1" applyFont="1" applyBorder="1" applyAlignment="1" applyProtection="1">
      <alignment horizontal="center"/>
    </xf>
    <xf numFmtId="9" fontId="22" fillId="0" borderId="0" xfId="0" applyNumberFormat="1" applyFont="1" applyBorder="1" applyAlignment="1" applyProtection="1">
      <alignment horizontal="center"/>
    </xf>
    <xf numFmtId="9" fontId="15" fillId="0" borderId="0" xfId="4" applyNumberFormat="1" applyFont="1" applyBorder="1" applyAlignment="1" applyProtection="1">
      <alignment horizontal="center"/>
    </xf>
    <xf numFmtId="0" fontId="22" fillId="0" borderId="49" xfId="0" applyFont="1" applyFill="1" applyBorder="1" applyAlignment="1" applyProtection="1">
      <alignment horizontal="center"/>
    </xf>
    <xf numFmtId="0" fontId="5" fillId="0" borderId="66" xfId="0" applyFont="1" applyBorder="1" applyAlignment="1" applyProtection="1"/>
    <xf numFmtId="0" fontId="33" fillId="2" borderId="0" xfId="0" applyFont="1" applyFill="1" applyBorder="1" applyAlignment="1" applyProtection="1">
      <alignment horizontal="center" wrapText="1"/>
    </xf>
    <xf numFmtId="171" fontId="22" fillId="3" borderId="67" xfId="0" applyNumberFormat="1" applyFont="1" applyFill="1" applyBorder="1"/>
    <xf numFmtId="171" fontId="22" fillId="3" borderId="68" xfId="0" applyNumberFormat="1" applyFont="1" applyFill="1" applyBorder="1"/>
    <xf numFmtId="171" fontId="23" fillId="5" borderId="68" xfId="2" applyNumberFormat="1" applyFont="1" applyFill="1" applyBorder="1" applyAlignment="1">
      <alignment horizontal="center" vertical="center"/>
    </xf>
    <xf numFmtId="171" fontId="23" fillId="6" borderId="68" xfId="2" applyNumberFormat="1" applyFont="1" applyFill="1" applyBorder="1" applyAlignment="1">
      <alignment horizontal="center" vertical="center"/>
    </xf>
    <xf numFmtId="171" fontId="15" fillId="0" borderId="69" xfId="2" applyNumberFormat="1" applyFont="1" applyBorder="1" applyAlignment="1">
      <alignment horizontal="right"/>
    </xf>
    <xf numFmtId="171" fontId="22" fillId="0" borderId="69" xfId="2" applyNumberFormat="1" applyFont="1" applyBorder="1" applyAlignment="1">
      <alignment horizontal="right"/>
    </xf>
    <xf numFmtId="171" fontId="15" fillId="0" borderId="2" xfId="2" applyNumberFormat="1" applyFont="1" applyBorder="1" applyAlignment="1">
      <alignment horizontal="right"/>
    </xf>
    <xf numFmtId="171" fontId="30" fillId="0" borderId="2" xfId="2" applyNumberFormat="1" applyFont="1" applyFill="1" applyBorder="1" applyAlignment="1">
      <alignment horizontal="right"/>
    </xf>
    <xf numFmtId="171" fontId="31" fillId="0" borderId="41" xfId="2" applyNumberFormat="1" applyFont="1" applyFill="1" applyBorder="1" applyAlignment="1">
      <alignment horizontal="right"/>
    </xf>
    <xf numFmtId="0" fontId="22" fillId="2" borderId="37" xfId="0" applyFont="1" applyFill="1" applyBorder="1" applyAlignment="1" applyProtection="1">
      <alignment horizontal="center"/>
      <protection locked="0"/>
    </xf>
    <xf numFmtId="171" fontId="15" fillId="0" borderId="10" xfId="2" applyNumberFormat="1" applyFont="1" applyBorder="1" applyAlignment="1">
      <alignment horizontal="right"/>
    </xf>
    <xf numFmtId="171" fontId="22" fillId="0" borderId="10" xfId="2" applyNumberFormat="1" applyFont="1" applyBorder="1" applyAlignment="1">
      <alignment horizontal="right"/>
    </xf>
    <xf numFmtId="171" fontId="31" fillId="0" borderId="42" xfId="2" applyNumberFormat="1" applyFont="1" applyFill="1" applyBorder="1" applyAlignment="1">
      <alignment horizontal="right"/>
    </xf>
    <xf numFmtId="171" fontId="15" fillId="0" borderId="53" xfId="0" applyNumberFormat="1" applyFont="1" applyBorder="1" applyAlignment="1" applyProtection="1"/>
    <xf numFmtId="0" fontId="41" fillId="2" borderId="70" xfId="0" applyFont="1" applyFill="1" applyBorder="1" applyAlignment="1" applyProtection="1">
      <alignment horizontal="center" vertical="center" wrapText="1"/>
    </xf>
    <xf numFmtId="0" fontId="23" fillId="2" borderId="63" xfId="0" applyFont="1" applyFill="1" applyBorder="1" applyAlignment="1" applyProtection="1">
      <alignment horizontal="center" wrapText="1"/>
    </xf>
    <xf numFmtId="9" fontId="15" fillId="0" borderId="0" xfId="4" applyFont="1" applyAlignment="1" applyProtection="1"/>
    <xf numFmtId="9" fontId="42" fillId="9" borderId="38" xfId="4" applyFont="1" applyFill="1" applyBorder="1" applyAlignment="1" applyProtection="1">
      <alignment horizontal="center" vertical="center" wrapText="1"/>
    </xf>
    <xf numFmtId="9" fontId="43" fillId="8" borderId="38" xfId="4" applyFont="1" applyFill="1" applyBorder="1" applyAlignment="1" applyProtection="1">
      <alignment horizontal="center"/>
    </xf>
    <xf numFmtId="1" fontId="22" fillId="2" borderId="1" xfId="0" applyNumberFormat="1" applyFont="1" applyFill="1" applyBorder="1" applyAlignment="1" applyProtection="1">
      <alignment horizontal="center"/>
    </xf>
    <xf numFmtId="171" fontId="30" fillId="0" borderId="10" xfId="2" applyNumberFormat="1" applyFont="1" applyFill="1" applyBorder="1" applyAlignment="1">
      <alignment horizontal="right"/>
    </xf>
    <xf numFmtId="0" fontId="22" fillId="2" borderId="28" xfId="0" applyFont="1" applyFill="1" applyBorder="1" applyAlignment="1" applyProtection="1">
      <alignment horizontal="center"/>
    </xf>
    <xf numFmtId="171" fontId="22" fillId="2" borderId="7" xfId="2" applyNumberFormat="1" applyFont="1" applyFill="1" applyBorder="1" applyAlignment="1" applyProtection="1">
      <alignment horizontal="center"/>
    </xf>
    <xf numFmtId="0" fontId="22" fillId="2" borderId="71" xfId="0" applyFont="1" applyFill="1" applyBorder="1" applyAlignment="1" applyProtection="1">
      <alignment horizontal="center"/>
    </xf>
    <xf numFmtId="0" fontId="22" fillId="11" borderId="25" xfId="0" applyFont="1" applyFill="1" applyBorder="1" applyAlignment="1" applyProtection="1">
      <alignment horizontal="center"/>
    </xf>
    <xf numFmtId="0" fontId="22" fillId="11" borderId="34" xfId="0" applyFont="1" applyFill="1" applyBorder="1" applyAlignment="1" applyProtection="1">
      <alignment horizontal="center"/>
    </xf>
    <xf numFmtId="171" fontId="22" fillId="2" borderId="72" xfId="2" applyNumberFormat="1" applyFont="1" applyFill="1" applyBorder="1" applyAlignment="1" applyProtection="1">
      <alignment horizontal="center"/>
    </xf>
    <xf numFmtId="171" fontId="22" fillId="2" borderId="73" xfId="2" applyNumberFormat="1" applyFont="1" applyFill="1" applyBorder="1" applyAlignment="1" applyProtection="1">
      <alignment horizontal="center"/>
    </xf>
    <xf numFmtId="171" fontId="22" fillId="2" borderId="13" xfId="2" applyNumberFormat="1" applyFont="1" applyFill="1" applyBorder="1" applyAlignment="1" applyProtection="1">
      <alignment horizontal="center"/>
    </xf>
    <xf numFmtId="171" fontId="31" fillId="0" borderId="61" xfId="2" applyNumberFormat="1" applyFont="1" applyFill="1" applyBorder="1" applyAlignment="1">
      <alignment horizontal="right"/>
    </xf>
    <xf numFmtId="171" fontId="31" fillId="0" borderId="74" xfId="2" applyNumberFormat="1" applyFont="1" applyFill="1" applyBorder="1" applyAlignment="1">
      <alignment horizontal="right"/>
    </xf>
    <xf numFmtId="171" fontId="30" fillId="0" borderId="46" xfId="2" applyNumberFormat="1" applyFont="1" applyFill="1" applyBorder="1" applyAlignment="1">
      <alignment horizontal="right"/>
    </xf>
    <xf numFmtId="0" fontId="22" fillId="12" borderId="3" xfId="0" applyFont="1" applyFill="1" applyBorder="1" applyAlignment="1">
      <alignment horizontal="centerContinuous" vertical="center" wrapText="1"/>
    </xf>
    <xf numFmtId="0" fontId="22" fillId="12" borderId="24" xfId="0" applyFont="1" applyFill="1" applyBorder="1" applyAlignment="1">
      <alignment horizontal="center" vertical="center" wrapText="1"/>
    </xf>
    <xf numFmtId="0" fontId="22" fillId="12" borderId="2" xfId="0" applyFont="1" applyFill="1" applyBorder="1" applyAlignment="1" applyProtection="1">
      <alignment horizontal="center" wrapText="1"/>
    </xf>
    <xf numFmtId="0" fontId="23" fillId="12" borderId="2" xfId="0" applyFont="1" applyFill="1" applyBorder="1" applyAlignment="1" applyProtection="1">
      <alignment horizontal="center" wrapText="1"/>
    </xf>
    <xf numFmtId="0" fontId="7" fillId="12" borderId="2" xfId="0" applyFont="1" applyFill="1" applyBorder="1" applyAlignment="1" applyProtection="1">
      <alignment horizontal="centerContinuous" wrapText="1"/>
    </xf>
    <xf numFmtId="0" fontId="22" fillId="12" borderId="2" xfId="0" applyFont="1" applyFill="1" applyBorder="1" applyAlignment="1" applyProtection="1">
      <alignment horizontal="centerContinuous"/>
    </xf>
    <xf numFmtId="171" fontId="15" fillId="0" borderId="12" xfId="0" applyNumberFormat="1" applyFont="1" applyBorder="1" applyAlignment="1" applyProtection="1"/>
    <xf numFmtId="171" fontId="15" fillId="0" borderId="2" xfId="3" applyNumberFormat="1" applyFont="1" applyBorder="1" applyAlignment="1" applyProtection="1"/>
    <xf numFmtId="0" fontId="9" fillId="2" borderId="1" xfId="0" applyFont="1" applyFill="1" applyBorder="1" applyAlignment="1" applyProtection="1">
      <alignment horizontal="center"/>
    </xf>
    <xf numFmtId="167" fontId="9" fillId="2" borderId="8" xfId="4" applyNumberFormat="1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right"/>
    </xf>
    <xf numFmtId="0" fontId="4" fillId="0" borderId="7" xfId="0" applyFont="1" applyBorder="1" applyAlignment="1" applyProtection="1">
      <alignment horizontal="center" textRotation="90"/>
    </xf>
    <xf numFmtId="0" fontId="4" fillId="0" borderId="32" xfId="0" applyFont="1" applyFill="1" applyBorder="1" applyAlignment="1" applyProtection="1">
      <alignment horizontal="right"/>
    </xf>
    <xf numFmtId="0" fontId="4" fillId="0" borderId="0" xfId="0" applyFont="1" applyBorder="1" applyAlignment="1" applyProtection="1">
      <alignment horizontal="right"/>
    </xf>
    <xf numFmtId="170" fontId="4" fillId="0" borderId="0" xfId="0" applyNumberFormat="1" applyFont="1" applyBorder="1" applyAlignment="1" applyProtection="1">
      <alignment horizontal="center"/>
    </xf>
    <xf numFmtId="169" fontId="4" fillId="0" borderId="0" xfId="0" applyNumberFormat="1" applyFont="1" applyBorder="1" applyAlignment="1" applyProtection="1">
      <alignment horizontal="center"/>
    </xf>
    <xf numFmtId="0" fontId="4" fillId="0" borderId="56" xfId="0" applyFont="1" applyBorder="1" applyAlignment="1" applyProtection="1">
      <alignment horizontal="right"/>
    </xf>
    <xf numFmtId="0" fontId="4" fillId="0" borderId="0" xfId="0" applyFont="1" applyFill="1" applyBorder="1" applyAlignment="1" applyProtection="1">
      <alignment horizontal="centerContinuous"/>
    </xf>
    <xf numFmtId="0" fontId="4" fillId="0" borderId="0" xfId="0" applyFont="1" applyBorder="1" applyAlignment="1" applyProtection="1">
      <alignment horizontal="centerContinuous"/>
    </xf>
    <xf numFmtId="183" fontId="4" fillId="0" borderId="56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84" fontId="4" fillId="0" borderId="0" xfId="0" applyNumberFormat="1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0" fontId="4" fillId="0" borderId="0" xfId="0" applyFont="1" applyBorder="1" applyAlignment="1" applyProtection="1"/>
    <xf numFmtId="0" fontId="9" fillId="0" borderId="0" xfId="0" applyFont="1" applyFill="1" applyBorder="1" applyAlignment="1" applyProtection="1"/>
    <xf numFmtId="0" fontId="4" fillId="0" borderId="98" xfId="0" applyFont="1" applyBorder="1" applyAlignment="1" applyProtection="1">
      <alignment horizontal="right"/>
    </xf>
    <xf numFmtId="0" fontId="4" fillId="0" borderId="53" xfId="0" applyFont="1" applyBorder="1" applyAlignment="1" applyProtection="1"/>
    <xf numFmtId="0" fontId="4" fillId="0" borderId="1" xfId="0" applyFont="1" applyBorder="1" applyAlignment="1" applyProtection="1">
      <alignment horizontal="right"/>
    </xf>
    <xf numFmtId="0" fontId="4" fillId="0" borderId="1" xfId="0" applyFont="1" applyBorder="1" applyAlignment="1" applyProtection="1"/>
    <xf numFmtId="0" fontId="4" fillId="0" borderId="73" xfId="0" applyFont="1" applyBorder="1" applyAlignment="1" applyProtection="1"/>
    <xf numFmtId="0" fontId="4" fillId="0" borderId="1" xfId="0" applyFont="1" applyBorder="1" applyAlignment="1" applyProtection="1">
      <alignment horizontal="centerContinuous"/>
    </xf>
    <xf numFmtId="0" fontId="4" fillId="0" borderId="0" xfId="0" applyFont="1" applyAlignment="1" applyProtection="1"/>
    <xf numFmtId="1" fontId="9" fillId="0" borderId="0" xfId="0" applyNumberFormat="1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right"/>
    </xf>
    <xf numFmtId="0" fontId="22" fillId="13" borderId="24" xfId="0" applyFont="1" applyFill="1" applyBorder="1" applyAlignment="1">
      <alignment horizontal="center" vertical="center" wrapText="1"/>
    </xf>
    <xf numFmtId="186" fontId="22" fillId="2" borderId="2" xfId="2" applyNumberFormat="1" applyFont="1" applyFill="1" applyBorder="1" applyAlignment="1" applyProtection="1">
      <alignment horizontal="center"/>
    </xf>
    <xf numFmtId="0" fontId="3" fillId="0" borderId="0" xfId="5" applyFont="1"/>
    <xf numFmtId="0" fontId="3" fillId="0" borderId="12" xfId="5" applyFont="1" applyBorder="1"/>
    <xf numFmtId="0" fontId="3" fillId="0" borderId="0" xfId="5"/>
    <xf numFmtId="0" fontId="3" fillId="0" borderId="73" xfId="5" applyFont="1" applyBorder="1"/>
    <xf numFmtId="0" fontId="3" fillId="0" borderId="1" xfId="5" applyFont="1" applyBorder="1"/>
    <xf numFmtId="0" fontId="45" fillId="0" borderId="0" xfId="5" applyFont="1"/>
    <xf numFmtId="0" fontId="3" fillId="0" borderId="2" xfId="5" applyFont="1" applyBorder="1" applyAlignment="1">
      <alignment horizontal="center"/>
    </xf>
    <xf numFmtId="0" fontId="3" fillId="0" borderId="49" xfId="5" applyFont="1" applyFill="1" applyBorder="1"/>
    <xf numFmtId="0" fontId="3" fillId="0" borderId="12" xfId="5" applyFont="1" applyFill="1" applyBorder="1" applyAlignment="1">
      <alignment horizontal="center"/>
    </xf>
    <xf numFmtId="0" fontId="3" fillId="0" borderId="11" xfId="5" applyFont="1" applyFill="1" applyBorder="1" applyAlignment="1">
      <alignment horizontal="center"/>
    </xf>
    <xf numFmtId="0" fontId="3" fillId="0" borderId="49" xfId="5" applyFont="1" applyBorder="1"/>
    <xf numFmtId="0" fontId="3" fillId="0" borderId="92" xfId="5" applyFont="1" applyBorder="1" applyAlignment="1">
      <alignment horizontal="center"/>
    </xf>
    <xf numFmtId="0" fontId="3" fillId="0" borderId="11" xfId="5" applyFont="1" applyBorder="1" applyAlignment="1">
      <alignment horizontal="center"/>
    </xf>
    <xf numFmtId="0" fontId="3" fillId="0" borderId="89" xfId="5" applyFont="1" applyFill="1" applyBorder="1"/>
    <xf numFmtId="0" fontId="3" fillId="0" borderId="0" xfId="5" applyFont="1" applyFill="1" applyBorder="1" applyAlignment="1">
      <alignment horizontal="center"/>
    </xf>
    <xf numFmtId="0" fontId="3" fillId="0" borderId="9" xfId="5" applyFont="1" applyFill="1" applyBorder="1" applyAlignment="1">
      <alignment horizontal="center"/>
    </xf>
    <xf numFmtId="0" fontId="3" fillId="0" borderId="89" xfId="5" applyFont="1" applyBorder="1"/>
    <xf numFmtId="0" fontId="3" fillId="0" borderId="13" xfId="5" applyFont="1" applyBorder="1" applyAlignment="1">
      <alignment horizontal="center"/>
    </xf>
    <xf numFmtId="0" fontId="3" fillId="0" borderId="9" xfId="5" applyFont="1" applyBorder="1" applyAlignment="1">
      <alignment horizontal="center"/>
    </xf>
    <xf numFmtId="0" fontId="3" fillId="0" borderId="7" xfId="5" applyFont="1" applyFill="1" applyBorder="1"/>
    <xf numFmtId="0" fontId="3" fillId="0" borderId="1" xfId="5" applyFont="1" applyFill="1" applyBorder="1" applyAlignment="1">
      <alignment horizontal="center"/>
    </xf>
    <xf numFmtId="0" fontId="3" fillId="0" borderId="43" xfId="5" applyFont="1" applyFill="1" applyBorder="1" applyAlignment="1">
      <alignment horizontal="center"/>
    </xf>
    <xf numFmtId="0" fontId="3" fillId="0" borderId="13" xfId="5" applyFont="1" applyBorder="1"/>
    <xf numFmtId="0" fontId="3" fillId="0" borderId="9" xfId="5" applyFont="1" applyBorder="1"/>
    <xf numFmtId="0" fontId="3" fillId="0" borderId="0" xfId="5" applyFont="1" applyBorder="1"/>
    <xf numFmtId="0" fontId="3" fillId="0" borderId="7" xfId="5" applyFont="1" applyBorder="1"/>
    <xf numFmtId="0" fontId="3" fillId="0" borderId="73" xfId="5" applyFont="1" applyBorder="1" applyAlignment="1">
      <alignment horizontal="center"/>
    </xf>
    <xf numFmtId="0" fontId="3" fillId="0" borderId="43" xfId="5" applyFont="1" applyBorder="1" applyAlignment="1">
      <alignment horizontal="center"/>
    </xf>
    <xf numFmtId="0" fontId="3" fillId="0" borderId="43" xfId="5" applyFont="1" applyBorder="1"/>
    <xf numFmtId="20" fontId="3" fillId="0" borderId="9" xfId="5" applyNumberFormat="1" applyFont="1" applyBorder="1" applyAlignment="1">
      <alignment horizontal="center"/>
    </xf>
    <xf numFmtId="0" fontId="3" fillId="0" borderId="0" xfId="5" applyAlignment="1">
      <alignment horizontal="center"/>
    </xf>
    <xf numFmtId="0" fontId="3" fillId="14" borderId="49" xfId="5" applyFont="1" applyFill="1" applyBorder="1"/>
    <xf numFmtId="0" fontId="3" fillId="14" borderId="92" xfId="5" applyFont="1" applyFill="1" applyBorder="1" applyAlignment="1">
      <alignment horizontal="center"/>
    </xf>
    <xf numFmtId="0" fontId="3" fillId="14" borderId="11" xfId="5" applyFont="1" applyFill="1" applyBorder="1" applyAlignment="1">
      <alignment horizontal="center"/>
    </xf>
    <xf numFmtId="0" fontId="3" fillId="14" borderId="89" xfId="5" applyFont="1" applyFill="1" applyBorder="1"/>
    <xf numFmtId="0" fontId="3" fillId="14" borderId="13" xfId="5" applyFont="1" applyFill="1" applyBorder="1" applyAlignment="1">
      <alignment horizontal="center"/>
    </xf>
    <xf numFmtId="0" fontId="3" fillId="14" borderId="9" xfId="5" applyFont="1" applyFill="1" applyBorder="1" applyAlignment="1">
      <alignment horizontal="center"/>
    </xf>
    <xf numFmtId="0" fontId="3" fillId="14" borderId="7" xfId="5" applyFont="1" applyFill="1" applyBorder="1"/>
    <xf numFmtId="0" fontId="3" fillId="14" borderId="73" xfId="5" applyFont="1" applyFill="1" applyBorder="1" applyAlignment="1">
      <alignment horizontal="center"/>
    </xf>
    <xf numFmtId="0" fontId="3" fillId="14" borderId="43" xfId="5" applyFont="1" applyFill="1" applyBorder="1" applyAlignment="1">
      <alignment horizontal="center"/>
    </xf>
    <xf numFmtId="20" fontId="3" fillId="14" borderId="13" xfId="5" applyNumberFormat="1" applyFont="1" applyFill="1" applyBorder="1" applyAlignment="1">
      <alignment horizontal="center"/>
    </xf>
    <xf numFmtId="0" fontId="46" fillId="0" borderId="2" xfId="5" applyFont="1" applyBorder="1"/>
    <xf numFmtId="0" fontId="46" fillId="0" borderId="2" xfId="5" applyFont="1" applyBorder="1" applyAlignment="1">
      <alignment horizontal="center"/>
    </xf>
    <xf numFmtId="0" fontId="46" fillId="0" borderId="2" xfId="5" applyFont="1" applyFill="1" applyBorder="1"/>
    <xf numFmtId="0" fontId="46" fillId="0" borderId="49" xfId="5" applyFont="1" applyFill="1" applyBorder="1" applyAlignment="1">
      <alignment horizontal="center"/>
    </xf>
    <xf numFmtId="0" fontId="46" fillId="0" borderId="6" xfId="5" applyFont="1" applyBorder="1"/>
    <xf numFmtId="0" fontId="46" fillId="0" borderId="48" xfId="5" applyFont="1" applyBorder="1" applyAlignment="1">
      <alignment horizontal="center"/>
    </xf>
    <xf numFmtId="0" fontId="46" fillId="0" borderId="0" xfId="5" applyFont="1" applyBorder="1"/>
    <xf numFmtId="0" fontId="46" fillId="0" borderId="0" xfId="5" applyFont="1" applyBorder="1" applyAlignment="1">
      <alignment horizontal="center"/>
    </xf>
    <xf numFmtId="0" fontId="46" fillId="0" borderId="0" xfId="5" applyFont="1" applyFill="1" applyBorder="1"/>
    <xf numFmtId="0" fontId="46" fillId="0" borderId="0" xfId="5" applyFont="1" applyAlignment="1">
      <alignment horizontal="center"/>
    </xf>
    <xf numFmtId="0" fontId="2" fillId="14" borderId="13" xfId="5" applyFont="1" applyFill="1" applyBorder="1" applyAlignment="1">
      <alignment horizontal="center"/>
    </xf>
    <xf numFmtId="0" fontId="46" fillId="0" borderId="8" xfId="5" applyFont="1" applyBorder="1" applyAlignment="1">
      <alignment horizontal="center"/>
    </xf>
    <xf numFmtId="0" fontId="46" fillId="0" borderId="92" xfId="5" applyFont="1" applyBorder="1"/>
    <xf numFmtId="0" fontId="46" fillId="0" borderId="73" xfId="5" applyFont="1" applyBorder="1"/>
    <xf numFmtId="0" fontId="46" fillId="0" borderId="12" xfId="5" applyFont="1" applyBorder="1"/>
    <xf numFmtId="0" fontId="46" fillId="0" borderId="1" xfId="5" applyFont="1" applyBorder="1"/>
    <xf numFmtId="0" fontId="46" fillId="0" borderId="0" xfId="5" applyFont="1"/>
    <xf numFmtId="0" fontId="2" fillId="14" borderId="89" xfId="5" applyFont="1" applyFill="1" applyBorder="1"/>
    <xf numFmtId="0" fontId="2" fillId="14" borderId="7" xfId="5" applyFont="1" applyFill="1" applyBorder="1"/>
    <xf numFmtId="0" fontId="46" fillId="14" borderId="2" xfId="5" applyFont="1" applyFill="1" applyBorder="1" applyAlignment="1">
      <alignment horizontal="center"/>
    </xf>
    <xf numFmtId="0" fontId="3" fillId="0" borderId="0" xfId="5" applyFont="1" applyAlignment="1"/>
    <xf numFmtId="0" fontId="3" fillId="0" borderId="92" xfId="5" applyFont="1" applyBorder="1"/>
    <xf numFmtId="0" fontId="3" fillId="0" borderId="13" xfId="5" applyFont="1" applyFill="1" applyBorder="1"/>
    <xf numFmtId="0" fontId="2" fillId="0" borderId="13" xfId="5" applyFont="1" applyBorder="1"/>
    <xf numFmtId="0" fontId="3" fillId="14" borderId="12" xfId="5" applyFont="1" applyFill="1" applyBorder="1" applyAlignment="1">
      <alignment horizontal="center"/>
    </xf>
    <xf numFmtId="0" fontId="3" fillId="14" borderId="1" xfId="5" applyFont="1" applyFill="1" applyBorder="1" applyAlignment="1">
      <alignment horizontal="center"/>
    </xf>
    <xf numFmtId="0" fontId="44" fillId="0" borderId="1" xfId="5" applyFont="1" applyBorder="1" applyAlignment="1">
      <alignment vertical="center"/>
    </xf>
    <xf numFmtId="0" fontId="46" fillId="0" borderId="13" xfId="5" applyFont="1" applyBorder="1"/>
    <xf numFmtId="0" fontId="3" fillId="0" borderId="0" xfId="5" applyFont="1" applyFill="1" applyBorder="1" applyAlignment="1">
      <alignment horizontal="left"/>
    </xf>
    <xf numFmtId="0" fontId="3" fillId="14" borderId="0" xfId="5" applyFont="1" applyFill="1" applyBorder="1" applyAlignment="1">
      <alignment horizontal="center"/>
    </xf>
    <xf numFmtId="14" fontId="3" fillId="14" borderId="0" xfId="5" applyNumberFormat="1" applyFont="1" applyFill="1" applyBorder="1" applyAlignment="1">
      <alignment horizontal="left"/>
    </xf>
    <xf numFmtId="0" fontId="3" fillId="14" borderId="9" xfId="5" applyFont="1" applyFill="1" applyBorder="1" applyAlignment="1">
      <alignment horizontal="left"/>
    </xf>
    <xf numFmtId="0" fontId="2" fillId="0" borderId="0" xfId="5" applyFont="1" applyBorder="1"/>
    <xf numFmtId="0" fontId="46" fillId="0" borderId="0" xfId="5" applyFont="1" applyAlignment="1">
      <alignment horizontal="right"/>
    </xf>
    <xf numFmtId="0" fontId="6" fillId="0" borderId="43" xfId="0" applyFont="1" applyBorder="1" applyAlignment="1" applyProtection="1"/>
    <xf numFmtId="0" fontId="3" fillId="0" borderId="48" xfId="5" applyBorder="1"/>
    <xf numFmtId="0" fontId="1" fillId="0" borderId="2" xfId="5" applyFont="1" applyBorder="1"/>
    <xf numFmtId="0" fontId="1" fillId="14" borderId="89" xfId="5" applyFont="1" applyFill="1" applyBorder="1"/>
    <xf numFmtId="0" fontId="2" fillId="0" borderId="73" xfId="5" applyFont="1" applyBorder="1"/>
    <xf numFmtId="0" fontId="3" fillId="0" borderId="8" xfId="5" applyFont="1" applyBorder="1"/>
    <xf numFmtId="0" fontId="3" fillId="0" borderId="8" xfId="5" applyFont="1" applyBorder="1" applyAlignment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5" fillId="0" borderId="0" xfId="0" applyFont="1" applyFill="1" applyAlignment="1" applyProtection="1">
      <alignment horizontal="left"/>
    </xf>
    <xf numFmtId="185" fontId="13" fillId="0" borderId="8" xfId="0" applyNumberFormat="1" applyFont="1" applyFill="1" applyBorder="1" applyAlignment="1" applyProtection="1">
      <alignment horizontal="center"/>
    </xf>
    <xf numFmtId="0" fontId="9" fillId="0" borderId="0" xfId="0" applyFont="1" applyFill="1" applyAlignment="1" applyProtection="1">
      <alignment horizontal="right"/>
    </xf>
    <xf numFmtId="167" fontId="9" fillId="0" borderId="8" xfId="4" applyNumberFormat="1" applyFont="1" applyFill="1" applyBorder="1" applyAlignment="1" applyProtection="1">
      <alignment horizontal="center"/>
    </xf>
    <xf numFmtId="165" fontId="20" fillId="0" borderId="0" xfId="0" applyNumberFormat="1" applyFont="1" applyFill="1" applyBorder="1" applyAlignment="1" applyProtection="1">
      <alignment horizontal="center"/>
      <protection locked="0"/>
    </xf>
    <xf numFmtId="0" fontId="6" fillId="0" borderId="99" xfId="0" applyFont="1" applyBorder="1" applyAlignment="1">
      <alignment horizontal="left"/>
    </xf>
    <xf numFmtId="171" fontId="13" fillId="5" borderId="87" xfId="2" applyNumberFormat="1" applyFont="1" applyFill="1" applyBorder="1" applyAlignment="1">
      <alignment horizontal="center" vertical="center"/>
    </xf>
    <xf numFmtId="171" fontId="13" fillId="6" borderId="38" xfId="2" applyNumberFormat="1" applyFont="1" applyFill="1" applyBorder="1" applyAlignment="1">
      <alignment horizontal="center" vertical="center"/>
    </xf>
    <xf numFmtId="171" fontId="13" fillId="5" borderId="38" xfId="2" applyNumberFormat="1" applyFont="1" applyFill="1" applyBorder="1" applyAlignment="1">
      <alignment horizontal="center" vertical="center"/>
    </xf>
    <xf numFmtId="0" fontId="15" fillId="0" borderId="6" xfId="0" applyFont="1" applyBorder="1" applyAlignment="1" applyProtection="1">
      <alignment horizontal="left"/>
    </xf>
    <xf numFmtId="0" fontId="15" fillId="0" borderId="48" xfId="0" applyFont="1" applyBorder="1" applyAlignment="1" applyProtection="1">
      <alignment horizontal="left"/>
    </xf>
    <xf numFmtId="0" fontId="22" fillId="0" borderId="27" xfId="0" applyFont="1" applyBorder="1" applyAlignment="1">
      <alignment horizontal="left"/>
    </xf>
    <xf numFmtId="0" fontId="22" fillId="0" borderId="31" xfId="0" applyFont="1" applyBorder="1" applyAlignment="1" applyProtection="1">
      <alignment horizontal="left"/>
    </xf>
    <xf numFmtId="0" fontId="22" fillId="0" borderId="27" xfId="0" applyFont="1" applyBorder="1" applyAlignment="1" applyProtection="1">
      <alignment horizontal="left"/>
    </xf>
    <xf numFmtId="0" fontId="3" fillId="14" borderId="1" xfId="5" applyFont="1" applyFill="1" applyBorder="1" applyAlignment="1">
      <alignment horizontal="left"/>
    </xf>
    <xf numFmtId="0" fontId="3" fillId="14" borderId="8" xfId="5" applyFont="1" applyFill="1" applyBorder="1" applyAlignment="1">
      <alignment horizontal="left"/>
    </xf>
    <xf numFmtId="0" fontId="3" fillId="0" borderId="0" xfId="5" applyFont="1" applyAlignment="1">
      <alignment horizontal="left"/>
    </xf>
    <xf numFmtId="0" fontId="22" fillId="0" borderId="89" xfId="0" applyFont="1" applyFill="1" applyBorder="1" applyAlignment="1" applyProtection="1">
      <alignment horizontal="center"/>
    </xf>
    <xf numFmtId="165" fontId="22" fillId="2" borderId="0" xfId="0" applyNumberFormat="1" applyFont="1" applyFill="1" applyBorder="1" applyAlignment="1" applyProtection="1">
      <alignment horizontal="center"/>
    </xf>
    <xf numFmtId="171" fontId="22" fillId="2" borderId="0" xfId="2" applyNumberFormat="1" applyFont="1" applyFill="1" applyBorder="1" applyAlignment="1" applyProtection="1">
      <alignment horizontal="center"/>
    </xf>
    <xf numFmtId="44" fontId="15" fillId="0" borderId="9" xfId="2" applyFont="1" applyFill="1" applyBorder="1" applyAlignment="1" applyProtection="1"/>
    <xf numFmtId="0" fontId="46" fillId="0" borderId="6" xfId="5" applyFont="1" applyBorder="1" applyAlignment="1">
      <alignment horizontal="left"/>
    </xf>
    <xf numFmtId="0" fontId="46" fillId="0" borderId="48" xfId="5" applyFont="1" applyBorder="1" applyAlignment="1">
      <alignment horizontal="left"/>
    </xf>
    <xf numFmtId="0" fontId="3" fillId="14" borderId="8" xfId="5" applyFont="1" applyFill="1" applyBorder="1" applyAlignment="1">
      <alignment horizontal="left"/>
    </xf>
    <xf numFmtId="0" fontId="3" fillId="0" borderId="12" xfId="5" applyFont="1" applyFill="1" applyBorder="1" applyAlignment="1">
      <alignment horizontal="left"/>
    </xf>
    <xf numFmtId="14" fontId="3" fillId="14" borderId="12" xfId="5" applyNumberFormat="1" applyFont="1" applyFill="1" applyBorder="1" applyAlignment="1">
      <alignment horizontal="left"/>
    </xf>
    <xf numFmtId="0" fontId="3" fillId="14" borderId="11" xfId="5" applyFont="1" applyFill="1" applyBorder="1" applyAlignment="1">
      <alignment horizontal="left"/>
    </xf>
    <xf numFmtId="0" fontId="3" fillId="0" borderId="1" xfId="5" applyFont="1" applyFill="1" applyBorder="1" applyAlignment="1">
      <alignment horizontal="left"/>
    </xf>
    <xf numFmtId="0" fontId="3" fillId="14" borderId="1" xfId="5" applyFont="1" applyFill="1" applyBorder="1" applyAlignment="1">
      <alignment horizontal="left"/>
    </xf>
    <xf numFmtId="0" fontId="3" fillId="14" borderId="43" xfId="5" applyFont="1" applyFill="1" applyBorder="1" applyAlignment="1">
      <alignment horizontal="left"/>
    </xf>
    <xf numFmtId="0" fontId="3" fillId="0" borderId="0" xfId="5" applyFont="1" applyAlignment="1">
      <alignment horizontal="left"/>
    </xf>
    <xf numFmtId="0" fontId="41" fillId="10" borderId="20" xfId="0" applyFont="1" applyFill="1" applyBorder="1" applyAlignment="1" applyProtection="1">
      <alignment horizontal="left" vertical="center" wrapText="1"/>
    </xf>
    <xf numFmtId="0" fontId="41" fillId="10" borderId="75" xfId="0" applyFont="1" applyFill="1" applyBorder="1" applyAlignment="1" applyProtection="1">
      <alignment horizontal="left" vertical="center" wrapText="1"/>
    </xf>
    <xf numFmtId="0" fontId="41" fillId="10" borderId="76" xfId="0" applyFont="1" applyFill="1" applyBorder="1" applyAlignment="1" applyProtection="1">
      <alignment horizontal="left" vertical="center" wrapText="1"/>
    </xf>
    <xf numFmtId="0" fontId="41" fillId="2" borderId="17" xfId="0" applyFont="1" applyFill="1" applyBorder="1" applyAlignment="1" applyProtection="1">
      <alignment horizontal="left" vertical="center" wrapText="1"/>
    </xf>
    <xf numFmtId="0" fontId="41" fillId="2" borderId="84" xfId="0" applyFont="1" applyFill="1" applyBorder="1" applyAlignment="1" applyProtection="1">
      <alignment horizontal="left" vertical="center" wrapText="1"/>
    </xf>
    <xf numFmtId="0" fontId="41" fillId="9" borderId="20" xfId="0" applyFont="1" applyFill="1" applyBorder="1" applyAlignment="1" applyProtection="1">
      <alignment horizontal="left" vertical="center" wrapText="1"/>
    </xf>
    <xf numFmtId="0" fontId="41" fillId="9" borderId="76" xfId="0" applyFont="1" applyFill="1" applyBorder="1" applyAlignment="1" applyProtection="1">
      <alignment horizontal="left" vertical="center" wrapText="1"/>
    </xf>
    <xf numFmtId="171" fontId="41" fillId="9" borderId="85" xfId="0" applyNumberFormat="1" applyFont="1" applyFill="1" applyBorder="1" applyAlignment="1" applyProtection="1">
      <alignment horizontal="right"/>
    </xf>
    <xf numFmtId="171" fontId="41" fillId="9" borderId="86" xfId="0" applyNumberFormat="1" applyFont="1" applyFill="1" applyBorder="1" applyAlignment="1" applyProtection="1">
      <alignment horizontal="right"/>
    </xf>
    <xf numFmtId="177" fontId="7" fillId="8" borderId="38" xfId="0" applyNumberFormat="1" applyFont="1" applyFill="1" applyBorder="1" applyAlignment="1" applyProtection="1">
      <alignment horizontal="center"/>
    </xf>
    <xf numFmtId="177" fontId="7" fillId="9" borderId="38" xfId="0" applyNumberFormat="1" applyFont="1" applyFill="1" applyBorder="1" applyAlignment="1" applyProtection="1">
      <alignment horizontal="center"/>
    </xf>
    <xf numFmtId="0" fontId="41" fillId="8" borderId="81" xfId="0" applyFont="1" applyFill="1" applyBorder="1" applyAlignment="1" applyProtection="1">
      <alignment horizontal="center" vertical="center" wrapText="1"/>
    </xf>
    <xf numFmtId="0" fontId="41" fillId="8" borderId="82" xfId="0" applyFont="1" applyFill="1" applyBorder="1" applyAlignment="1" applyProtection="1">
      <alignment horizontal="center" vertical="center" wrapText="1"/>
    </xf>
    <xf numFmtId="0" fontId="9" fillId="0" borderId="87" xfId="0" applyFont="1" applyFill="1" applyBorder="1" applyAlignment="1" applyProtection="1">
      <alignment horizontal="center" wrapText="1"/>
    </xf>
    <xf numFmtId="0" fontId="9" fillId="0" borderId="81" xfId="0" applyFont="1" applyFill="1" applyBorder="1" applyAlignment="1" applyProtection="1">
      <alignment horizontal="center" wrapText="1"/>
    </xf>
    <xf numFmtId="168" fontId="7" fillId="0" borderId="85" xfId="2" applyNumberFormat="1" applyFont="1" applyFill="1" applyBorder="1" applyAlignment="1" applyProtection="1">
      <alignment horizontal="center" wrapText="1"/>
    </xf>
    <xf numFmtId="168" fontId="7" fillId="0" borderId="75" xfId="2" applyNumberFormat="1" applyFont="1" applyFill="1" applyBorder="1" applyAlignment="1" applyProtection="1">
      <alignment horizontal="center" wrapText="1"/>
    </xf>
    <xf numFmtId="177" fontId="7" fillId="9" borderId="17" xfId="0" applyNumberFormat="1" applyFont="1" applyFill="1" applyBorder="1" applyAlignment="1" applyProtection="1">
      <alignment horizontal="left"/>
    </xf>
    <xf numFmtId="177" fontId="7" fillId="9" borderId="88" xfId="0" applyNumberFormat="1" applyFont="1" applyFill="1" applyBorder="1" applyAlignment="1" applyProtection="1">
      <alignment horizontal="left"/>
    </xf>
    <xf numFmtId="177" fontId="7" fillId="9" borderId="84" xfId="0" applyNumberFormat="1" applyFont="1" applyFill="1" applyBorder="1" applyAlignment="1" applyProtection="1">
      <alignment horizontal="left"/>
    </xf>
    <xf numFmtId="177" fontId="7" fillId="8" borderId="83" xfId="0" applyNumberFormat="1" applyFont="1" applyFill="1" applyBorder="1" applyAlignment="1" applyProtection="1">
      <alignment horizontal="left"/>
    </xf>
    <xf numFmtId="177" fontId="7" fillId="8" borderId="8" xfId="0" applyNumberFormat="1" applyFont="1" applyFill="1" applyBorder="1" applyAlignment="1" applyProtection="1">
      <alignment horizontal="left"/>
    </xf>
    <xf numFmtId="177" fontId="7" fillId="8" borderId="48" xfId="0" applyNumberFormat="1" applyFont="1" applyFill="1" applyBorder="1" applyAlignment="1" applyProtection="1">
      <alignment horizontal="left"/>
    </xf>
    <xf numFmtId="0" fontId="15" fillId="0" borderId="6" xfId="0" applyFont="1" applyBorder="1" applyAlignment="1" applyProtection="1">
      <alignment horizontal="left"/>
    </xf>
    <xf numFmtId="0" fontId="15" fillId="0" borderId="8" xfId="0" applyFont="1" applyBorder="1" applyAlignment="1" applyProtection="1">
      <alignment horizontal="left"/>
    </xf>
    <xf numFmtId="0" fontId="15" fillId="0" borderId="48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center" textRotation="90"/>
    </xf>
    <xf numFmtId="0" fontId="7" fillId="0" borderId="92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73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2" fillId="0" borderId="92" xfId="0" applyFont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 vertical="center" wrapText="1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73" xfId="0" applyFont="1" applyBorder="1" applyAlignment="1" applyProtection="1">
      <alignment horizontal="center" vertical="center" wrapText="1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43" xfId="0" applyFont="1" applyBorder="1" applyAlignment="1" applyProtection="1">
      <alignment horizontal="center" vertical="center" wrapText="1"/>
    </xf>
    <xf numFmtId="171" fontId="22" fillId="0" borderId="89" xfId="0" applyNumberFormat="1" applyFont="1" applyBorder="1" applyAlignment="1" applyProtection="1">
      <alignment horizontal="center" vertical="center" wrapText="1"/>
    </xf>
    <xf numFmtId="171" fontId="22" fillId="0" borderId="7" xfId="0" applyNumberFormat="1" applyFont="1" applyBorder="1" applyAlignment="1" applyProtection="1">
      <alignment horizontal="center" vertical="center" wrapText="1"/>
    </xf>
    <xf numFmtId="0" fontId="7" fillId="3" borderId="87" xfId="0" applyFont="1" applyFill="1" applyBorder="1" applyAlignment="1" applyProtection="1">
      <alignment horizontal="center"/>
    </xf>
    <xf numFmtId="0" fontId="7" fillId="3" borderId="81" xfId="0" applyFont="1" applyFill="1" applyBorder="1" applyAlignment="1" applyProtection="1">
      <alignment horizontal="center"/>
    </xf>
    <xf numFmtId="0" fontId="7" fillId="3" borderId="82" xfId="0" applyFont="1" applyFill="1" applyBorder="1" applyAlignment="1" applyProtection="1">
      <alignment horizontal="center"/>
    </xf>
    <xf numFmtId="0" fontId="10" fillId="0" borderId="91" xfId="0" applyFont="1" applyBorder="1" applyAlignment="1" applyProtection="1">
      <alignment horizontal="center" textRotation="90"/>
    </xf>
    <xf numFmtId="0" fontId="10" fillId="0" borderId="7" xfId="0" applyFont="1" applyBorder="1" applyAlignment="1" applyProtection="1">
      <alignment horizontal="center" textRotation="90"/>
    </xf>
    <xf numFmtId="0" fontId="7" fillId="3" borderId="6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center" wrapText="1"/>
    </xf>
    <xf numFmtId="0" fontId="22" fillId="0" borderId="9" xfId="0" applyFont="1" applyFill="1" applyBorder="1" applyAlignment="1" applyProtection="1">
      <alignment horizontal="center" textRotation="90"/>
    </xf>
    <xf numFmtId="0" fontId="22" fillId="0" borderId="43" xfId="0" applyFont="1" applyFill="1" applyBorder="1" applyAlignment="1" applyProtection="1">
      <alignment horizontal="center" textRotation="90"/>
    </xf>
    <xf numFmtId="0" fontId="22" fillId="3" borderId="11" xfId="0" quotePrefix="1" applyFont="1" applyFill="1" applyBorder="1" applyAlignment="1" applyProtection="1">
      <alignment horizontal="center" vertical="center" wrapText="1"/>
    </xf>
    <xf numFmtId="0" fontId="22" fillId="3" borderId="9" xfId="0" quotePrefix="1" applyFont="1" applyFill="1" applyBorder="1" applyAlignment="1" applyProtection="1">
      <alignment horizontal="center" vertical="center" wrapText="1"/>
    </xf>
    <xf numFmtId="0" fontId="22" fillId="3" borderId="49" xfId="0" quotePrefix="1" applyFont="1" applyFill="1" applyBorder="1" applyAlignment="1" applyProtection="1">
      <alignment horizontal="center" vertical="center" wrapText="1"/>
    </xf>
    <xf numFmtId="0" fontId="22" fillId="3" borderId="89" xfId="0" quotePrefix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textRotation="90"/>
    </xf>
    <xf numFmtId="0" fontId="7" fillId="12" borderId="6" xfId="0" applyFont="1" applyFill="1" applyBorder="1" applyAlignment="1" applyProtection="1">
      <alignment horizontal="center" wrapText="1"/>
    </xf>
    <xf numFmtId="0" fontId="7" fillId="12" borderId="8" xfId="0" applyFont="1" applyFill="1" applyBorder="1" applyAlignment="1" applyProtection="1">
      <alignment horizontal="center" wrapText="1"/>
    </xf>
    <xf numFmtId="0" fontId="6" fillId="0" borderId="59" xfId="0" applyFont="1" applyBorder="1" applyAlignment="1" applyProtection="1">
      <alignment horizontal="left"/>
    </xf>
    <xf numFmtId="0" fontId="6" fillId="0" borderId="12" xfId="0" applyFont="1" applyBorder="1" applyAlignment="1" applyProtection="1">
      <alignment horizontal="left"/>
    </xf>
    <xf numFmtId="0" fontId="39" fillId="0" borderId="32" xfId="0" applyFont="1" applyBorder="1" applyAlignment="1" applyProtection="1">
      <alignment horizontal="center"/>
    </xf>
    <xf numFmtId="0" fontId="39" fillId="0" borderId="93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left"/>
    </xf>
    <xf numFmtId="0" fontId="6" fillId="0" borderId="8" xfId="0" applyFont="1" applyBorder="1" applyAlignment="1" applyProtection="1">
      <alignment horizontal="left"/>
    </xf>
    <xf numFmtId="0" fontId="6" fillId="0" borderId="30" xfId="0" applyFont="1" applyBorder="1" applyAlignment="1" applyProtection="1">
      <alignment horizontal="left"/>
    </xf>
    <xf numFmtId="0" fontId="6" fillId="0" borderId="6" xfId="0" applyFont="1" applyBorder="1" applyAlignment="1" applyProtection="1">
      <alignment horizontal="left"/>
    </xf>
    <xf numFmtId="0" fontId="40" fillId="0" borderId="79" xfId="0" applyFont="1" applyBorder="1" applyAlignment="1" applyProtection="1">
      <alignment horizontal="left"/>
    </xf>
    <xf numFmtId="0" fontId="40" fillId="0" borderId="52" xfId="0" applyFont="1" applyBorder="1" applyAlignment="1" applyProtection="1">
      <alignment horizontal="left"/>
    </xf>
    <xf numFmtId="185" fontId="13" fillId="2" borderId="8" xfId="0" applyNumberFormat="1" applyFont="1" applyFill="1" applyBorder="1" applyAlignment="1" applyProtection="1">
      <alignment horizontal="center"/>
    </xf>
    <xf numFmtId="0" fontId="20" fillId="0" borderId="87" xfId="0" applyFont="1" applyFill="1" applyBorder="1" applyAlignment="1" applyProtection="1">
      <alignment horizontal="center"/>
    </xf>
    <xf numFmtId="0" fontId="20" fillId="0" borderId="82" xfId="0" applyFont="1" applyFill="1" applyBorder="1" applyAlignment="1" applyProtection="1">
      <alignment horizontal="center"/>
    </xf>
    <xf numFmtId="0" fontId="26" fillId="0" borderId="40" xfId="0" applyFont="1" applyFill="1" applyBorder="1" applyAlignment="1" applyProtection="1">
      <alignment horizontal="center" vertical="center" textRotation="90"/>
    </xf>
    <xf numFmtId="0" fontId="26" fillId="0" borderId="94" xfId="0" applyFont="1" applyFill="1" applyBorder="1" applyAlignment="1" applyProtection="1">
      <alignment horizontal="center" vertical="center" textRotation="90"/>
    </xf>
    <xf numFmtId="0" fontId="26" fillId="0" borderId="95" xfId="0" applyFont="1" applyFill="1" applyBorder="1" applyAlignment="1" applyProtection="1">
      <alignment horizontal="center" vertical="center" textRotation="90"/>
    </xf>
    <xf numFmtId="0" fontId="21" fillId="0" borderId="4" xfId="0" applyFont="1" applyBorder="1" applyAlignment="1" applyProtection="1">
      <alignment horizontal="center"/>
    </xf>
    <xf numFmtId="0" fontId="21" fillId="0" borderId="5" xfId="0" applyFont="1" applyBorder="1" applyAlignment="1" applyProtection="1">
      <alignment horizontal="center"/>
    </xf>
    <xf numFmtId="0" fontId="21" fillId="0" borderId="3" xfId="0" applyFont="1" applyBorder="1" applyAlignment="1" applyProtection="1">
      <alignment horizontal="center"/>
    </xf>
    <xf numFmtId="0" fontId="6" fillId="0" borderId="48" xfId="0" applyFont="1" applyBorder="1" applyAlignment="1" applyProtection="1">
      <alignment horizontal="left"/>
    </xf>
    <xf numFmtId="0" fontId="6" fillId="0" borderId="54" xfId="0" applyFont="1" applyBorder="1" applyAlignment="1" applyProtection="1">
      <alignment horizontal="left"/>
    </xf>
    <xf numFmtId="0" fontId="6" fillId="0" borderId="52" xfId="0" applyFont="1" applyBorder="1" applyAlignment="1" applyProtection="1">
      <alignment horizontal="left"/>
    </xf>
    <xf numFmtId="0" fontId="22" fillId="3" borderId="49" xfId="0" applyFont="1" applyFill="1" applyBorder="1" applyAlignment="1" applyProtection="1">
      <alignment horizontal="center" vertical="center" wrapText="1"/>
    </xf>
    <xf numFmtId="0" fontId="22" fillId="3" borderId="7" xfId="0" quotePrefix="1" applyFont="1" applyFill="1" applyBorder="1" applyAlignment="1" applyProtection="1">
      <alignment horizontal="center" vertical="center" wrapText="1"/>
    </xf>
    <xf numFmtId="180" fontId="22" fillId="3" borderId="90" xfId="0" applyNumberFormat="1" applyFont="1" applyFill="1" applyBorder="1" applyAlignment="1" applyProtection="1">
      <alignment horizontal="center"/>
    </xf>
    <xf numFmtId="180" fontId="22" fillId="3" borderId="52" xfId="0" applyNumberFormat="1" applyFont="1" applyFill="1" applyBorder="1" applyAlignment="1" applyProtection="1">
      <alignment horizontal="center"/>
    </xf>
    <xf numFmtId="171" fontId="22" fillId="0" borderId="66" xfId="0" applyNumberFormat="1" applyFont="1" applyFill="1" applyBorder="1" applyAlignment="1">
      <alignment horizontal="right"/>
    </xf>
    <xf numFmtId="171" fontId="22" fillId="0" borderId="0" xfId="0" applyNumberFormat="1" applyFont="1" applyFill="1" applyBorder="1" applyAlignment="1">
      <alignment horizontal="right"/>
    </xf>
    <xf numFmtId="171" fontId="22" fillId="0" borderId="97" xfId="0" applyNumberFormat="1" applyFont="1" applyFill="1" applyBorder="1" applyAlignment="1">
      <alignment horizontal="right"/>
    </xf>
    <xf numFmtId="171" fontId="22" fillId="0" borderId="66" xfId="0" applyNumberFormat="1" applyFont="1" applyFill="1" applyBorder="1" applyAlignment="1">
      <alignment horizontal="center"/>
    </xf>
    <xf numFmtId="171" fontId="22" fillId="0" borderId="0" xfId="0" applyNumberFormat="1" applyFont="1" applyFill="1" applyBorder="1" applyAlignment="1">
      <alignment horizontal="center"/>
    </xf>
    <xf numFmtId="171" fontId="22" fillId="0" borderId="97" xfId="0" applyNumberFormat="1" applyFont="1" applyFill="1" applyBorder="1" applyAlignment="1">
      <alignment horizontal="center"/>
    </xf>
    <xf numFmtId="0" fontId="9" fillId="2" borderId="1" xfId="0" applyFont="1" applyFill="1" applyBorder="1" applyAlignment="1" applyProtection="1">
      <alignment horizontal="left"/>
    </xf>
    <xf numFmtId="0" fontId="22" fillId="0" borderId="79" xfId="0" applyFont="1" applyBorder="1" applyAlignment="1">
      <alignment horizontal="left"/>
    </xf>
    <xf numFmtId="0" fontId="22" fillId="0" borderId="80" xfId="0" applyFont="1" applyBorder="1" applyAlignment="1">
      <alignment horizontal="left"/>
    </xf>
    <xf numFmtId="0" fontId="10" fillId="0" borderId="49" xfId="0" applyFont="1" applyBorder="1" applyAlignment="1" applyProtection="1">
      <alignment horizontal="center" textRotation="90"/>
    </xf>
    <xf numFmtId="0" fontId="10" fillId="0" borderId="89" xfId="0" applyFont="1" applyBorder="1" applyAlignment="1" applyProtection="1">
      <alignment horizontal="center" textRotation="90"/>
    </xf>
    <xf numFmtId="0" fontId="22" fillId="0" borderId="77" xfId="0" applyFont="1" applyBorder="1" applyAlignment="1">
      <alignment horizontal="center" vertical="top"/>
    </xf>
    <xf numFmtId="0" fontId="22" fillId="0" borderId="32" xfId="0" applyFont="1" applyBorder="1" applyAlignment="1">
      <alignment horizontal="center" vertical="top"/>
    </xf>
    <xf numFmtId="0" fontId="22" fillId="0" borderId="78" xfId="0" applyFont="1" applyBorder="1" applyAlignment="1">
      <alignment horizontal="center" vertical="top"/>
    </xf>
    <xf numFmtId="0" fontId="22" fillId="0" borderId="53" xfId="0" applyFont="1" applyBorder="1" applyAlignment="1">
      <alignment horizontal="center" vertical="top"/>
    </xf>
    <xf numFmtId="0" fontId="22" fillId="0" borderId="27" xfId="0" applyFont="1" applyBorder="1" applyAlignment="1">
      <alignment horizontal="left"/>
    </xf>
    <xf numFmtId="0" fontId="22" fillId="0" borderId="61" xfId="0" applyFont="1" applyBorder="1" applyAlignment="1">
      <alignment horizontal="left"/>
    </xf>
    <xf numFmtId="0" fontId="22" fillId="0" borderId="31" xfId="0" applyFont="1" applyBorder="1" applyAlignment="1" applyProtection="1">
      <alignment horizontal="left"/>
    </xf>
    <xf numFmtId="0" fontId="22" fillId="0" borderId="44" xfId="0" applyFont="1" applyBorder="1" applyAlignment="1" applyProtection="1">
      <alignment horizontal="left"/>
    </xf>
    <xf numFmtId="0" fontId="22" fillId="0" borderId="27" xfId="0" applyFont="1" applyBorder="1" applyAlignment="1" applyProtection="1">
      <alignment horizontal="left"/>
    </xf>
    <xf numFmtId="0" fontId="22" fillId="0" borderId="61" xfId="0" applyFont="1" applyBorder="1" applyAlignment="1" applyProtection="1">
      <alignment horizontal="left"/>
    </xf>
    <xf numFmtId="0" fontId="22" fillId="0" borderId="96" xfId="0" applyFont="1" applyBorder="1" applyAlignment="1">
      <alignment horizontal="left"/>
    </xf>
    <xf numFmtId="0" fontId="22" fillId="0" borderId="60" xfId="0" applyFont="1" applyBorder="1" applyAlignment="1">
      <alignment horizontal="left"/>
    </xf>
    <xf numFmtId="0" fontId="22" fillId="13" borderId="3" xfId="0" applyFont="1" applyFill="1" applyBorder="1" applyAlignment="1">
      <alignment horizontal="center" vertical="center" wrapText="1"/>
    </xf>
    <xf numFmtId="0" fontId="22" fillId="13" borderId="5" xfId="0" applyFont="1" applyFill="1" applyBorder="1" applyAlignment="1">
      <alignment horizontal="center" vertical="center" wrapText="1"/>
    </xf>
    <xf numFmtId="0" fontId="22" fillId="0" borderId="96" xfId="0" applyFont="1" applyBorder="1" applyAlignment="1" applyProtection="1">
      <alignment horizontal="left"/>
    </xf>
    <xf numFmtId="0" fontId="22" fillId="0" borderId="60" xfId="0" applyFont="1" applyBorder="1" applyAlignment="1" applyProtection="1">
      <alignment horizontal="left"/>
    </xf>
    <xf numFmtId="0" fontId="22" fillId="7" borderId="3" xfId="0" applyFont="1" applyFill="1" applyBorder="1" applyAlignment="1">
      <alignment horizontal="right" vertical="center" wrapText="1"/>
    </xf>
    <xf numFmtId="0" fontId="22" fillId="7" borderId="4" xfId="0" applyFont="1" applyFill="1" applyBorder="1" applyAlignment="1">
      <alignment horizontal="right" vertical="center" wrapText="1"/>
    </xf>
    <xf numFmtId="0" fontId="22" fillId="3" borderId="3" xfId="0" applyFont="1" applyFill="1" applyBorder="1" applyAlignment="1" applyProtection="1">
      <alignment horizontal="center" vertical="center"/>
    </xf>
    <xf numFmtId="0" fontId="22" fillId="3" borderId="4" xfId="0" applyFont="1" applyFill="1" applyBorder="1" applyAlignment="1" applyProtection="1">
      <alignment horizontal="center" vertical="center"/>
    </xf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4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/>
    </xf>
  </cellXfs>
  <cellStyles count="6">
    <cellStyle name="Comma" xfId="1" builtinId="3"/>
    <cellStyle name="Currency" xfId="2" builtinId="4"/>
    <cellStyle name="Normal" xfId="0" builtinId="0"/>
    <cellStyle name="Normal 2" xfId="3"/>
    <cellStyle name="Normal 3" xfId="5"/>
    <cellStyle name="Percent" xfId="4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ill>
        <patternFill>
          <bgColor indexed="47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108</xdr:row>
      <xdr:rowOff>28575</xdr:rowOff>
    </xdr:from>
    <xdr:to>
      <xdr:col>11</xdr:col>
      <xdr:colOff>66675</xdr:colOff>
      <xdr:row>109</xdr:row>
      <xdr:rowOff>38100</xdr:rowOff>
    </xdr:to>
    <xdr:sp macro="" textlink="">
      <xdr:nvSpPr>
        <xdr:cNvPr id="2" name="Text Box 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8846820" y="16693515"/>
          <a:ext cx="666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2</xdr:col>
      <xdr:colOff>1</xdr:colOff>
      <xdr:row>193</xdr:row>
      <xdr:rowOff>152133</xdr:rowOff>
    </xdr:from>
    <xdr:ext cx="7162800" cy="948533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4841" y="32582853"/>
          <a:ext cx="7162800" cy="94853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 editAs="absolute">
    <xdr:from>
      <xdr:col>8</xdr:col>
      <xdr:colOff>919268</xdr:colOff>
      <xdr:row>137</xdr:row>
      <xdr:rowOff>34623</xdr:rowOff>
    </xdr:from>
    <xdr:to>
      <xdr:col>9</xdr:col>
      <xdr:colOff>807509</xdr:colOff>
      <xdr:row>138</xdr:row>
      <xdr:rowOff>427812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137188" y="21991653"/>
          <a:ext cx="810261" cy="5646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32" displayName="Table132" ref="M140:T149" totalsRowShown="0" dataDxfId="6">
  <autoFilter ref="M140:T149"/>
  <tableColumns count="8">
    <tableColumn id="1" name="DESCRIPTION"/>
    <tableColumn id="2" name="SYSTEM" dataDxfId="5"/>
    <tableColumn id="3" name="BOX" dataDxfId="4"/>
    <tableColumn id="4" name="BATTERY" dataDxfId="3"/>
    <tableColumn id="5" name="CABLE" dataDxfId="2"/>
    <tableColumn id="6" name="GEOPHONE"/>
    <tableColumn id="7" name="BLASTERS" dataDxfId="1"/>
    <tableColumn id="8" name="VIBRATO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93"/>
  <sheetViews>
    <sheetView showZeros="0" tabSelected="1" view="pageBreakPreview" topLeftCell="A46" zoomScaleNormal="85" zoomScaleSheetLayoutView="100" workbookViewId="0">
      <selection activeCell="C73" sqref="C73"/>
    </sheetView>
  </sheetViews>
  <sheetFormatPr defaultColWidth="9.33203125" defaultRowHeight="12.75"/>
  <cols>
    <col min="1" max="2" width="5.83203125" style="6" customWidth="1"/>
    <col min="3" max="3" width="32.1640625" style="59" customWidth="1"/>
    <col min="4" max="4" width="12.5" style="6" customWidth="1"/>
    <col min="5" max="5" width="12.6640625" style="6" customWidth="1"/>
    <col min="6" max="6" width="16.33203125" style="6" customWidth="1"/>
    <col min="7" max="7" width="15" style="6" customWidth="1"/>
    <col min="8" max="8" width="16.33203125" style="6" customWidth="1"/>
    <col min="9" max="9" width="17.33203125" style="23" customWidth="1"/>
    <col min="10" max="10" width="19.33203125" style="24" customWidth="1"/>
    <col min="11" max="18" width="12.6640625" style="6" customWidth="1"/>
    <col min="19" max="19" width="23" style="6" customWidth="1"/>
    <col min="20" max="22" width="12.6640625" style="6" customWidth="1"/>
    <col min="23" max="23" width="10.6640625" style="6" customWidth="1"/>
    <col min="24" max="16384" width="9.33203125" style="6"/>
  </cols>
  <sheetData>
    <row r="1" spans="1:11" s="1" customFormat="1" ht="15" customHeight="1" thickTop="1" thickBot="1">
      <c r="A1" s="5" t="s">
        <v>0</v>
      </c>
      <c r="B1" s="6"/>
      <c r="C1" s="553"/>
      <c r="D1" s="553"/>
      <c r="E1" s="553"/>
      <c r="F1" s="2" t="s">
        <v>96</v>
      </c>
      <c r="G1" s="11">
        <v>101</v>
      </c>
      <c r="H1" s="532" t="s">
        <v>105</v>
      </c>
      <c r="I1" s="533"/>
      <c r="J1" s="155">
        <v>13</v>
      </c>
      <c r="K1" s="279"/>
    </row>
    <row r="2" spans="1:11" s="1" customFormat="1" ht="15" customHeight="1" thickTop="1" thickBot="1">
      <c r="A2" s="5" t="s">
        <v>280</v>
      </c>
      <c r="B2" s="6"/>
      <c r="C2" s="580"/>
      <c r="D2" s="580"/>
      <c r="E2" s="580"/>
      <c r="F2" s="2" t="s">
        <v>2</v>
      </c>
      <c r="G2" s="321" t="s">
        <v>183</v>
      </c>
      <c r="H2" s="532" t="s">
        <v>106</v>
      </c>
      <c r="I2" s="533"/>
      <c r="J2" s="165"/>
      <c r="K2" s="4"/>
    </row>
    <row r="3" spans="1:11" ht="15" customHeight="1" thickTop="1" thickBot="1">
      <c r="A3" s="5" t="s">
        <v>1</v>
      </c>
      <c r="C3" s="531"/>
      <c r="D3" s="531"/>
      <c r="F3" s="2" t="s">
        <v>142</v>
      </c>
      <c r="G3" s="322"/>
      <c r="H3" s="532" t="s">
        <v>107</v>
      </c>
      <c r="I3" s="533"/>
      <c r="J3" s="156">
        <v>12</v>
      </c>
    </row>
    <row r="4" spans="1:11" s="7" customFormat="1" ht="12.75" customHeight="1" thickTop="1">
      <c r="C4" s="8" t="s">
        <v>3</v>
      </c>
      <c r="D4" s="9"/>
      <c r="F4" s="8" t="s">
        <v>4</v>
      </c>
      <c r="G4" s="11"/>
      <c r="I4" s="8" t="s">
        <v>5</v>
      </c>
      <c r="J4" s="261"/>
    </row>
    <row r="5" spans="1:11" s="7" customFormat="1" ht="12.75" customHeight="1">
      <c r="C5" s="8" t="s">
        <v>6</v>
      </c>
      <c r="D5" s="9"/>
      <c r="F5" s="8" t="s">
        <v>7</v>
      </c>
      <c r="G5" s="11"/>
      <c r="I5" s="12" t="s">
        <v>8</v>
      </c>
      <c r="J5" s="262"/>
    </row>
    <row r="6" spans="1:11" s="7" customFormat="1" ht="12.75" customHeight="1">
      <c r="C6" s="8" t="s">
        <v>144</v>
      </c>
      <c r="D6" s="14">
        <f>SUM(D4:D5)</f>
        <v>0</v>
      </c>
      <c r="F6" s="8" t="s">
        <v>9</v>
      </c>
      <c r="G6" s="11"/>
      <c r="I6" s="12" t="s">
        <v>10</v>
      </c>
      <c r="J6" s="262"/>
    </row>
    <row r="7" spans="1:11" s="7" customFormat="1" ht="12.75" customHeight="1">
      <c r="A7" s="15"/>
      <c r="C7" s="8" t="s">
        <v>11</v>
      </c>
      <c r="D7" s="16">
        <v>0</v>
      </c>
      <c r="F7" s="12" t="s">
        <v>12</v>
      </c>
      <c r="G7" s="17" t="e">
        <f>(ROUNDUP(IF(D4=0,(D6/G5)*1000,IF(D4&gt;0,(D4/G5)*1000)),-0.1))+G4</f>
        <v>#DIV/0!</v>
      </c>
      <c r="I7" s="12" t="s">
        <v>13</v>
      </c>
      <c r="J7" s="263" t="e">
        <f>ROUNDUP(((D5/J5)*1000)+J4,-0.1)+(J4*D9)</f>
        <v>#DIV/0!</v>
      </c>
    </row>
    <row r="8" spans="1:11" s="7" customFormat="1" ht="12.75" customHeight="1">
      <c r="A8" s="15"/>
      <c r="C8" s="8" t="s">
        <v>14</v>
      </c>
      <c r="D8" s="11"/>
      <c r="G8" s="12" t="s">
        <v>87</v>
      </c>
      <c r="H8" s="19">
        <v>0.5</v>
      </c>
      <c r="I8" s="8" t="s">
        <v>15</v>
      </c>
      <c r="J8" s="264">
        <v>0</v>
      </c>
    </row>
    <row r="9" spans="1:11" s="7" customFormat="1" ht="12.75" customHeight="1">
      <c r="C9" s="8" t="s">
        <v>16</v>
      </c>
      <c r="D9" s="300">
        <v>0</v>
      </c>
      <c r="G9" s="8" t="s">
        <v>17</v>
      </c>
      <c r="H9" s="258" t="s">
        <v>98</v>
      </c>
      <c r="I9" s="8" t="s">
        <v>18</v>
      </c>
      <c r="J9" s="271" t="s">
        <v>98</v>
      </c>
    </row>
    <row r="10" spans="1:11" s="7" customFormat="1" ht="12.75" customHeight="1">
      <c r="A10" s="147"/>
      <c r="B10" s="147"/>
      <c r="D10" s="8" t="s">
        <v>19</v>
      </c>
      <c r="E10" s="11"/>
      <c r="F10" s="20" t="s">
        <v>20</v>
      </c>
      <c r="G10" s="13"/>
      <c r="H10" s="21">
        <f>E10*G10</f>
        <v>0</v>
      </c>
      <c r="I10" s="18" t="s">
        <v>21</v>
      </c>
      <c r="J10" s="272"/>
    </row>
    <row r="11" spans="1:11" s="7" customFormat="1" ht="3.75" customHeight="1" thickBot="1">
      <c r="A11" s="148"/>
      <c r="B11" s="148"/>
      <c r="D11" s="143"/>
      <c r="E11" s="29"/>
      <c r="F11" s="144"/>
      <c r="G11" s="145"/>
      <c r="H11" s="114"/>
      <c r="I11" s="146"/>
      <c r="J11" s="265"/>
    </row>
    <row r="12" spans="1:11" ht="15" customHeight="1" thickBot="1">
      <c r="A12" s="556" t="s">
        <v>117</v>
      </c>
      <c r="B12" s="556" t="s">
        <v>116</v>
      </c>
      <c r="C12" s="574" t="s">
        <v>104</v>
      </c>
      <c r="D12" s="575"/>
      <c r="E12" s="208">
        <v>0.5</v>
      </c>
      <c r="F12" s="576" t="s">
        <v>105</v>
      </c>
      <c r="G12" s="577"/>
      <c r="H12" s="578" t="s">
        <v>106</v>
      </c>
      <c r="I12" s="579"/>
      <c r="J12" s="209" t="s">
        <v>99</v>
      </c>
    </row>
    <row r="13" spans="1:11" s="7" customFormat="1" ht="15" customHeight="1" thickBot="1">
      <c r="A13" s="509"/>
      <c r="B13" s="509"/>
      <c r="C13" s="115" t="s">
        <v>103</v>
      </c>
      <c r="D13" s="116" t="s">
        <v>100</v>
      </c>
      <c r="E13" s="116" t="s">
        <v>101</v>
      </c>
      <c r="F13" s="117" t="s">
        <v>32</v>
      </c>
      <c r="G13" s="118" t="s">
        <v>110</v>
      </c>
      <c r="H13" s="119" t="s">
        <v>100</v>
      </c>
      <c r="I13" s="187" t="s">
        <v>110</v>
      </c>
      <c r="J13" s="120" t="s">
        <v>110</v>
      </c>
      <c r="K13" s="26"/>
    </row>
    <row r="14" spans="1:11" s="7" customFormat="1" ht="12.75" customHeight="1">
      <c r="A14" s="27" t="s">
        <v>22</v>
      </c>
      <c r="B14" s="27" t="s">
        <v>22</v>
      </c>
      <c r="C14" s="121" t="s">
        <v>23</v>
      </c>
      <c r="D14" s="190"/>
      <c r="E14" s="191">
        <v>800</v>
      </c>
      <c r="F14" s="122">
        <f t="shared" ref="F14:F33" si="0">D14*E14</f>
        <v>0</v>
      </c>
      <c r="G14" s="160">
        <f t="shared" ref="G14:G33" si="1">F14/$J$1</f>
        <v>0</v>
      </c>
      <c r="H14" s="124"/>
      <c r="I14" s="185">
        <f t="shared" ref="I14:I33" si="2">IF($J$2=0,0,(H14*E14)/$J$2)</f>
        <v>0</v>
      </c>
      <c r="J14" s="185" t="b">
        <f t="shared" ref="J14:J33" si="3">IF($J$3=0,0,IF(B14="X",IF(F14&gt;0,(F14/$J$3))))</f>
        <v>0</v>
      </c>
      <c r="K14" s="31"/>
    </row>
    <row r="15" spans="1:11" s="7" customFormat="1" ht="12.75" customHeight="1">
      <c r="A15" s="27" t="s">
        <v>22</v>
      </c>
      <c r="B15" s="27" t="s">
        <v>22</v>
      </c>
      <c r="C15" s="121" t="s">
        <v>102</v>
      </c>
      <c r="D15" s="193">
        <v>0</v>
      </c>
      <c r="E15" s="194">
        <v>625</v>
      </c>
      <c r="F15" s="122">
        <f t="shared" si="0"/>
        <v>0</v>
      </c>
      <c r="G15" s="160">
        <f t="shared" si="1"/>
        <v>0</v>
      </c>
      <c r="H15" s="125"/>
      <c r="I15" s="185">
        <f t="shared" si="2"/>
        <v>0</v>
      </c>
      <c r="J15" s="185" t="b">
        <f t="shared" si="3"/>
        <v>0</v>
      </c>
      <c r="K15" s="31"/>
    </row>
    <row r="16" spans="1:11" s="7" customFormat="1" ht="12.75" customHeight="1">
      <c r="A16" s="27" t="s">
        <v>22</v>
      </c>
      <c r="B16" s="27" t="s">
        <v>22</v>
      </c>
      <c r="C16" s="121" t="s">
        <v>305</v>
      </c>
      <c r="D16" s="193"/>
      <c r="E16" s="194">
        <v>625</v>
      </c>
      <c r="F16" s="122">
        <f t="shared" si="0"/>
        <v>0</v>
      </c>
      <c r="G16" s="160">
        <f t="shared" si="1"/>
        <v>0</v>
      </c>
      <c r="H16" s="125"/>
      <c r="I16" s="185">
        <f t="shared" si="2"/>
        <v>0</v>
      </c>
      <c r="J16" s="185" t="b">
        <f t="shared" si="3"/>
        <v>0</v>
      </c>
      <c r="K16" s="31"/>
    </row>
    <row r="17" spans="1:58" s="7" customFormat="1" ht="12.75" customHeight="1">
      <c r="A17" s="27" t="s">
        <v>22</v>
      </c>
      <c r="B17" s="27" t="s">
        <v>22</v>
      </c>
      <c r="C17" s="121" t="s">
        <v>24</v>
      </c>
      <c r="D17" s="193">
        <v>0</v>
      </c>
      <c r="E17" s="194">
        <v>425</v>
      </c>
      <c r="F17" s="122">
        <f t="shared" si="0"/>
        <v>0</v>
      </c>
      <c r="G17" s="160">
        <f t="shared" si="1"/>
        <v>0</v>
      </c>
      <c r="H17" s="125"/>
      <c r="I17" s="185">
        <f t="shared" si="2"/>
        <v>0</v>
      </c>
      <c r="J17" s="185" t="b">
        <f t="shared" si="3"/>
        <v>0</v>
      </c>
      <c r="K17" s="31"/>
    </row>
    <row r="18" spans="1:58" s="7" customFormat="1" ht="12.75" customHeight="1">
      <c r="A18" s="27" t="s">
        <v>22</v>
      </c>
      <c r="B18" s="27" t="s">
        <v>22</v>
      </c>
      <c r="C18" s="121" t="s">
        <v>25</v>
      </c>
      <c r="D18" s="193">
        <v>0</v>
      </c>
      <c r="E18" s="194">
        <v>625</v>
      </c>
      <c r="F18" s="122">
        <f t="shared" si="0"/>
        <v>0</v>
      </c>
      <c r="G18" s="160">
        <f t="shared" si="1"/>
        <v>0</v>
      </c>
      <c r="H18" s="125"/>
      <c r="I18" s="185">
        <f t="shared" si="2"/>
        <v>0</v>
      </c>
      <c r="J18" s="185" t="b">
        <f t="shared" si="3"/>
        <v>0</v>
      </c>
      <c r="K18" s="31"/>
    </row>
    <row r="19" spans="1:58" s="7" customFormat="1" ht="12.75" customHeight="1">
      <c r="A19" s="27" t="s">
        <v>22</v>
      </c>
      <c r="B19" s="27" t="s">
        <v>22</v>
      </c>
      <c r="C19" s="121" t="s">
        <v>38</v>
      </c>
      <c r="D19" s="193"/>
      <c r="E19" s="194">
        <v>625</v>
      </c>
      <c r="F19" s="122">
        <f t="shared" si="0"/>
        <v>0</v>
      </c>
      <c r="G19" s="160">
        <f t="shared" si="1"/>
        <v>0</v>
      </c>
      <c r="H19" s="125"/>
      <c r="I19" s="185">
        <f t="shared" si="2"/>
        <v>0</v>
      </c>
      <c r="J19" s="185" t="b">
        <f t="shared" si="3"/>
        <v>0</v>
      </c>
      <c r="K19" s="31"/>
    </row>
    <row r="20" spans="1:58" s="7" customFormat="1" ht="12.75" customHeight="1">
      <c r="A20" s="27" t="s">
        <v>22</v>
      </c>
      <c r="B20" s="27" t="s">
        <v>22</v>
      </c>
      <c r="C20" s="121" t="s">
        <v>289</v>
      </c>
      <c r="D20" s="193"/>
      <c r="E20" s="194">
        <v>625</v>
      </c>
      <c r="F20" s="122">
        <f t="shared" si="0"/>
        <v>0</v>
      </c>
      <c r="G20" s="160">
        <f t="shared" si="1"/>
        <v>0</v>
      </c>
      <c r="H20" s="125"/>
      <c r="I20" s="185">
        <f t="shared" si="2"/>
        <v>0</v>
      </c>
      <c r="J20" s="185" t="b">
        <f t="shared" si="3"/>
        <v>0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</row>
    <row r="21" spans="1:58" s="7" customFormat="1" ht="12.75" customHeight="1">
      <c r="A21" s="27" t="s">
        <v>22</v>
      </c>
      <c r="B21" s="27" t="s">
        <v>22</v>
      </c>
      <c r="C21" s="121" t="s">
        <v>290</v>
      </c>
      <c r="D21" s="193">
        <v>0</v>
      </c>
      <c r="E21" s="194">
        <v>575</v>
      </c>
      <c r="F21" s="122">
        <f t="shared" si="0"/>
        <v>0</v>
      </c>
      <c r="G21" s="160">
        <f t="shared" si="1"/>
        <v>0</v>
      </c>
      <c r="H21" s="125"/>
      <c r="I21" s="185">
        <f t="shared" si="2"/>
        <v>0</v>
      </c>
      <c r="J21" s="185" t="b">
        <f t="shared" si="3"/>
        <v>0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</row>
    <row r="22" spans="1:58" s="7" customFormat="1" ht="12.75" customHeight="1">
      <c r="A22" s="27" t="s">
        <v>22</v>
      </c>
      <c r="B22" s="27" t="s">
        <v>22</v>
      </c>
      <c r="C22" s="126" t="s">
        <v>166</v>
      </c>
      <c r="D22" s="193">
        <v>0</v>
      </c>
      <c r="E22" s="194">
        <v>575</v>
      </c>
      <c r="F22" s="122">
        <f t="shared" si="0"/>
        <v>0</v>
      </c>
      <c r="G22" s="160">
        <f t="shared" si="1"/>
        <v>0</v>
      </c>
      <c r="H22" s="125"/>
      <c r="I22" s="185">
        <f t="shared" si="2"/>
        <v>0</v>
      </c>
      <c r="J22" s="185" t="b">
        <f t="shared" si="3"/>
        <v>0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</row>
    <row r="23" spans="1:58" s="7" customFormat="1" ht="12.75" customHeight="1">
      <c r="A23" s="27" t="s">
        <v>22</v>
      </c>
      <c r="B23" s="27" t="s">
        <v>22</v>
      </c>
      <c r="C23" s="121" t="s">
        <v>145</v>
      </c>
      <c r="D23" s="193">
        <v>0</v>
      </c>
      <c r="E23" s="194">
        <v>475</v>
      </c>
      <c r="F23" s="122">
        <f t="shared" si="0"/>
        <v>0</v>
      </c>
      <c r="G23" s="160">
        <f t="shared" si="1"/>
        <v>0</v>
      </c>
      <c r="H23" s="125"/>
      <c r="I23" s="185">
        <f t="shared" si="2"/>
        <v>0</v>
      </c>
      <c r="J23" s="185" t="b">
        <f t="shared" si="3"/>
        <v>0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</row>
    <row r="24" spans="1:58" s="7" customFormat="1" ht="12.75" customHeight="1">
      <c r="A24" s="27" t="s">
        <v>22</v>
      </c>
      <c r="B24" s="27" t="s">
        <v>22</v>
      </c>
      <c r="C24" s="121" t="s">
        <v>26</v>
      </c>
      <c r="D24" s="193"/>
      <c r="E24" s="194">
        <v>425</v>
      </c>
      <c r="F24" s="122">
        <f t="shared" si="0"/>
        <v>0</v>
      </c>
      <c r="G24" s="160">
        <f t="shared" si="1"/>
        <v>0</v>
      </c>
      <c r="H24" s="125"/>
      <c r="I24" s="185">
        <f t="shared" si="2"/>
        <v>0</v>
      </c>
      <c r="J24" s="185" t="b">
        <f t="shared" si="3"/>
        <v>0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</row>
    <row r="25" spans="1:58" s="7" customFormat="1" ht="12.75" customHeight="1">
      <c r="A25" s="27" t="s">
        <v>22</v>
      </c>
      <c r="B25" s="27" t="s">
        <v>22</v>
      </c>
      <c r="C25" s="121" t="s">
        <v>27</v>
      </c>
      <c r="D25" s="193">
        <v>0</v>
      </c>
      <c r="E25" s="194">
        <v>375</v>
      </c>
      <c r="F25" s="122">
        <f t="shared" si="0"/>
        <v>0</v>
      </c>
      <c r="G25" s="160">
        <f t="shared" si="1"/>
        <v>0</v>
      </c>
      <c r="H25" s="125"/>
      <c r="I25" s="185">
        <f t="shared" si="2"/>
        <v>0</v>
      </c>
      <c r="J25" s="185" t="b">
        <f t="shared" si="3"/>
        <v>0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</row>
    <row r="26" spans="1:58" s="7" customFormat="1" ht="12.75" customHeight="1">
      <c r="A26" s="27" t="s">
        <v>22</v>
      </c>
      <c r="B26" s="27" t="s">
        <v>22</v>
      </c>
      <c r="C26" s="121" t="s">
        <v>180</v>
      </c>
      <c r="D26" s="193"/>
      <c r="E26" s="194">
        <v>425</v>
      </c>
      <c r="F26" s="122">
        <f t="shared" si="0"/>
        <v>0</v>
      </c>
      <c r="G26" s="160">
        <f t="shared" si="1"/>
        <v>0</v>
      </c>
      <c r="H26" s="125"/>
      <c r="I26" s="185">
        <f t="shared" si="2"/>
        <v>0</v>
      </c>
      <c r="J26" s="185" t="b">
        <f t="shared" si="3"/>
        <v>0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</row>
    <row r="27" spans="1:58" s="7" customFormat="1" ht="12.75" customHeight="1">
      <c r="A27" s="27" t="s">
        <v>22</v>
      </c>
      <c r="B27" s="27" t="s">
        <v>22</v>
      </c>
      <c r="C27" s="121" t="s">
        <v>28</v>
      </c>
      <c r="D27" s="193">
        <v>0</v>
      </c>
      <c r="E27" s="194">
        <v>425</v>
      </c>
      <c r="F27" s="122">
        <f t="shared" si="0"/>
        <v>0</v>
      </c>
      <c r="G27" s="160">
        <f t="shared" si="1"/>
        <v>0</v>
      </c>
      <c r="H27" s="125"/>
      <c r="I27" s="185">
        <f t="shared" si="2"/>
        <v>0</v>
      </c>
      <c r="J27" s="185" t="b">
        <f t="shared" si="3"/>
        <v>0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</row>
    <row r="28" spans="1:58" s="7" customFormat="1" ht="12.75" customHeight="1">
      <c r="A28" s="27" t="s">
        <v>22</v>
      </c>
      <c r="B28" s="27" t="s">
        <v>22</v>
      </c>
      <c r="C28" s="121" t="s">
        <v>29</v>
      </c>
      <c r="D28" s="193"/>
      <c r="E28" s="194">
        <v>375</v>
      </c>
      <c r="F28" s="122">
        <f t="shared" si="0"/>
        <v>0</v>
      </c>
      <c r="G28" s="160">
        <f t="shared" si="1"/>
        <v>0</v>
      </c>
      <c r="H28" s="125"/>
      <c r="I28" s="185">
        <f t="shared" si="2"/>
        <v>0</v>
      </c>
      <c r="J28" s="185" t="b">
        <f t="shared" si="3"/>
        <v>0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</row>
    <row r="29" spans="1:58" s="7" customFormat="1" ht="12.75" customHeight="1">
      <c r="A29" s="27" t="s">
        <v>22</v>
      </c>
      <c r="B29" s="27" t="s">
        <v>22</v>
      </c>
      <c r="C29" s="121" t="s">
        <v>182</v>
      </c>
      <c r="D29" s="193">
        <v>0</v>
      </c>
      <c r="E29" s="194">
        <v>375</v>
      </c>
      <c r="F29" s="122">
        <f t="shared" si="0"/>
        <v>0</v>
      </c>
      <c r="G29" s="160">
        <f t="shared" si="1"/>
        <v>0</v>
      </c>
      <c r="H29" s="125"/>
      <c r="I29" s="185">
        <f t="shared" si="2"/>
        <v>0</v>
      </c>
      <c r="J29" s="185" t="b">
        <f t="shared" si="3"/>
        <v>0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</row>
    <row r="30" spans="1:58" s="7" customFormat="1" ht="12.75" customHeight="1">
      <c r="A30" s="27" t="s">
        <v>22</v>
      </c>
      <c r="B30" s="27" t="s">
        <v>22</v>
      </c>
      <c r="C30" s="121" t="s">
        <v>181</v>
      </c>
      <c r="D30" s="193">
        <v>0</v>
      </c>
      <c r="E30" s="194">
        <v>425</v>
      </c>
      <c r="F30" s="122">
        <f t="shared" si="0"/>
        <v>0</v>
      </c>
      <c r="G30" s="160">
        <f t="shared" si="1"/>
        <v>0</v>
      </c>
      <c r="H30" s="125"/>
      <c r="I30" s="185">
        <f t="shared" si="2"/>
        <v>0</v>
      </c>
      <c r="J30" s="185" t="b">
        <f t="shared" si="3"/>
        <v>0</v>
      </c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</row>
    <row r="31" spans="1:58" s="7" customFormat="1" ht="12.75" customHeight="1">
      <c r="A31" s="27" t="s">
        <v>22</v>
      </c>
      <c r="B31" s="27" t="s">
        <v>22</v>
      </c>
      <c r="C31" s="121" t="s">
        <v>30</v>
      </c>
      <c r="D31" s="193">
        <v>0</v>
      </c>
      <c r="E31" s="194">
        <v>375</v>
      </c>
      <c r="F31" s="122">
        <f t="shared" si="0"/>
        <v>0</v>
      </c>
      <c r="G31" s="160">
        <f t="shared" si="1"/>
        <v>0</v>
      </c>
      <c r="H31" s="125"/>
      <c r="I31" s="185">
        <f t="shared" si="2"/>
        <v>0</v>
      </c>
      <c r="J31" s="185" t="b">
        <f t="shared" si="3"/>
        <v>0</v>
      </c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</row>
    <row r="32" spans="1:58" s="7" customFormat="1" ht="12.75" customHeight="1">
      <c r="A32" s="27" t="s">
        <v>22</v>
      </c>
      <c r="B32" s="27" t="s">
        <v>22</v>
      </c>
      <c r="C32" s="121" t="s">
        <v>39</v>
      </c>
      <c r="D32" s="195"/>
      <c r="E32" s="194">
        <v>425</v>
      </c>
      <c r="F32" s="122">
        <f t="shared" si="0"/>
        <v>0</v>
      </c>
      <c r="G32" s="160">
        <f t="shared" si="1"/>
        <v>0</v>
      </c>
      <c r="H32" s="125"/>
      <c r="I32" s="185">
        <f t="shared" si="2"/>
        <v>0</v>
      </c>
      <c r="J32" s="185" t="b">
        <f t="shared" si="3"/>
        <v>0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P32" s="31"/>
      <c r="AQ32" s="31"/>
      <c r="AR32" s="149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</row>
    <row r="33" spans="1:58" s="7" customFormat="1" ht="12.75" customHeight="1" thickBot="1">
      <c r="A33" s="27" t="s">
        <v>22</v>
      </c>
      <c r="B33" s="27" t="s">
        <v>22</v>
      </c>
      <c r="C33" s="443" t="s">
        <v>179</v>
      </c>
      <c r="D33" s="195"/>
      <c r="E33" s="194">
        <v>85</v>
      </c>
      <c r="F33" s="122">
        <f t="shared" si="0"/>
        <v>0</v>
      </c>
      <c r="G33" s="160">
        <f t="shared" si="1"/>
        <v>0</v>
      </c>
      <c r="H33" s="125"/>
      <c r="I33" s="185">
        <f t="shared" si="2"/>
        <v>0</v>
      </c>
      <c r="J33" s="185" t="b">
        <f t="shared" si="3"/>
        <v>0</v>
      </c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P33" s="31"/>
      <c r="AQ33" s="31"/>
      <c r="AR33" s="149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</row>
    <row r="34" spans="1:58" s="18" customFormat="1" ht="12.75" customHeight="1" thickBot="1">
      <c r="A34" s="556" t="s">
        <v>117</v>
      </c>
      <c r="B34" s="556" t="s">
        <v>116</v>
      </c>
      <c r="C34" s="127" t="s">
        <v>178</v>
      </c>
      <c r="D34" s="128">
        <f>SUM(D14:D33)</f>
        <v>0</v>
      </c>
      <c r="E34" s="129"/>
      <c r="F34" s="130">
        <f>SUM(F14:F33)</f>
        <v>0</v>
      </c>
      <c r="G34" s="131">
        <f>SUM(G14:G33)</f>
        <v>0</v>
      </c>
      <c r="H34" s="132">
        <f>SUM(H14:H33)</f>
        <v>0</v>
      </c>
      <c r="I34" s="188">
        <f>SUM(I14:I33)</f>
        <v>0</v>
      </c>
      <c r="J34" s="133">
        <f>SUM(J14:J33)</f>
        <v>0</v>
      </c>
      <c r="X34" s="31"/>
      <c r="AP34" s="31"/>
    </row>
    <row r="35" spans="1:58" ht="3.75" customHeight="1" thickBot="1">
      <c r="A35" s="557"/>
      <c r="B35" s="557"/>
      <c r="C35" s="33"/>
      <c r="AA35" s="3"/>
      <c r="AB35" s="3"/>
      <c r="AS35" s="3"/>
      <c r="AT35" s="3"/>
    </row>
    <row r="36" spans="1:58" s="34" customFormat="1" ht="15" customHeight="1" thickBot="1">
      <c r="A36" s="509"/>
      <c r="B36" s="509"/>
      <c r="C36" s="570" t="s">
        <v>167</v>
      </c>
      <c r="D36" s="571"/>
      <c r="E36" s="347" t="s">
        <v>31</v>
      </c>
      <c r="F36" s="347" t="s">
        <v>111</v>
      </c>
      <c r="G36" s="347" t="s">
        <v>84</v>
      </c>
      <c r="H36" s="347" t="s">
        <v>109</v>
      </c>
      <c r="I36" s="134" t="s">
        <v>109</v>
      </c>
      <c r="J36" s="135" t="s">
        <v>109</v>
      </c>
      <c r="K36" s="209" t="s">
        <v>99</v>
      </c>
      <c r="AA36" s="7"/>
      <c r="AB36" s="7"/>
      <c r="AS36" s="7"/>
      <c r="AT36" s="7"/>
    </row>
    <row r="37" spans="1:58" s="7" customFormat="1" ht="12.75" customHeight="1">
      <c r="A37" s="27"/>
      <c r="B37" s="27" t="s">
        <v>22</v>
      </c>
      <c r="C37" s="568" t="s">
        <v>304</v>
      </c>
      <c r="D37" s="569"/>
      <c r="E37" s="190"/>
      <c r="F37" s="307">
        <v>0.5</v>
      </c>
      <c r="G37" s="285">
        <f>E37*F37</f>
        <v>0</v>
      </c>
      <c r="H37" s="286">
        <f>G37/$J$1</f>
        <v>0</v>
      </c>
      <c r="I37" s="312">
        <f>IF($H$34=0,0,H37)</f>
        <v>0</v>
      </c>
      <c r="J37" s="310">
        <f>IF($J$3=0,0,IF(B37="x",G37/$J$3,0))*K37</f>
        <v>0</v>
      </c>
      <c r="K37" s="297">
        <v>0.75</v>
      </c>
    </row>
    <row r="38" spans="1:58" s="7" customFormat="1" ht="12.75" customHeight="1">
      <c r="A38" s="27"/>
      <c r="B38" s="27" t="s">
        <v>22</v>
      </c>
      <c r="C38" s="562" t="s">
        <v>184</v>
      </c>
      <c r="D38" s="563"/>
      <c r="E38" s="302"/>
      <c r="F38" s="308">
        <v>2</v>
      </c>
      <c r="G38" s="287">
        <f>E38*F38</f>
        <v>0</v>
      </c>
      <c r="H38" s="186">
        <f>G38/$J$1</f>
        <v>0</v>
      </c>
      <c r="I38" s="170">
        <f>IF($H$34=0,0,H38)</f>
        <v>0</v>
      </c>
      <c r="J38" s="310">
        <f>IF($J$3=0,0,IF(B38="x",G38/$J$3,0))*K38</f>
        <v>0</v>
      </c>
      <c r="K38" s="297">
        <v>0.75</v>
      </c>
    </row>
    <row r="39" spans="1:58" s="7" customFormat="1" ht="12.75" customHeight="1">
      <c r="A39" s="27"/>
      <c r="B39" s="27" t="s">
        <v>22</v>
      </c>
      <c r="C39" s="562" t="s">
        <v>185</v>
      </c>
      <c r="D39" s="563"/>
      <c r="E39" s="302">
        <v>0</v>
      </c>
      <c r="F39" s="308">
        <v>2.5</v>
      </c>
      <c r="G39" s="287">
        <f>E39*F39</f>
        <v>0</v>
      </c>
      <c r="H39" s="186">
        <f>G39/$J$1</f>
        <v>0</v>
      </c>
      <c r="I39" s="170">
        <f>IF($H$34=0,0,H39)</f>
        <v>0</v>
      </c>
      <c r="J39" s="310">
        <f>IF($J$3=0,0,IF(B39="x",G39/$J$3,0))*K39</f>
        <v>0</v>
      </c>
      <c r="K39" s="297">
        <v>0.75</v>
      </c>
    </row>
    <row r="40" spans="1:58" s="7" customFormat="1" ht="12.75" customHeight="1" thickBot="1">
      <c r="A40" s="27"/>
      <c r="B40" s="27" t="s">
        <v>22</v>
      </c>
      <c r="C40" s="554" t="s">
        <v>186</v>
      </c>
      <c r="D40" s="555"/>
      <c r="E40" s="304">
        <v>0</v>
      </c>
      <c r="F40" s="309">
        <v>3.5</v>
      </c>
      <c r="G40" s="291">
        <f>E40*F40</f>
        <v>0</v>
      </c>
      <c r="H40" s="292">
        <f>G40/$J$1</f>
        <v>0</v>
      </c>
      <c r="I40" s="174">
        <f>IF($H$34=0,0,H40)</f>
        <v>0</v>
      </c>
      <c r="J40" s="311">
        <f>IF($J$3=0,0,IF(B40="x",G40/$J$3,0))*K40</f>
        <v>0</v>
      </c>
      <c r="K40" s="297">
        <v>0.75</v>
      </c>
    </row>
    <row r="41" spans="1:58" s="7" customFormat="1" ht="12.75" customHeight="1" thickBot="1">
      <c r="A41" s="27"/>
      <c r="B41" s="27"/>
      <c r="C41" s="570" t="s">
        <v>168</v>
      </c>
      <c r="D41" s="571"/>
      <c r="E41" s="347" t="s">
        <v>31</v>
      </c>
      <c r="F41" s="347" t="s">
        <v>111</v>
      </c>
      <c r="G41" s="347"/>
      <c r="H41" s="347"/>
      <c r="I41" s="305"/>
      <c r="J41" s="306"/>
      <c r="K41" s="297"/>
    </row>
    <row r="42" spans="1:58" s="7" customFormat="1" ht="12.75" customHeight="1">
      <c r="A42" s="27" t="s">
        <v>22</v>
      </c>
      <c r="B42" s="27" t="s">
        <v>22</v>
      </c>
      <c r="C42" s="572" t="s">
        <v>299</v>
      </c>
      <c r="D42" s="573"/>
      <c r="E42" s="302">
        <v>0</v>
      </c>
      <c r="F42" s="303">
        <v>110</v>
      </c>
      <c r="G42" s="287">
        <f t="shared" ref="G42:G53" si="4">E42*F42</f>
        <v>0</v>
      </c>
      <c r="H42" s="186">
        <f t="shared" ref="H42:H55" si="5">G42/$J$1</f>
        <v>0</v>
      </c>
      <c r="I42" s="288"/>
      <c r="J42" s="289">
        <f t="shared" ref="J42:J55" si="6">IF($J$3=0,0,IF(B42="x",G42/$J$3,0))*K42</f>
        <v>0</v>
      </c>
      <c r="K42" s="297">
        <v>0.75</v>
      </c>
    </row>
    <row r="43" spans="1:58" s="7" customFormat="1" ht="12.75" customHeight="1">
      <c r="A43" s="27" t="s">
        <v>22</v>
      </c>
      <c r="B43" s="27" t="s">
        <v>22</v>
      </c>
      <c r="C43" s="564" t="s">
        <v>293</v>
      </c>
      <c r="D43" s="565"/>
      <c r="E43" s="302">
        <v>0</v>
      </c>
      <c r="F43" s="303">
        <v>110</v>
      </c>
      <c r="G43" s="287">
        <f t="shared" si="4"/>
        <v>0</v>
      </c>
      <c r="H43" s="186">
        <f t="shared" si="5"/>
        <v>0</v>
      </c>
      <c r="I43" s="288"/>
      <c r="J43" s="289">
        <f t="shared" si="6"/>
        <v>0</v>
      </c>
      <c r="K43" s="297">
        <v>0.75</v>
      </c>
    </row>
    <row r="44" spans="1:58" s="7" customFormat="1" ht="12.75" customHeight="1">
      <c r="A44" s="27" t="s">
        <v>22</v>
      </c>
      <c r="B44" s="27" t="s">
        <v>22</v>
      </c>
      <c r="C44" s="564" t="s">
        <v>294</v>
      </c>
      <c r="D44" s="565"/>
      <c r="E44" s="302">
        <v>0</v>
      </c>
      <c r="F44" s="303">
        <v>110</v>
      </c>
      <c r="G44" s="287">
        <f t="shared" si="4"/>
        <v>0</v>
      </c>
      <c r="H44" s="186">
        <f t="shared" si="5"/>
        <v>0</v>
      </c>
      <c r="I44" s="288"/>
      <c r="J44" s="289">
        <f t="shared" si="6"/>
        <v>0</v>
      </c>
      <c r="K44" s="297">
        <v>0.75</v>
      </c>
    </row>
    <row r="45" spans="1:58" s="7" customFormat="1" ht="12.75" customHeight="1">
      <c r="A45" s="27" t="s">
        <v>22</v>
      </c>
      <c r="B45" s="27" t="s">
        <v>22</v>
      </c>
      <c r="C45" s="566" t="s">
        <v>292</v>
      </c>
      <c r="D45" s="567"/>
      <c r="E45" s="302">
        <v>0</v>
      </c>
      <c r="F45" s="303">
        <v>175</v>
      </c>
      <c r="G45" s="287">
        <f t="shared" si="4"/>
        <v>0</v>
      </c>
      <c r="H45" s="186">
        <f t="shared" si="5"/>
        <v>0</v>
      </c>
      <c r="I45" s="288"/>
      <c r="J45" s="289">
        <f t="shared" si="6"/>
        <v>0</v>
      </c>
      <c r="K45" s="297">
        <v>0.75</v>
      </c>
    </row>
    <row r="46" spans="1:58" s="7" customFormat="1" ht="12.75" customHeight="1">
      <c r="A46" s="27" t="s">
        <v>22</v>
      </c>
      <c r="B46" s="27" t="s">
        <v>22</v>
      </c>
      <c r="C46" s="566" t="s">
        <v>40</v>
      </c>
      <c r="D46" s="567"/>
      <c r="E46" s="302">
        <v>0</v>
      </c>
      <c r="F46" s="303">
        <v>175</v>
      </c>
      <c r="G46" s="287">
        <f t="shared" si="4"/>
        <v>0</v>
      </c>
      <c r="H46" s="186">
        <f t="shared" si="5"/>
        <v>0</v>
      </c>
      <c r="I46" s="288"/>
      <c r="J46" s="289">
        <f t="shared" si="6"/>
        <v>0</v>
      </c>
      <c r="K46" s="297">
        <v>0.75</v>
      </c>
    </row>
    <row r="47" spans="1:58" s="7" customFormat="1" ht="12.75" customHeight="1">
      <c r="A47" s="27" t="s">
        <v>22</v>
      </c>
      <c r="B47" s="27" t="s">
        <v>22</v>
      </c>
      <c r="C47" s="566" t="s">
        <v>187</v>
      </c>
      <c r="D47" s="567"/>
      <c r="E47" s="302">
        <v>0</v>
      </c>
      <c r="F47" s="303">
        <v>175</v>
      </c>
      <c r="G47" s="287">
        <f t="shared" si="4"/>
        <v>0</v>
      </c>
      <c r="H47" s="186">
        <f t="shared" si="5"/>
        <v>0</v>
      </c>
      <c r="I47" s="288"/>
      <c r="J47" s="289">
        <f t="shared" si="6"/>
        <v>0</v>
      </c>
      <c r="K47" s="297">
        <v>0.75</v>
      </c>
    </row>
    <row r="48" spans="1:58" s="7" customFormat="1" ht="12.75" customHeight="1">
      <c r="A48" s="27"/>
      <c r="B48" s="27" t="s">
        <v>22</v>
      </c>
      <c r="C48" s="562" t="s">
        <v>301</v>
      </c>
      <c r="D48" s="563"/>
      <c r="E48" s="193">
        <v>0</v>
      </c>
      <c r="F48" s="30">
        <v>250</v>
      </c>
      <c r="G48" s="287">
        <f t="shared" si="4"/>
        <v>0</v>
      </c>
      <c r="H48" s="186">
        <f t="shared" si="5"/>
        <v>0</v>
      </c>
      <c r="I48" s="288"/>
      <c r="J48" s="289">
        <f t="shared" si="6"/>
        <v>0</v>
      </c>
      <c r="K48" s="297">
        <v>0.75</v>
      </c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</row>
    <row r="49" spans="1:58" s="7" customFormat="1" ht="12.75" customHeight="1">
      <c r="A49" s="27"/>
      <c r="B49" s="27" t="s">
        <v>22</v>
      </c>
      <c r="C49" s="562" t="s">
        <v>302</v>
      </c>
      <c r="D49" s="563"/>
      <c r="E49" s="193">
        <v>0</v>
      </c>
      <c r="F49" s="30">
        <v>300</v>
      </c>
      <c r="G49" s="287">
        <f t="shared" si="4"/>
        <v>0</v>
      </c>
      <c r="H49" s="186">
        <f t="shared" si="5"/>
        <v>0</v>
      </c>
      <c r="I49" s="288"/>
      <c r="J49" s="289">
        <f t="shared" si="6"/>
        <v>0</v>
      </c>
      <c r="K49" s="297">
        <v>0.75</v>
      </c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</row>
    <row r="50" spans="1:58" s="7" customFormat="1" ht="12.75" customHeight="1">
      <c r="A50" s="27"/>
      <c r="B50" s="27" t="s">
        <v>22</v>
      </c>
      <c r="C50" s="562" t="s">
        <v>295</v>
      </c>
      <c r="D50" s="563"/>
      <c r="E50" s="193"/>
      <c r="F50" s="30">
        <v>1000</v>
      </c>
      <c r="G50" s="287">
        <f t="shared" si="4"/>
        <v>0</v>
      </c>
      <c r="H50" s="186">
        <f t="shared" si="5"/>
        <v>0</v>
      </c>
      <c r="I50" s="288"/>
      <c r="J50" s="289">
        <f t="shared" si="6"/>
        <v>0</v>
      </c>
      <c r="K50" s="297">
        <v>0.75</v>
      </c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</row>
    <row r="51" spans="1:58" s="7" customFormat="1" ht="12.75" customHeight="1">
      <c r="A51" s="27"/>
      <c r="B51" s="27" t="s">
        <v>22</v>
      </c>
      <c r="C51" s="562" t="s">
        <v>296</v>
      </c>
      <c r="D51" s="563"/>
      <c r="E51" s="193"/>
      <c r="F51" s="30">
        <v>1000</v>
      </c>
      <c r="G51" s="287">
        <f t="shared" si="4"/>
        <v>0</v>
      </c>
      <c r="H51" s="186">
        <f t="shared" si="5"/>
        <v>0</v>
      </c>
      <c r="I51" s="288"/>
      <c r="J51" s="289">
        <f t="shared" si="6"/>
        <v>0</v>
      </c>
      <c r="K51" s="297">
        <v>0.75</v>
      </c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</row>
    <row r="52" spans="1:58" s="7" customFormat="1" ht="12.75" customHeight="1">
      <c r="A52" s="27"/>
      <c r="B52" s="27" t="s">
        <v>22</v>
      </c>
      <c r="C52" s="562" t="s">
        <v>297</v>
      </c>
      <c r="D52" s="563"/>
      <c r="E52" s="193"/>
      <c r="F52" s="30">
        <v>1000</v>
      </c>
      <c r="G52" s="287">
        <f t="shared" si="4"/>
        <v>0</v>
      </c>
      <c r="H52" s="186">
        <f t="shared" si="5"/>
        <v>0</v>
      </c>
      <c r="I52" s="288"/>
      <c r="J52" s="289">
        <f t="shared" si="6"/>
        <v>0</v>
      </c>
      <c r="K52" s="297">
        <v>0.75</v>
      </c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</row>
    <row r="53" spans="1:58" s="7" customFormat="1" ht="12.75" customHeight="1">
      <c r="A53" s="27"/>
      <c r="B53" s="27" t="s">
        <v>22</v>
      </c>
      <c r="C53" s="562" t="s">
        <v>298</v>
      </c>
      <c r="D53" s="563"/>
      <c r="E53" s="193"/>
      <c r="F53" s="30">
        <v>1000</v>
      </c>
      <c r="G53" s="287">
        <f t="shared" si="4"/>
        <v>0</v>
      </c>
      <c r="H53" s="186">
        <f t="shared" si="5"/>
        <v>0</v>
      </c>
      <c r="I53" s="288"/>
      <c r="J53" s="289">
        <f t="shared" si="6"/>
        <v>0</v>
      </c>
      <c r="K53" s="297">
        <v>0.75</v>
      </c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</row>
    <row r="54" spans="1:58" s="7" customFormat="1" ht="12.75" customHeight="1">
      <c r="A54" s="27"/>
      <c r="B54" s="27" t="s">
        <v>22</v>
      </c>
      <c r="C54" s="562" t="s">
        <v>33</v>
      </c>
      <c r="D54" s="563"/>
      <c r="E54" s="193">
        <v>0</v>
      </c>
      <c r="F54" s="30">
        <v>85</v>
      </c>
      <c r="G54" s="287">
        <f>E54*F54</f>
        <v>0</v>
      </c>
      <c r="H54" s="186">
        <f t="shared" si="5"/>
        <v>0</v>
      </c>
      <c r="I54" s="288">
        <f>IF($H$34=0,0,H54*$E$12)</f>
        <v>0</v>
      </c>
      <c r="J54" s="289">
        <f t="shared" si="6"/>
        <v>0</v>
      </c>
      <c r="K54" s="297">
        <v>0.75</v>
      </c>
      <c r="L54" s="36"/>
      <c r="Y54" s="36"/>
      <c r="Z54" s="36"/>
      <c r="AQ54" s="36"/>
      <c r="AR54" s="36"/>
    </row>
    <row r="55" spans="1:58" s="7" customFormat="1" ht="12.75" customHeight="1" thickBot="1">
      <c r="A55" s="27"/>
      <c r="B55" s="27" t="s">
        <v>22</v>
      </c>
      <c r="C55" s="554" t="s">
        <v>177</v>
      </c>
      <c r="D55" s="555"/>
      <c r="E55" s="290"/>
      <c r="F55" s="71">
        <v>200</v>
      </c>
      <c r="G55" s="291">
        <f>(E55*F55)</f>
        <v>0</v>
      </c>
      <c r="H55" s="292">
        <f t="shared" si="5"/>
        <v>0</v>
      </c>
      <c r="I55" s="301">
        <f>IF($H$34=0,0,H55*$E$12)</f>
        <v>0</v>
      </c>
      <c r="J55" s="293">
        <f t="shared" si="6"/>
        <v>0</v>
      </c>
      <c r="K55" s="297">
        <v>0.75</v>
      </c>
    </row>
    <row r="56" spans="1:58" s="18" customFormat="1" ht="12.75" customHeight="1" thickBot="1">
      <c r="A56" s="556" t="s">
        <v>117</v>
      </c>
      <c r="B56" s="556" t="s">
        <v>116</v>
      </c>
      <c r="C56" s="558"/>
      <c r="D56" s="559"/>
      <c r="E56" s="559"/>
      <c r="F56" s="559"/>
      <c r="G56" s="281">
        <f>SUM(G37:G55)</f>
        <v>0</v>
      </c>
      <c r="H56" s="282">
        <f>SUM(H37:H55)</f>
        <v>0</v>
      </c>
      <c r="I56" s="283">
        <f>SUM(I37:I55)</f>
        <v>0</v>
      </c>
      <c r="J56" s="284">
        <f>SUM(J37:J55)</f>
        <v>0</v>
      </c>
      <c r="AA56" s="7"/>
      <c r="AB56" s="7"/>
      <c r="AS56" s="7"/>
      <c r="AT56" s="7"/>
    </row>
    <row r="57" spans="1:58" s="37" customFormat="1" ht="3.75" customHeight="1" thickBot="1">
      <c r="A57" s="557"/>
      <c r="B57" s="557"/>
      <c r="C57" s="560"/>
      <c r="D57" s="561"/>
      <c r="E57" s="561"/>
      <c r="F57" s="561"/>
      <c r="I57" s="38"/>
      <c r="J57" s="39"/>
      <c r="AA57" s="3"/>
      <c r="AB57" s="3"/>
      <c r="AS57" s="3"/>
      <c r="AT57" s="3"/>
    </row>
    <row r="58" spans="1:58" s="40" customFormat="1" ht="15" customHeight="1" thickBot="1">
      <c r="A58" s="509"/>
      <c r="B58" s="509"/>
      <c r="C58" s="313" t="s">
        <v>169</v>
      </c>
      <c r="D58" s="314" t="s">
        <v>31</v>
      </c>
      <c r="E58" s="314" t="s">
        <v>111</v>
      </c>
      <c r="F58" s="314" t="s">
        <v>84</v>
      </c>
      <c r="G58" s="314" t="s">
        <v>109</v>
      </c>
      <c r="H58" s="162" t="s">
        <v>31</v>
      </c>
      <c r="I58" s="134" t="s">
        <v>109</v>
      </c>
      <c r="J58" s="135" t="s">
        <v>109</v>
      </c>
      <c r="AA58" s="7"/>
      <c r="AB58" s="7"/>
      <c r="AS58" s="7"/>
      <c r="AT58" s="7"/>
    </row>
    <row r="59" spans="1:58" s="7" customFormat="1" ht="12.75" customHeight="1">
      <c r="A59" s="27" t="s">
        <v>22</v>
      </c>
      <c r="B59" s="45" t="s">
        <v>22</v>
      </c>
      <c r="C59" s="444" t="s">
        <v>170</v>
      </c>
      <c r="D59" s="256"/>
      <c r="E59" s="192"/>
      <c r="F59" s="255">
        <f>IF(OR($G$2="BC",$G$2="SK",$G$2="MB"),(D59*E59)*(1+$G$3),D59*E59)</f>
        <v>0</v>
      </c>
      <c r="G59" s="160">
        <f t="shared" ref="G59:G67" si="7">F59/$J$1</f>
        <v>0</v>
      </c>
      <c r="H59" s="257"/>
      <c r="I59" s="176">
        <f>IF(H59=0,0,(F59/$J$2)*$E$12)</f>
        <v>0</v>
      </c>
      <c r="J59" s="137">
        <f>IF($J$3=0,0,IF(B59="x",F59/$J$3,0))*K59</f>
        <v>0</v>
      </c>
      <c r="K59" s="297">
        <v>1</v>
      </c>
    </row>
    <row r="60" spans="1:58" s="7" customFormat="1" ht="12.75" customHeight="1">
      <c r="A60" s="27" t="s">
        <v>22</v>
      </c>
      <c r="B60" s="45" t="s">
        <v>22</v>
      </c>
      <c r="C60" s="445" t="s">
        <v>171</v>
      </c>
      <c r="D60" s="196"/>
      <c r="E60" s="194"/>
      <c r="F60" s="255">
        <f t="shared" ref="F60:F67" si="8">IF(OR($G$2="BC",$G$2="SK",$G$2="MB"),(D60*E60)*(1+$G$3),D60*E60)</f>
        <v>0</v>
      </c>
      <c r="G60" s="167">
        <f t="shared" si="7"/>
        <v>0</v>
      </c>
      <c r="H60" s="169"/>
      <c r="I60" s="170">
        <f>IF(H60=0,0,(F60/$J$2)*$E$12)</f>
        <v>0</v>
      </c>
      <c r="J60" s="137">
        <f t="shared" ref="J60:J64" si="9">IF($J$3=0,0,IF(B60="x",F60/$J$3,0))*K60</f>
        <v>0</v>
      </c>
      <c r="K60" s="297">
        <v>1</v>
      </c>
    </row>
    <row r="61" spans="1:58" s="7" customFormat="1" ht="12.75" customHeight="1">
      <c r="A61" s="27"/>
      <c r="B61" s="45"/>
      <c r="C61" s="445" t="s">
        <v>175</v>
      </c>
      <c r="D61" s="196">
        <v>0</v>
      </c>
      <c r="E61" s="194">
        <v>500</v>
      </c>
      <c r="F61" s="255">
        <f t="shared" si="8"/>
        <v>0</v>
      </c>
      <c r="G61" s="167">
        <f t="shared" si="7"/>
        <v>0</v>
      </c>
      <c r="H61" s="169"/>
      <c r="I61" s="170">
        <f>IF(H61=0,0,(F61/$J$2)*$E$12)</f>
        <v>0</v>
      </c>
      <c r="J61" s="137">
        <f t="shared" si="9"/>
        <v>0</v>
      </c>
      <c r="K61" s="297">
        <v>0.5</v>
      </c>
    </row>
    <row r="62" spans="1:58" s="7" customFormat="1" ht="12.75" customHeight="1">
      <c r="A62" s="27" t="s">
        <v>22</v>
      </c>
      <c r="B62" s="45" t="s">
        <v>22</v>
      </c>
      <c r="C62" s="445" t="s">
        <v>146</v>
      </c>
      <c r="D62" s="196"/>
      <c r="E62" s="194">
        <v>1000</v>
      </c>
      <c r="F62" s="255">
        <f t="shared" si="8"/>
        <v>0</v>
      </c>
      <c r="G62" s="167">
        <f t="shared" si="7"/>
        <v>0</v>
      </c>
      <c r="H62" s="171">
        <f>D62</f>
        <v>0</v>
      </c>
      <c r="I62" s="170">
        <f>IF(H62=0,0,(F62/$J$2)*$E$12)</f>
        <v>0</v>
      </c>
      <c r="J62" s="137">
        <f t="shared" si="9"/>
        <v>0</v>
      </c>
      <c r="K62" s="297">
        <v>0.5</v>
      </c>
    </row>
    <row r="63" spans="1:58" s="7" customFormat="1" ht="12.75" customHeight="1">
      <c r="A63" s="150">
        <v>1.5</v>
      </c>
      <c r="B63" s="52" t="s">
        <v>22</v>
      </c>
      <c r="C63" s="121" t="s">
        <v>77</v>
      </c>
      <c r="D63" s="41">
        <f>SUM(E42:E49)</f>
        <v>0</v>
      </c>
      <c r="E63" s="194">
        <v>145</v>
      </c>
      <c r="F63" s="255">
        <f t="shared" si="8"/>
        <v>0</v>
      </c>
      <c r="G63" s="166">
        <f t="shared" si="7"/>
        <v>0</v>
      </c>
      <c r="H63" s="172">
        <f>SUM(H59:H61)</f>
        <v>0</v>
      </c>
      <c r="I63" s="170">
        <f>IF(H63=0,0,H63*E63/$J$2)</f>
        <v>0</v>
      </c>
      <c r="J63" s="137">
        <f t="shared" si="9"/>
        <v>0</v>
      </c>
      <c r="K63" s="297">
        <v>0.5</v>
      </c>
    </row>
    <row r="64" spans="1:58" s="7" customFormat="1" ht="12.75" customHeight="1">
      <c r="A64" s="27"/>
      <c r="B64" s="45" t="s">
        <v>22</v>
      </c>
      <c r="C64" s="445" t="s">
        <v>78</v>
      </c>
      <c r="D64" s="41">
        <f>SUM(E50:E53)</f>
        <v>0</v>
      </c>
      <c r="E64" s="194">
        <v>400</v>
      </c>
      <c r="F64" s="255">
        <f t="shared" si="8"/>
        <v>0</v>
      </c>
      <c r="G64" s="167">
        <f t="shared" si="7"/>
        <v>0</v>
      </c>
      <c r="H64" s="173">
        <f>H62</f>
        <v>0</v>
      </c>
      <c r="I64" s="170">
        <f>IF(H64=0,0,(F64/$J$2)*$E$12)</f>
        <v>0</v>
      </c>
      <c r="J64" s="137">
        <f t="shared" si="9"/>
        <v>0</v>
      </c>
      <c r="K64" s="297">
        <v>0.5</v>
      </c>
    </row>
    <row r="65" spans="1:58" s="7" customFormat="1" ht="12">
      <c r="A65" s="27" t="s">
        <v>22</v>
      </c>
      <c r="B65" s="45" t="s">
        <v>22</v>
      </c>
      <c r="C65" s="153" t="s">
        <v>108</v>
      </c>
      <c r="D65" s="154">
        <f>D34</f>
        <v>0</v>
      </c>
      <c r="E65" s="303">
        <v>50</v>
      </c>
      <c r="F65" s="255">
        <f t="shared" si="8"/>
        <v>0</v>
      </c>
      <c r="G65" s="123">
        <f t="shared" si="7"/>
        <v>0</v>
      </c>
      <c r="H65" s="175">
        <f>H34</f>
        <v>0</v>
      </c>
      <c r="I65" s="176">
        <f>IF(H65=0,0,(H34*E65)/J2)</f>
        <v>0</v>
      </c>
      <c r="J65" s="137">
        <f>IF($J$3=0,0,IF(B65="x",SUM(D65,H65)*E65)/$J$3)</f>
        <v>0</v>
      </c>
    </row>
    <row r="66" spans="1:58" s="7" customFormat="1" ht="12">
      <c r="A66" s="27" t="s">
        <v>22</v>
      </c>
      <c r="B66" s="45" t="s">
        <v>22</v>
      </c>
      <c r="C66" s="151" t="s">
        <v>45</v>
      </c>
      <c r="D66" s="35">
        <f>SUM(D14:D23)</f>
        <v>0</v>
      </c>
      <c r="E66" s="30">
        <v>125</v>
      </c>
      <c r="F66" s="255">
        <f t="shared" si="8"/>
        <v>0</v>
      </c>
      <c r="G66" s="168">
        <f t="shared" si="7"/>
        <v>0</v>
      </c>
      <c r="H66" s="177">
        <f>SUM(H14:H22)</f>
        <v>0</v>
      </c>
      <c r="I66" s="170">
        <f>IF(H66=0,0,H66*E66/$J$2)</f>
        <v>0</v>
      </c>
      <c r="J66" s="136">
        <f>IF($J$3=0,0,(SUM(D66,H66)*E66)/$J$3)</f>
        <v>0</v>
      </c>
      <c r="M66" s="61"/>
      <c r="N66" s="61"/>
      <c r="O66" s="61"/>
    </row>
    <row r="67" spans="1:58" ht="13.5" thickBot="1">
      <c r="A67" s="27" t="s">
        <v>22</v>
      </c>
      <c r="B67" s="45" t="s">
        <v>22</v>
      </c>
      <c r="C67" s="152" t="s">
        <v>46</v>
      </c>
      <c r="D67" s="70">
        <f>ROUNDUP(SUM(D24:D33)/2,-0.1)</f>
        <v>0</v>
      </c>
      <c r="E67" s="71">
        <v>125</v>
      </c>
      <c r="F67" s="255">
        <f t="shared" si="8"/>
        <v>0</v>
      </c>
      <c r="G67" s="168">
        <f t="shared" si="7"/>
        <v>0</v>
      </c>
      <c r="H67" s="178">
        <f>ROUNDUP(SUM(H23:H33)/2,-0.1)</f>
        <v>0</v>
      </c>
      <c r="I67" s="174">
        <f>IF(H67=0,0,H67*E67/$J$2)</f>
        <v>0</v>
      </c>
      <c r="J67" s="136">
        <f>IF($J$3=0,0,(SUM(D67,H67)*E67)/$J$3)</f>
        <v>0</v>
      </c>
      <c r="M67" s="22"/>
      <c r="N67" s="22"/>
      <c r="O67" s="22"/>
    </row>
    <row r="68" spans="1:58" ht="13.5" thickBot="1">
      <c r="C68" s="140"/>
      <c r="D68" s="141"/>
      <c r="E68" s="141"/>
      <c r="F68" s="138">
        <f>SUM(F59:F67)</f>
        <v>0</v>
      </c>
      <c r="G68" s="139">
        <f>SUM(G59:G67)</f>
        <v>0</v>
      </c>
      <c r="H68" s="163"/>
      <c r="I68" s="161">
        <f>SUM(I59:I67)</f>
        <v>0</v>
      </c>
      <c r="J68" s="142">
        <f>SUM(J59:J67)</f>
        <v>0</v>
      </c>
      <c r="AA68" s="3"/>
      <c r="AB68" s="3"/>
      <c r="AS68" s="3"/>
      <c r="AT68" s="3"/>
    </row>
    <row r="69" spans="1:58" ht="13.5" thickBot="1">
      <c r="C69" s="140"/>
      <c r="D69" s="141"/>
      <c r="E69" s="141"/>
      <c r="F69" s="141"/>
      <c r="G69" s="141"/>
      <c r="H69" s="141"/>
      <c r="I69" s="141"/>
      <c r="J69" s="141"/>
      <c r="AA69" s="3"/>
      <c r="AB69" s="3"/>
      <c r="AS69" s="3"/>
      <c r="AT69" s="3"/>
    </row>
    <row r="70" spans="1:58" s="76" customFormat="1" ht="15.75" customHeight="1" thickTop="1" thickBot="1">
      <c r="C70" s="437"/>
      <c r="D70" s="548" t="s">
        <v>308</v>
      </c>
      <c r="E70" s="548"/>
      <c r="F70" s="549"/>
      <c r="G70" s="266">
        <f>SUM(G34,H56,G68)</f>
        <v>0</v>
      </c>
      <c r="H70" s="141"/>
      <c r="I70" s="141"/>
      <c r="J70" s="141"/>
      <c r="AA70" s="77"/>
      <c r="AB70" s="77"/>
      <c r="AS70" s="77"/>
      <c r="AT70" s="77"/>
    </row>
    <row r="71" spans="1:58" ht="14.25" thickTop="1" thickBot="1">
      <c r="C71" s="159" t="s">
        <v>114</v>
      </c>
      <c r="D71" s="547" t="s">
        <v>306</v>
      </c>
      <c r="E71" s="548"/>
      <c r="F71" s="549"/>
      <c r="G71" s="266">
        <f>SUM(G34,H56,G59:G64)</f>
        <v>0</v>
      </c>
      <c r="I71" s="438">
        <f>SUM(I34,I56,I68)</f>
        <v>0</v>
      </c>
      <c r="J71" s="439">
        <f>(J34+J56+J68)-(J56*0.65)</f>
        <v>0</v>
      </c>
      <c r="AA71" s="3"/>
      <c r="AB71" s="3"/>
      <c r="AS71" s="3"/>
      <c r="AT71" s="3"/>
    </row>
    <row r="72" spans="1:58" ht="14.25" thickTop="1" thickBot="1">
      <c r="C72" s="158">
        <f>(SUMIF($A$14:$A$33,"=x",G14:G33)+SUMIF($A$14:$A$33,"=x",I14:I33)+SUMIF(A37:A55,"=X",H37:H55)+SUMIF(A59:A67,"=X",G59:G67)+IF(A63&gt;0,G63*A63))</f>
        <v>0</v>
      </c>
      <c r="D72" s="547" t="s">
        <v>307</v>
      </c>
      <c r="E72" s="548"/>
      <c r="F72" s="549"/>
      <c r="G72" s="266">
        <f>SUM(G34,H56,G59:G62)</f>
        <v>0</v>
      </c>
      <c r="I72" s="440">
        <f>I71-SUM(I63:I64,I65:I67)</f>
        <v>0</v>
      </c>
      <c r="J72" s="439">
        <f>J71-SUM(J63:J64,J65:J67)</f>
        <v>0</v>
      </c>
      <c r="AA72" s="3"/>
      <c r="AB72" s="3"/>
      <c r="AS72" s="3"/>
      <c r="AT72" s="3"/>
    </row>
    <row r="73" spans="1:58" s="42" customFormat="1" ht="17.25" thickTop="1" thickBot="1">
      <c r="B73" s="42">
        <v>0</v>
      </c>
      <c r="C73" s="157"/>
      <c r="D73" s="550" t="s">
        <v>118</v>
      </c>
      <c r="E73" s="551"/>
      <c r="F73" s="552"/>
      <c r="G73" s="157"/>
      <c r="H73" s="6" t="s">
        <v>188</v>
      </c>
      <c r="I73" s="157">
        <f>G34</f>
        <v>0</v>
      </c>
      <c r="J73" s="157">
        <f>G73*0.8</f>
        <v>0</v>
      </c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64"/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64"/>
      <c r="AU73" s="164"/>
      <c r="AV73" s="164"/>
      <c r="AW73" s="164"/>
      <c r="AX73" s="164"/>
      <c r="AY73" s="164"/>
      <c r="AZ73" s="164"/>
      <c r="BA73" s="164"/>
      <c r="BB73" s="164"/>
      <c r="BC73" s="164"/>
      <c r="BD73" s="164"/>
      <c r="BE73" s="164"/>
      <c r="BF73" s="164"/>
    </row>
    <row r="74" spans="1:58" s="22" customFormat="1" ht="12" customHeight="1" thickTop="1">
      <c r="B74" s="32"/>
      <c r="C74" s="180"/>
      <c r="D74" s="181"/>
      <c r="E74" s="323"/>
      <c r="F74" s="182"/>
      <c r="G74" s="182"/>
      <c r="H74" s="183"/>
      <c r="I74" s="184"/>
      <c r="J74" s="184"/>
      <c r="O74" s="61"/>
      <c r="P74" s="63"/>
    </row>
    <row r="75" spans="1:58" s="1" customFormat="1" ht="15" hidden="1" customHeight="1" thickTop="1" thickBot="1">
      <c r="A75" s="5" t="s">
        <v>0</v>
      </c>
      <c r="B75" s="6"/>
      <c r="C75" s="553">
        <f>C1</f>
        <v>0</v>
      </c>
      <c r="D75" s="553"/>
      <c r="E75" s="553"/>
      <c r="F75" s="2" t="s">
        <v>96</v>
      </c>
      <c r="G75" s="321">
        <f>G1</f>
        <v>101</v>
      </c>
      <c r="H75" s="532" t="s">
        <v>105</v>
      </c>
      <c r="I75" s="533"/>
      <c r="J75" s="155">
        <f>J1</f>
        <v>13</v>
      </c>
      <c r="K75" s="279"/>
    </row>
    <row r="76" spans="1:58" s="1" customFormat="1" ht="15" hidden="1" customHeight="1" thickTop="1" thickBot="1">
      <c r="A76" s="5" t="s">
        <v>280</v>
      </c>
      <c r="B76" s="6"/>
      <c r="C76" s="553">
        <f>C2</f>
        <v>0</v>
      </c>
      <c r="D76" s="553"/>
      <c r="E76" s="553"/>
      <c r="F76" s="2" t="s">
        <v>2</v>
      </c>
      <c r="G76" s="321" t="str">
        <f>G2</f>
        <v>AB</v>
      </c>
      <c r="H76" s="532" t="s">
        <v>106</v>
      </c>
      <c r="I76" s="533"/>
      <c r="J76" s="165">
        <f>J2</f>
        <v>0</v>
      </c>
      <c r="K76" s="4"/>
    </row>
    <row r="77" spans="1:58" ht="15" hidden="1" customHeight="1" thickTop="1" thickBot="1">
      <c r="A77" s="5" t="s">
        <v>1</v>
      </c>
      <c r="C77" s="531">
        <f>C3</f>
        <v>0</v>
      </c>
      <c r="D77" s="531"/>
      <c r="F77" s="2" t="s">
        <v>142</v>
      </c>
      <c r="G77" s="322">
        <f>G3</f>
        <v>0</v>
      </c>
      <c r="H77" s="532" t="s">
        <v>107</v>
      </c>
      <c r="I77" s="533"/>
      <c r="J77" s="156">
        <f>J3</f>
        <v>12</v>
      </c>
    </row>
    <row r="78" spans="1:58" s="76" customFormat="1" ht="15" hidden="1" customHeight="1" thickTop="1">
      <c r="A78" s="432"/>
      <c r="C78" s="433"/>
      <c r="D78" s="433"/>
      <c r="F78" s="434"/>
      <c r="G78" s="435"/>
      <c r="H78" s="431"/>
      <c r="I78" s="431"/>
      <c r="J78" s="436"/>
    </row>
    <row r="79" spans="1:58" s="7" customFormat="1" ht="15" customHeight="1">
      <c r="B79" s="179"/>
      <c r="C79" s="317" t="s">
        <v>43</v>
      </c>
      <c r="D79" s="318"/>
      <c r="E79" s="315" t="s">
        <v>83</v>
      </c>
      <c r="F79" s="315" t="s">
        <v>82</v>
      </c>
      <c r="G79" s="315" t="s">
        <v>88</v>
      </c>
      <c r="H79" s="315" t="s">
        <v>42</v>
      </c>
      <c r="I79" s="316" t="s">
        <v>80</v>
      </c>
      <c r="J79" s="316" t="s">
        <v>81</v>
      </c>
    </row>
    <row r="80" spans="1:58" s="7" customFormat="1" ht="12">
      <c r="B80" s="278"/>
      <c r="C80" s="64" t="s">
        <v>44</v>
      </c>
      <c r="D80" s="65">
        <v>1</v>
      </c>
      <c r="E80" s="65">
        <v>16</v>
      </c>
      <c r="F80" s="30">
        <v>185</v>
      </c>
      <c r="G80" s="66"/>
      <c r="H80" s="49">
        <f>((E80*F80)*D80)</f>
        <v>2960</v>
      </c>
      <c r="I80" s="58" t="e">
        <f>H80/$J$7</f>
        <v>#DIV/0!</v>
      </c>
      <c r="J80" s="58" t="e">
        <f>H80/IF($D$4=0,$D$6,IF($D$4&gt;0,$D$4))</f>
        <v>#DIV/0!</v>
      </c>
      <c r="L80" s="61"/>
    </row>
    <row r="81" spans="1:15" s="7" customFormat="1" ht="12">
      <c r="B81" s="449"/>
      <c r="C81" s="44" t="s">
        <v>309</v>
      </c>
      <c r="D81" s="450">
        <v>2</v>
      </c>
      <c r="E81" s="450">
        <v>16</v>
      </c>
      <c r="F81" s="451">
        <v>200</v>
      </c>
      <c r="G81" s="452"/>
      <c r="H81" s="49">
        <f>((E81*F81)*D81)</f>
        <v>6400</v>
      </c>
      <c r="I81" s="58" t="e">
        <f>H81/$J$7</f>
        <v>#DIV/0!</v>
      </c>
      <c r="J81" s="58" t="e">
        <f>H81/IF($D$4=0,$D$6,IF($D$4&gt;0,$D$4))</f>
        <v>#DIV/0!</v>
      </c>
      <c r="L81" s="61"/>
    </row>
    <row r="82" spans="1:15" s="7" customFormat="1" ht="13.5" thickBot="1">
      <c r="B82" s="324"/>
      <c r="C82" s="33"/>
      <c r="D82" s="67"/>
      <c r="E82" s="68"/>
      <c r="F82" s="54"/>
      <c r="G82" s="69"/>
      <c r="H82" s="62">
        <f>SUM(H80:H81)</f>
        <v>9360</v>
      </c>
      <c r="I82" s="62" t="e">
        <f>SUM(I80:I81)</f>
        <v>#DIV/0!</v>
      </c>
      <c r="J82" s="62" t="e">
        <f>SUM(J80:J81)</f>
        <v>#DIV/0!</v>
      </c>
    </row>
    <row r="83" spans="1:15" s="47" customFormat="1" ht="21" customHeight="1" thickBot="1">
      <c r="B83" s="534" t="s">
        <v>47</v>
      </c>
      <c r="C83" s="537" t="s">
        <v>48</v>
      </c>
      <c r="D83" s="537"/>
      <c r="E83" s="538"/>
      <c r="F83" s="539" t="s">
        <v>49</v>
      </c>
      <c r="G83" s="537"/>
      <c r="H83" s="537"/>
      <c r="I83" s="537"/>
      <c r="J83" s="538"/>
      <c r="L83" s="80"/>
    </row>
    <row r="84" spans="1:15" s="7" customFormat="1" ht="13.5" customHeight="1" thickBot="1">
      <c r="A84" s="222"/>
      <c r="B84" s="535"/>
      <c r="C84" s="223" t="s">
        <v>130</v>
      </c>
      <c r="D84" s="210" t="s">
        <v>98</v>
      </c>
      <c r="E84" s="211" t="s">
        <v>131</v>
      </c>
      <c r="F84" s="239"/>
      <c r="G84" s="325" t="s">
        <v>34</v>
      </c>
      <c r="H84" s="241"/>
      <c r="I84" s="240" t="s">
        <v>37</v>
      </c>
      <c r="J84" s="244"/>
      <c r="K84" s="26"/>
      <c r="L84" s="82"/>
      <c r="M84" s="82"/>
      <c r="N84" s="83"/>
    </row>
    <row r="85" spans="1:15" s="7" customFormat="1" ht="13.5" customHeight="1">
      <c r="A85" s="222"/>
      <c r="B85" s="535"/>
      <c r="C85" s="523" t="s">
        <v>134</v>
      </c>
      <c r="D85" s="523"/>
      <c r="E85" s="524"/>
      <c r="F85" s="237"/>
      <c r="G85" s="189" t="s">
        <v>35</v>
      </c>
      <c r="H85" s="242"/>
      <c r="I85" s="189" t="s">
        <v>36</v>
      </c>
      <c r="J85" s="245"/>
      <c r="K85" s="26"/>
      <c r="L85" s="82"/>
      <c r="M85" s="82"/>
      <c r="N85" s="83"/>
    </row>
    <row r="86" spans="1:15" s="7" customFormat="1" ht="13.5" customHeight="1">
      <c r="A86" s="222"/>
      <c r="B86" s="535"/>
      <c r="C86" s="526" t="s">
        <v>136</v>
      </c>
      <c r="D86" s="540"/>
      <c r="E86" s="224"/>
      <c r="F86" s="237"/>
      <c r="G86" s="326" t="s">
        <v>52</v>
      </c>
      <c r="H86" s="243"/>
      <c r="I86" s="81"/>
      <c r="J86" s="212"/>
      <c r="K86" s="26"/>
      <c r="L86" s="82"/>
      <c r="M86" s="82"/>
      <c r="N86" s="83"/>
    </row>
    <row r="87" spans="1:15" s="7" customFormat="1" ht="13.5" customHeight="1">
      <c r="A87" s="222"/>
      <c r="B87" s="535"/>
      <c r="C87" s="526" t="s">
        <v>137</v>
      </c>
      <c r="D87" s="540"/>
      <c r="E87" s="224"/>
      <c r="F87" s="237"/>
      <c r="G87" s="327"/>
      <c r="H87" s="328"/>
      <c r="I87" s="329" t="s">
        <v>162</v>
      </c>
      <c r="J87" s="246">
        <f>(H84*(J85+J84))+((H84-1)*H85)</f>
        <v>0</v>
      </c>
      <c r="K87" s="26"/>
      <c r="L87" s="82"/>
      <c r="M87" s="82"/>
      <c r="N87" s="83"/>
    </row>
    <row r="88" spans="1:15" s="7" customFormat="1" ht="13.5" customHeight="1">
      <c r="A88" s="222"/>
      <c r="B88" s="535"/>
      <c r="C88" s="526" t="s">
        <v>138</v>
      </c>
      <c r="D88" s="540"/>
      <c r="E88" s="224"/>
      <c r="F88" s="329"/>
      <c r="I88" s="113" t="s">
        <v>141</v>
      </c>
      <c r="J88" s="247">
        <f>J87+H86</f>
        <v>0</v>
      </c>
      <c r="K88" s="26"/>
      <c r="L88" s="82"/>
      <c r="M88" s="82"/>
      <c r="N88" s="83"/>
    </row>
    <row r="89" spans="1:15" s="7" customFormat="1" ht="13.5" customHeight="1" thickBot="1">
      <c r="A89" s="222"/>
      <c r="B89" s="535"/>
      <c r="C89" s="541" t="s">
        <v>135</v>
      </c>
      <c r="D89" s="542"/>
      <c r="E89" s="225">
        <f>E86*(((G10-E87)*E88)-H10)</f>
        <v>0</v>
      </c>
      <c r="F89" s="221" t="s">
        <v>53</v>
      </c>
      <c r="G89" s="330"/>
      <c r="H89" s="331"/>
      <c r="I89" s="331"/>
      <c r="J89" s="213"/>
      <c r="K89" s="26"/>
      <c r="L89" s="82"/>
      <c r="M89" s="82"/>
      <c r="N89" s="83"/>
    </row>
    <row r="90" spans="1:15" s="86" customFormat="1" ht="13.5" customHeight="1">
      <c r="A90" s="222"/>
      <c r="B90" s="535"/>
      <c r="C90" s="521" t="s">
        <v>86</v>
      </c>
      <c r="D90" s="521"/>
      <c r="E90" s="226" t="e">
        <f>IF(E96=0,0,(($D$98+E89)*2)/(SUM(E94:E95)+($E$93/2)))</f>
        <v>#DIV/0!</v>
      </c>
      <c r="F90" s="332">
        <f>J88</f>
        <v>0</v>
      </c>
      <c r="G90" s="333" t="s">
        <v>22</v>
      </c>
      <c r="H90" s="334" t="e">
        <f>J7</f>
        <v>#DIV/0!</v>
      </c>
      <c r="I90" s="335" t="s">
        <v>54</v>
      </c>
      <c r="J90" s="214" t="s">
        <v>55</v>
      </c>
      <c r="K90" s="84"/>
      <c r="L90" s="85"/>
      <c r="M90" s="85"/>
      <c r="N90" s="87"/>
    </row>
    <row r="91" spans="1:15" s="7" customFormat="1" ht="13.5" customHeight="1" thickBot="1">
      <c r="A91" s="222"/>
      <c r="B91" s="535"/>
      <c r="C91" s="522" t="s">
        <v>50</v>
      </c>
      <c r="D91" s="522"/>
      <c r="E91" s="227" t="e">
        <f>IF(E96=0,0,J7/E94)</f>
        <v>#DIV/0!</v>
      </c>
      <c r="F91" s="329" t="s">
        <v>56</v>
      </c>
      <c r="G91" s="78">
        <f>SUM(J1:J2)</f>
        <v>13</v>
      </c>
      <c r="H91" s="336"/>
      <c r="I91" s="326"/>
      <c r="J91" s="228"/>
      <c r="K91" s="31"/>
      <c r="L91" s="31"/>
      <c r="M91" s="31"/>
      <c r="N91" s="31"/>
      <c r="O91" s="31"/>
    </row>
    <row r="92" spans="1:15" s="76" customFormat="1" ht="13.5" customHeight="1">
      <c r="A92" s="222"/>
      <c r="B92" s="535"/>
      <c r="C92" s="523" t="s">
        <v>139</v>
      </c>
      <c r="D92" s="523"/>
      <c r="E92" s="524"/>
      <c r="F92" s="329" t="s">
        <v>57</v>
      </c>
      <c r="G92" s="65">
        <v>1</v>
      </c>
      <c r="H92" s="336"/>
      <c r="I92" s="112" t="s">
        <v>140</v>
      </c>
      <c r="J92" s="248" t="e">
        <f>(F90*H90)/3600</f>
        <v>#DIV/0!</v>
      </c>
      <c r="K92" s="337"/>
      <c r="L92" s="337"/>
      <c r="M92" s="337"/>
      <c r="N92" s="337"/>
      <c r="O92" s="337"/>
    </row>
    <row r="93" spans="1:15" ht="13.5" customHeight="1">
      <c r="A93" s="222"/>
      <c r="B93" s="535"/>
      <c r="C93" s="525" t="s">
        <v>51</v>
      </c>
      <c r="D93" s="526"/>
      <c r="E93" s="229"/>
      <c r="F93" s="329" t="s">
        <v>58</v>
      </c>
      <c r="G93" s="65">
        <v>1</v>
      </c>
      <c r="H93" s="336"/>
      <c r="I93" s="254" t="s">
        <v>59</v>
      </c>
      <c r="J93" s="249" t="e">
        <f>J92/G96</f>
        <v>#DIV/0!</v>
      </c>
    </row>
    <row r="94" spans="1:15" s="73" customFormat="1" ht="13.5" customHeight="1">
      <c r="A94" s="222"/>
      <c r="B94" s="535"/>
      <c r="C94" s="527" t="s">
        <v>60</v>
      </c>
      <c r="D94" s="528"/>
      <c r="E94" s="229">
        <v>1</v>
      </c>
      <c r="F94" s="329" t="s">
        <v>61</v>
      </c>
      <c r="G94" s="65">
        <v>3</v>
      </c>
      <c r="H94" s="336"/>
      <c r="I94" s="336"/>
      <c r="J94" s="250"/>
      <c r="L94" s="88"/>
      <c r="M94" s="74"/>
      <c r="N94" s="74"/>
      <c r="O94" s="74"/>
    </row>
    <row r="95" spans="1:15" s="73" customFormat="1" ht="13.5" customHeight="1">
      <c r="A95" s="222"/>
      <c r="B95" s="535"/>
      <c r="C95" s="230" t="s">
        <v>62</v>
      </c>
      <c r="D95" s="231" t="e">
        <f>IF(SUM(G92:G95)=0,0,J93)</f>
        <v>#DIV/0!</v>
      </c>
      <c r="E95" s="232">
        <v>0</v>
      </c>
      <c r="F95" s="329" t="s">
        <v>63</v>
      </c>
      <c r="G95" s="65"/>
      <c r="H95" s="336"/>
      <c r="I95" s="113" t="s">
        <v>64</v>
      </c>
      <c r="J95" s="251" t="e">
        <f>IF($D$4&gt;0,$D$4,$D$6)/J93</f>
        <v>#DIV/0!</v>
      </c>
      <c r="K95" s="10"/>
      <c r="L95" s="10"/>
      <c r="M95" s="10"/>
      <c r="N95" s="10"/>
      <c r="O95" s="10"/>
    </row>
    <row r="96" spans="1:15" s="73" customFormat="1" ht="13.5" customHeight="1" thickBot="1">
      <c r="B96" s="535"/>
      <c r="C96" s="529" t="s">
        <v>65</v>
      </c>
      <c r="D96" s="530"/>
      <c r="E96" s="233">
        <f>SUM(E93:E95)</f>
        <v>1</v>
      </c>
      <c r="F96" s="338" t="s">
        <v>66</v>
      </c>
      <c r="G96" s="238">
        <f>G91-SUM(G92:G95)</f>
        <v>8</v>
      </c>
      <c r="H96" s="339"/>
      <c r="I96" s="253" t="s">
        <v>67</v>
      </c>
      <c r="J96" s="252" t="e">
        <f>$J$7/J93</f>
        <v>#DIV/0!</v>
      </c>
      <c r="K96" s="10"/>
      <c r="L96" s="10"/>
      <c r="M96" s="10"/>
      <c r="N96" s="10"/>
      <c r="O96" s="10"/>
    </row>
    <row r="97" spans="1:15" s="73" customFormat="1" ht="4.5" customHeight="1">
      <c r="B97" s="535"/>
      <c r="C97" s="47"/>
      <c r="D97" s="47"/>
      <c r="E97" s="47"/>
      <c r="F97" s="340"/>
      <c r="G97" s="234"/>
      <c r="H97" s="341"/>
      <c r="I97" s="340"/>
      <c r="J97" s="220"/>
      <c r="K97" s="10"/>
      <c r="L97" s="10"/>
      <c r="M97" s="10"/>
      <c r="N97" s="10"/>
      <c r="O97" s="10"/>
    </row>
    <row r="98" spans="1:15" s="73" customFormat="1" ht="13.5" customHeight="1">
      <c r="B98" s="535"/>
      <c r="C98" s="514" t="s">
        <v>122</v>
      </c>
      <c r="D98" s="516" t="e">
        <f>$G$7+E89</f>
        <v>#DIV/0!</v>
      </c>
      <c r="E98" s="543" t="s">
        <v>133</v>
      </c>
      <c r="F98" s="516" t="s">
        <v>124</v>
      </c>
      <c r="G98" s="543" t="s">
        <v>126</v>
      </c>
      <c r="H98" s="516" t="s">
        <v>123</v>
      </c>
      <c r="I98" s="543" t="s">
        <v>125</v>
      </c>
      <c r="J98" s="215"/>
      <c r="K98" s="10"/>
      <c r="L98" s="10"/>
      <c r="M98" s="10"/>
      <c r="N98" s="10"/>
      <c r="O98" s="10"/>
    </row>
    <row r="99" spans="1:15" s="73" customFormat="1" ht="13.5" customHeight="1">
      <c r="B99" s="535"/>
      <c r="C99" s="515"/>
      <c r="D99" s="517"/>
      <c r="E99" s="544"/>
      <c r="F99" s="544"/>
      <c r="G99" s="544"/>
      <c r="H99" s="544"/>
      <c r="I99" s="544"/>
      <c r="J99" s="215"/>
      <c r="K99" s="10"/>
      <c r="L99" s="10"/>
      <c r="M99" s="10"/>
      <c r="N99" s="10"/>
      <c r="O99" s="10"/>
    </row>
    <row r="100" spans="1:15" s="73" customFormat="1" ht="13.5" customHeight="1">
      <c r="B100" s="535"/>
      <c r="C100" s="235" t="s">
        <v>128</v>
      </c>
      <c r="D100" s="204" t="e">
        <f>IF($D$84="YES",($D$98*2)/$E$93,IF($D$84="NO",($D$98)/(($E$96-E93)+($E$93/2))))</f>
        <v>#DIV/0!</v>
      </c>
      <c r="E100" s="203">
        <f>$D$27</f>
        <v>0</v>
      </c>
      <c r="F100" s="28">
        <v>4</v>
      </c>
      <c r="G100" s="201" t="e">
        <f>(D100/$D$27)/(F100-1)</f>
        <v>#DIV/0!</v>
      </c>
      <c r="H100" s="65">
        <v>12</v>
      </c>
      <c r="I100" s="202" t="e">
        <f>G100/H100</f>
        <v>#DIV/0!</v>
      </c>
      <c r="J100" s="215"/>
      <c r="K100" s="10"/>
      <c r="L100" s="10"/>
      <c r="M100" s="10"/>
      <c r="N100" s="10"/>
      <c r="O100" s="10"/>
    </row>
    <row r="101" spans="1:15" s="73" customFormat="1" ht="13.5" customHeight="1">
      <c r="B101" s="535"/>
      <c r="C101" s="235" t="s">
        <v>129</v>
      </c>
      <c r="D101" s="204" t="e">
        <f>IF($D$84="YES",($D$98*2)/$E$93,IF($D$84="NO",($D$98)/(($E$96-E93)+($E$93/2))))</f>
        <v>#DIV/0!</v>
      </c>
      <c r="E101" s="200">
        <f>$D$27</f>
        <v>0</v>
      </c>
      <c r="F101" s="28">
        <v>3</v>
      </c>
      <c r="G101" s="201" t="e">
        <f>(D101/$D$27)/(F101-1)</f>
        <v>#DIV/0!</v>
      </c>
      <c r="H101" s="65">
        <v>12</v>
      </c>
      <c r="I101" s="202" t="e">
        <f>G101/H101</f>
        <v>#DIV/0!</v>
      </c>
      <c r="J101" s="215"/>
      <c r="K101" s="10"/>
      <c r="L101" s="10"/>
      <c r="M101" s="10"/>
      <c r="N101" s="10"/>
      <c r="O101" s="10"/>
    </row>
    <row r="102" spans="1:15" s="73" customFormat="1" ht="13.5" customHeight="1" thickBot="1">
      <c r="B102" s="536"/>
      <c r="C102" s="236" t="s">
        <v>127</v>
      </c>
      <c r="D102" s="216" t="e">
        <f>IF(E91=0,0,E91/D24)</f>
        <v>#DIV/0!</v>
      </c>
      <c r="E102" s="545" t="e">
        <f>D100*G5/1000</f>
        <v>#DIV/0!</v>
      </c>
      <c r="F102" s="546"/>
      <c r="G102" s="217"/>
      <c r="H102" s="217"/>
      <c r="I102" s="218"/>
      <c r="J102" s="219"/>
      <c r="K102" s="10"/>
      <c r="L102" s="10"/>
      <c r="M102" s="10"/>
      <c r="N102" s="10"/>
      <c r="O102" s="10"/>
    </row>
    <row r="103" spans="1:15" s="73" customFormat="1" ht="11.25" customHeight="1">
      <c r="B103" s="508"/>
      <c r="C103" s="342"/>
      <c r="D103" s="341"/>
      <c r="E103" s="341"/>
      <c r="F103" s="341"/>
      <c r="G103" s="343"/>
      <c r="H103" s="341"/>
      <c r="I103" s="341"/>
      <c r="J103" s="341"/>
      <c r="K103" s="10"/>
      <c r="L103" s="10"/>
      <c r="M103" s="10"/>
      <c r="N103" s="10"/>
      <c r="O103" s="10"/>
    </row>
    <row r="104" spans="1:15" ht="15.75">
      <c r="B104" s="509"/>
      <c r="C104" s="510" t="s">
        <v>68</v>
      </c>
      <c r="D104" s="511"/>
      <c r="E104" s="25" t="s">
        <v>132</v>
      </c>
      <c r="F104" s="25" t="s">
        <v>41</v>
      </c>
      <c r="G104" s="25" t="s">
        <v>79</v>
      </c>
      <c r="H104" s="25" t="s">
        <v>42</v>
      </c>
      <c r="I104" s="48" t="s">
        <v>80</v>
      </c>
      <c r="J104" s="48" t="s">
        <v>81</v>
      </c>
    </row>
    <row r="105" spans="1:15" s="344" customFormat="1" ht="12">
      <c r="B105" s="50" t="s">
        <v>22</v>
      </c>
      <c r="C105" s="486" t="s">
        <v>69</v>
      </c>
      <c r="D105" s="488"/>
      <c r="E105" s="65">
        <v>12</v>
      </c>
      <c r="F105" s="28">
        <v>1</v>
      </c>
      <c r="G105" s="75">
        <f>C73</f>
        <v>0</v>
      </c>
      <c r="H105" s="49">
        <f>(C73*E105)*F105</f>
        <v>0</v>
      </c>
      <c r="I105" s="58" t="e">
        <f>H105/$J$7</f>
        <v>#DIV/0!</v>
      </c>
      <c r="J105" s="58" t="e">
        <f>H105/IF($D$4=0,$D$6,IF($D$4&gt;0,$D$4))</f>
        <v>#DIV/0!</v>
      </c>
    </row>
    <row r="106" spans="1:15" s="344" customFormat="1" ht="12">
      <c r="A106" s="512" t="s">
        <v>119</v>
      </c>
      <c r="B106" s="27" t="s">
        <v>22</v>
      </c>
      <c r="C106" s="486" t="s">
        <v>112</v>
      </c>
      <c r="D106" s="488"/>
      <c r="E106" s="65">
        <f>J1</f>
        <v>13</v>
      </c>
      <c r="F106" s="65">
        <f>SUM(E93:E95)</f>
        <v>1</v>
      </c>
      <c r="G106" s="75">
        <f>G73</f>
        <v>0</v>
      </c>
      <c r="H106" s="49">
        <f>(G106*E106)*F106</f>
        <v>0</v>
      </c>
      <c r="I106" s="58" t="e">
        <f>H106/$J$7</f>
        <v>#DIV/0!</v>
      </c>
      <c r="J106" s="58" t="e">
        <f>H106/IF($D$4=0,$D$6,IF($D$4&gt;0,$D$4))</f>
        <v>#DIV/0!</v>
      </c>
    </row>
    <row r="107" spans="1:15" s="344" customFormat="1" ht="12">
      <c r="A107" s="512"/>
      <c r="B107" s="27" t="s">
        <v>22</v>
      </c>
      <c r="C107" s="486" t="s">
        <v>113</v>
      </c>
      <c r="D107" s="488"/>
      <c r="E107" s="72">
        <f>J2</f>
        <v>0</v>
      </c>
      <c r="F107" s="65">
        <v>0</v>
      </c>
      <c r="G107" s="75">
        <f>I73</f>
        <v>0</v>
      </c>
      <c r="H107" s="49">
        <f>(G107*E107)*F107</f>
        <v>0</v>
      </c>
      <c r="I107" s="58" t="e">
        <f>H107/$J$7</f>
        <v>#DIV/0!</v>
      </c>
      <c r="J107" s="58" t="e">
        <f>H107/IF($D$4=0,$D$6,IF($D$4&gt;0,$D$4))</f>
        <v>#DIV/0!</v>
      </c>
    </row>
    <row r="108" spans="1:15" s="46" customFormat="1" ht="12">
      <c r="A108" s="512"/>
      <c r="B108" s="27" t="s">
        <v>22</v>
      </c>
      <c r="C108" s="486" t="s">
        <v>70</v>
      </c>
      <c r="D108" s="488"/>
      <c r="E108" s="72">
        <f>J3</f>
        <v>12</v>
      </c>
      <c r="F108" s="28"/>
      <c r="G108" s="75">
        <f>J73</f>
        <v>0</v>
      </c>
      <c r="H108" s="49">
        <f>(G108*E108)*F108</f>
        <v>0</v>
      </c>
      <c r="I108" s="58" t="e">
        <f>H108/$J$7</f>
        <v>#DIV/0!</v>
      </c>
      <c r="J108" s="58" t="e">
        <f>H108/IF($D$4=0,$D$6,IF($D$4&gt;0,$D$4))</f>
        <v>#DIV/0!</v>
      </c>
    </row>
    <row r="109" spans="1:15" s="344" customFormat="1" ht="12">
      <c r="A109" s="512"/>
      <c r="B109" s="27" t="s">
        <v>22</v>
      </c>
      <c r="C109" s="486" t="s">
        <v>303</v>
      </c>
      <c r="D109" s="488"/>
      <c r="E109" s="72"/>
      <c r="F109" s="65">
        <f>E96</f>
        <v>1</v>
      </c>
      <c r="G109" s="30">
        <v>150</v>
      </c>
      <c r="H109" s="49">
        <f>(G109*E109)*F109</f>
        <v>0</v>
      </c>
      <c r="I109" s="58" t="e">
        <f>H109/$J$7</f>
        <v>#DIV/0!</v>
      </c>
      <c r="J109" s="58" t="e">
        <f>H109/IF($D$4=0,$D$6,IF($D$4&gt;0,$D$4))</f>
        <v>#DIV/0!</v>
      </c>
    </row>
    <row r="110" spans="1:15" s="344" customFormat="1" ht="12.75" customHeight="1">
      <c r="A110" s="512"/>
      <c r="B110" s="518" t="s">
        <v>85</v>
      </c>
      <c r="C110" s="89"/>
      <c r="D110" s="345"/>
      <c r="E110" s="337"/>
      <c r="F110" s="90"/>
      <c r="G110" s="79"/>
      <c r="H110" s="62">
        <f>SUM(H105:H109)</f>
        <v>0</v>
      </c>
      <c r="I110" s="62" t="e">
        <f>SUM(I105:I109)</f>
        <v>#DIV/0!</v>
      </c>
      <c r="J110" s="62" t="e">
        <f>SUM(J105:J109)</f>
        <v>#DIV/0!</v>
      </c>
    </row>
    <row r="111" spans="1:15" s="344" customFormat="1" ht="6" customHeight="1">
      <c r="A111" s="512"/>
      <c r="B111" s="518"/>
      <c r="C111" s="89"/>
      <c r="D111" s="56"/>
      <c r="E111" s="56"/>
      <c r="F111" s="56"/>
      <c r="G111" s="55"/>
      <c r="H111" s="346"/>
      <c r="I111" s="60"/>
      <c r="J111" s="60"/>
    </row>
    <row r="112" spans="1:15" s="73" customFormat="1" ht="15.75" customHeight="1">
      <c r="A112" s="512"/>
      <c r="B112" s="518"/>
      <c r="C112" s="519" t="s">
        <v>172</v>
      </c>
      <c r="D112" s="520"/>
      <c r="E112" s="315" t="s">
        <v>148</v>
      </c>
      <c r="F112" s="315" t="s">
        <v>149</v>
      </c>
      <c r="G112" s="315" t="s">
        <v>120</v>
      </c>
      <c r="H112" s="315" t="s">
        <v>42</v>
      </c>
      <c r="I112" s="316" t="s">
        <v>97</v>
      </c>
      <c r="J112" s="316" t="s">
        <v>81</v>
      </c>
      <c r="M112" s="10"/>
      <c r="N112" s="10"/>
      <c r="O112" s="10"/>
    </row>
    <row r="113" spans="1:15" s="73" customFormat="1" ht="12">
      <c r="A113" s="513"/>
      <c r="B113" s="41" t="s">
        <v>22</v>
      </c>
      <c r="C113" s="441" t="s">
        <v>156</v>
      </c>
      <c r="D113" s="198" t="s">
        <v>121</v>
      </c>
      <c r="E113" s="91"/>
      <c r="F113" s="75"/>
      <c r="G113" s="280" t="s">
        <v>157</v>
      </c>
      <c r="H113" s="49">
        <f>E113*F113</f>
        <v>0</v>
      </c>
      <c r="I113" s="58" t="e">
        <f>H113/$J$7</f>
        <v>#DIV/0!</v>
      </c>
      <c r="J113" s="58" t="e">
        <f>H113/IF($D$4=0,$D$6,IF($D$4&gt;0,$D$4))</f>
        <v>#DIV/0!</v>
      </c>
      <c r="M113" s="10"/>
      <c r="N113" s="10"/>
      <c r="O113" s="10"/>
    </row>
    <row r="114" spans="1:15" s="7" customFormat="1" ht="12">
      <c r="A114" s="197" t="e">
        <f>IF(E96=0,0,E114/$E$96)</f>
        <v>#DIV/0!</v>
      </c>
      <c r="B114" s="41" t="s">
        <v>22</v>
      </c>
      <c r="C114" s="441" t="s">
        <v>71</v>
      </c>
      <c r="D114" s="198" t="s">
        <v>176</v>
      </c>
      <c r="E114" s="92" t="e">
        <f>D98</f>
        <v>#DIV/0!</v>
      </c>
      <c r="F114" s="348">
        <v>0</v>
      </c>
      <c r="G114" s="93"/>
      <c r="H114" s="49" t="e">
        <f>E114*F114</f>
        <v>#DIV/0!</v>
      </c>
      <c r="I114" s="58" t="e">
        <f>H114/$G$7</f>
        <v>#DIV/0!</v>
      </c>
      <c r="J114" s="58" t="e">
        <f>H114/IF($D$4=0,$D$6,IF($D$4&gt;0,$D$4))</f>
        <v>#DIV/0!</v>
      </c>
      <c r="M114" s="31"/>
      <c r="N114" s="31"/>
      <c r="O114" s="31"/>
    </row>
    <row r="115" spans="1:15" s="7" customFormat="1" ht="12">
      <c r="B115" s="41" t="s">
        <v>22</v>
      </c>
      <c r="C115" s="441" t="s">
        <v>115</v>
      </c>
      <c r="D115" s="442"/>
      <c r="E115" s="206">
        <v>2</v>
      </c>
      <c r="F115" s="30">
        <v>0</v>
      </c>
      <c r="G115" s="205">
        <f>E96</f>
        <v>1</v>
      </c>
      <c r="H115" s="49">
        <f>E115*F115*G115</f>
        <v>0</v>
      </c>
      <c r="I115" s="58" t="e">
        <f>H115/$G$7</f>
        <v>#DIV/0!</v>
      </c>
      <c r="J115" s="58" t="e">
        <f>H115/IF($D$4=0,$D$6,IF($D$4&gt;0,$D$4))</f>
        <v>#DIV/0!</v>
      </c>
      <c r="M115" s="31"/>
      <c r="N115" s="31"/>
      <c r="O115" s="31"/>
    </row>
    <row r="116" spans="1:15" s="76" customFormat="1">
      <c r="B116" s="41" t="s">
        <v>22</v>
      </c>
      <c r="C116" s="441" t="s">
        <v>161</v>
      </c>
      <c r="D116" s="442"/>
      <c r="E116" s="51">
        <v>0</v>
      </c>
      <c r="F116" s="30">
        <v>300</v>
      </c>
      <c r="G116" s="207">
        <f>F106</f>
        <v>1</v>
      </c>
      <c r="H116" s="49">
        <f>E116*F116*G116</f>
        <v>0</v>
      </c>
      <c r="I116" s="58" t="e">
        <f>H116/$J$7</f>
        <v>#DIV/0!</v>
      </c>
      <c r="J116" s="58" t="e">
        <f>H116/IF($D$4=0,$D$6,IF($D$4&gt;0,$D$6))</f>
        <v>#DIV/0!</v>
      </c>
      <c r="K116" s="73"/>
      <c r="L116" s="73"/>
      <c r="M116" s="56"/>
      <c r="N116" s="56"/>
      <c r="O116" s="56"/>
    </row>
    <row r="117" spans="1:15" s="94" customFormat="1" ht="12" customHeight="1">
      <c r="B117" s="29"/>
      <c r="C117" s="44"/>
      <c r="D117" s="29"/>
      <c r="E117" s="95"/>
      <c r="F117" s="53"/>
      <c r="G117" s="47"/>
      <c r="H117" s="62" t="e">
        <f>SUM(H113:H116)</f>
        <v>#DIV/0!</v>
      </c>
      <c r="I117" s="62" t="e">
        <f>H117/J7</f>
        <v>#DIV/0!</v>
      </c>
      <c r="J117" s="62" t="e">
        <f>H117/D6</f>
        <v>#DIV/0!</v>
      </c>
      <c r="K117" s="73"/>
      <c r="L117" s="73"/>
    </row>
    <row r="118" spans="1:15" s="42" customFormat="1" ht="12" customHeight="1">
      <c r="A118" s="61"/>
      <c r="B118" s="56"/>
      <c r="C118" s="59"/>
      <c r="D118" s="6"/>
      <c r="E118" s="6"/>
      <c r="F118" s="6"/>
      <c r="G118" s="6"/>
      <c r="H118" s="6"/>
      <c r="I118" s="23"/>
      <c r="J118" s="24"/>
      <c r="K118" s="7"/>
      <c r="L118" s="7"/>
    </row>
    <row r="119" spans="1:15">
      <c r="B119" s="490" t="s">
        <v>94</v>
      </c>
      <c r="C119" s="491" t="s">
        <v>95</v>
      </c>
      <c r="D119" s="492"/>
      <c r="E119" s="492"/>
      <c r="F119" s="492"/>
      <c r="G119" s="492"/>
      <c r="H119" s="492"/>
      <c r="I119" s="492"/>
      <c r="J119" s="493"/>
      <c r="K119" s="7"/>
      <c r="L119" s="7"/>
    </row>
    <row r="120" spans="1:15">
      <c r="B120" s="490"/>
      <c r="C120" s="494"/>
      <c r="D120" s="495"/>
      <c r="E120" s="495"/>
      <c r="F120" s="495"/>
      <c r="G120" s="495"/>
      <c r="H120" s="495"/>
      <c r="I120" s="495"/>
      <c r="J120" s="496"/>
    </row>
    <row r="121" spans="1:15" ht="12.75" customHeight="1">
      <c r="B121" s="490"/>
      <c r="C121" s="497" t="s">
        <v>92</v>
      </c>
      <c r="D121" s="498"/>
      <c r="E121" s="499"/>
      <c r="F121" s="503" t="s">
        <v>93</v>
      </c>
      <c r="G121" s="503" t="s">
        <v>143</v>
      </c>
      <c r="H121" s="503" t="s">
        <v>173</v>
      </c>
      <c r="I121" s="503" t="s">
        <v>174</v>
      </c>
      <c r="J121" s="503" t="s">
        <v>153</v>
      </c>
    </row>
    <row r="122" spans="1:15">
      <c r="B122" s="490"/>
      <c r="C122" s="500"/>
      <c r="D122" s="501"/>
      <c r="E122" s="502"/>
      <c r="F122" s="504"/>
      <c r="G122" s="504"/>
      <c r="H122" s="504"/>
      <c r="I122" s="504"/>
      <c r="J122" s="504"/>
    </row>
    <row r="123" spans="1:15">
      <c r="B123" s="96" t="s">
        <v>22</v>
      </c>
      <c r="C123" s="486" t="s">
        <v>159</v>
      </c>
      <c r="D123" s="487"/>
      <c r="E123" s="488"/>
      <c r="F123" s="97">
        <f>H82</f>
        <v>9360</v>
      </c>
      <c r="G123" s="273" t="e">
        <f>F123/$F$130</f>
        <v>#DIV/0!</v>
      </c>
      <c r="H123" s="97" t="e">
        <f>F123/$G$7</f>
        <v>#DIV/0!</v>
      </c>
      <c r="I123" s="97" t="e">
        <f>F123/$J$7</f>
        <v>#DIV/0!</v>
      </c>
      <c r="J123" s="98" t="e">
        <f>F123/$D$5</f>
        <v>#DIV/0!</v>
      </c>
    </row>
    <row r="124" spans="1:15">
      <c r="B124" s="96" t="s">
        <v>22</v>
      </c>
      <c r="C124" s="486" t="s">
        <v>89</v>
      </c>
      <c r="D124" s="487"/>
      <c r="E124" s="488"/>
      <c r="F124" s="320">
        <f>SUM(H106:H109)</f>
        <v>0</v>
      </c>
      <c r="G124" s="273" t="e">
        <f>F124/$F$130</f>
        <v>#DIV/0!</v>
      </c>
      <c r="H124" s="97" t="e">
        <f>F124/$G$7</f>
        <v>#DIV/0!</v>
      </c>
      <c r="I124" s="97" t="e">
        <f>F124/$J$7</f>
        <v>#DIV/0!</v>
      </c>
      <c r="J124" s="98" t="e">
        <f>F124/$D$5</f>
        <v>#DIV/0!</v>
      </c>
    </row>
    <row r="125" spans="1:15">
      <c r="B125" s="96" t="s">
        <v>22</v>
      </c>
      <c r="C125" s="486" t="s">
        <v>160</v>
      </c>
      <c r="D125" s="487"/>
      <c r="E125" s="488"/>
      <c r="F125" s="97">
        <f>H105</f>
        <v>0</v>
      </c>
      <c r="G125" s="273" t="e">
        <f>F125/$F$130</f>
        <v>#DIV/0!</v>
      </c>
      <c r="H125" s="97" t="e">
        <f>F125/$G$7</f>
        <v>#DIV/0!</v>
      </c>
      <c r="I125" s="97" t="e">
        <f>F125/$J$7</f>
        <v>#DIV/0!</v>
      </c>
      <c r="J125" s="98" t="e">
        <f>F125/$D$5</f>
        <v>#DIV/0!</v>
      </c>
    </row>
    <row r="126" spans="1:15">
      <c r="B126" s="96" t="s">
        <v>22</v>
      </c>
      <c r="C126" s="486" t="s">
        <v>90</v>
      </c>
      <c r="D126" s="487"/>
      <c r="E126" s="488"/>
      <c r="F126" s="97" t="e">
        <f>H114</f>
        <v>#DIV/0!</v>
      </c>
      <c r="G126" s="273" t="e">
        <f>F126/$F$130</f>
        <v>#DIV/0!</v>
      </c>
      <c r="H126" s="97" t="e">
        <f>F126/$G$7</f>
        <v>#DIV/0!</v>
      </c>
      <c r="I126" s="97" t="e">
        <f>F126/$J$7</f>
        <v>#DIV/0!</v>
      </c>
      <c r="J126" s="98" t="e">
        <f>F126/$D$5</f>
        <v>#DIV/0!</v>
      </c>
    </row>
    <row r="127" spans="1:15" ht="13.5" thickBot="1">
      <c r="B127" s="96" t="s">
        <v>22</v>
      </c>
      <c r="C127" s="486" t="s">
        <v>91</v>
      </c>
      <c r="D127" s="487"/>
      <c r="E127" s="488"/>
      <c r="F127" s="57">
        <f>SUM(H115:H116)</f>
        <v>0</v>
      </c>
      <c r="G127" s="273" t="e">
        <f>F127/$F$130</f>
        <v>#DIV/0!</v>
      </c>
      <c r="H127" s="97" t="e">
        <f>F127/$G$7</f>
        <v>#DIV/0!</v>
      </c>
      <c r="I127" s="97" t="e">
        <f>F127/$J$7</f>
        <v>#DIV/0!</v>
      </c>
      <c r="J127" s="98" t="e">
        <f>F127/$D$5</f>
        <v>#DIV/0!</v>
      </c>
    </row>
    <row r="128" spans="1:15" ht="13.5" thickTop="1">
      <c r="C128" s="99"/>
      <c r="D128" s="22"/>
      <c r="E128" s="319"/>
      <c r="F128" s="319" t="e">
        <f>SUM(F123:F127)</f>
        <v>#DIV/0!</v>
      </c>
      <c r="G128" s="277" t="e">
        <f>SUM(G123:G127)</f>
        <v>#DIV/0!</v>
      </c>
      <c r="H128" s="100" t="e">
        <f>SUM(H123:H127)</f>
        <v>#DIV/0!</v>
      </c>
      <c r="I128" s="100" t="e">
        <f>SUM(I123:I127)</f>
        <v>#DIV/0!</v>
      </c>
      <c r="J128" s="100" t="e">
        <f>SUM(J123:J127)</f>
        <v>#DIV/0!</v>
      </c>
    </row>
    <row r="129" spans="1:20" ht="13.5" thickBot="1">
      <c r="C129" s="489" t="s">
        <v>158</v>
      </c>
      <c r="D129" s="489"/>
      <c r="E129" s="276"/>
      <c r="F129" s="294" t="e">
        <f>F128*E129</f>
        <v>#DIV/0!</v>
      </c>
      <c r="G129" s="260"/>
      <c r="H129" s="274"/>
      <c r="I129" s="274"/>
      <c r="J129" s="274"/>
    </row>
    <row r="130" spans="1:20" ht="13.5" thickBot="1">
      <c r="D130" s="7"/>
      <c r="E130" s="7"/>
      <c r="F130" s="101" t="e">
        <f>SUM(F128:F129)</f>
        <v>#DIV/0!</v>
      </c>
      <c r="G130" s="275"/>
      <c r="H130" s="101"/>
      <c r="I130" s="101" t="e">
        <f>I128</f>
        <v>#DIV/0!</v>
      </c>
      <c r="J130" s="101" t="e">
        <f>J128</f>
        <v>#DIV/0!</v>
      </c>
    </row>
    <row r="131" spans="1:20" s="344" customFormat="1" ht="18" customHeight="1" thickTop="1" thickBot="1">
      <c r="A131" s="42"/>
      <c r="B131" s="42"/>
      <c r="C131" s="505" t="s">
        <v>73</v>
      </c>
      <c r="D131" s="506"/>
      <c r="E131" s="506"/>
      <c r="F131" s="507"/>
      <c r="G131" s="505" t="s">
        <v>73</v>
      </c>
      <c r="H131" s="506"/>
      <c r="I131" s="506"/>
      <c r="J131" s="507"/>
    </row>
    <row r="132" spans="1:20" s="43" customFormat="1" ht="18" customHeight="1" thickTop="1" thickBot="1">
      <c r="A132" s="76"/>
      <c r="B132" s="76"/>
      <c r="C132" s="476" t="s">
        <v>72</v>
      </c>
      <c r="D132" s="477"/>
      <c r="E132" s="478" t="e">
        <f>F130</f>
        <v>#DIV/0!</v>
      </c>
      <c r="F132" s="479"/>
      <c r="G132" s="480" t="s">
        <v>151</v>
      </c>
      <c r="H132" s="481"/>
      <c r="I132" s="482"/>
      <c r="J132" s="268" t="e">
        <f>SUM(F124:F127)/D98</f>
        <v>#DIV/0!</v>
      </c>
      <c r="K132" s="102"/>
    </row>
    <row r="133" spans="1:20" ht="18" customHeight="1" thickTop="1">
      <c r="C133" s="103" t="s">
        <v>74</v>
      </c>
      <c r="D133" s="104" t="s">
        <v>152</v>
      </c>
      <c r="E133" s="105" t="str">
        <f>IF($D$4&gt;0,"$/SQ. KM","$/KM")</f>
        <v>$/KM</v>
      </c>
      <c r="F133" s="105" t="str">
        <f>IF($D$4&gt;0,"$/SQ. MILE","$/MILE")</f>
        <v>$/MILE</v>
      </c>
      <c r="G133" s="483" t="s">
        <v>147</v>
      </c>
      <c r="H133" s="484"/>
      <c r="I133" s="485"/>
      <c r="J133" s="269" t="e">
        <f>E132/D98</f>
        <v>#DIV/0!</v>
      </c>
    </row>
    <row r="134" spans="1:20" ht="18" customHeight="1" thickBot="1">
      <c r="C134" s="106" t="s">
        <v>75</v>
      </c>
      <c r="D134" s="107" t="e">
        <f>E132/$G$7</f>
        <v>#DIV/0!</v>
      </c>
      <c r="E134" s="108" t="e">
        <f>IF($D$4=0,E132/$D$6,E132/$D$7)</f>
        <v>#DIV/0!</v>
      </c>
      <c r="F134" s="109" t="e">
        <f>IF($D$4&gt;0,$E$134*2.59,$E$134*1.609)</f>
        <v>#DIV/0!</v>
      </c>
      <c r="G134" s="463" t="s">
        <v>150</v>
      </c>
      <c r="H134" s="464"/>
      <c r="I134" s="465"/>
      <c r="J134" s="270" t="e">
        <f>E132/$J$7</f>
        <v>#DIV/0!</v>
      </c>
    </row>
    <row r="135" spans="1:20" ht="18" customHeight="1" thickTop="1">
      <c r="C135" s="110" t="s">
        <v>76</v>
      </c>
      <c r="D135" s="104" t="s">
        <v>152</v>
      </c>
      <c r="E135" s="105" t="str">
        <f>IF($D$4&gt;0,"$/SQ. KM","$/KM")</f>
        <v>$/KM</v>
      </c>
      <c r="F135" s="104" t="str">
        <f>IF($D$4&gt;0,"$/SQ. MILE","$/MILE")</f>
        <v>$/MILE</v>
      </c>
      <c r="G135" s="466" t="s">
        <v>154</v>
      </c>
      <c r="H135" s="467"/>
      <c r="I135" s="295">
        <f>F106</f>
        <v>1</v>
      </c>
      <c r="J135" s="296"/>
      <c r="K135" s="267"/>
    </row>
    <row r="136" spans="1:20" ht="18" customHeight="1" thickBot="1">
      <c r="C136" s="199">
        <v>1.1599999999999999</v>
      </c>
      <c r="D136" s="111" t="e">
        <f>D134*$C$136</f>
        <v>#DIV/0!</v>
      </c>
      <c r="E136" s="108" t="e">
        <f>E134*$C$136</f>
        <v>#DIV/0!</v>
      </c>
      <c r="F136" s="111" t="e">
        <f>F134*$C$136</f>
        <v>#DIV/0!</v>
      </c>
      <c r="G136" s="468" t="s">
        <v>155</v>
      </c>
      <c r="H136" s="469"/>
      <c r="I136" s="470">
        <f>(G56+H129)*I135</f>
        <v>0</v>
      </c>
      <c r="J136" s="471"/>
      <c r="K136" s="259"/>
    </row>
    <row r="137" spans="1:20" s="76" customFormat="1" ht="17.25" thickTop="1" thickBot="1">
      <c r="C137" s="472" t="s">
        <v>163</v>
      </c>
      <c r="D137" s="472"/>
      <c r="E137" s="473" t="s">
        <v>164</v>
      </c>
      <c r="F137" s="473"/>
      <c r="G137" s="298" t="e">
        <f>I136/E132</f>
        <v>#DIV/0!</v>
      </c>
      <c r="H137" s="474" t="s">
        <v>165</v>
      </c>
      <c r="I137" s="475"/>
      <c r="J137" s="299">
        <f>I136/SUM(F123:F125)</f>
        <v>0</v>
      </c>
      <c r="K137" s="259"/>
    </row>
    <row r="138" spans="1:20" ht="13.5" thickTop="1"/>
    <row r="139" spans="1:20" s="349" customFormat="1" ht="47.25" customHeight="1">
      <c r="C139" s="416" t="s">
        <v>189</v>
      </c>
      <c r="E139" s="416"/>
      <c r="F139" s="416"/>
      <c r="G139" s="416"/>
      <c r="H139" s="416"/>
      <c r="I139" s="416"/>
      <c r="J139" s="416"/>
    </row>
    <row r="140" spans="1:20" s="351" customFormat="1" ht="15">
      <c r="C140" s="402" t="s">
        <v>190</v>
      </c>
      <c r="D140" s="456">
        <f>C1</f>
        <v>0</v>
      </c>
      <c r="E140" s="456"/>
      <c r="F140" s="350"/>
      <c r="G140" s="404" t="s">
        <v>191</v>
      </c>
      <c r="H140" s="404"/>
      <c r="I140" s="457"/>
      <c r="J140" s="458"/>
      <c r="M140" s="351" t="s">
        <v>192</v>
      </c>
      <c r="N140" s="351" t="s">
        <v>193</v>
      </c>
      <c r="O140" s="351" t="s">
        <v>194</v>
      </c>
      <c r="P140" s="351" t="s">
        <v>195</v>
      </c>
      <c r="Q140" s="351" t="s">
        <v>196</v>
      </c>
      <c r="R140" s="351" t="s">
        <v>197</v>
      </c>
      <c r="S140" s="351" t="s">
        <v>198</v>
      </c>
      <c r="T140" s="351" t="s">
        <v>49</v>
      </c>
    </row>
    <row r="141" spans="1:20" s="351" customFormat="1" ht="15">
      <c r="C141" s="417" t="s">
        <v>200</v>
      </c>
      <c r="D141" s="418">
        <f>C2</f>
        <v>0</v>
      </c>
      <c r="E141" s="418"/>
      <c r="F141" s="373"/>
      <c r="G141" s="396" t="s">
        <v>287</v>
      </c>
      <c r="H141" s="396"/>
      <c r="I141" s="420"/>
      <c r="J141" s="421"/>
      <c r="N141" s="354"/>
      <c r="O141" s="354"/>
      <c r="P141" s="354"/>
      <c r="Q141" s="354"/>
      <c r="S141" s="354"/>
      <c r="T141" s="354"/>
    </row>
    <row r="142" spans="1:20" s="351" customFormat="1" ht="15">
      <c r="C142" s="403" t="s">
        <v>201</v>
      </c>
      <c r="D142" s="459">
        <f>'2018-2019 work sheet Rev tj'!E140</f>
        <v>0</v>
      </c>
      <c r="E142" s="459"/>
      <c r="F142" s="353"/>
      <c r="G142" s="405" t="s">
        <v>202</v>
      </c>
      <c r="H142" s="405"/>
      <c r="I142" s="460"/>
      <c r="J142" s="461"/>
      <c r="M142" s="351" t="s">
        <v>203</v>
      </c>
      <c r="N142" s="349" t="s">
        <v>203</v>
      </c>
      <c r="O142" s="349" t="s">
        <v>203</v>
      </c>
      <c r="P142" s="349" t="s">
        <v>203</v>
      </c>
      <c r="Q142" s="349" t="s">
        <v>203</v>
      </c>
      <c r="R142" s="349" t="s">
        <v>203</v>
      </c>
      <c r="S142" s="349" t="s">
        <v>203</v>
      </c>
      <c r="T142" s="349" t="s">
        <v>203</v>
      </c>
    </row>
    <row r="143" spans="1:20" s="351" customFormat="1" ht="15">
      <c r="C143" s="349"/>
      <c r="D143" s="462"/>
      <c r="E143" s="462"/>
      <c r="F143" s="349"/>
      <c r="G143" s="349"/>
      <c r="H143" s="349"/>
      <c r="I143" s="410"/>
      <c r="J143" s="410"/>
      <c r="K143" s="349"/>
      <c r="L143" s="349"/>
      <c r="M143" s="351" t="s">
        <v>204</v>
      </c>
      <c r="N143" s="349" t="s">
        <v>205</v>
      </c>
      <c r="O143" s="349" t="s">
        <v>206</v>
      </c>
      <c r="P143" s="349" t="s">
        <v>205</v>
      </c>
      <c r="Q143" s="351" t="s">
        <v>207</v>
      </c>
      <c r="R143" s="349" t="s">
        <v>208</v>
      </c>
      <c r="S143" s="349" t="s">
        <v>209</v>
      </c>
      <c r="T143" s="349" t="s">
        <v>210</v>
      </c>
    </row>
    <row r="144" spans="1:20" s="351" customFormat="1" ht="15">
      <c r="C144" s="390" t="s">
        <v>211</v>
      </c>
      <c r="D144" s="391" t="s">
        <v>31</v>
      </c>
      <c r="E144" s="391" t="s">
        <v>212</v>
      </c>
      <c r="F144" s="349"/>
      <c r="G144" s="453" t="s">
        <v>199</v>
      </c>
      <c r="H144" s="454"/>
      <c r="I144" s="395" t="s">
        <v>31</v>
      </c>
      <c r="J144" s="391" t="s">
        <v>212</v>
      </c>
      <c r="K144" s="349"/>
      <c r="M144" s="351" t="s">
        <v>215</v>
      </c>
      <c r="N144" s="349" t="s">
        <v>216</v>
      </c>
      <c r="O144" s="351" t="s">
        <v>217</v>
      </c>
      <c r="P144" s="349" t="s">
        <v>218</v>
      </c>
      <c r="Q144" s="349" t="s">
        <v>219</v>
      </c>
      <c r="R144" s="349" t="s">
        <v>220</v>
      </c>
      <c r="S144" s="349" t="s">
        <v>221</v>
      </c>
      <c r="T144" s="349" t="s">
        <v>222</v>
      </c>
    </row>
    <row r="145" spans="3:20" s="351" customFormat="1" ht="15">
      <c r="C145" s="356" t="s">
        <v>223</v>
      </c>
      <c r="D145" s="357"/>
      <c r="E145" s="358"/>
      <c r="F145" s="349"/>
      <c r="G145" s="411" t="str">
        <f t="shared" ref="G145:G158" si="10">C42</f>
        <v xml:space="preserve">Party Manager / Personal </v>
      </c>
      <c r="H145" s="350"/>
      <c r="I145" s="360">
        <f>E42</f>
        <v>0</v>
      </c>
      <c r="J145" s="361"/>
      <c r="K145" s="349"/>
      <c r="M145" s="351" t="s">
        <v>224</v>
      </c>
      <c r="N145" s="349" t="s">
        <v>225</v>
      </c>
      <c r="O145" s="349" t="s">
        <v>226</v>
      </c>
      <c r="P145" s="349" t="s">
        <v>227</v>
      </c>
      <c r="Q145" s="349" t="s">
        <v>228</v>
      </c>
      <c r="R145" s="349" t="s">
        <v>229</v>
      </c>
      <c r="S145" s="349" t="s">
        <v>230</v>
      </c>
      <c r="T145" s="349" t="s">
        <v>231</v>
      </c>
    </row>
    <row r="146" spans="3:20" s="351" customFormat="1" ht="15">
      <c r="C146" s="362"/>
      <c r="D146" s="363"/>
      <c r="E146" s="364"/>
      <c r="F146" s="349"/>
      <c r="G146" s="371" t="str">
        <f t="shared" si="10"/>
        <v xml:space="preserve">Crew Trucks - F150 </v>
      </c>
      <c r="H146" s="373"/>
      <c r="I146" s="366">
        <f>E43</f>
        <v>0</v>
      </c>
      <c r="J146" s="367"/>
      <c r="K146" s="349"/>
      <c r="M146" s="351" t="s">
        <v>232</v>
      </c>
      <c r="N146" s="349" t="s">
        <v>233</v>
      </c>
      <c r="O146" s="349" t="s">
        <v>234</v>
      </c>
      <c r="P146" s="349" t="s">
        <v>235</v>
      </c>
      <c r="Q146" s="349" t="s">
        <v>217</v>
      </c>
      <c r="R146" s="349" t="s">
        <v>236</v>
      </c>
      <c r="S146" s="349" t="s">
        <v>237</v>
      </c>
      <c r="T146" s="349"/>
    </row>
    <row r="147" spans="3:20" s="351" customFormat="1" ht="15">
      <c r="C147" s="356" t="s">
        <v>240</v>
      </c>
      <c r="D147" s="357"/>
      <c r="E147" s="358"/>
      <c r="F147" s="349"/>
      <c r="G147" s="371" t="str">
        <f t="shared" si="10"/>
        <v xml:space="preserve">Crew Trucks - F250/F350 </v>
      </c>
      <c r="H147" s="373"/>
      <c r="I147" s="366">
        <f>E44</f>
        <v>0</v>
      </c>
      <c r="J147" s="367"/>
      <c r="K147" s="349"/>
      <c r="M147" s="351" t="s">
        <v>198</v>
      </c>
      <c r="N147" s="349"/>
      <c r="O147" s="349" t="s">
        <v>235</v>
      </c>
      <c r="P147" s="349" t="s">
        <v>233</v>
      </c>
      <c r="Q147" s="349"/>
      <c r="S147" s="349" t="s">
        <v>238</v>
      </c>
      <c r="T147" s="349" t="s">
        <v>239</v>
      </c>
    </row>
    <row r="148" spans="3:20" s="351" customFormat="1" ht="15">
      <c r="C148" s="362"/>
      <c r="D148" s="363"/>
      <c r="E148" s="364"/>
      <c r="F148" s="349"/>
      <c r="G148" s="371" t="str">
        <f t="shared" si="10"/>
        <v>Mechanic Truck</v>
      </c>
      <c r="H148" s="373"/>
      <c r="I148" s="366">
        <f>E45</f>
        <v>0</v>
      </c>
      <c r="J148" s="367"/>
      <c r="K148" s="349"/>
      <c r="M148" s="351" t="s">
        <v>241</v>
      </c>
      <c r="O148" s="448">
        <v>428</v>
      </c>
      <c r="S148" s="349" t="s">
        <v>242</v>
      </c>
      <c r="T148" s="349" t="s">
        <v>243</v>
      </c>
    </row>
    <row r="149" spans="3:20" s="351" customFormat="1" ht="15">
      <c r="C149" s="356" t="s">
        <v>246</v>
      </c>
      <c r="D149" s="357"/>
      <c r="E149" s="358"/>
      <c r="F149" s="349"/>
      <c r="G149" s="371" t="str">
        <f t="shared" si="10"/>
        <v>Vibrator Tech Truck</v>
      </c>
      <c r="H149" s="373"/>
      <c r="I149" s="366">
        <f t="shared" ref="I149:I158" si="11">E46</f>
        <v>0</v>
      </c>
      <c r="J149" s="367"/>
      <c r="K149" s="349"/>
      <c r="M149" s="351" t="s">
        <v>244</v>
      </c>
      <c r="S149" s="349"/>
      <c r="T149" s="349" t="s">
        <v>245</v>
      </c>
    </row>
    <row r="150" spans="3:20" s="351" customFormat="1" ht="15">
      <c r="C150" s="362"/>
      <c r="D150" s="363"/>
      <c r="E150" s="364"/>
      <c r="F150" s="349"/>
      <c r="G150" s="371" t="str">
        <f t="shared" si="10"/>
        <v>Fuel Truck/Picker Truck</v>
      </c>
      <c r="H150" s="373"/>
      <c r="I150" s="366">
        <f t="shared" si="11"/>
        <v>0</v>
      </c>
      <c r="J150" s="367"/>
      <c r="K150" s="349"/>
    </row>
    <row r="151" spans="3:20" s="351" customFormat="1" ht="15">
      <c r="C151" s="356" t="s">
        <v>247</v>
      </c>
      <c r="D151" s="357"/>
      <c r="E151" s="358"/>
      <c r="F151" s="349"/>
      <c r="G151" s="371" t="str">
        <f t="shared" si="10"/>
        <v>FMC Truck</v>
      </c>
      <c r="H151" s="373"/>
      <c r="I151" s="366">
        <f t="shared" si="11"/>
        <v>0</v>
      </c>
      <c r="J151" s="367"/>
      <c r="K151" s="349"/>
    </row>
    <row r="152" spans="3:20" s="351" customFormat="1" ht="15">
      <c r="C152" s="368"/>
      <c r="D152" s="369"/>
      <c r="E152" s="370"/>
      <c r="F152" s="349"/>
      <c r="G152" s="371" t="str">
        <f t="shared" si="10"/>
        <v>Merge Trailer</v>
      </c>
      <c r="H152" s="373"/>
      <c r="I152" s="366">
        <f t="shared" si="11"/>
        <v>0</v>
      </c>
      <c r="J152" s="367"/>
      <c r="K152" s="349"/>
    </row>
    <row r="153" spans="3:20" s="351" customFormat="1" ht="15">
      <c r="D153" s="379"/>
      <c r="E153" s="379"/>
      <c r="F153" s="349"/>
      <c r="G153" s="371" t="str">
        <f t="shared" si="10"/>
        <v>Vibrators - Mini IVI</v>
      </c>
      <c r="H153" s="373"/>
      <c r="I153" s="366">
        <f t="shared" si="11"/>
        <v>0</v>
      </c>
      <c r="J153" s="367"/>
      <c r="K153" s="349"/>
    </row>
    <row r="154" spans="3:20" s="351" customFormat="1" ht="15">
      <c r="C154" s="390" t="s">
        <v>255</v>
      </c>
      <c r="D154" s="355"/>
      <c r="E154" s="355"/>
      <c r="F154" s="349"/>
      <c r="G154" s="371" t="str">
        <f t="shared" si="10"/>
        <v>Vibrators - Y2400</v>
      </c>
      <c r="H154" s="373"/>
      <c r="I154" s="366">
        <f t="shared" si="11"/>
        <v>0</v>
      </c>
      <c r="J154" s="367"/>
      <c r="K154" s="349"/>
    </row>
    <row r="155" spans="3:20" s="351" customFormat="1" ht="15">
      <c r="C155" s="359" t="s">
        <v>258</v>
      </c>
      <c r="D155" s="381"/>
      <c r="E155" s="361" t="s">
        <v>259</v>
      </c>
      <c r="F155" s="349"/>
      <c r="G155" s="371" t="str">
        <f t="shared" si="10"/>
        <v>Vibrators - ATS 60</v>
      </c>
      <c r="H155" s="373"/>
      <c r="I155" s="366">
        <f t="shared" si="11"/>
        <v>0</v>
      </c>
      <c r="J155" s="367"/>
      <c r="K155" s="349"/>
    </row>
    <row r="156" spans="3:20" s="351" customFormat="1" ht="15">
      <c r="C156" s="365" t="s">
        <v>261</v>
      </c>
      <c r="D156" s="389"/>
      <c r="E156" s="378"/>
      <c r="F156" s="349"/>
      <c r="G156" s="371" t="str">
        <f t="shared" si="10"/>
        <v>Vibrators - Other</v>
      </c>
      <c r="H156" s="373"/>
      <c r="I156" s="366">
        <f t="shared" si="11"/>
        <v>0</v>
      </c>
      <c r="J156" s="367"/>
      <c r="K156" s="349"/>
    </row>
    <row r="157" spans="3:20" s="351" customFormat="1" ht="15">
      <c r="C157" s="365" t="s">
        <v>264</v>
      </c>
      <c r="D157" s="384"/>
      <c r="E157" s="367" t="s">
        <v>265</v>
      </c>
      <c r="F157" s="349"/>
      <c r="G157" s="371" t="str">
        <f t="shared" si="10"/>
        <v>A.T.V./QUADS</v>
      </c>
      <c r="H157" s="373"/>
      <c r="I157" s="366">
        <f t="shared" si="11"/>
        <v>0</v>
      </c>
      <c r="J157" s="367"/>
      <c r="K157" s="349"/>
    </row>
    <row r="158" spans="3:20" s="351" customFormat="1" ht="15">
      <c r="C158" s="374" t="s">
        <v>267</v>
      </c>
      <c r="D158" s="387"/>
      <c r="E158" s="376" t="s">
        <v>268</v>
      </c>
      <c r="F158" s="349"/>
      <c r="G158" s="371" t="str">
        <f t="shared" si="10"/>
        <v>UTV's/Kubotas</v>
      </c>
      <c r="H158" s="373"/>
      <c r="I158" s="366">
        <f t="shared" si="11"/>
        <v>0</v>
      </c>
      <c r="J158" s="367"/>
      <c r="K158" s="349"/>
    </row>
    <row r="159" spans="3:20" s="351" customFormat="1" ht="15">
      <c r="F159" s="349"/>
      <c r="G159" s="371"/>
      <c r="H159" s="373"/>
      <c r="I159" s="366"/>
      <c r="J159" s="372"/>
      <c r="K159" s="349"/>
    </row>
    <row r="160" spans="3:20" s="351" customFormat="1" ht="15">
      <c r="C160" s="394" t="s">
        <v>288</v>
      </c>
      <c r="D160" s="401" t="s">
        <v>157</v>
      </c>
      <c r="E160" s="395" t="s">
        <v>98</v>
      </c>
      <c r="F160" s="349"/>
      <c r="G160" s="429"/>
      <c r="H160" s="429"/>
      <c r="I160" s="430"/>
      <c r="J160" s="429"/>
      <c r="K160" s="349"/>
    </row>
    <row r="161" spans="3:12" s="351" customFormat="1" ht="15">
      <c r="C161" s="426" t="s">
        <v>286</v>
      </c>
      <c r="D161" s="409"/>
      <c r="E161" s="409"/>
      <c r="F161" s="349"/>
      <c r="G161" s="453" t="s">
        <v>300</v>
      </c>
      <c r="H161" s="454"/>
      <c r="I161" s="395" t="s">
        <v>31</v>
      </c>
      <c r="J161" s="391" t="s">
        <v>212</v>
      </c>
      <c r="K161" s="349"/>
    </row>
    <row r="162" spans="3:12" s="351" customFormat="1" ht="15">
      <c r="C162" s="426" t="s">
        <v>285</v>
      </c>
      <c r="D162" s="409"/>
      <c r="E162" s="409"/>
      <c r="F162" s="373"/>
      <c r="G162" s="412" t="s">
        <v>248</v>
      </c>
      <c r="H162" s="373"/>
      <c r="I162" s="371"/>
      <c r="J162" s="372"/>
      <c r="K162" s="349"/>
    </row>
    <row r="163" spans="3:12" s="351" customFormat="1" ht="15">
      <c r="F163" s="373"/>
      <c r="G163" s="412" t="s">
        <v>250</v>
      </c>
      <c r="H163" s="422"/>
      <c r="I163" s="371"/>
      <c r="J163" s="372"/>
      <c r="K163" s="349"/>
    </row>
    <row r="164" spans="3:12" s="351" customFormat="1" ht="15">
      <c r="C164" s="392" t="s">
        <v>249</v>
      </c>
      <c r="D164" s="393" t="s">
        <v>31</v>
      </c>
      <c r="E164" s="393" t="s">
        <v>212</v>
      </c>
      <c r="F164" s="349"/>
      <c r="G164" s="413" t="s">
        <v>281</v>
      </c>
      <c r="H164" s="373"/>
      <c r="I164" s="371"/>
      <c r="J164" s="372"/>
      <c r="K164" s="349"/>
    </row>
    <row r="165" spans="3:12" s="351" customFormat="1" ht="15">
      <c r="C165" s="380" t="s">
        <v>251</v>
      </c>
      <c r="D165" s="381"/>
      <c r="E165" s="382"/>
      <c r="F165" s="349"/>
      <c r="G165" s="428"/>
      <c r="H165" s="353"/>
      <c r="I165" s="352"/>
      <c r="J165" s="377"/>
      <c r="K165" s="349"/>
    </row>
    <row r="166" spans="3:12" s="351" customFormat="1" ht="15">
      <c r="C166" s="427" t="s">
        <v>291</v>
      </c>
      <c r="D166" s="400"/>
      <c r="E166" s="385"/>
      <c r="F166" s="349"/>
      <c r="K166" s="349"/>
      <c r="L166" s="349"/>
    </row>
    <row r="167" spans="3:12" s="351" customFormat="1" ht="15">
      <c r="C167" s="383" t="s">
        <v>252</v>
      </c>
      <c r="D167" s="384"/>
      <c r="E167" s="385"/>
      <c r="F167" s="349"/>
      <c r="G167" s="390" t="s">
        <v>213</v>
      </c>
      <c r="H167" s="425"/>
      <c r="I167" s="391" t="s">
        <v>31</v>
      </c>
      <c r="J167" s="395" t="s">
        <v>214</v>
      </c>
      <c r="K167" s="349"/>
    </row>
    <row r="168" spans="3:12" s="351" customFormat="1" ht="15">
      <c r="C168" s="383"/>
      <c r="D168" s="384"/>
      <c r="E168" s="385"/>
      <c r="F168" s="349"/>
      <c r="G168" s="411" t="str">
        <f>C14</f>
        <v>Party Manager</v>
      </c>
      <c r="I168" s="360">
        <f>D14</f>
        <v>0</v>
      </c>
      <c r="J168" s="361"/>
      <c r="K168" s="349"/>
    </row>
    <row r="169" spans="3:12" s="351" customFormat="1" ht="15">
      <c r="C169" s="386"/>
      <c r="D169" s="387"/>
      <c r="E169" s="388"/>
      <c r="F169" s="349"/>
      <c r="G169" s="371" t="str">
        <f>C15</f>
        <v>Assist.Party Manager</v>
      </c>
      <c r="I169" s="366">
        <f>D15</f>
        <v>0</v>
      </c>
      <c r="J169" s="367"/>
      <c r="K169" s="349"/>
    </row>
    <row r="170" spans="3:12" s="351" customFormat="1" ht="15">
      <c r="D170" s="379"/>
      <c r="E170" s="379"/>
      <c r="F170" s="349"/>
      <c r="G170" s="371" t="str">
        <f t="shared" ref="G170:G186" si="12">C16</f>
        <v>Field Service Tech</v>
      </c>
      <c r="I170" s="366">
        <f t="shared" ref="I170:I186" si="13">D16</f>
        <v>0</v>
      </c>
      <c r="J170" s="367"/>
      <c r="K170" s="349"/>
    </row>
    <row r="171" spans="3:12" s="351" customFormat="1" ht="15">
      <c r="C171" s="394" t="s">
        <v>254</v>
      </c>
      <c r="D171" s="391" t="s">
        <v>31</v>
      </c>
      <c r="E171" s="391" t="s">
        <v>212</v>
      </c>
      <c r="F171" s="349"/>
      <c r="G171" s="371" t="str">
        <f t="shared" si="12"/>
        <v>Clerk</v>
      </c>
      <c r="I171" s="366">
        <f t="shared" si="13"/>
        <v>0</v>
      </c>
      <c r="J171" s="367"/>
      <c r="K171" s="349"/>
    </row>
    <row r="172" spans="3:12" s="351" customFormat="1" ht="15">
      <c r="C172" s="380" t="s">
        <v>257</v>
      </c>
      <c r="D172" s="381"/>
      <c r="E172" s="382"/>
      <c r="F172" s="349"/>
      <c r="G172" s="371" t="str">
        <f t="shared" si="12"/>
        <v>Mechanic</v>
      </c>
      <c r="I172" s="366">
        <f t="shared" si="13"/>
        <v>0</v>
      </c>
      <c r="J172" s="367"/>
      <c r="K172" s="349"/>
    </row>
    <row r="173" spans="3:12" s="351" customFormat="1" ht="15">
      <c r="C173" s="383" t="s">
        <v>260</v>
      </c>
      <c r="D173" s="384"/>
      <c r="E173" s="385"/>
      <c r="F173" s="349"/>
      <c r="G173" s="371" t="str">
        <f t="shared" si="12"/>
        <v>Vibrator Technician</v>
      </c>
      <c r="I173" s="366">
        <f t="shared" si="13"/>
        <v>0</v>
      </c>
      <c r="J173" s="367"/>
      <c r="K173" s="349"/>
      <c r="L173" s="349"/>
    </row>
    <row r="174" spans="3:12" s="351" customFormat="1" ht="15">
      <c r="C174" s="383" t="s">
        <v>263</v>
      </c>
      <c r="D174" s="384"/>
      <c r="E174" s="385"/>
      <c r="F174" s="349"/>
      <c r="G174" s="371" t="str">
        <f t="shared" si="12"/>
        <v>Merge Operator</v>
      </c>
      <c r="I174" s="366">
        <f t="shared" si="13"/>
        <v>0</v>
      </c>
      <c r="J174" s="367"/>
      <c r="K174" s="349"/>
    </row>
    <row r="175" spans="3:12" s="351" customFormat="1" ht="15">
      <c r="C175" s="383" t="s">
        <v>266</v>
      </c>
      <c r="D175" s="384"/>
      <c r="E175" s="385"/>
      <c r="F175" s="349"/>
      <c r="G175" s="371" t="str">
        <f t="shared" si="12"/>
        <v>FMC Operator</v>
      </c>
      <c r="I175" s="366">
        <f t="shared" si="13"/>
        <v>0</v>
      </c>
      <c r="J175" s="367"/>
      <c r="K175" s="349"/>
    </row>
    <row r="176" spans="3:12" s="351" customFormat="1" ht="15">
      <c r="C176" s="383" t="s">
        <v>269</v>
      </c>
      <c r="D176" s="384"/>
      <c r="E176" s="385"/>
      <c r="F176" s="373"/>
      <c r="G176" s="371" t="str">
        <f t="shared" si="12"/>
        <v>HSE Advisor</v>
      </c>
      <c r="I176" s="366">
        <f t="shared" si="13"/>
        <v>0</v>
      </c>
      <c r="J176" s="367"/>
      <c r="K176" s="349"/>
    </row>
    <row r="177" spans="3:11" s="351" customFormat="1" ht="15">
      <c r="C177" s="383" t="s">
        <v>270</v>
      </c>
      <c r="D177" s="384"/>
      <c r="E177" s="385"/>
      <c r="G177" s="371" t="str">
        <f t="shared" si="12"/>
        <v>Co-ordinator</v>
      </c>
      <c r="I177" s="366">
        <f t="shared" si="13"/>
        <v>0</v>
      </c>
      <c r="J177" s="367"/>
    </row>
    <row r="178" spans="3:11" s="351" customFormat="1" ht="15">
      <c r="C178" s="383" t="s">
        <v>272</v>
      </c>
      <c r="D178" s="384"/>
      <c r="E178" s="385"/>
      <c r="G178" s="371" t="str">
        <f t="shared" si="12"/>
        <v>Shooters</v>
      </c>
      <c r="I178" s="366">
        <f t="shared" si="13"/>
        <v>0</v>
      </c>
      <c r="J178" s="367"/>
    </row>
    <row r="179" spans="3:11" ht="15">
      <c r="C179" s="407" t="s">
        <v>283</v>
      </c>
      <c r="D179" s="384"/>
      <c r="E179" s="385"/>
      <c r="G179" s="371" t="str">
        <f t="shared" si="12"/>
        <v>Shooter's Helpers</v>
      </c>
      <c r="H179" s="351"/>
      <c r="I179" s="366">
        <f t="shared" si="13"/>
        <v>0</v>
      </c>
      <c r="J179" s="367"/>
      <c r="K179" s="24"/>
    </row>
    <row r="180" spans="3:11" ht="15">
      <c r="C180" s="408" t="s">
        <v>284</v>
      </c>
      <c r="D180" s="387"/>
      <c r="E180" s="388"/>
      <c r="G180" s="371" t="str">
        <f t="shared" si="12"/>
        <v>Trouble Shooters/Viewers</v>
      </c>
      <c r="H180" s="351"/>
      <c r="I180" s="366">
        <f t="shared" si="13"/>
        <v>0</v>
      </c>
      <c r="J180" s="367"/>
      <c r="K180" s="24"/>
    </row>
    <row r="181" spans="3:11" ht="15">
      <c r="G181" s="371" t="str">
        <f t="shared" si="12"/>
        <v>Line Boss</v>
      </c>
      <c r="H181" s="351"/>
      <c r="I181" s="366">
        <f t="shared" si="13"/>
        <v>0</v>
      </c>
      <c r="J181" s="367"/>
      <c r="K181" s="24"/>
    </row>
    <row r="182" spans="3:11" ht="15">
      <c r="C182" s="394" t="s">
        <v>262</v>
      </c>
      <c r="D182" s="401" t="s">
        <v>157</v>
      </c>
      <c r="E182" s="395" t="s">
        <v>98</v>
      </c>
      <c r="G182" s="371" t="str">
        <f t="shared" si="12"/>
        <v>Recorder Helpers</v>
      </c>
      <c r="H182" s="351"/>
      <c r="I182" s="366">
        <f t="shared" si="13"/>
        <v>0</v>
      </c>
      <c r="J182" s="367"/>
    </row>
    <row r="183" spans="3:11" ht="15">
      <c r="C183" s="413" t="s">
        <v>277</v>
      </c>
      <c r="D183" s="414"/>
      <c r="E183" s="382"/>
      <c r="G183" s="371" t="str">
        <f t="shared" si="12"/>
        <v>Staging Helpers</v>
      </c>
      <c r="H183" s="351"/>
      <c r="I183" s="366">
        <f t="shared" si="13"/>
        <v>0</v>
      </c>
      <c r="J183" s="367"/>
    </row>
    <row r="184" spans="3:11" ht="15">
      <c r="C184" s="413" t="s">
        <v>278</v>
      </c>
      <c r="D184" s="419"/>
      <c r="E184" s="385"/>
      <c r="G184" s="371" t="str">
        <f t="shared" si="12"/>
        <v>Fuel Driver</v>
      </c>
      <c r="H184" s="351"/>
      <c r="I184" s="366">
        <f t="shared" si="13"/>
        <v>0</v>
      </c>
      <c r="J184" s="367"/>
    </row>
    <row r="185" spans="3:11" ht="15">
      <c r="C185" s="413" t="s">
        <v>279</v>
      </c>
      <c r="D185" s="419"/>
      <c r="E185" s="385"/>
      <c r="G185" s="371" t="str">
        <f t="shared" si="12"/>
        <v>Night Watchman</v>
      </c>
      <c r="H185" s="351"/>
      <c r="I185" s="366">
        <f t="shared" si="13"/>
        <v>0</v>
      </c>
      <c r="J185" s="367"/>
    </row>
    <row r="186" spans="3:11" ht="15">
      <c r="C186" s="371" t="s">
        <v>271</v>
      </c>
      <c r="D186" s="419"/>
      <c r="E186" s="385"/>
      <c r="G186" s="371" t="str">
        <f t="shared" si="12"/>
        <v>Vibrator Operators</v>
      </c>
      <c r="H186" s="351"/>
      <c r="I186" s="366">
        <f t="shared" si="13"/>
        <v>0</v>
      </c>
      <c r="J186" s="367"/>
    </row>
    <row r="187" spans="3:11" ht="15">
      <c r="C187" s="352" t="s">
        <v>273</v>
      </c>
      <c r="D187" s="415"/>
      <c r="E187" s="388"/>
      <c r="G187" s="371" t="str">
        <f>C33</f>
        <v>Rotation</v>
      </c>
      <c r="H187" s="351"/>
      <c r="I187" s="366">
        <f>D33</f>
        <v>0</v>
      </c>
      <c r="J187" s="367"/>
    </row>
    <row r="188" spans="3:11" ht="15">
      <c r="G188" s="371"/>
      <c r="H188" s="351"/>
      <c r="I188" s="366"/>
      <c r="J188" s="367"/>
    </row>
    <row r="189" spans="3:11" ht="15">
      <c r="C189" s="423" t="s">
        <v>274</v>
      </c>
      <c r="D189" s="446"/>
      <c r="E189" s="446"/>
      <c r="G189" s="352"/>
      <c r="H189" s="424"/>
      <c r="I189" s="375">
        <f>'2018-2019 work sheet Rev tj'!F173</f>
        <v>0</v>
      </c>
      <c r="J189" s="376"/>
    </row>
    <row r="190" spans="3:11" ht="15">
      <c r="C190" s="423" t="s">
        <v>275</v>
      </c>
      <c r="D190" s="447"/>
      <c r="E190" s="447"/>
      <c r="G190" s="396" t="s">
        <v>253</v>
      </c>
      <c r="I190" s="397">
        <f>SUM(I168:I189)</f>
        <v>0</v>
      </c>
    </row>
    <row r="191" spans="3:11" ht="15">
      <c r="C191" s="423" t="s">
        <v>276</v>
      </c>
      <c r="D191" s="455"/>
      <c r="E191" s="455"/>
      <c r="G191" s="398" t="s">
        <v>256</v>
      </c>
      <c r="I191" s="399">
        <f>SUM(I168:I186)</f>
        <v>0</v>
      </c>
    </row>
    <row r="192" spans="3:11">
      <c r="I192" s="6"/>
    </row>
    <row r="193" spans="3:9" ht="15">
      <c r="C193" s="406" t="s">
        <v>282</v>
      </c>
      <c r="I193" s="6"/>
    </row>
  </sheetData>
  <mergeCells count="113">
    <mergeCell ref="F12:G12"/>
    <mergeCell ref="H12:I12"/>
    <mergeCell ref="A34:A36"/>
    <mergeCell ref="B34:B36"/>
    <mergeCell ref="C36:D36"/>
    <mergeCell ref="C1:E1"/>
    <mergeCell ref="H1:I1"/>
    <mergeCell ref="C2:E2"/>
    <mergeCell ref="H2:I2"/>
    <mergeCell ref="C3:D3"/>
    <mergeCell ref="H3:I3"/>
    <mergeCell ref="C37:D37"/>
    <mergeCell ref="C38:D38"/>
    <mergeCell ref="C39:D39"/>
    <mergeCell ref="C40:D40"/>
    <mergeCell ref="C41:D41"/>
    <mergeCell ref="C42:D42"/>
    <mergeCell ref="A12:A13"/>
    <mergeCell ref="B12:B13"/>
    <mergeCell ref="C12:D12"/>
    <mergeCell ref="C49:D49"/>
    <mergeCell ref="C50:D50"/>
    <mergeCell ref="C51:D51"/>
    <mergeCell ref="C52:D52"/>
    <mergeCell ref="C53:D53"/>
    <mergeCell ref="C54:D54"/>
    <mergeCell ref="C43:D43"/>
    <mergeCell ref="C44:D44"/>
    <mergeCell ref="C45:D45"/>
    <mergeCell ref="C46:D46"/>
    <mergeCell ref="C47:D47"/>
    <mergeCell ref="C48:D48"/>
    <mergeCell ref="D72:F72"/>
    <mergeCell ref="D73:F73"/>
    <mergeCell ref="C75:E75"/>
    <mergeCell ref="H75:I75"/>
    <mergeCell ref="C76:E76"/>
    <mergeCell ref="H76:I76"/>
    <mergeCell ref="C55:D55"/>
    <mergeCell ref="A56:A58"/>
    <mergeCell ref="B56:B58"/>
    <mergeCell ref="C56:F57"/>
    <mergeCell ref="D70:F70"/>
    <mergeCell ref="D71:F71"/>
    <mergeCell ref="C90:D90"/>
    <mergeCell ref="C91:D91"/>
    <mergeCell ref="C92:E92"/>
    <mergeCell ref="C93:D93"/>
    <mergeCell ref="C94:D94"/>
    <mergeCell ref="C96:D96"/>
    <mergeCell ref="C77:D77"/>
    <mergeCell ref="H77:I77"/>
    <mergeCell ref="B83:B102"/>
    <mergeCell ref="C83:E83"/>
    <mergeCell ref="F83:J83"/>
    <mergeCell ref="C85:E85"/>
    <mergeCell ref="C86:D86"/>
    <mergeCell ref="C87:D87"/>
    <mergeCell ref="C88:D88"/>
    <mergeCell ref="C89:D89"/>
    <mergeCell ref="I98:I99"/>
    <mergeCell ref="E102:F102"/>
    <mergeCell ref="E98:E99"/>
    <mergeCell ref="F98:F99"/>
    <mergeCell ref="G98:G99"/>
    <mergeCell ref="H98:H99"/>
    <mergeCell ref="B103:B104"/>
    <mergeCell ref="C104:D104"/>
    <mergeCell ref="C105:D105"/>
    <mergeCell ref="A106:A113"/>
    <mergeCell ref="C106:D106"/>
    <mergeCell ref="C107:D107"/>
    <mergeCell ref="C108:D108"/>
    <mergeCell ref="C109:D109"/>
    <mergeCell ref="C98:C99"/>
    <mergeCell ref="D98:D99"/>
    <mergeCell ref="B110:B112"/>
    <mergeCell ref="C112:D112"/>
    <mergeCell ref="B119:B122"/>
    <mergeCell ref="C119:J120"/>
    <mergeCell ref="C121:E122"/>
    <mergeCell ref="F121:F122"/>
    <mergeCell ref="G121:G122"/>
    <mergeCell ref="H121:H122"/>
    <mergeCell ref="I121:I122"/>
    <mergeCell ref="J121:J122"/>
    <mergeCell ref="C131:F131"/>
    <mergeCell ref="G131:J131"/>
    <mergeCell ref="C132:D132"/>
    <mergeCell ref="E132:F132"/>
    <mergeCell ref="G132:I132"/>
    <mergeCell ref="G133:I133"/>
    <mergeCell ref="C123:E123"/>
    <mergeCell ref="C124:E124"/>
    <mergeCell ref="C125:E125"/>
    <mergeCell ref="C126:E126"/>
    <mergeCell ref="C127:E127"/>
    <mergeCell ref="C129:D129"/>
    <mergeCell ref="G161:H161"/>
    <mergeCell ref="D191:E191"/>
    <mergeCell ref="D140:E140"/>
    <mergeCell ref="I140:J140"/>
    <mergeCell ref="D142:E142"/>
    <mergeCell ref="I142:J142"/>
    <mergeCell ref="D143:E143"/>
    <mergeCell ref="G144:H144"/>
    <mergeCell ref="G134:I134"/>
    <mergeCell ref="G135:H135"/>
    <mergeCell ref="G136:H136"/>
    <mergeCell ref="I136:J136"/>
    <mergeCell ref="C137:D137"/>
    <mergeCell ref="E137:F137"/>
    <mergeCell ref="H137:I137"/>
  </mergeCells>
  <conditionalFormatting sqref="B128:B129">
    <cfRule type="expression" dxfId="8" priority="1" stopIfTrue="1">
      <formula>IF($B$128&lt;&gt;0,1,0)</formula>
    </cfRule>
  </conditionalFormatting>
  <conditionalFormatting sqref="F59:F67">
    <cfRule type="expression" dxfId="7" priority="2" stopIfTrue="1">
      <formula>IF(OR($G$2="BC",$G$2="SK",$G$2="MN"),1,0)</formula>
    </cfRule>
  </conditionalFormatting>
  <dataValidations count="11">
    <dataValidation type="list" allowBlank="1" showInputMessage="1" showErrorMessage="1" sqref="G1">
      <formula1>"101,102,103,104,105,106,107,VSP"</formula1>
    </dataValidation>
    <dataValidation type="list" allowBlank="1" showInputMessage="1" showErrorMessage="1" sqref="E165">
      <formula1>$S$142:$S$148</formula1>
    </dataValidation>
    <dataValidation type="list" allowBlank="1" showInputMessage="1" showErrorMessage="1" sqref="E167">
      <formula1>$T$147:$T$149</formula1>
    </dataValidation>
    <dataValidation type="list" allowBlank="1" showInputMessage="1" showErrorMessage="1" sqref="E151:E152">
      <formula1>$Q$142:$Q$146</formula1>
    </dataValidation>
    <dataValidation type="list" allowBlank="1" showInputMessage="1" showErrorMessage="1" sqref="E149:E150">
      <formula1>$R$142:$R$146</formula1>
    </dataValidation>
    <dataValidation type="list" showInputMessage="1" showErrorMessage="1" sqref="E147:E148">
      <formula1>$P$142:$P$147</formula1>
    </dataValidation>
    <dataValidation type="list" showInputMessage="1" showErrorMessage="1" sqref="E145:E146">
      <formula1>Box</formula1>
    </dataValidation>
    <dataValidation type="whole" operator="greaterThanOrEqual" showInputMessage="1" showErrorMessage="1" sqref="D145:D152">
      <formula1>0</formula1>
    </dataValidation>
    <dataValidation type="list" allowBlank="1" showInputMessage="1" showErrorMessage="1" sqref="G76 G2">
      <formula1>"AB,BC,SK,MB"</formula1>
    </dataValidation>
    <dataValidation type="list" errorStyle="information" allowBlank="1" showInputMessage="1" showErrorMessage="1" errorTitle="Enter Helicopter Type" error="Enter Type of Helicopter from the following_x000a_206B_x000a_H500D_x000a_ASTAR-B_x000a_ASTAR-BA_x000a_ASTAR-B1_x000a_ASTAR-B2_x000a_B204_x000a_B205_x000a_B212" sqref="D113:D114">
      <formula1>$K$113:$K$119</formula1>
    </dataValidation>
    <dataValidation type="list" allowBlank="1" showInputMessage="1" showErrorMessage="1" sqref="G113 H9 J9">
      <formula1>"YES,NO"</formula1>
    </dataValidation>
  </dataValidations>
  <printOptions horizontalCentered="1" verticalCentered="1"/>
  <pageMargins left="0" right="0" top="0.47244094488188998" bottom="0.261811024" header="0" footer="0"/>
  <pageSetup scale="78" fitToHeight="4" orientation="portrait" verticalDpi="300" r:id="rId1"/>
  <headerFooter alignWithMargins="0">
    <oddHeader>&amp;C&amp;"Arial,Bold Italic"&amp;12&amp;A</oddHeader>
  </headerFooter>
  <rowBreaks count="2" manualBreakCount="2">
    <brk id="78" max="9" man="1"/>
    <brk id="138" max="9" man="1"/>
  </rowBreaks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2018-2019 work sheet Rev tj</vt:lpstr>
      <vt:lpstr>'2018-2019 work sheet Rev tj'!Box</vt:lpstr>
      <vt:lpstr>'2018-2019 work sheet Rev tj'!Print_Area</vt:lpstr>
    </vt:vector>
  </TitlesOfParts>
  <Manager>THarris@eaglegeo.ab.ca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THarris@eaglegeo.ab.ca</dc:creator>
  <cp:lastModifiedBy>EAGLE</cp:lastModifiedBy>
  <cp:lastPrinted>2018-10-25T15:41:10Z</cp:lastPrinted>
  <dcterms:created xsi:type="dcterms:W3CDTF">1997-02-24T22:22:02Z</dcterms:created>
  <dcterms:modified xsi:type="dcterms:W3CDTF">2020-02-25T16:34:02Z</dcterms:modified>
</cp:coreProperties>
</file>