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165lu\Desktop\Scuola\Materiale Economia Aziendale\5. Classe quinta\4. Bilancio dati a scelta\Materiale definitivo\"/>
    </mc:Choice>
  </mc:AlternateContent>
  <xr:revisionPtr revIDLastSave="0" documentId="13_ncr:1_{1C56C068-7E00-43CA-AB79-495F4C00745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sercizio 1" sheetId="2" r:id="rId1"/>
    <sheet name="Esercizio 2" sheetId="4" r:id="rId2"/>
    <sheet name="Esercizio 3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1" i="4" l="1"/>
  <c r="H10" i="4" s="1"/>
  <c r="C8" i="4"/>
  <c r="C11" i="4"/>
  <c r="E6" i="4"/>
  <c r="C69" i="4" s="1"/>
  <c r="C71" i="4" s="1"/>
  <c r="G29" i="4"/>
  <c r="C61" i="4" s="1"/>
  <c r="C64" i="4" s="1"/>
  <c r="E5" i="4" s="1"/>
  <c r="C4" i="4"/>
  <c r="H4" i="4"/>
  <c r="C52" i="4" s="1"/>
  <c r="H12" i="4"/>
  <c r="J12" i="4" s="1"/>
  <c r="E12" i="4"/>
  <c r="C29" i="4"/>
  <c r="D45" i="4" s="1"/>
  <c r="C10" i="4" l="1"/>
  <c r="D75" i="4"/>
  <c r="J4" i="4" s="1"/>
  <c r="J7" i="4" s="1"/>
  <c r="H8" i="4"/>
  <c r="H9" i="4" s="1"/>
  <c r="C9" i="4" s="1"/>
  <c r="E4" i="4"/>
  <c r="E7" i="4" s="1"/>
  <c r="C45" i="4"/>
  <c r="C83" i="4"/>
  <c r="C89" i="4" s="1"/>
  <c r="J8" i="4" s="1"/>
  <c r="E8" i="4" s="1"/>
  <c r="C53" i="4"/>
  <c r="H5" i="4" s="1"/>
  <c r="C5" i="4" s="1"/>
  <c r="C55" i="4"/>
  <c r="H7" i="4" s="1"/>
  <c r="C7" i="4" s="1"/>
  <c r="C54" i="4"/>
  <c r="H6" i="4" s="1"/>
  <c r="C6" i="4" s="1"/>
  <c r="E9" i="4" l="1"/>
  <c r="J9" i="4"/>
  <c r="C99" i="4" s="1"/>
  <c r="C101" i="4" s="1"/>
  <c r="H23" i="2" l="1"/>
  <c r="H22" i="2"/>
  <c r="C23" i="2"/>
  <c r="C22" i="2"/>
  <c r="J9" i="2"/>
  <c r="J7" i="2" s="1"/>
  <c r="J4" i="2" s="1"/>
  <c r="J22" i="2"/>
  <c r="J20" i="2"/>
  <c r="H19" i="2"/>
  <c r="H20" i="2"/>
  <c r="H18" i="2"/>
  <c r="H7" i="2"/>
  <c r="H6" i="2"/>
  <c r="H5" i="2"/>
  <c r="H8" i="2"/>
  <c r="J12" i="2"/>
  <c r="H12" i="2"/>
  <c r="J25" i="2"/>
  <c r="H25" i="2"/>
  <c r="H21" i="2"/>
  <c r="J8" i="2"/>
  <c r="J21" i="2"/>
  <c r="E15" i="2"/>
  <c r="E14" i="2"/>
  <c r="D12" i="2"/>
  <c r="J17" i="2"/>
  <c r="H17" i="2"/>
  <c r="D16" i="1"/>
  <c r="I11" i="1"/>
  <c r="I9" i="1"/>
  <c r="I19" i="1"/>
  <c r="I20" i="1"/>
  <c r="I18" i="1"/>
  <c r="I7" i="1"/>
  <c r="I6" i="1"/>
  <c r="I5" i="1"/>
  <c r="C22" i="1"/>
  <c r="I17" i="1"/>
  <c r="K5" i="1"/>
  <c r="K12" i="1" s="1"/>
  <c r="C19" i="1"/>
  <c r="I12" i="1" l="1"/>
  <c r="K25" i="1"/>
  <c r="K7" i="1"/>
  <c r="C20" i="1"/>
  <c r="K6" i="1" s="1"/>
  <c r="J5" i="2"/>
  <c r="J6" i="2" s="1"/>
  <c r="I8" i="1" l="1"/>
  <c r="I25" i="1"/>
  <c r="C23" i="1" l="1"/>
  <c r="K22" i="1" s="1"/>
  <c r="I21" i="1"/>
  <c r="I23" i="1" s="1"/>
  <c r="I10" i="1" s="1"/>
  <c r="K9" i="1" l="1"/>
  <c r="K8" i="1" s="1"/>
  <c r="K21" i="1" s="1"/>
  <c r="K20" i="1" s="1"/>
  <c r="K17" i="1" s="1"/>
</calcChain>
</file>

<file path=xl/sharedStrings.xml><?xml version="1.0" encoding="utf-8"?>
<sst xmlns="http://schemas.openxmlformats.org/spreadsheetml/2006/main" count="229" uniqueCount="107">
  <si>
    <t>ANNO N-1</t>
  </si>
  <si>
    <t>Cp</t>
  </si>
  <si>
    <t>=</t>
  </si>
  <si>
    <t>Ti</t>
  </si>
  <si>
    <t>Patrimonio netto</t>
  </si>
  <si>
    <t>Attivo corrente</t>
  </si>
  <si>
    <t>Capitale proprio</t>
  </si>
  <si>
    <t>Utile d'esercizio</t>
  </si>
  <si>
    <t>Capitale di debito</t>
  </si>
  <si>
    <t>Ac</t>
  </si>
  <si>
    <t xml:space="preserve">= </t>
  </si>
  <si>
    <t>SP RICLASSIFICATO SENZA TENER CONTO DELLA DELIBERA DEGLI UTILI</t>
  </si>
  <si>
    <t>ATTIVO</t>
  </si>
  <si>
    <t>PASSIVO</t>
  </si>
  <si>
    <t>Immobilizzazioni</t>
  </si>
  <si>
    <t>Debiti a MLT</t>
  </si>
  <si>
    <t>Debiti a breve</t>
  </si>
  <si>
    <t>TOT. ATTIVO</t>
  </si>
  <si>
    <t>TOT. Passivo e Netto</t>
  </si>
  <si>
    <t>SP RICLASSIFICATO TENENDO CONTO DELLA DELIBERA DEGLI UTILI</t>
  </si>
  <si>
    <t xml:space="preserve">PCN = Ac - Db </t>
  </si>
  <si>
    <t xml:space="preserve">Ac - Db = </t>
  </si>
  <si>
    <t xml:space="preserve">Df + Dl - Db = </t>
  </si>
  <si>
    <t>Margine di tesoreria</t>
  </si>
  <si>
    <t xml:space="preserve">Indice di indebitamento= </t>
  </si>
  <si>
    <t>ROE =</t>
  </si>
  <si>
    <t>U</t>
  </si>
  <si>
    <t>Immateriali</t>
  </si>
  <si>
    <t>Materiali</t>
  </si>
  <si>
    <t>Finanziarie</t>
  </si>
  <si>
    <t>Rimanenze</t>
  </si>
  <si>
    <t>Disponibilità finanziarie</t>
  </si>
  <si>
    <t>Disponibilità liquide</t>
  </si>
  <si>
    <t>100 : 110 = Cp : 7.150.000</t>
  </si>
  <si>
    <t>Ti = Cp x 2,2</t>
  </si>
  <si>
    <t>Pb = Ac + PCN</t>
  </si>
  <si>
    <t>(Senza delibera)</t>
  </si>
  <si>
    <t>PCN - Rimanenze = Margine tesoreria</t>
  </si>
  <si>
    <t xml:space="preserve">Rimanenze = PCN - Margine tesoreria = </t>
  </si>
  <si>
    <t>Indice autocopertura immob.</t>
  </si>
  <si>
    <t>Imm</t>
  </si>
  <si>
    <t>Indice copertura globale immob.</t>
  </si>
  <si>
    <t>Cp + Dmlt</t>
  </si>
  <si>
    <t>Indice liquidità secondaria</t>
  </si>
  <si>
    <t>Dl + Df</t>
  </si>
  <si>
    <t>Db</t>
  </si>
  <si>
    <t>Cp + Dmlt = Imm x Indice autocopertura delle immobilizzazioni</t>
  </si>
  <si>
    <t>Dmlt = 7.440.000 - 4.960.000</t>
  </si>
  <si>
    <t>Indice di elasticità</t>
  </si>
  <si>
    <t>Dl + Df = Db x 0,9</t>
  </si>
  <si>
    <t>Rimanenze = Ac - (Dl +Df)</t>
  </si>
  <si>
    <t>Attivo immobilizzato</t>
  </si>
  <si>
    <t>VINCOLI</t>
  </si>
  <si>
    <t xml:space="preserve">1) Scrivo gli indici sottoforma di formule: </t>
  </si>
  <si>
    <t xml:space="preserve">Grado di rigidità = </t>
  </si>
  <si>
    <t>Totale impieghi</t>
  </si>
  <si>
    <t xml:space="preserve">60% = </t>
  </si>
  <si>
    <t>E' buona pratica andare a compilare lo SP sintetico man mano che si individuano le varie parti che lo compongono!</t>
  </si>
  <si>
    <t>Notiamo che non è possibile risolvere nessuna delle equazioni precedenti</t>
  </si>
  <si>
    <t>DELIBERA DEGLI UTILI</t>
  </si>
  <si>
    <t>Utile</t>
  </si>
  <si>
    <t>Dividendo</t>
  </si>
  <si>
    <t>Immobilizzazioni % su totale impieghi</t>
  </si>
  <si>
    <t>ROE</t>
  </si>
  <si>
    <t>Margine di autocopertura globale</t>
  </si>
  <si>
    <t>Negativo</t>
  </si>
  <si>
    <t>Calcolo il Totale impieghi</t>
  </si>
  <si>
    <t>Il totale del passivo + netto coincide con il totale impieghi</t>
  </si>
  <si>
    <t xml:space="preserve">Ipotizzo le tipologie di immobilizzazioni: </t>
  </si>
  <si>
    <t>Calcolo, per differenza, l'attivo corrente.</t>
  </si>
  <si>
    <t>6% =</t>
  </si>
  <si>
    <t>Calcolo il Capitale proprio utilizzando Utile e ROE</t>
  </si>
  <si>
    <t>ROE 6% =</t>
  </si>
  <si>
    <t>Capitale proprio =</t>
  </si>
  <si>
    <t>Ipotizzo un margine di autocopertura globale negativo (come previsto nei vincoli)</t>
  </si>
  <si>
    <t xml:space="preserve">Margine di copertura globale = </t>
  </si>
  <si>
    <t>Margine di copertura globale = Capitale permanente - Attivo immobilizzato</t>
  </si>
  <si>
    <t xml:space="preserve"> - 200.000 = Capitale Permanente - 5.460.000</t>
  </si>
  <si>
    <t>Calcolo il capitale permanente</t>
  </si>
  <si>
    <t xml:space="preserve">Calcolo i debiti a medio - lungo termine: </t>
  </si>
  <si>
    <t>Capitale permanente = Capitale proprio + Debiti a MLT</t>
  </si>
  <si>
    <t>Debiti a MLT = Capitale permanente - Capitale proprio</t>
  </si>
  <si>
    <t>Compilo lo schema di riparto dell'utile e calcolo il capitale proprio dopo la delibera</t>
  </si>
  <si>
    <t>Riserva</t>
  </si>
  <si>
    <t>Capitale proprio dopo la delibera = Capitale proprio prima della delibera + accantonamento a riserva</t>
  </si>
  <si>
    <t>Capitale proprio dopo la delibera = 2.000.000 + 70.000</t>
  </si>
  <si>
    <t xml:space="preserve">Capitale proprio dopo la delibera = </t>
  </si>
  <si>
    <t xml:space="preserve">Capitale permanente = </t>
  </si>
  <si>
    <t xml:space="preserve">Debiti a MLT = 5.260.000 - 2.070.000 </t>
  </si>
  <si>
    <t xml:space="preserve">Debiti a MLT = </t>
  </si>
  <si>
    <t>Per differenza calcolo i debiti a breve termine in entrambi gli SP</t>
  </si>
  <si>
    <t>DL</t>
  </si>
  <si>
    <t>Debiti a brete termine</t>
  </si>
  <si>
    <t xml:space="preserve">Ind. Liq. Secondaria = </t>
  </si>
  <si>
    <t>Calcolo le disponibilità liquide</t>
  </si>
  <si>
    <t xml:space="preserve">Disponibilità liquide = </t>
  </si>
  <si>
    <t>0,05 =</t>
  </si>
  <si>
    <t>Ipotizzo un margine di tesoreria positivo:</t>
  </si>
  <si>
    <t xml:space="preserve">Margine di tesoreria = </t>
  </si>
  <si>
    <t>Disponibilità finanziarie + Disponibilità liquide - Debiti di breve termine = Margine di tesoreria</t>
  </si>
  <si>
    <t xml:space="preserve">DF = </t>
  </si>
  <si>
    <t>Calcolo le disponibilità finanziarie</t>
  </si>
  <si>
    <t>Per differenza calcolo le rimanenze</t>
  </si>
  <si>
    <t xml:space="preserve">Negativo </t>
  </si>
  <si>
    <t>DF + 192.000 - 3.840.000 = - 2.200.000</t>
  </si>
  <si>
    <t>Indice di liquidità primaria</t>
  </si>
  <si>
    <t xml:space="preserve">Ind. Liq. primaria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</si>
</sst>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_-* #,##0.00000_-;\-* #,##0.000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9">
    <xf numFmtId="0" fontId="0" fillId="0" borderId="0" xfId="0"/>
    <xf numFmtId="0" fontId="2" fillId="0" borderId="0" xfId="0" applyFont="1"/>
    <xf numFmtId="0" fontId="2" fillId="0" borderId="9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0" fontId="2" fillId="0" borderId="10" xfId="0" applyNumberFormat="1" applyFont="1" applyBorder="1"/>
    <xf numFmtId="0" fontId="2" fillId="0" borderId="3" xfId="0" applyFont="1" applyBorder="1"/>
    <xf numFmtId="0" fontId="2" fillId="0" borderId="6" xfId="0" applyFont="1" applyBorder="1" applyAlignment="1">
      <alignment horizontal="center"/>
    </xf>
    <xf numFmtId="0" fontId="2" fillId="0" borderId="4" xfId="0" applyFont="1" applyBorder="1"/>
    <xf numFmtId="10" fontId="2" fillId="0" borderId="11" xfId="0" applyNumberFormat="1" applyFont="1" applyBorder="1"/>
    <xf numFmtId="43" fontId="2" fillId="0" borderId="10" xfId="1" applyFont="1" applyFill="1" applyBorder="1"/>
    <xf numFmtId="164" fontId="2" fillId="0" borderId="0" xfId="1" applyNumberFormat="1" applyFont="1" applyFill="1"/>
    <xf numFmtId="0" fontId="2" fillId="0" borderId="9" xfId="0" applyFont="1" applyBorder="1"/>
    <xf numFmtId="164" fontId="2" fillId="0" borderId="10" xfId="1" applyNumberFormat="1" applyFont="1" applyFill="1" applyBorder="1"/>
    <xf numFmtId="0" fontId="2" fillId="0" borderId="12" xfId="0" applyFont="1" applyBorder="1"/>
    <xf numFmtId="164" fontId="2" fillId="0" borderId="13" xfId="1" applyNumberFormat="1" applyFont="1" applyFill="1" applyBorder="1"/>
    <xf numFmtId="164" fontId="2" fillId="0" borderId="13" xfId="0" applyNumberFormat="1" applyFont="1" applyBorder="1"/>
    <xf numFmtId="0" fontId="2" fillId="0" borderId="8" xfId="0" quotePrefix="1" applyFont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10" xfId="0" applyBorder="1"/>
    <xf numFmtId="164" fontId="0" fillId="0" borderId="11" xfId="1" applyNumberFormat="1" applyFont="1" applyBorder="1"/>
    <xf numFmtId="0" fontId="4" fillId="5" borderId="1" xfId="0" applyFont="1" applyFill="1" applyBorder="1"/>
    <xf numFmtId="0" fontId="5" fillId="5" borderId="1" xfId="0" applyFont="1" applyFill="1" applyBorder="1" applyAlignment="1">
      <alignment horizontal="right"/>
    </xf>
    <xf numFmtId="0" fontId="4" fillId="4" borderId="1" xfId="0" applyFont="1" applyFill="1" applyBorder="1"/>
    <xf numFmtId="164" fontId="0" fillId="5" borderId="1" xfId="0" applyNumberFormat="1" applyFill="1" applyBorder="1" applyAlignment="1">
      <alignment horizontal="center"/>
    </xf>
    <xf numFmtId="164" fontId="4" fillId="5" borderId="1" xfId="0" applyNumberFormat="1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/>
    </xf>
    <xf numFmtId="0" fontId="2" fillId="0" borderId="3" xfId="0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164" fontId="2" fillId="0" borderId="4" xfId="1" applyNumberFormat="1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164" fontId="2" fillId="0" borderId="4" xfId="1" applyNumberFormat="1" applyFont="1" applyBorder="1"/>
    <xf numFmtId="43" fontId="2" fillId="0" borderId="10" xfId="1" applyFont="1" applyBorder="1"/>
    <xf numFmtId="165" fontId="2" fillId="0" borderId="10" xfId="0" applyNumberFormat="1" applyFont="1" applyBorder="1"/>
    <xf numFmtId="0" fontId="0" fillId="4" borderId="14" xfId="0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4" fillId="5" borderId="7" xfId="0" applyFont="1" applyFill="1" applyBorder="1"/>
    <xf numFmtId="0" fontId="5" fillId="5" borderId="7" xfId="0" applyFont="1" applyFill="1" applyBorder="1" applyAlignment="1">
      <alignment horizontal="right"/>
    </xf>
    <xf numFmtId="164" fontId="0" fillId="4" borderId="14" xfId="0" applyNumberForma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164" fontId="4" fillId="4" borderId="1" xfId="0" applyNumberFormat="1" applyFont="1" applyFill="1" applyBorder="1" applyAlignment="1">
      <alignment vertical="center"/>
    </xf>
    <xf numFmtId="0" fontId="2" fillId="0" borderId="12" xfId="0" applyFont="1" applyBorder="1" applyAlignment="1">
      <alignment horizontal="right"/>
    </xf>
    <xf numFmtId="164" fontId="2" fillId="0" borderId="0" xfId="0" applyNumberFormat="1" applyFont="1"/>
    <xf numFmtId="164" fontId="0" fillId="4" borderId="14" xfId="1" applyNumberFormat="1" applyFont="1" applyFill="1" applyBorder="1" applyAlignment="1">
      <alignment vertical="center"/>
    </xf>
    <xf numFmtId="164" fontId="2" fillId="0" borderId="4" xfId="0" applyNumberFormat="1" applyFont="1" applyBorder="1"/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/>
    <xf numFmtId="164" fontId="6" fillId="0" borderId="8" xfId="0" applyNumberFormat="1" applyFont="1" applyBorder="1" applyAlignment="1">
      <alignment vertical="center"/>
    </xf>
    <xf numFmtId="164" fontId="0" fillId="0" borderId="13" xfId="0" applyNumberFormat="1" applyBorder="1" applyAlignment="1">
      <alignment vertical="center"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8" xfId="0" quotePrefix="1" applyBorder="1" applyAlignment="1">
      <alignment wrapText="1"/>
    </xf>
    <xf numFmtId="164" fontId="0" fillId="0" borderId="0" xfId="0" applyNumberFormat="1"/>
    <xf numFmtId="166" fontId="0" fillId="0" borderId="0" xfId="0" applyNumberFormat="1"/>
    <xf numFmtId="164" fontId="0" fillId="0" borderId="0" xfId="1" applyNumberFormat="1" applyFont="1" applyAlignment="1">
      <alignment vertical="center" wrapText="1"/>
    </xf>
    <xf numFmtId="164" fontId="0" fillId="0" borderId="0" xfId="0" applyNumberFormat="1" applyAlignment="1">
      <alignment vertical="center" wrapText="1"/>
    </xf>
    <xf numFmtId="164" fontId="0" fillId="0" borderId="0" xfId="1" applyNumberFormat="1" applyFont="1"/>
    <xf numFmtId="164" fontId="7" fillId="0" borderId="0" xfId="1" applyNumberFormat="1" applyFont="1" applyAlignment="1">
      <alignment vertical="center" wrapText="1"/>
    </xf>
    <xf numFmtId="164" fontId="0" fillId="0" borderId="1" xfId="1" applyNumberFormat="1" applyFont="1" applyBorder="1"/>
    <xf numFmtId="164" fontId="4" fillId="0" borderId="1" xfId="1" applyNumberFormat="1" applyFont="1" applyBorder="1"/>
    <xf numFmtId="164" fontId="0" fillId="0" borderId="5" xfId="1" applyNumberFormat="1" applyFont="1" applyBorder="1"/>
    <xf numFmtId="164" fontId="0" fillId="0" borderId="6" xfId="1" applyNumberFormat="1" applyFont="1" applyBorder="1"/>
    <xf numFmtId="164" fontId="0" fillId="0" borderId="7" xfId="1" applyNumberFormat="1" applyFont="1" applyBorder="1"/>
    <xf numFmtId="165" fontId="0" fillId="0" borderId="0" xfId="2" applyNumberFormat="1" applyFont="1"/>
    <xf numFmtId="9" fontId="0" fillId="0" borderId="7" xfId="1" applyNumberFormat="1" applyFont="1" applyBorder="1"/>
    <xf numFmtId="164" fontId="0" fillId="0" borderId="7" xfId="1" applyNumberFormat="1" applyFont="1" applyBorder="1" applyAlignment="1">
      <alignment horizontal="right"/>
    </xf>
    <xf numFmtId="164" fontId="0" fillId="0" borderId="9" xfId="1" applyNumberFormat="1" applyFont="1" applyBorder="1"/>
    <xf numFmtId="164" fontId="0" fillId="0" borderId="10" xfId="1" applyNumberFormat="1" applyFont="1" applyBorder="1"/>
    <xf numFmtId="164" fontId="0" fillId="0" borderId="12" xfId="1" applyNumberFormat="1" applyFont="1" applyBorder="1"/>
    <xf numFmtId="164" fontId="0" fillId="0" borderId="13" xfId="1" applyNumberFormat="1" applyFont="1" applyBorder="1"/>
    <xf numFmtId="164" fontId="0" fillId="0" borderId="12" xfId="1" applyNumberFormat="1" applyFont="1" applyBorder="1" applyAlignment="1">
      <alignment horizontal="right"/>
    </xf>
    <xf numFmtId="164" fontId="0" fillId="0" borderId="3" xfId="1" applyNumberFormat="1" applyFont="1" applyBorder="1"/>
    <xf numFmtId="164" fontId="0" fillId="0" borderId="9" xfId="1" applyNumberFormat="1" applyFont="1" applyBorder="1" applyAlignment="1">
      <alignment horizontal="left" vertical="center"/>
    </xf>
    <xf numFmtId="0" fontId="0" fillId="0" borderId="9" xfId="0" applyBorder="1"/>
    <xf numFmtId="0" fontId="0" fillId="0" borderId="13" xfId="0" applyBorder="1"/>
    <xf numFmtId="164" fontId="0" fillId="0" borderId="0" xfId="1" applyNumberFormat="1" applyFont="1" applyBorder="1"/>
    <xf numFmtId="164" fontId="0" fillId="0" borderId="0" xfId="1" applyNumberFormat="1" applyFont="1" applyAlignment="1">
      <alignment horizontal="right"/>
    </xf>
    <xf numFmtId="164" fontId="0" fillId="0" borderId="0" xfId="1" quotePrefix="1" applyNumberFormat="1" applyFont="1"/>
    <xf numFmtId="164" fontId="0" fillId="0" borderId="4" xfId="1" applyNumberFormat="1" applyFont="1" applyBorder="1"/>
    <xf numFmtId="164" fontId="4" fillId="0" borderId="0" xfId="1" applyNumberFormat="1" applyFont="1"/>
    <xf numFmtId="164" fontId="0" fillId="0" borderId="10" xfId="1" applyNumberFormat="1" applyFont="1" applyBorder="1" applyAlignment="1">
      <alignment horizontal="center"/>
    </xf>
    <xf numFmtId="0" fontId="0" fillId="4" borderId="1" xfId="0" applyFill="1" applyBorder="1" applyAlignment="1">
      <alignment vertical="center"/>
    </xf>
    <xf numFmtId="164" fontId="0" fillId="4" borderId="1" xfId="0" applyNumberFormat="1" applyFill="1" applyBorder="1" applyAlignment="1">
      <alignment vertical="center"/>
    </xf>
    <xf numFmtId="43" fontId="0" fillId="0" borderId="11" xfId="1" applyFont="1" applyBorder="1"/>
    <xf numFmtId="164" fontId="0" fillId="0" borderId="7" xfId="1" applyNumberFormat="1" applyFont="1" applyBorder="1" applyAlignment="1">
      <alignment horizontal="center"/>
    </xf>
    <xf numFmtId="43" fontId="0" fillId="0" borderId="9" xfId="1" applyFont="1" applyBorder="1" applyAlignment="1">
      <alignment horizontal="center" vertical="center"/>
    </xf>
    <xf numFmtId="43" fontId="0" fillId="0" borderId="11" xfId="1" applyFont="1" applyBorder="1" applyAlignment="1">
      <alignment horizontal="right"/>
    </xf>
    <xf numFmtId="0" fontId="4" fillId="3" borderId="1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164" fontId="4" fillId="5" borderId="15" xfId="0" applyNumberFormat="1" applyFont="1" applyFill="1" applyBorder="1" applyAlignment="1">
      <alignment horizontal="center" vertical="center"/>
    </xf>
    <xf numFmtId="164" fontId="4" fillId="5" borderId="14" xfId="0" applyNumberFormat="1" applyFont="1" applyFill="1" applyBorder="1" applyAlignment="1">
      <alignment horizontal="center" vertical="center"/>
    </xf>
    <xf numFmtId="164" fontId="4" fillId="5" borderId="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64" fontId="9" fillId="2" borderId="5" xfId="1" applyNumberFormat="1" applyFont="1" applyFill="1" applyBorder="1" applyAlignment="1">
      <alignment horizontal="center"/>
    </xf>
    <xf numFmtId="164" fontId="9" fillId="2" borderId="7" xfId="1" applyNumberFormat="1" applyFont="1" applyFill="1" applyBorder="1" applyAlignment="1">
      <alignment horizontal="center"/>
    </xf>
    <xf numFmtId="164" fontId="4" fillId="0" borderId="0" xfId="1" applyNumberFormat="1" applyFont="1" applyAlignment="1">
      <alignment horizontal="left" vertical="center" wrapText="1"/>
    </xf>
    <xf numFmtId="164" fontId="8" fillId="0" borderId="5" xfId="1" applyNumberFormat="1" applyFont="1" applyBorder="1" applyAlignment="1">
      <alignment horizontal="center"/>
    </xf>
    <xf numFmtId="164" fontId="8" fillId="0" borderId="6" xfId="1" applyNumberFormat="1" applyFont="1" applyBorder="1" applyAlignment="1">
      <alignment horizontal="center"/>
    </xf>
    <xf numFmtId="164" fontId="8" fillId="0" borderId="7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left"/>
    </xf>
    <xf numFmtId="164" fontId="0" fillId="0" borderId="6" xfId="1" applyNumberFormat="1" applyFont="1" applyBorder="1" applyAlignment="1">
      <alignment horizontal="left"/>
    </xf>
    <xf numFmtId="164" fontId="0" fillId="0" borderId="3" xfId="1" applyNumberFormat="1" applyFont="1" applyBorder="1" applyAlignment="1">
      <alignment horizontal="left"/>
    </xf>
    <xf numFmtId="164" fontId="0" fillId="0" borderId="4" xfId="1" applyNumberFormat="1" applyFont="1" applyBorder="1" applyAlignment="1">
      <alignment horizontal="left"/>
    </xf>
    <xf numFmtId="164" fontId="0" fillId="6" borderId="0" xfId="1" applyNumberFormat="1" applyFont="1" applyFill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43" fontId="2" fillId="0" borderId="0" xfId="1" applyFont="1" applyFill="1" applyBorder="1"/>
    <xf numFmtId="10" fontId="2" fillId="0" borderId="0" xfId="0" applyNumberFormat="1" applyFont="1" applyBorder="1"/>
    <xf numFmtId="164" fontId="2" fillId="0" borderId="0" xfId="1" applyNumberFormat="1" applyFont="1" applyFill="1" applyBorder="1"/>
    <xf numFmtId="9" fontId="2" fillId="0" borderId="0" xfId="1" applyNumberFormat="1" applyFont="1" applyFill="1" applyBorder="1"/>
    <xf numFmtId="164" fontId="2" fillId="0" borderId="0" xfId="0" applyNumberFormat="1" applyFont="1" applyBorder="1"/>
    <xf numFmtId="164" fontId="2" fillId="0" borderId="11" xfId="1" applyNumberFormat="1" applyFont="1" applyFill="1" applyBorder="1"/>
  </cellXfs>
  <cellStyles count="3">
    <cellStyle name="Migliaia" xfId="1" builtinId="3"/>
    <cellStyle name="Normale" xfId="0" builtinId="0"/>
    <cellStyle name="Percentual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5377D-96CB-4832-B249-B7D7FAC87B66}">
  <dimension ref="B2:L25"/>
  <sheetViews>
    <sheetView tabSelected="1" workbookViewId="0">
      <selection activeCell="E33" sqref="E33"/>
    </sheetView>
  </sheetViews>
  <sheetFormatPr defaultRowHeight="15.6" x14ac:dyDescent="0.3"/>
  <cols>
    <col min="2" max="2" width="34" bestFit="1" customWidth="1"/>
    <col min="3" max="3" width="12.88671875" bestFit="1" customWidth="1"/>
    <col min="4" max="5" width="11.21875" bestFit="1" customWidth="1"/>
    <col min="7" max="7" width="20.109375" style="1" bestFit="1" customWidth="1"/>
    <col min="8" max="8" width="12.88671875" style="1" bestFit="1" customWidth="1"/>
    <col min="9" max="9" width="21.6640625" style="1" customWidth="1"/>
    <col min="10" max="10" width="14.88671875" style="1" customWidth="1"/>
    <col min="12" max="12" width="10.44140625" bestFit="1" customWidth="1"/>
  </cols>
  <sheetData>
    <row r="2" spans="2:12" x14ac:dyDescent="0.3">
      <c r="B2" s="2" t="s">
        <v>25</v>
      </c>
      <c r="C2" s="3" t="s">
        <v>26</v>
      </c>
      <c r="D2" s="16" t="s">
        <v>2</v>
      </c>
      <c r="E2" s="32">
        <v>0.05</v>
      </c>
      <c r="G2" s="101" t="s">
        <v>11</v>
      </c>
      <c r="H2" s="101"/>
      <c r="I2" s="101"/>
      <c r="J2" s="101"/>
    </row>
    <row r="3" spans="2:12" x14ac:dyDescent="0.3">
      <c r="B3" s="5"/>
      <c r="C3" s="6" t="s">
        <v>1</v>
      </c>
      <c r="D3" s="7"/>
      <c r="E3" s="8"/>
      <c r="G3" s="93" t="s">
        <v>12</v>
      </c>
      <c r="H3" s="93"/>
      <c r="I3" s="94" t="s">
        <v>13</v>
      </c>
      <c r="J3" s="94"/>
    </row>
    <row r="4" spans="2:12" ht="14.4" x14ac:dyDescent="0.3">
      <c r="G4" s="38" t="s">
        <v>14</v>
      </c>
      <c r="H4" s="39">
        <v>6200000</v>
      </c>
      <c r="I4" s="35" t="s">
        <v>4</v>
      </c>
      <c r="J4" s="24">
        <f>+J12-J7</f>
        <v>5080000</v>
      </c>
    </row>
    <row r="5" spans="2:12" x14ac:dyDescent="0.3">
      <c r="B5" s="2" t="s">
        <v>43</v>
      </c>
      <c r="C5" s="3" t="s">
        <v>44</v>
      </c>
      <c r="D5" s="16" t="s">
        <v>2</v>
      </c>
      <c r="E5" s="9">
        <v>0.9</v>
      </c>
      <c r="G5" s="33" t="s">
        <v>27</v>
      </c>
      <c r="H5" s="42">
        <f>+H4*0.3</f>
        <v>1860000</v>
      </c>
      <c r="I5" s="36" t="s">
        <v>6</v>
      </c>
      <c r="J5" s="23">
        <f>+J4*0.952380952380952</f>
        <v>4838095.2380952379</v>
      </c>
    </row>
    <row r="6" spans="2:12" x14ac:dyDescent="0.3">
      <c r="B6" s="5"/>
      <c r="C6" s="6" t="s">
        <v>45</v>
      </c>
      <c r="D6" s="7"/>
      <c r="E6" s="8"/>
      <c r="G6" s="33" t="s">
        <v>28</v>
      </c>
      <c r="H6" s="42">
        <f>+H4*0.5</f>
        <v>3100000</v>
      </c>
      <c r="I6" s="36" t="s">
        <v>7</v>
      </c>
      <c r="J6" s="23">
        <f>+J4-J5</f>
        <v>241904.76190476213</v>
      </c>
      <c r="L6" s="59"/>
    </row>
    <row r="7" spans="2:12" ht="14.4" x14ac:dyDescent="0.3">
      <c r="G7" s="33" t="s">
        <v>29</v>
      </c>
      <c r="H7" s="42">
        <f>+H4*0.2</f>
        <v>1240000</v>
      </c>
      <c r="I7" s="35" t="s">
        <v>8</v>
      </c>
      <c r="J7" s="24">
        <f>+J8+J9</f>
        <v>6080000</v>
      </c>
      <c r="L7" s="58"/>
    </row>
    <row r="8" spans="2:12" ht="15.6" customHeight="1" x14ac:dyDescent="0.3">
      <c r="B8" s="2" t="s">
        <v>41</v>
      </c>
      <c r="C8" s="3" t="s">
        <v>42</v>
      </c>
      <c r="D8" s="16" t="s">
        <v>2</v>
      </c>
      <c r="E8" s="9">
        <v>1.2</v>
      </c>
      <c r="G8" s="38" t="s">
        <v>5</v>
      </c>
      <c r="H8" s="39">
        <f>+H21</f>
        <v>4960000</v>
      </c>
      <c r="I8" s="36" t="s">
        <v>15</v>
      </c>
      <c r="J8" s="23">
        <f>+J21</f>
        <v>2480000</v>
      </c>
    </row>
    <row r="9" spans="2:12" x14ac:dyDescent="0.3">
      <c r="B9" s="5"/>
      <c r="C9" s="6" t="s">
        <v>40</v>
      </c>
      <c r="D9" s="7"/>
      <c r="E9" s="8"/>
      <c r="G9" s="33" t="s">
        <v>30</v>
      </c>
      <c r="H9" s="42"/>
      <c r="I9" s="21" t="s">
        <v>16</v>
      </c>
      <c r="J9" s="23">
        <f>+J22-120000</f>
        <v>3600000</v>
      </c>
    </row>
    <row r="10" spans="2:12" x14ac:dyDescent="0.3">
      <c r="B10" s="17"/>
      <c r="C10" s="17"/>
      <c r="D10" s="17"/>
      <c r="E10" s="17"/>
      <c r="G10" s="33" t="s">
        <v>31</v>
      </c>
      <c r="H10" s="42"/>
    </row>
    <row r="11" spans="2:12" x14ac:dyDescent="0.3">
      <c r="B11" s="2" t="s">
        <v>39</v>
      </c>
      <c r="C11" s="3" t="s">
        <v>1</v>
      </c>
      <c r="D11" s="16" t="s">
        <v>2</v>
      </c>
      <c r="E11" s="9">
        <v>0.8</v>
      </c>
      <c r="G11" s="34" t="s">
        <v>32</v>
      </c>
      <c r="H11" s="42"/>
    </row>
    <row r="12" spans="2:12" x14ac:dyDescent="0.3">
      <c r="B12" s="5"/>
      <c r="C12" s="6" t="s">
        <v>40</v>
      </c>
      <c r="D12" s="43">
        <f>+H4</f>
        <v>6200000</v>
      </c>
      <c r="E12" s="8"/>
      <c r="G12" s="22" t="s">
        <v>17</v>
      </c>
      <c r="H12" s="25">
        <f>+H25</f>
        <v>11160000</v>
      </c>
      <c r="I12" s="20" t="s">
        <v>18</v>
      </c>
      <c r="J12" s="24">
        <f>+H12</f>
        <v>11160000</v>
      </c>
    </row>
    <row r="14" spans="2:12" ht="28.8" customHeight="1" x14ac:dyDescent="0.3">
      <c r="B14" s="102" t="s">
        <v>46</v>
      </c>
      <c r="C14" s="103"/>
      <c r="D14" s="103"/>
      <c r="E14" s="50">
        <f>E8*H4</f>
        <v>7440000</v>
      </c>
      <c r="F14" s="49"/>
    </row>
    <row r="15" spans="2:12" ht="14.4" x14ac:dyDescent="0.3">
      <c r="B15" s="44" t="s">
        <v>47</v>
      </c>
      <c r="C15" s="17"/>
      <c r="D15" s="17"/>
      <c r="E15" s="51">
        <f>E14-J17</f>
        <v>2480000</v>
      </c>
      <c r="G15" s="101" t="s">
        <v>19</v>
      </c>
      <c r="H15" s="101"/>
      <c r="I15" s="101"/>
      <c r="J15" s="101"/>
    </row>
    <row r="16" spans="2:12" ht="14.4" x14ac:dyDescent="0.3">
      <c r="B16" s="44"/>
      <c r="C16" s="17"/>
      <c r="D16" s="17"/>
      <c r="E16" s="45"/>
      <c r="G16" s="93" t="s">
        <v>12</v>
      </c>
      <c r="H16" s="93"/>
      <c r="I16" s="94" t="s">
        <v>13</v>
      </c>
      <c r="J16" s="94"/>
    </row>
    <row r="17" spans="2:10" ht="14.4" x14ac:dyDescent="0.3">
      <c r="B17" s="46"/>
      <c r="C17" s="47"/>
      <c r="D17" s="47"/>
      <c r="E17" s="48"/>
      <c r="G17" s="38" t="s">
        <v>14</v>
      </c>
      <c r="H17" s="39">
        <f>+H4</f>
        <v>6200000</v>
      </c>
      <c r="I17" s="95" t="s">
        <v>6</v>
      </c>
      <c r="J17" s="98">
        <f>+E11*H4</f>
        <v>4960000</v>
      </c>
    </row>
    <row r="18" spans="2:10" ht="14.4" x14ac:dyDescent="0.3">
      <c r="G18" s="33" t="s">
        <v>27</v>
      </c>
      <c r="H18" s="37">
        <f>+H5</f>
        <v>1860000</v>
      </c>
      <c r="I18" s="96"/>
      <c r="J18" s="99"/>
    </row>
    <row r="19" spans="2:10" x14ac:dyDescent="0.3">
      <c r="B19" s="52" t="s">
        <v>48</v>
      </c>
      <c r="C19" s="3" t="s">
        <v>9</v>
      </c>
      <c r="D19" s="57" t="s">
        <v>2</v>
      </c>
      <c r="E19" s="53">
        <v>0.8</v>
      </c>
      <c r="G19" s="33" t="s">
        <v>28</v>
      </c>
      <c r="H19" s="37">
        <f t="shared" ref="H19:H20" si="0">+H6</f>
        <v>3100000</v>
      </c>
      <c r="I19" s="97"/>
      <c r="J19" s="100"/>
    </row>
    <row r="20" spans="2:10" x14ac:dyDescent="0.3">
      <c r="B20" s="54"/>
      <c r="C20" s="6" t="s">
        <v>40</v>
      </c>
      <c r="D20" s="55"/>
      <c r="E20" s="56"/>
      <c r="G20" s="33" t="s">
        <v>29</v>
      </c>
      <c r="H20" s="37">
        <f t="shared" si="0"/>
        <v>1240000</v>
      </c>
      <c r="I20" s="35" t="s">
        <v>8</v>
      </c>
      <c r="J20" s="24">
        <f>+J25-J17</f>
        <v>6200000</v>
      </c>
    </row>
    <row r="21" spans="2:10" ht="14.4" x14ac:dyDescent="0.3">
      <c r="G21" s="38" t="s">
        <v>5</v>
      </c>
      <c r="H21" s="39">
        <f>H17*0.8</f>
        <v>4960000</v>
      </c>
      <c r="I21" s="36" t="s">
        <v>15</v>
      </c>
      <c r="J21" s="23">
        <f>+E15</f>
        <v>2480000</v>
      </c>
    </row>
    <row r="22" spans="2:10" ht="14.4" x14ac:dyDescent="0.3">
      <c r="B22" s="17" t="s">
        <v>49</v>
      </c>
      <c r="C22" s="60">
        <f>+J22*0.9</f>
        <v>3348000</v>
      </c>
      <c r="D22" s="17"/>
      <c r="E22" s="17"/>
      <c r="G22" s="33" t="s">
        <v>30</v>
      </c>
      <c r="H22" s="42">
        <f>+C23</f>
        <v>1612000</v>
      </c>
      <c r="I22" s="21" t="s">
        <v>16</v>
      </c>
      <c r="J22" s="23">
        <f>+J20-J21</f>
        <v>3720000</v>
      </c>
    </row>
    <row r="23" spans="2:10" x14ac:dyDescent="0.3">
      <c r="B23" s="17" t="s">
        <v>50</v>
      </c>
      <c r="C23" s="61">
        <f>+H21-C22</f>
        <v>1612000</v>
      </c>
      <c r="D23" s="17"/>
      <c r="E23" s="17"/>
      <c r="G23" s="33" t="s">
        <v>31</v>
      </c>
      <c r="H23" s="42">
        <f>+H21-H22-H24</f>
        <v>3000000</v>
      </c>
    </row>
    <row r="24" spans="2:10" x14ac:dyDescent="0.3">
      <c r="G24" s="34" t="s">
        <v>32</v>
      </c>
      <c r="H24" s="42">
        <v>348000</v>
      </c>
    </row>
    <row r="25" spans="2:10" ht="14.4" x14ac:dyDescent="0.3">
      <c r="G25" s="22" t="s">
        <v>17</v>
      </c>
      <c r="H25" s="25">
        <f>+H21+H17</f>
        <v>11160000</v>
      </c>
      <c r="I25" s="20" t="s">
        <v>18</v>
      </c>
      <c r="J25" s="24">
        <f>+H25</f>
        <v>11160000</v>
      </c>
    </row>
  </sheetData>
  <mergeCells count="9">
    <mergeCell ref="B14:D14"/>
    <mergeCell ref="G15:J15"/>
    <mergeCell ref="G16:H16"/>
    <mergeCell ref="I16:J16"/>
    <mergeCell ref="I17:I19"/>
    <mergeCell ref="J17:J19"/>
    <mergeCell ref="G2:J2"/>
    <mergeCell ref="G3:H3"/>
    <mergeCell ref="I3:J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9F689-4290-4305-90B5-CE2FA0D2DF85}">
  <dimension ref="B1:L113"/>
  <sheetViews>
    <sheetView workbookViewId="0">
      <selection activeCell="I22" sqref="I22"/>
    </sheetView>
  </sheetViews>
  <sheetFormatPr defaultRowHeight="14.4" x14ac:dyDescent="0.3"/>
  <cols>
    <col min="1" max="1" width="8.88671875" style="62"/>
    <col min="2" max="2" width="20.21875" style="62" customWidth="1"/>
    <col min="3" max="3" width="19.21875" style="62" bestFit="1" customWidth="1"/>
    <col min="4" max="4" width="25.77734375" style="62" customWidth="1"/>
    <col min="5" max="5" width="12.88671875" style="62" bestFit="1" customWidth="1"/>
    <col min="6" max="6" width="19.21875" style="62" bestFit="1" customWidth="1"/>
    <col min="7" max="7" width="20.5546875" style="62" bestFit="1" customWidth="1"/>
    <col min="8" max="8" width="11.5546875" style="62" bestFit="1" customWidth="1"/>
    <col min="9" max="9" width="18.44140625" style="62" bestFit="1" customWidth="1"/>
    <col min="10" max="10" width="10.44140625" style="62" bestFit="1" customWidth="1"/>
    <col min="11" max="16384" width="8.88671875" style="62"/>
  </cols>
  <sheetData>
    <row r="1" spans="2:12" ht="16.2" customHeight="1" x14ac:dyDescent="0.3"/>
    <row r="2" spans="2:12" ht="16.2" customHeight="1" x14ac:dyDescent="0.3">
      <c r="B2" s="101" t="s">
        <v>11</v>
      </c>
      <c r="C2" s="101"/>
      <c r="D2" s="101"/>
      <c r="E2" s="101"/>
      <c r="G2" s="101" t="s">
        <v>19</v>
      </c>
      <c r="H2" s="101"/>
      <c r="I2" s="101"/>
      <c r="J2" s="101"/>
      <c r="K2" s="63"/>
    </row>
    <row r="3" spans="2:12" ht="16.2" customHeight="1" x14ac:dyDescent="0.3">
      <c r="B3" s="93" t="s">
        <v>12</v>
      </c>
      <c r="C3" s="93"/>
      <c r="D3" s="94" t="s">
        <v>13</v>
      </c>
      <c r="E3" s="94"/>
      <c r="G3" s="93" t="s">
        <v>12</v>
      </c>
      <c r="H3" s="93"/>
      <c r="I3" s="94" t="s">
        <v>13</v>
      </c>
      <c r="J3" s="94"/>
      <c r="K3" s="63"/>
    </row>
    <row r="4" spans="2:12" ht="16.2" customHeight="1" x14ac:dyDescent="0.3">
      <c r="B4" s="38" t="s">
        <v>14</v>
      </c>
      <c r="C4" s="39">
        <f>+D15</f>
        <v>5460000</v>
      </c>
      <c r="D4" s="35" t="s">
        <v>4</v>
      </c>
      <c r="E4" s="24">
        <f>+E5+E6</f>
        <v>2120000</v>
      </c>
      <c r="G4" s="38" t="s">
        <v>14</v>
      </c>
      <c r="H4" s="39">
        <f>+D15</f>
        <v>5460000</v>
      </c>
      <c r="I4" s="95" t="s">
        <v>6</v>
      </c>
      <c r="J4" s="98">
        <f>+D75</f>
        <v>2070000</v>
      </c>
      <c r="K4" s="63"/>
    </row>
    <row r="5" spans="2:12" ht="16.2" customHeight="1" x14ac:dyDescent="0.3">
      <c r="B5" s="33" t="s">
        <v>27</v>
      </c>
      <c r="C5" s="42">
        <f>+H5</f>
        <v>1638000</v>
      </c>
      <c r="D5" s="36" t="s">
        <v>6</v>
      </c>
      <c r="E5" s="23">
        <f>+C64</f>
        <v>2000000</v>
      </c>
      <c r="G5" s="33" t="s">
        <v>27</v>
      </c>
      <c r="H5" s="37">
        <f>+C53</f>
        <v>1638000</v>
      </c>
      <c r="I5" s="96"/>
      <c r="J5" s="99"/>
    </row>
    <row r="6" spans="2:12" ht="16.2" customHeight="1" x14ac:dyDescent="0.3">
      <c r="B6" s="33" t="s">
        <v>28</v>
      </c>
      <c r="C6" s="42">
        <f t="shared" ref="C6:C7" si="0">+H6</f>
        <v>2730000</v>
      </c>
      <c r="D6" s="36" t="s">
        <v>7</v>
      </c>
      <c r="E6" s="23">
        <f>+D19</f>
        <v>120000</v>
      </c>
      <c r="G6" s="33" t="s">
        <v>28</v>
      </c>
      <c r="H6" s="37">
        <f t="shared" ref="H6:H7" si="1">+C54</f>
        <v>2730000</v>
      </c>
      <c r="I6" s="97"/>
      <c r="J6" s="100"/>
    </row>
    <row r="7" spans="2:12" ht="16.2" customHeight="1" x14ac:dyDescent="0.3">
      <c r="B7" s="33" t="s">
        <v>29</v>
      </c>
      <c r="C7" s="42">
        <f t="shared" si="0"/>
        <v>1092000</v>
      </c>
      <c r="D7" s="35" t="s">
        <v>8</v>
      </c>
      <c r="E7" s="24">
        <f>+E12-E4</f>
        <v>6980000</v>
      </c>
      <c r="G7" s="33" t="s">
        <v>29</v>
      </c>
      <c r="H7" s="37">
        <f t="shared" si="1"/>
        <v>1092000</v>
      </c>
      <c r="I7" s="35" t="s">
        <v>8</v>
      </c>
      <c r="J7" s="24">
        <f>+J12-J4</f>
        <v>7030000</v>
      </c>
    </row>
    <row r="8" spans="2:12" ht="16.2" customHeight="1" x14ac:dyDescent="0.3">
      <c r="B8" s="38" t="s">
        <v>5</v>
      </c>
      <c r="C8" s="39">
        <f>+H8</f>
        <v>3640000</v>
      </c>
      <c r="D8" s="36" t="s">
        <v>15</v>
      </c>
      <c r="E8" s="23">
        <f>+J8</f>
        <v>3190000</v>
      </c>
      <c r="G8" s="38" t="s">
        <v>5</v>
      </c>
      <c r="H8" s="39">
        <f>+H12-H4</f>
        <v>3640000</v>
      </c>
      <c r="I8" s="36" t="s">
        <v>15</v>
      </c>
      <c r="J8" s="23">
        <f>+C89</f>
        <v>3190000</v>
      </c>
    </row>
    <row r="9" spans="2:12" ht="16.2" customHeight="1" x14ac:dyDescent="0.3">
      <c r="B9" s="33" t="s">
        <v>30</v>
      </c>
      <c r="C9" s="42">
        <f>+H9</f>
        <v>2000000</v>
      </c>
      <c r="D9" s="21" t="s">
        <v>16</v>
      </c>
      <c r="E9" s="23">
        <f>+E7-E8</f>
        <v>3790000</v>
      </c>
      <c r="G9" s="33" t="s">
        <v>30</v>
      </c>
      <c r="H9" s="42">
        <f>+H8-H10-H11</f>
        <v>2000000</v>
      </c>
      <c r="I9" s="21" t="s">
        <v>16</v>
      </c>
      <c r="J9" s="23">
        <f>+J7-J8</f>
        <v>3840000</v>
      </c>
    </row>
    <row r="10" spans="2:12" ht="16.2" customHeight="1" x14ac:dyDescent="0.3">
      <c r="B10" s="33" t="s">
        <v>31</v>
      </c>
      <c r="C10" s="42">
        <f>+H10</f>
        <v>1448000</v>
      </c>
      <c r="D10" s="1"/>
      <c r="E10" s="1"/>
      <c r="G10" s="33" t="s">
        <v>31</v>
      </c>
      <c r="H10" s="42">
        <f>+C111</f>
        <v>1448000</v>
      </c>
      <c r="I10" s="1"/>
      <c r="J10" s="1"/>
    </row>
    <row r="11" spans="2:12" ht="16.2" customHeight="1" x14ac:dyDescent="0.3">
      <c r="B11" s="34" t="s">
        <v>32</v>
      </c>
      <c r="C11" s="42">
        <f>+H11</f>
        <v>192000</v>
      </c>
      <c r="D11" s="1"/>
      <c r="E11" s="1"/>
      <c r="G11" s="34" t="s">
        <v>32</v>
      </c>
      <c r="H11" s="42">
        <v>192000</v>
      </c>
      <c r="I11" s="1"/>
      <c r="J11" s="1"/>
    </row>
    <row r="12" spans="2:12" ht="16.2" customHeight="1" x14ac:dyDescent="0.3">
      <c r="B12" s="22" t="s">
        <v>17</v>
      </c>
      <c r="C12" s="25">
        <v>9100000</v>
      </c>
      <c r="D12" s="20" t="s">
        <v>18</v>
      </c>
      <c r="E12" s="24">
        <f>+C12</f>
        <v>9100000</v>
      </c>
      <c r="G12" s="22" t="s">
        <v>17</v>
      </c>
      <c r="H12" s="25">
        <f>+C12</f>
        <v>9100000</v>
      </c>
      <c r="I12" s="20" t="s">
        <v>18</v>
      </c>
      <c r="J12" s="24">
        <f>+H12</f>
        <v>9100000</v>
      </c>
    </row>
    <row r="13" spans="2:12" ht="16.2" customHeight="1" x14ac:dyDescent="0.3"/>
    <row r="14" spans="2:12" ht="15.6" x14ac:dyDescent="0.3">
      <c r="B14" s="107" t="s">
        <v>52</v>
      </c>
      <c r="C14" s="108"/>
      <c r="D14" s="109"/>
    </row>
    <row r="15" spans="2:12" x14ac:dyDescent="0.3">
      <c r="B15" s="66" t="s">
        <v>14</v>
      </c>
      <c r="C15" s="67"/>
      <c r="D15" s="68">
        <v>5460000</v>
      </c>
    </row>
    <row r="16" spans="2:12" x14ac:dyDescent="0.3">
      <c r="B16" s="110" t="s">
        <v>62</v>
      </c>
      <c r="C16" s="111"/>
      <c r="D16" s="70">
        <v>0.6</v>
      </c>
      <c r="L16" s="69"/>
    </row>
    <row r="17" spans="2:7" x14ac:dyDescent="0.3">
      <c r="B17" s="66" t="s">
        <v>63</v>
      </c>
      <c r="C17" s="67"/>
      <c r="D17" s="70">
        <v>0.06</v>
      </c>
    </row>
    <row r="18" spans="2:7" x14ac:dyDescent="0.3">
      <c r="B18" s="66" t="s">
        <v>64</v>
      </c>
      <c r="C18" s="67"/>
      <c r="D18" s="71" t="s">
        <v>65</v>
      </c>
    </row>
    <row r="19" spans="2:7" x14ac:dyDescent="0.3">
      <c r="B19" s="112" t="s">
        <v>7</v>
      </c>
      <c r="C19" s="113"/>
      <c r="D19" s="19">
        <v>120000</v>
      </c>
    </row>
    <row r="20" spans="2:7" x14ac:dyDescent="0.3">
      <c r="B20" s="112" t="s">
        <v>105</v>
      </c>
      <c r="C20" s="113"/>
      <c r="D20" s="89">
        <v>0.05</v>
      </c>
    </row>
    <row r="21" spans="2:7" x14ac:dyDescent="0.3">
      <c r="B21" s="112" t="s">
        <v>23</v>
      </c>
      <c r="C21" s="113"/>
      <c r="D21" s="92" t="s">
        <v>103</v>
      </c>
    </row>
    <row r="22" spans="2:7" x14ac:dyDescent="0.3">
      <c r="B22" s="112" t="s">
        <v>61</v>
      </c>
      <c r="C22" s="113"/>
      <c r="D22" s="19">
        <v>50000</v>
      </c>
    </row>
    <row r="24" spans="2:7" x14ac:dyDescent="0.3">
      <c r="B24" s="62" t="s">
        <v>53</v>
      </c>
    </row>
    <row r="26" spans="2:7" x14ac:dyDescent="0.3">
      <c r="B26" s="72" t="s">
        <v>54</v>
      </c>
      <c r="C26" s="73" t="s">
        <v>51</v>
      </c>
      <c r="F26" s="72" t="s">
        <v>25</v>
      </c>
      <c r="G26" s="73" t="s">
        <v>60</v>
      </c>
    </row>
    <row r="27" spans="2:7" x14ac:dyDescent="0.3">
      <c r="B27" s="74"/>
      <c r="C27" s="73" t="s">
        <v>55</v>
      </c>
      <c r="F27" s="74"/>
      <c r="G27" s="73" t="s">
        <v>6</v>
      </c>
    </row>
    <row r="28" spans="2:7" x14ac:dyDescent="0.3">
      <c r="B28" s="74"/>
      <c r="C28" s="75"/>
      <c r="F28" s="74"/>
      <c r="G28" s="75"/>
    </row>
    <row r="29" spans="2:7" x14ac:dyDescent="0.3">
      <c r="B29" s="76" t="s">
        <v>56</v>
      </c>
      <c r="C29" s="75">
        <f>+D15</f>
        <v>5460000</v>
      </c>
      <c r="F29" s="76" t="s">
        <v>70</v>
      </c>
      <c r="G29" s="75">
        <f>+D19</f>
        <v>120000</v>
      </c>
    </row>
    <row r="30" spans="2:7" x14ac:dyDescent="0.3">
      <c r="B30" s="77"/>
      <c r="C30" s="68" t="s">
        <v>55</v>
      </c>
      <c r="F30" s="77"/>
      <c r="G30" s="68" t="s">
        <v>6</v>
      </c>
    </row>
    <row r="31" spans="2:7" customFormat="1" x14ac:dyDescent="0.3"/>
    <row r="32" spans="2:7" customFormat="1" x14ac:dyDescent="0.3">
      <c r="B32" s="78" t="s">
        <v>106</v>
      </c>
      <c r="C32" s="86" t="s">
        <v>91</v>
      </c>
      <c r="F32" s="79"/>
      <c r="G32" s="18"/>
    </row>
    <row r="33" spans="2:7" customFormat="1" x14ac:dyDescent="0.3">
      <c r="B33" s="74"/>
      <c r="C33" s="86" t="s">
        <v>92</v>
      </c>
      <c r="F33" s="49"/>
      <c r="G33" s="80"/>
    </row>
    <row r="34" spans="2:7" x14ac:dyDescent="0.3">
      <c r="B34" s="74"/>
      <c r="C34" s="75"/>
      <c r="F34" s="74"/>
      <c r="G34" s="75"/>
    </row>
    <row r="35" spans="2:7" x14ac:dyDescent="0.3">
      <c r="B35" s="76"/>
      <c r="C35" s="75"/>
      <c r="F35" s="77"/>
      <c r="G35" s="19"/>
    </row>
    <row r="36" spans="2:7" x14ac:dyDescent="0.3">
      <c r="B36" s="77"/>
      <c r="C36" s="68"/>
      <c r="G36" s="81"/>
    </row>
    <row r="38" spans="2:7" x14ac:dyDescent="0.3">
      <c r="B38" s="114" t="s">
        <v>57</v>
      </c>
      <c r="C38" s="114"/>
      <c r="D38" s="114"/>
      <c r="E38" s="114"/>
      <c r="F38" s="114"/>
      <c r="G38" s="114"/>
    </row>
    <row r="40" spans="2:7" x14ac:dyDescent="0.3">
      <c r="B40" s="62" t="s">
        <v>58</v>
      </c>
    </row>
    <row r="42" spans="2:7" x14ac:dyDescent="0.3">
      <c r="B42" s="106" t="s">
        <v>66</v>
      </c>
      <c r="C42" s="106"/>
      <c r="D42" s="106"/>
      <c r="E42" s="106"/>
      <c r="F42" s="106"/>
      <c r="G42" s="106"/>
    </row>
    <row r="43" spans="2:7" x14ac:dyDescent="0.3">
      <c r="B43" s="106"/>
      <c r="C43" s="106"/>
      <c r="D43" s="106"/>
      <c r="E43" s="106"/>
      <c r="F43" s="106"/>
      <c r="G43" s="106"/>
    </row>
    <row r="44" spans="2:7" x14ac:dyDescent="0.3">
      <c r="B44" s="84"/>
      <c r="C44" s="84"/>
    </row>
    <row r="45" spans="2:7" x14ac:dyDescent="0.3">
      <c r="B45" s="76" t="s">
        <v>56</v>
      </c>
      <c r="C45" s="75">
        <f>+C29</f>
        <v>5460000</v>
      </c>
      <c r="D45" s="83">
        <f>+C29/0.6</f>
        <v>9100000</v>
      </c>
    </row>
    <row r="46" spans="2:7" x14ac:dyDescent="0.3">
      <c r="B46" s="77"/>
      <c r="C46" s="68" t="s">
        <v>55</v>
      </c>
    </row>
    <row r="48" spans="2:7" x14ac:dyDescent="0.3">
      <c r="B48" s="85" t="s">
        <v>67</v>
      </c>
    </row>
    <row r="50" spans="2:3" x14ac:dyDescent="0.3">
      <c r="B50" s="85" t="s">
        <v>68</v>
      </c>
    </row>
    <row r="52" spans="2:3" x14ac:dyDescent="0.3">
      <c r="B52" s="38" t="s">
        <v>14</v>
      </c>
      <c r="C52" s="39">
        <f>+H4</f>
        <v>5460000</v>
      </c>
    </row>
    <row r="53" spans="2:3" x14ac:dyDescent="0.3">
      <c r="B53" s="87" t="s">
        <v>27</v>
      </c>
      <c r="C53" s="88">
        <f>+C52*0.3</f>
        <v>1638000</v>
      </c>
    </row>
    <row r="54" spans="2:3" x14ac:dyDescent="0.3">
      <c r="B54" s="87" t="s">
        <v>28</v>
      </c>
      <c r="C54" s="88">
        <f>+C52*0.5</f>
        <v>2730000</v>
      </c>
    </row>
    <row r="55" spans="2:3" x14ac:dyDescent="0.3">
      <c r="B55" s="87" t="s">
        <v>29</v>
      </c>
      <c r="C55" s="88">
        <f>+C52*0.2</f>
        <v>1092000</v>
      </c>
    </row>
    <row r="57" spans="2:3" x14ac:dyDescent="0.3">
      <c r="B57" s="85" t="s">
        <v>69</v>
      </c>
    </row>
    <row r="59" spans="2:3" x14ac:dyDescent="0.3">
      <c r="B59" s="62" t="s">
        <v>71</v>
      </c>
    </row>
    <row r="61" spans="2:3" x14ac:dyDescent="0.3">
      <c r="B61" s="76" t="s">
        <v>72</v>
      </c>
      <c r="C61" s="75">
        <f>+G29</f>
        <v>120000</v>
      </c>
    </row>
    <row r="62" spans="2:3" x14ac:dyDescent="0.3">
      <c r="B62" s="77"/>
      <c r="C62" s="68" t="s">
        <v>6</v>
      </c>
    </row>
    <row r="64" spans="2:3" x14ac:dyDescent="0.3">
      <c r="B64" s="62" t="s">
        <v>73</v>
      </c>
      <c r="C64" s="62">
        <f>+C61/0.06</f>
        <v>2000000</v>
      </c>
    </row>
    <row r="66" spans="2:4" x14ac:dyDescent="0.3">
      <c r="B66" s="62" t="s">
        <v>82</v>
      </c>
    </row>
    <row r="68" spans="2:4" x14ac:dyDescent="0.3">
      <c r="B68" s="104" t="s">
        <v>59</v>
      </c>
      <c r="C68" s="105"/>
    </row>
    <row r="69" spans="2:4" x14ac:dyDescent="0.3">
      <c r="B69" s="65" t="s">
        <v>7</v>
      </c>
      <c r="C69" s="65">
        <f>+E6</f>
        <v>120000</v>
      </c>
    </row>
    <row r="70" spans="2:4" x14ac:dyDescent="0.3">
      <c r="B70" s="64" t="s">
        <v>61</v>
      </c>
      <c r="C70" s="64">
        <v>50000</v>
      </c>
    </row>
    <row r="71" spans="2:4" x14ac:dyDescent="0.3">
      <c r="B71" s="64" t="s">
        <v>83</v>
      </c>
      <c r="C71" s="64">
        <f>+C69-C70</f>
        <v>70000</v>
      </c>
    </row>
    <row r="73" spans="2:4" x14ac:dyDescent="0.3">
      <c r="B73" s="62" t="s">
        <v>84</v>
      </c>
    </row>
    <row r="74" spans="2:4" x14ac:dyDescent="0.3">
      <c r="B74" s="62" t="s">
        <v>85</v>
      </c>
    </row>
    <row r="75" spans="2:4" x14ac:dyDescent="0.3">
      <c r="B75" s="62" t="s">
        <v>86</v>
      </c>
      <c r="D75" s="62">
        <f>+C71+C64</f>
        <v>2070000</v>
      </c>
    </row>
    <row r="77" spans="2:4" x14ac:dyDescent="0.3">
      <c r="B77" s="85" t="s">
        <v>74</v>
      </c>
      <c r="C77" s="85"/>
      <c r="D77" s="85"/>
    </row>
    <row r="78" spans="2:4" x14ac:dyDescent="0.3">
      <c r="B78" s="62" t="s">
        <v>75</v>
      </c>
      <c r="D78" s="62">
        <v>-200000</v>
      </c>
    </row>
    <row r="80" spans="2:4" x14ac:dyDescent="0.3">
      <c r="B80" s="85" t="s">
        <v>78</v>
      </c>
    </row>
    <row r="81" spans="2:3" x14ac:dyDescent="0.3">
      <c r="B81" s="62" t="s">
        <v>76</v>
      </c>
    </row>
    <row r="82" spans="2:3" x14ac:dyDescent="0.3">
      <c r="B82" s="83" t="s">
        <v>77</v>
      </c>
    </row>
    <row r="83" spans="2:3" x14ac:dyDescent="0.3">
      <c r="B83" s="62" t="s">
        <v>87</v>
      </c>
      <c r="C83" s="62">
        <f>+H4+D78</f>
        <v>5260000</v>
      </c>
    </row>
    <row r="85" spans="2:3" x14ac:dyDescent="0.3">
      <c r="B85" s="85" t="s">
        <v>79</v>
      </c>
    </row>
    <row r="86" spans="2:3" x14ac:dyDescent="0.3">
      <c r="B86" s="62" t="s">
        <v>80</v>
      </c>
    </row>
    <row r="87" spans="2:3" x14ac:dyDescent="0.3">
      <c r="B87" s="62" t="s">
        <v>81</v>
      </c>
    </row>
    <row r="88" spans="2:3" x14ac:dyDescent="0.3">
      <c r="B88" s="62" t="s">
        <v>88</v>
      </c>
    </row>
    <row r="89" spans="2:3" x14ac:dyDescent="0.3">
      <c r="B89" s="62" t="s">
        <v>89</v>
      </c>
      <c r="C89" s="62">
        <f>+C83-D75</f>
        <v>3190000</v>
      </c>
    </row>
    <row r="91" spans="2:3" x14ac:dyDescent="0.3">
      <c r="B91" s="85" t="s">
        <v>90</v>
      </c>
    </row>
    <row r="93" spans="2:3" x14ac:dyDescent="0.3">
      <c r="B93" s="85" t="s">
        <v>94</v>
      </c>
    </row>
    <row r="95" spans="2:3" x14ac:dyDescent="0.3">
      <c r="B95" s="78" t="s">
        <v>93</v>
      </c>
      <c r="C95" s="86" t="s">
        <v>91</v>
      </c>
    </row>
    <row r="96" spans="2:3" x14ac:dyDescent="0.3">
      <c r="B96" s="77"/>
      <c r="C96" s="90" t="s">
        <v>92</v>
      </c>
    </row>
    <row r="98" spans="2:3" x14ac:dyDescent="0.3">
      <c r="B98" s="91" t="s">
        <v>96</v>
      </c>
      <c r="C98" s="86" t="s">
        <v>91</v>
      </c>
    </row>
    <row r="99" spans="2:3" x14ac:dyDescent="0.3">
      <c r="B99" s="77"/>
      <c r="C99" s="90">
        <f>+J9</f>
        <v>3840000</v>
      </c>
    </row>
    <row r="101" spans="2:3" x14ac:dyDescent="0.3">
      <c r="B101" s="62" t="s">
        <v>95</v>
      </c>
      <c r="C101" s="62">
        <f>+C99*0.05</f>
        <v>192000</v>
      </c>
    </row>
    <row r="104" spans="2:3" x14ac:dyDescent="0.3">
      <c r="B104" s="85" t="s">
        <v>97</v>
      </c>
    </row>
    <row r="105" spans="2:3" x14ac:dyDescent="0.3">
      <c r="B105" s="62" t="s">
        <v>98</v>
      </c>
      <c r="C105" s="62">
        <v>-2200000</v>
      </c>
    </row>
    <row r="107" spans="2:3" x14ac:dyDescent="0.3">
      <c r="B107" s="85" t="s">
        <v>101</v>
      </c>
    </row>
    <row r="108" spans="2:3" x14ac:dyDescent="0.3">
      <c r="B108" s="62" t="s">
        <v>99</v>
      </c>
    </row>
    <row r="109" spans="2:3" x14ac:dyDescent="0.3">
      <c r="B109" s="62" t="s">
        <v>104</v>
      </c>
    </row>
    <row r="111" spans="2:3" x14ac:dyDescent="0.3">
      <c r="B111" s="82" t="s">
        <v>100</v>
      </c>
      <c r="C111" s="62">
        <f>3840000-2200000-192000</f>
        <v>1448000</v>
      </c>
    </row>
    <row r="113" spans="2:2" x14ac:dyDescent="0.3">
      <c r="B113" s="85" t="s">
        <v>102</v>
      </c>
    </row>
  </sheetData>
  <mergeCells count="17">
    <mergeCell ref="B3:C3"/>
    <mergeCell ref="D3:E3"/>
    <mergeCell ref="B68:C68"/>
    <mergeCell ref="G2:J2"/>
    <mergeCell ref="G3:H3"/>
    <mergeCell ref="I3:J3"/>
    <mergeCell ref="I4:I6"/>
    <mergeCell ref="J4:J6"/>
    <mergeCell ref="B42:G43"/>
    <mergeCell ref="B14:D14"/>
    <mergeCell ref="B16:C16"/>
    <mergeCell ref="B19:C19"/>
    <mergeCell ref="B22:C22"/>
    <mergeCell ref="B38:G38"/>
    <mergeCell ref="B20:C20"/>
    <mergeCell ref="B21:C21"/>
    <mergeCell ref="B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39"/>
  <sheetViews>
    <sheetView workbookViewId="0">
      <selection activeCell="K22" sqref="K22"/>
    </sheetView>
  </sheetViews>
  <sheetFormatPr defaultRowHeight="15.6" x14ac:dyDescent="0.3"/>
  <cols>
    <col min="1" max="1" width="8.88671875" style="1"/>
    <col min="2" max="2" width="26.44140625" style="1" bestFit="1" customWidth="1"/>
    <col min="3" max="3" width="12.88671875" style="1" bestFit="1" customWidth="1"/>
    <col min="4" max="4" width="12.33203125" style="1" bestFit="1" customWidth="1"/>
    <col min="5" max="7" width="8.88671875" style="1"/>
    <col min="8" max="8" width="20.109375" style="1" bestFit="1" customWidth="1"/>
    <col min="9" max="9" width="12.88671875" style="1" bestFit="1" customWidth="1"/>
    <col min="10" max="10" width="21.6640625" style="1" customWidth="1"/>
    <col min="11" max="11" width="14.88671875" style="1" customWidth="1"/>
    <col min="12" max="12" width="8.88671875" style="1"/>
    <col min="13" max="13" width="9.5546875" style="1" bestFit="1" customWidth="1"/>
    <col min="14" max="16384" width="8.88671875" style="1"/>
  </cols>
  <sheetData>
    <row r="2" spans="2:11" x14ac:dyDescent="0.3">
      <c r="B2" s="115" t="s">
        <v>0</v>
      </c>
      <c r="C2" s="116"/>
      <c r="D2" s="116"/>
      <c r="E2" s="117"/>
      <c r="G2"/>
      <c r="H2" s="101" t="s">
        <v>11</v>
      </c>
      <c r="I2" s="101"/>
      <c r="J2" s="101"/>
      <c r="K2" s="101"/>
    </row>
    <row r="3" spans="2:11" x14ac:dyDescent="0.3">
      <c r="G3"/>
      <c r="H3" s="93" t="s">
        <v>12</v>
      </c>
      <c r="I3" s="93"/>
      <c r="J3" s="94" t="s">
        <v>13</v>
      </c>
      <c r="K3" s="94"/>
    </row>
    <row r="4" spans="2:11" x14ac:dyDescent="0.3">
      <c r="B4" s="27" t="s">
        <v>20</v>
      </c>
      <c r="C4" s="3"/>
      <c r="D4" s="3"/>
      <c r="E4" s="4"/>
      <c r="G4"/>
      <c r="H4" s="38" t="s">
        <v>14</v>
      </c>
      <c r="I4" s="39">
        <v>8776000</v>
      </c>
      <c r="J4" s="35" t="s">
        <v>4</v>
      </c>
      <c r="K4" s="24">
        <v>7150000</v>
      </c>
    </row>
    <row r="5" spans="2:11" x14ac:dyDescent="0.3">
      <c r="B5" s="26" t="s">
        <v>21</v>
      </c>
      <c r="C5" s="28">
        <v>350000</v>
      </c>
      <c r="D5" s="7"/>
      <c r="E5" s="8"/>
      <c r="G5"/>
      <c r="H5" s="33" t="s">
        <v>27</v>
      </c>
      <c r="I5" s="42">
        <f>+I4*0.3</f>
        <v>2632800</v>
      </c>
      <c r="J5" s="36" t="s">
        <v>6</v>
      </c>
      <c r="K5" s="23">
        <f>+C19</f>
        <v>6500000</v>
      </c>
    </row>
    <row r="6" spans="2:11" x14ac:dyDescent="0.3">
      <c r="B6" s="27" t="s">
        <v>22</v>
      </c>
      <c r="C6" s="29" t="s">
        <v>23</v>
      </c>
      <c r="D6" s="3"/>
      <c r="E6" s="4"/>
      <c r="G6"/>
      <c r="H6" s="33" t="s">
        <v>28</v>
      </c>
      <c r="I6" s="42">
        <f>+I4*0.5</f>
        <v>4388000</v>
      </c>
      <c r="J6" s="36" t="s">
        <v>7</v>
      </c>
      <c r="K6" s="23">
        <f>+C20</f>
        <v>650000</v>
      </c>
    </row>
    <row r="7" spans="2:11" x14ac:dyDescent="0.3">
      <c r="B7" s="26" t="s">
        <v>22</v>
      </c>
      <c r="C7" s="30">
        <v>-150000</v>
      </c>
      <c r="D7" s="7"/>
      <c r="E7" s="8"/>
      <c r="G7"/>
      <c r="H7" s="33" t="s">
        <v>29</v>
      </c>
      <c r="I7" s="42">
        <f>+I4*0.2</f>
        <v>1755200</v>
      </c>
      <c r="J7" s="35" t="s">
        <v>8</v>
      </c>
      <c r="K7" s="24">
        <f>+K12-K4</f>
        <v>7150000.0000000019</v>
      </c>
    </row>
    <row r="8" spans="2:11" x14ac:dyDescent="0.3">
      <c r="G8"/>
      <c r="H8" s="38" t="s">
        <v>5</v>
      </c>
      <c r="I8" s="39">
        <f>+I12-I4</f>
        <v>5524000.0000000019</v>
      </c>
      <c r="J8" s="36" t="s">
        <v>15</v>
      </c>
      <c r="K8" s="23">
        <f>+K7-K9</f>
        <v>2126000</v>
      </c>
    </row>
    <row r="9" spans="2:11" x14ac:dyDescent="0.3">
      <c r="B9" s="2" t="s">
        <v>24</v>
      </c>
      <c r="C9" s="3" t="s">
        <v>3</v>
      </c>
      <c r="D9" s="16" t="s">
        <v>10</v>
      </c>
      <c r="E9" s="31">
        <v>2.2000000000000002</v>
      </c>
      <c r="G9"/>
      <c r="H9" s="33" t="s">
        <v>30</v>
      </c>
      <c r="I9" s="42">
        <f>+I22</f>
        <v>500000</v>
      </c>
      <c r="J9" s="21" t="s">
        <v>16</v>
      </c>
      <c r="K9" s="23">
        <f>+K22-150000</f>
        <v>5024000.0000000019</v>
      </c>
    </row>
    <row r="10" spans="2:11" x14ac:dyDescent="0.3">
      <c r="B10" s="5"/>
      <c r="C10" s="6" t="s">
        <v>1</v>
      </c>
      <c r="D10" s="7"/>
      <c r="E10" s="8"/>
      <c r="G10"/>
      <c r="H10" s="33" t="s">
        <v>31</v>
      </c>
      <c r="I10" s="42">
        <f t="shared" ref="I10:I11" si="0">+I23</f>
        <v>4500000.0000000019</v>
      </c>
    </row>
    <row r="11" spans="2:11" x14ac:dyDescent="0.3">
      <c r="H11" s="34" t="s">
        <v>32</v>
      </c>
      <c r="I11" s="42">
        <f t="shared" si="0"/>
        <v>524000</v>
      </c>
    </row>
    <row r="12" spans="2:11" x14ac:dyDescent="0.3">
      <c r="B12" s="2" t="s">
        <v>25</v>
      </c>
      <c r="C12" s="3" t="s">
        <v>26</v>
      </c>
      <c r="D12" s="16" t="s">
        <v>2</v>
      </c>
      <c r="E12" s="32">
        <v>0.1</v>
      </c>
      <c r="H12" s="22" t="s">
        <v>17</v>
      </c>
      <c r="I12" s="25">
        <f>+K12</f>
        <v>14300000.000000002</v>
      </c>
      <c r="J12" s="20" t="s">
        <v>18</v>
      </c>
      <c r="K12" s="24">
        <f>+K5*2.2</f>
        <v>14300000.000000002</v>
      </c>
    </row>
    <row r="13" spans="2:11" x14ac:dyDescent="0.3">
      <c r="B13" s="5"/>
      <c r="C13" s="6" t="s">
        <v>1</v>
      </c>
      <c r="D13" s="7"/>
      <c r="E13" s="8"/>
    </row>
    <row r="15" spans="2:11" x14ac:dyDescent="0.3">
      <c r="B15" s="118" t="s">
        <v>37</v>
      </c>
      <c r="C15" s="119"/>
      <c r="D15" s="119"/>
      <c r="E15" s="120"/>
      <c r="H15" s="101" t="s">
        <v>19</v>
      </c>
      <c r="I15" s="101"/>
      <c r="J15" s="101"/>
      <c r="K15" s="101"/>
    </row>
    <row r="16" spans="2:11" x14ac:dyDescent="0.3">
      <c r="B16" s="5" t="s">
        <v>38</v>
      </c>
      <c r="C16" s="7"/>
      <c r="D16" s="30">
        <f>350000+150000</f>
        <v>500000</v>
      </c>
      <c r="E16" s="8"/>
      <c r="H16" s="93" t="s">
        <v>12</v>
      </c>
      <c r="I16" s="93"/>
      <c r="J16" s="94" t="s">
        <v>13</v>
      </c>
      <c r="K16" s="94"/>
    </row>
    <row r="17" spans="2:13" x14ac:dyDescent="0.3">
      <c r="B17" s="122"/>
      <c r="C17" s="122"/>
      <c r="D17" s="122"/>
      <c r="E17" s="123"/>
      <c r="H17" s="38" t="s">
        <v>14</v>
      </c>
      <c r="I17" s="39">
        <f>+I4</f>
        <v>8776000</v>
      </c>
      <c r="J17" s="95" t="s">
        <v>6</v>
      </c>
      <c r="K17" s="98">
        <f>+K25-K20</f>
        <v>7000000</v>
      </c>
    </row>
    <row r="18" spans="2:13" x14ac:dyDescent="0.3">
      <c r="B18" s="11" t="s">
        <v>33</v>
      </c>
      <c r="C18" s="12"/>
      <c r="E18" s="124"/>
      <c r="H18" s="33" t="s">
        <v>27</v>
      </c>
      <c r="I18" s="37">
        <f>+I5</f>
        <v>2632800</v>
      </c>
      <c r="J18" s="96"/>
      <c r="K18" s="99"/>
    </row>
    <row r="19" spans="2:13" x14ac:dyDescent="0.3">
      <c r="B19" s="40" t="s">
        <v>1</v>
      </c>
      <c r="C19" s="14">
        <f>+K4*0.909090909090909</f>
        <v>6500000</v>
      </c>
      <c r="E19" s="121"/>
      <c r="H19" s="33" t="s">
        <v>28</v>
      </c>
      <c r="I19" s="37">
        <f t="shared" ref="I19:I20" si="1">+I6</f>
        <v>4388000</v>
      </c>
      <c r="J19" s="97"/>
      <c r="K19" s="100"/>
    </row>
    <row r="20" spans="2:13" x14ac:dyDescent="0.3">
      <c r="B20" s="40" t="s">
        <v>26</v>
      </c>
      <c r="C20" s="15">
        <f>+K4-K5</f>
        <v>650000</v>
      </c>
      <c r="E20" s="123"/>
      <c r="H20" s="33" t="s">
        <v>29</v>
      </c>
      <c r="I20" s="37">
        <f t="shared" si="1"/>
        <v>1755200</v>
      </c>
      <c r="J20" s="35" t="s">
        <v>8</v>
      </c>
      <c r="K20" s="24">
        <f>+K22+K21</f>
        <v>7300000.0000000019</v>
      </c>
      <c r="M20" s="41"/>
    </row>
    <row r="21" spans="2:13" x14ac:dyDescent="0.3">
      <c r="B21" s="13"/>
      <c r="C21" s="14"/>
      <c r="E21" s="124"/>
      <c r="H21" s="38" t="s">
        <v>5</v>
      </c>
      <c r="I21" s="39">
        <f>+I8</f>
        <v>5524000.0000000019</v>
      </c>
      <c r="J21" s="36" t="s">
        <v>15</v>
      </c>
      <c r="K21" s="23">
        <f>+K8</f>
        <v>2126000</v>
      </c>
    </row>
    <row r="22" spans="2:13" x14ac:dyDescent="0.3">
      <c r="B22" s="40" t="s">
        <v>34</v>
      </c>
      <c r="C22" s="14">
        <f>+C19*2.2</f>
        <v>14300000.000000002</v>
      </c>
      <c r="E22" s="121"/>
      <c r="H22" s="33" t="s">
        <v>30</v>
      </c>
      <c r="I22" s="42">
        <v>500000</v>
      </c>
      <c r="J22" s="21" t="s">
        <v>16</v>
      </c>
      <c r="K22" s="23">
        <f>+C23</f>
        <v>5174000.0000000019</v>
      </c>
      <c r="M22" s="41"/>
    </row>
    <row r="23" spans="2:13" x14ac:dyDescent="0.3">
      <c r="B23" s="26" t="s">
        <v>35</v>
      </c>
      <c r="C23" s="128">
        <f>+I8-C5</f>
        <v>5174000.0000000019</v>
      </c>
      <c r="D23" s="1" t="s">
        <v>36</v>
      </c>
      <c r="E23" s="126"/>
      <c r="H23" s="33" t="s">
        <v>31</v>
      </c>
      <c r="I23" s="42">
        <f>+I21-I22-I24</f>
        <v>4500000.0000000019</v>
      </c>
    </row>
    <row r="24" spans="2:13" x14ac:dyDescent="0.3">
      <c r="B24" s="121"/>
      <c r="C24" s="125"/>
      <c r="E24" s="124"/>
      <c r="H24" s="34" t="s">
        <v>32</v>
      </c>
      <c r="I24" s="42">
        <v>524000</v>
      </c>
    </row>
    <row r="25" spans="2:13" x14ac:dyDescent="0.3">
      <c r="B25" s="121"/>
      <c r="C25" s="125"/>
      <c r="D25" s="121"/>
      <c r="H25" s="22" t="s">
        <v>17</v>
      </c>
      <c r="I25" s="25">
        <f>+I12</f>
        <v>14300000.000000002</v>
      </c>
      <c r="J25" s="20" t="s">
        <v>18</v>
      </c>
      <c r="K25" s="24">
        <f>+K12</f>
        <v>14300000.000000002</v>
      </c>
    </row>
    <row r="26" spans="2:13" x14ac:dyDescent="0.3">
      <c r="B26" s="121"/>
      <c r="C26" s="125"/>
      <c r="D26" s="121"/>
    </row>
    <row r="27" spans="2:13" x14ac:dyDescent="0.3">
      <c r="B27" s="121"/>
      <c r="C27" s="127"/>
      <c r="D27" s="121"/>
    </row>
    <row r="28" spans="2:13" x14ac:dyDescent="0.3">
      <c r="B28" s="121"/>
      <c r="C28" s="127"/>
      <c r="D28" s="121"/>
    </row>
    <row r="29" spans="2:13" x14ac:dyDescent="0.3">
      <c r="B29" s="121"/>
      <c r="C29" s="127"/>
      <c r="D29" s="121"/>
    </row>
    <row r="30" spans="2:13" x14ac:dyDescent="0.3">
      <c r="B30" s="121"/>
      <c r="C30" s="127"/>
      <c r="D30" s="121"/>
    </row>
    <row r="31" spans="2:13" x14ac:dyDescent="0.3">
      <c r="B31" s="121"/>
      <c r="C31" s="121"/>
      <c r="D31" s="121"/>
    </row>
    <row r="32" spans="2:13" x14ac:dyDescent="0.3">
      <c r="B32" s="121"/>
      <c r="C32" s="121"/>
      <c r="D32" s="121"/>
    </row>
    <row r="33" spans="1:4" x14ac:dyDescent="0.3">
      <c r="B33" s="121"/>
      <c r="C33" s="121"/>
      <c r="D33" s="121"/>
    </row>
    <row r="34" spans="1:4" x14ac:dyDescent="0.3">
      <c r="B34" s="121"/>
      <c r="C34" s="121"/>
      <c r="D34" s="121"/>
    </row>
    <row r="35" spans="1:4" x14ac:dyDescent="0.3">
      <c r="A35" s="121"/>
      <c r="B35" s="121"/>
      <c r="C35" s="121"/>
      <c r="D35" s="121"/>
    </row>
    <row r="36" spans="1:4" x14ac:dyDescent="0.3">
      <c r="A36" s="121"/>
      <c r="B36" s="121"/>
      <c r="C36" s="121"/>
      <c r="D36" s="121"/>
    </row>
    <row r="37" spans="1:4" x14ac:dyDescent="0.3">
      <c r="A37" s="121"/>
      <c r="B37" s="121"/>
      <c r="C37" s="121"/>
      <c r="D37" s="121"/>
    </row>
    <row r="38" spans="1:4" x14ac:dyDescent="0.3">
      <c r="A38" s="121"/>
      <c r="B38" s="121"/>
      <c r="C38" s="121"/>
      <c r="D38" s="121"/>
    </row>
    <row r="39" spans="1:4" x14ac:dyDescent="0.3">
      <c r="C39" s="10"/>
    </row>
  </sheetData>
  <mergeCells count="10">
    <mergeCell ref="B2:E2"/>
    <mergeCell ref="H2:K2"/>
    <mergeCell ref="H3:I3"/>
    <mergeCell ref="J3:K3"/>
    <mergeCell ref="J17:J19"/>
    <mergeCell ref="K17:K19"/>
    <mergeCell ref="B15:E15"/>
    <mergeCell ref="H15:K15"/>
    <mergeCell ref="H16:I16"/>
    <mergeCell ref="J16:K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Esercizio 1</vt:lpstr>
      <vt:lpstr>Esercizio 2</vt:lpstr>
      <vt:lpstr>Esercizio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Caruso</dc:creator>
  <cp:lastModifiedBy>Luigi Caruso</cp:lastModifiedBy>
  <dcterms:created xsi:type="dcterms:W3CDTF">2015-06-05T18:19:34Z</dcterms:created>
  <dcterms:modified xsi:type="dcterms:W3CDTF">2024-01-26T18:19:11Z</dcterms:modified>
</cp:coreProperties>
</file>