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ISCIPLINAS\OP 1\GITHUB\"/>
    </mc:Choice>
  </mc:AlternateContent>
  <xr:revisionPtr revIDLastSave="0" documentId="13_ncr:1_{0F5371C5-3B5A-4418-BF9A-F35A7862E619}" xr6:coauthVersionLast="47" xr6:coauthVersionMax="47" xr10:uidLastSave="{00000000-0000-0000-0000-000000000000}"/>
  <bookViews>
    <workbookView xWindow="-120" yWindow="-120" windowWidth="20730" windowHeight="11160" xr2:uid="{8DEF6693-5FF0-440A-ADFC-DE052A836674}"/>
  </bookViews>
  <sheets>
    <sheet name="Mecânica dos Fluidos" sheetId="1" r:id="rId1"/>
    <sheet name="Curva do sistema" sheetId="7" r:id="rId2"/>
    <sheet name="Exercício 1" sheetId="11" r:id="rId3"/>
    <sheet name="Exercício 2" sheetId="12" r:id="rId4"/>
    <sheet name="Exercício 3" sheetId="13" r:id="rId5"/>
    <sheet name="Exercício 4" sheetId="15" r:id="rId6"/>
    <sheet name="Exercício 5" sheetId="16" r:id="rId7"/>
    <sheet name="Exercício 6" sheetId="17" r:id="rId8"/>
    <sheet name="Exercício 7" sheetId="18" r:id="rId9"/>
    <sheet name="Exercício 11" sheetId="21" r:id="rId10"/>
    <sheet name="Ex 11" sheetId="22" r:id="rId11"/>
    <sheet name="Exercício 16" sheetId="23" r:id="rId12"/>
    <sheet name="Correções de viscosidade" sheetId="24" r:id="rId13"/>
    <sheet name="Rugosidade relativa" sheetId="5" r:id="rId14"/>
    <sheet name="Perdas" sheetId="2" r:id="rId15"/>
    <sheet name="Moody" sheetId="3" r:id="rId16"/>
    <sheet name="Schedule" sheetId="6" r:id="rId17"/>
    <sheet name="Velocidade específica" sheetId="4" r:id="rId18"/>
    <sheet name="Potência" sheetId="8" r:id="rId19"/>
    <sheet name="Propriedades da água" sheetId="14" r:id="rId20"/>
    <sheet name="3550" sheetId="10" r:id="rId21"/>
    <sheet name="1750" sheetId="9" r:id="rId22"/>
    <sheet name="Bomba do exercício 6" sheetId="19" r:id="rId23"/>
    <sheet name="Bomba do exercício 7" sheetId="20" r:id="rId24"/>
  </sheets>
  <functionGroups builtInGroupCount="19"/>
  <externalReferences>
    <externalReference r:id="rId25"/>
  </externalReference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3" i="10" l="1"/>
  <c r="AC4" i="10"/>
  <c r="AC5" i="10"/>
  <c r="AC6" i="10"/>
  <c r="AC7" i="10"/>
  <c r="AC8" i="10"/>
  <c r="AC9" i="10"/>
  <c r="AC10" i="10"/>
  <c r="AC11" i="10"/>
  <c r="AC12" i="10"/>
  <c r="AC13" i="10"/>
  <c r="AC2" i="10"/>
  <c r="AA3" i="10"/>
  <c r="AA4" i="10"/>
  <c r="AA5" i="10"/>
  <c r="AA6" i="10"/>
  <c r="AA7" i="10"/>
  <c r="AA8" i="10"/>
  <c r="AA9" i="10"/>
  <c r="AA10" i="10"/>
  <c r="AA11" i="10"/>
  <c r="AA12" i="10"/>
  <c r="AA13" i="10"/>
  <c r="AA14" i="10"/>
  <c r="AA15" i="10"/>
  <c r="AA2" i="10"/>
  <c r="U3" i="10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" i="10"/>
  <c r="Y3" i="10"/>
  <c r="Y4" i="10"/>
  <c r="Y5" i="10"/>
  <c r="Y6" i="10"/>
  <c r="Y7" i="10"/>
  <c r="Y8" i="10"/>
  <c r="Y9" i="10"/>
  <c r="Y10" i="10"/>
  <c r="Y11" i="10"/>
  <c r="Y12" i="10"/>
  <c r="Y13" i="10"/>
  <c r="Y14" i="10"/>
  <c r="Y15" i="10"/>
  <c r="Y16" i="10"/>
  <c r="Y17" i="10"/>
  <c r="Y18" i="10"/>
  <c r="Y2" i="10"/>
  <c r="W3" i="10"/>
  <c r="W4" i="10"/>
  <c r="W5" i="10"/>
  <c r="W6" i="10"/>
  <c r="W7" i="10"/>
  <c r="W8" i="10"/>
  <c r="W9" i="10"/>
  <c r="W10" i="10"/>
  <c r="W11" i="10"/>
  <c r="W12" i="10"/>
  <c r="W13" i="10"/>
  <c r="W14" i="10"/>
  <c r="W15" i="10"/>
  <c r="W16" i="10"/>
  <c r="W17" i="10"/>
  <c r="W18" i="10"/>
  <c r="W19" i="10"/>
  <c r="W20" i="10"/>
  <c r="W2" i="10"/>
  <c r="B9" i="23"/>
  <c r="B11" i="23"/>
  <c r="R9" i="23"/>
  <c r="R10" i="23"/>
  <c r="R11" i="23"/>
  <c r="R12" i="23"/>
  <c r="R13" i="23"/>
  <c r="R14" i="23"/>
  <c r="R15" i="23"/>
  <c r="R16" i="23"/>
  <c r="R17" i="23"/>
  <c r="R18" i="23"/>
  <c r="R19" i="23"/>
  <c r="R20" i="23"/>
  <c r="R21" i="23"/>
  <c r="R22" i="23"/>
  <c r="R23" i="23"/>
  <c r="R24" i="23"/>
  <c r="R8" i="23"/>
  <c r="O25" i="23"/>
  <c r="O24" i="23"/>
  <c r="G24" i="23"/>
  <c r="B22" i="23" s="1"/>
  <c r="O23" i="23"/>
  <c r="O22" i="23"/>
  <c r="O21" i="23"/>
  <c r="O20" i="23"/>
  <c r="O19" i="23"/>
  <c r="O18" i="23"/>
  <c r="O17" i="23"/>
  <c r="O16" i="23"/>
  <c r="G16" i="23"/>
  <c r="O15" i="23"/>
  <c r="G15" i="23"/>
  <c r="O14" i="23"/>
  <c r="O13" i="23"/>
  <c r="O12" i="23"/>
  <c r="O11" i="23"/>
  <c r="O10" i="23"/>
  <c r="O9" i="23"/>
  <c r="O8" i="23"/>
  <c r="J16" i="22" l="1"/>
  <c r="M16" i="22" s="1"/>
  <c r="I16" i="22"/>
  <c r="M15" i="22"/>
  <c r="J15" i="22"/>
  <c r="I15" i="22"/>
  <c r="J14" i="22"/>
  <c r="M14" i="22" s="1"/>
  <c r="I14" i="22"/>
  <c r="M13" i="22"/>
  <c r="J13" i="22"/>
  <c r="I13" i="22"/>
  <c r="J12" i="22"/>
  <c r="M12" i="22" s="1"/>
  <c r="I12" i="22"/>
  <c r="F12" i="22"/>
  <c r="E12" i="22"/>
  <c r="J11" i="22"/>
  <c r="I11" i="22"/>
  <c r="F11" i="22"/>
  <c r="M11" i="22" s="1"/>
  <c r="E11" i="22"/>
  <c r="M10" i="22"/>
  <c r="J10" i="22"/>
  <c r="I10" i="22"/>
  <c r="F10" i="22"/>
  <c r="E10" i="22"/>
  <c r="J9" i="22"/>
  <c r="M9" i="22" s="1"/>
  <c r="I9" i="22"/>
  <c r="F9" i="22"/>
  <c r="E9" i="22"/>
  <c r="J8" i="22"/>
  <c r="M8" i="22" s="1"/>
  <c r="I8" i="22"/>
  <c r="F8" i="22"/>
  <c r="E8" i="22"/>
  <c r="J7" i="22"/>
  <c r="M7" i="22" s="1"/>
  <c r="I7" i="22"/>
  <c r="F7" i="22"/>
  <c r="E7" i="22"/>
  <c r="J6" i="22"/>
  <c r="M6" i="22" s="1"/>
  <c r="I6" i="22"/>
  <c r="F6" i="22"/>
  <c r="E6" i="22"/>
  <c r="J5" i="22"/>
  <c r="M5" i="22" s="1"/>
  <c r="I5" i="22"/>
  <c r="F5" i="22"/>
  <c r="E5" i="22"/>
  <c r="J4" i="22"/>
  <c r="M4" i="22" s="1"/>
  <c r="I4" i="22"/>
  <c r="F4" i="22"/>
  <c r="E4" i="22"/>
  <c r="F15" i="20"/>
  <c r="F16" i="20"/>
  <c r="F17" i="20"/>
  <c r="F18" i="20"/>
  <c r="F19" i="20"/>
  <c r="F20" i="20"/>
  <c r="F21" i="20"/>
  <c r="F22" i="20"/>
  <c r="F14" i="20"/>
  <c r="B6" i="20"/>
  <c r="F3" i="19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" i="19"/>
  <c r="B6" i="19"/>
  <c r="C13" i="16"/>
  <c r="C14" i="16"/>
  <c r="C15" i="16"/>
  <c r="C16" i="16"/>
  <c r="C12" i="16"/>
  <c r="L16" i="16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E2" i="20"/>
  <c r="AA3" i="9"/>
  <c r="AA4" i="9"/>
  <c r="AA5" i="9"/>
  <c r="AA6" i="9"/>
  <c r="AA7" i="9"/>
  <c r="AA8" i="9"/>
  <c r="AA9" i="9"/>
  <c r="AA10" i="9"/>
  <c r="AA11" i="9"/>
  <c r="AA12" i="9"/>
  <c r="AA13" i="9"/>
  <c r="Y3" i="9"/>
  <c r="Y4" i="9"/>
  <c r="Y5" i="9"/>
  <c r="Y6" i="9"/>
  <c r="Y7" i="9"/>
  <c r="Y8" i="9"/>
  <c r="Y9" i="9"/>
  <c r="Y10" i="9"/>
  <c r="Y11" i="9"/>
  <c r="Y12" i="9"/>
  <c r="Y13" i="9"/>
  <c r="Y14" i="9"/>
  <c r="Y15" i="9"/>
  <c r="W3" i="9"/>
  <c r="W4" i="9"/>
  <c r="W5" i="9"/>
  <c r="W6" i="9"/>
  <c r="W7" i="9"/>
  <c r="W8" i="9"/>
  <c r="W9" i="9"/>
  <c r="W10" i="9"/>
  <c r="W11" i="9"/>
  <c r="W12" i="9"/>
  <c r="W13" i="9"/>
  <c r="W14" i="9"/>
  <c r="W15" i="9"/>
  <c r="W16" i="9"/>
  <c r="W17" i="9"/>
  <c r="W18" i="9"/>
  <c r="AA2" i="9"/>
  <c r="Y2" i="9"/>
  <c r="W2" i="9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" i="9"/>
  <c r="S2" i="9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2" i="19"/>
  <c r="Z4" i="13"/>
  <c r="Z5" i="13"/>
  <c r="Z6" i="13"/>
  <c r="Z7" i="13"/>
  <c r="Z8" i="13"/>
  <c r="Z9" i="13"/>
  <c r="Z10" i="13"/>
  <c r="Z11" i="13"/>
  <c r="Z12" i="13"/>
  <c r="Z13" i="13"/>
  <c r="Z14" i="13"/>
  <c r="Z15" i="13"/>
  <c r="Z2" i="13"/>
  <c r="Z3" i="13"/>
  <c r="X3" i="13"/>
  <c r="X4" i="13"/>
  <c r="X5" i="13"/>
  <c r="X6" i="13"/>
  <c r="X7" i="13"/>
  <c r="X8" i="13"/>
  <c r="X9" i="13"/>
  <c r="X10" i="13"/>
  <c r="X11" i="13"/>
  <c r="X12" i="13"/>
  <c r="X13" i="13"/>
  <c r="X14" i="13"/>
  <c r="X15" i="13"/>
  <c r="X2" i="13"/>
  <c r="W3" i="13"/>
  <c r="W4" i="13"/>
  <c r="W5" i="13"/>
  <c r="W6" i="13"/>
  <c r="W7" i="13"/>
  <c r="W8" i="13"/>
  <c r="W9" i="13"/>
  <c r="W10" i="13"/>
  <c r="W11" i="13"/>
  <c r="W12" i="13"/>
  <c r="W13" i="13"/>
  <c r="W14" i="13"/>
  <c r="W15" i="13"/>
  <c r="W2" i="13"/>
  <c r="V3" i="13"/>
  <c r="V4" i="13"/>
  <c r="V5" i="13"/>
  <c r="V6" i="13"/>
  <c r="V7" i="13"/>
  <c r="V8" i="13"/>
  <c r="V9" i="13"/>
  <c r="V10" i="13"/>
  <c r="V11" i="13"/>
  <c r="V12" i="13"/>
  <c r="V13" i="13"/>
  <c r="V14" i="13"/>
  <c r="V15" i="13"/>
  <c r="V2" i="13"/>
  <c r="R10" i="13"/>
  <c r="R4" i="13"/>
  <c r="R3" i="13"/>
  <c r="L54" i="12"/>
  <c r="B56" i="12"/>
  <c r="D54" i="12"/>
  <c r="B55" i="12"/>
  <c r="B54" i="12"/>
  <c r="L37" i="12"/>
  <c r="B39" i="12"/>
  <c r="B37" i="12"/>
  <c r="B36" i="12"/>
  <c r="L24" i="12"/>
  <c r="B24" i="12"/>
  <c r="B23" i="12"/>
  <c r="B9" i="12"/>
  <c r="B11" i="12"/>
  <c r="B10" i="12"/>
  <c r="N16" i="11"/>
  <c r="N15" i="11"/>
  <c r="N14" i="11"/>
  <c r="N9" i="11"/>
  <c r="N11" i="11" s="1"/>
  <c r="N13" i="11" s="1"/>
  <c r="N8" i="11"/>
  <c r="N10" i="11" s="1"/>
  <c r="N12" i="11" s="1"/>
  <c r="N18" i="11" s="1"/>
  <c r="N5" i="11"/>
  <c r="Y4" i="13" a="1"/>
  <c r="Y8" i="13" a="1"/>
  <c r="Y12" i="13" a="1"/>
  <c r="Y13" i="13" a="1"/>
  <c r="Y9" i="13" a="1"/>
  <c r="Y5" i="13" a="1"/>
  <c r="Y11" i="13" a="1"/>
  <c r="Y6" i="13" a="1"/>
  <c r="Y10" i="13" a="1"/>
  <c r="Y14" i="13" a="1"/>
  <c r="Y15" i="13" a="1"/>
  <c r="Y7" i="13" a="1"/>
  <c r="Y3" i="13" a="1"/>
  <c r="Y7" i="13" l="1"/>
  <c r="Y15" i="13"/>
  <c r="Y14" i="13"/>
  <c r="Y10" i="13"/>
  <c r="Y6" i="13"/>
  <c r="Y11" i="13"/>
  <c r="Y5" i="13"/>
  <c r="Y9" i="13"/>
  <c r="Y13" i="13"/>
  <c r="Y12" i="13"/>
  <c r="Y8" i="13"/>
  <c r="Y4" i="13"/>
  <c r="Y3" i="13"/>
  <c r="B16" i="7"/>
  <c r="B13" i="7"/>
  <c r="B8" i="7"/>
  <c r="B4" i="7"/>
  <c r="B18" i="1"/>
  <c r="B15" i="1"/>
  <c r="B5" i="1"/>
  <c r="B9" i="7" l="1"/>
  <c r="B10" i="7" s="1"/>
  <c r="N2" i="7" s="1"/>
  <c r="B9" i="1"/>
  <c r="B14" i="7" l="1"/>
  <c r="B10" i="1"/>
  <c r="B15" i="7" a="1"/>
  <c r="B16" i="1" l="1"/>
  <c r="B15" i="7"/>
  <c r="B18" i="7" s="1"/>
  <c r="B19" i="7" s="1"/>
  <c r="N3" i="7" s="1"/>
  <c r="B11" i="1"/>
  <c r="B12" i="1" s="1"/>
  <c r="B17" i="1" a="1"/>
  <c r="B17" i="1" l="1"/>
  <c r="B19" i="1" s="1"/>
  <c r="B20" i="1" s="1"/>
  <c r="B17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<sst xmlns="http://schemas.openxmlformats.org/spreadsheetml/2006/main" count="360" uniqueCount="151">
  <si>
    <t>cP</t>
  </si>
  <si>
    <t>Q</t>
  </si>
  <si>
    <r>
      <t>m</t>
    </r>
    <r>
      <rPr>
        <b/>
        <vertAlign val="superscript"/>
        <sz val="11"/>
        <color rgb="FF0070C0"/>
        <rFont val="Calibri"/>
        <family val="2"/>
        <scheme val="minor"/>
      </rPr>
      <t>3</t>
    </r>
    <r>
      <rPr>
        <b/>
        <sz val="11"/>
        <color rgb="FF0070C0"/>
        <rFont val="Calibri"/>
        <family val="2"/>
        <scheme val="minor"/>
      </rPr>
      <t>/s</t>
    </r>
  </si>
  <si>
    <t>z2-z1</t>
  </si>
  <si>
    <t>m</t>
  </si>
  <si>
    <t>g</t>
  </si>
  <si>
    <r>
      <t>m/s</t>
    </r>
    <r>
      <rPr>
        <vertAlign val="superscript"/>
        <sz val="11"/>
        <color rgb="FF0070C0"/>
        <rFont val="Calibri"/>
        <family val="2"/>
        <scheme val="minor"/>
      </rPr>
      <t>2</t>
    </r>
  </si>
  <si>
    <t>r</t>
  </si>
  <si>
    <r>
      <t>kg/m</t>
    </r>
    <r>
      <rPr>
        <vertAlign val="superscript"/>
        <sz val="11"/>
        <color rgb="FF0070C0"/>
        <rFont val="Calibri"/>
        <family val="2"/>
        <scheme val="minor"/>
      </rPr>
      <t>3</t>
    </r>
  </si>
  <si>
    <r>
      <t>D</t>
    </r>
    <r>
      <rPr>
        <vertAlign val="subscript"/>
        <sz val="11"/>
        <color rgb="FFFFFF00"/>
        <rFont val="Calibri"/>
        <family val="2"/>
        <scheme val="minor"/>
      </rPr>
      <t>sucção</t>
    </r>
  </si>
  <si>
    <t>in</t>
  </si>
  <si>
    <r>
      <t>A</t>
    </r>
    <r>
      <rPr>
        <vertAlign val="subscript"/>
        <sz val="11"/>
        <color rgb="FFFFFF00"/>
        <rFont val="Calibri"/>
        <family val="2"/>
        <scheme val="minor"/>
      </rPr>
      <t>sucção</t>
    </r>
  </si>
  <si>
    <r>
      <t>m</t>
    </r>
    <r>
      <rPr>
        <vertAlign val="superscript"/>
        <sz val="11"/>
        <color rgb="FF0070C0"/>
        <rFont val="Calibri"/>
        <family val="2"/>
        <scheme val="minor"/>
      </rPr>
      <t>2</t>
    </r>
  </si>
  <si>
    <t xml:space="preserve">m/s </t>
  </si>
  <si>
    <t>e/D</t>
  </si>
  <si>
    <t>Re</t>
  </si>
  <si>
    <t>fator de atrito</t>
  </si>
  <si>
    <t>Aço comercial</t>
  </si>
  <si>
    <t>Ferro fundido</t>
  </si>
  <si>
    <t>Ferro galvanizado</t>
  </si>
  <si>
    <t>Tubo laminado</t>
  </si>
  <si>
    <t>A</t>
  </si>
  <si>
    <t>ft</t>
  </si>
  <si>
    <t>L/min</t>
  </si>
  <si>
    <t>h</t>
  </si>
  <si>
    <t>w</t>
  </si>
  <si>
    <t>kg/s</t>
  </si>
  <si>
    <t>HP</t>
  </si>
  <si>
    <t>Dimensão nominal</t>
  </si>
  <si>
    <t>do tubo, in</t>
  </si>
  <si>
    <t>Diâmetro</t>
  </si>
  <si>
    <t>externo, in</t>
  </si>
  <si>
    <t>Série n.º</t>
  </si>
  <si>
    <t>Espessura</t>
  </si>
  <si>
    <t>da parede, in</t>
  </si>
  <si>
    <t>interno, in</t>
  </si>
  <si>
    <t>Área da seção</t>
  </si>
  <si>
    <t>reta do metal, in²</t>
  </si>
  <si>
    <t>reta interna, ft²</t>
  </si>
  <si>
    <t>Circunferência, ft, ou área superficial, ft²/ft de comprimento</t>
  </si>
  <si>
    <t>Externa</t>
  </si>
  <si>
    <t>Interna</t>
  </si>
  <si>
    <t>kg/min</t>
  </si>
  <si>
    <t>in Sch40</t>
  </si>
  <si>
    <r>
      <t>v</t>
    </r>
    <r>
      <rPr>
        <b/>
        <vertAlign val="subscript"/>
        <sz val="11"/>
        <color rgb="FFFFFF00"/>
        <rFont val="Calibri"/>
        <family val="2"/>
        <scheme val="minor"/>
      </rPr>
      <t>2</t>
    </r>
  </si>
  <si>
    <t xml:space="preserve">e  </t>
  </si>
  <si>
    <t>L</t>
  </si>
  <si>
    <r>
      <t>W</t>
    </r>
    <r>
      <rPr>
        <vertAlign val="subscript"/>
        <sz val="11"/>
        <color rgb="FFFFFF00"/>
        <rFont val="Calibri"/>
        <family val="2"/>
        <scheme val="minor"/>
      </rPr>
      <t>eixo</t>
    </r>
  </si>
  <si>
    <t>Potência</t>
  </si>
  <si>
    <t>J/kg</t>
  </si>
  <si>
    <r>
      <t>W</t>
    </r>
    <r>
      <rPr>
        <vertAlign val="subscript"/>
        <sz val="11"/>
        <color rgb="FFFFFF00"/>
        <rFont val="Calibri"/>
        <family val="2"/>
        <scheme val="minor"/>
      </rPr>
      <t>eixo</t>
    </r>
    <r>
      <rPr>
        <sz val="11"/>
        <color rgb="FFFFFF00"/>
        <rFont val="Calibri"/>
        <family val="2"/>
        <scheme val="minor"/>
      </rPr>
      <t>/g</t>
    </r>
  </si>
  <si>
    <r>
      <t>H</t>
    </r>
    <r>
      <rPr>
        <vertAlign val="subscript"/>
        <sz val="11"/>
        <color rgb="FFFFFF00"/>
        <rFont val="Calibri"/>
        <family val="2"/>
        <scheme val="minor"/>
      </rPr>
      <t>man</t>
    </r>
  </si>
  <si>
    <r>
      <t>m</t>
    </r>
    <r>
      <rPr>
        <b/>
        <vertAlign val="superscript"/>
        <sz val="11"/>
        <color rgb="FF0070C0"/>
        <rFont val="Calibri"/>
        <family val="2"/>
        <scheme val="minor"/>
      </rPr>
      <t>3</t>
    </r>
    <r>
      <rPr>
        <b/>
        <sz val="11"/>
        <color rgb="FF0070C0"/>
        <rFont val="Calibri"/>
        <family val="2"/>
        <scheme val="minor"/>
      </rPr>
      <t>/h</t>
    </r>
  </si>
  <si>
    <r>
      <t>D</t>
    </r>
    <r>
      <rPr>
        <vertAlign val="subscript"/>
        <sz val="11"/>
        <color rgb="FFFFFF00"/>
        <rFont val="Calibri"/>
        <family val="2"/>
        <scheme val="minor"/>
      </rPr>
      <t>MAN</t>
    </r>
  </si>
  <si>
    <r>
      <t>D</t>
    </r>
    <r>
      <rPr>
        <vertAlign val="subscript"/>
        <sz val="11"/>
        <color rgb="FFFFFF00"/>
        <rFont val="Calibri"/>
        <family val="2"/>
        <scheme val="minor"/>
      </rPr>
      <t>VAC</t>
    </r>
  </si>
  <si>
    <r>
      <t>A</t>
    </r>
    <r>
      <rPr>
        <vertAlign val="subscript"/>
        <sz val="11"/>
        <color rgb="FFFFFF00"/>
        <rFont val="Calibri"/>
        <family val="2"/>
        <scheme val="minor"/>
      </rPr>
      <t>MAN</t>
    </r>
  </si>
  <si>
    <r>
      <t>A</t>
    </r>
    <r>
      <rPr>
        <vertAlign val="subscript"/>
        <sz val="11"/>
        <color rgb="FFFFFF00"/>
        <rFont val="Calibri"/>
        <family val="2"/>
        <scheme val="minor"/>
      </rPr>
      <t>VAC</t>
    </r>
  </si>
  <si>
    <r>
      <t>ub</t>
    </r>
    <r>
      <rPr>
        <vertAlign val="subscript"/>
        <sz val="11"/>
        <color rgb="FFFFFF00"/>
        <rFont val="Calibri"/>
        <family val="2"/>
        <scheme val="minor"/>
      </rPr>
      <t>MAN</t>
    </r>
  </si>
  <si>
    <t>m/s</t>
  </si>
  <si>
    <r>
      <t>ub</t>
    </r>
    <r>
      <rPr>
        <vertAlign val="subscript"/>
        <sz val="11"/>
        <color rgb="FFFFFF00"/>
        <rFont val="Calibri"/>
        <family val="2"/>
        <scheme val="minor"/>
      </rPr>
      <t>VAC</t>
    </r>
  </si>
  <si>
    <r>
      <t>ub</t>
    </r>
    <r>
      <rPr>
        <vertAlign val="subscript"/>
        <sz val="11"/>
        <color rgb="FFFFFF00"/>
        <rFont val="Calibri"/>
        <family val="2"/>
        <scheme val="minor"/>
      </rPr>
      <t>MAN</t>
    </r>
    <r>
      <rPr>
        <vertAlign val="superscript"/>
        <sz val="11"/>
        <color rgb="FFFFFF00"/>
        <rFont val="Calibri"/>
        <family val="2"/>
        <scheme val="minor"/>
      </rPr>
      <t>2</t>
    </r>
    <r>
      <rPr>
        <sz val="11"/>
        <color rgb="FFFFFF00"/>
        <rFont val="Calibri"/>
        <family val="2"/>
        <scheme val="minor"/>
      </rPr>
      <t>/(2g)</t>
    </r>
  </si>
  <si>
    <t>m.c.a.</t>
  </si>
  <si>
    <r>
      <t>ub</t>
    </r>
    <r>
      <rPr>
        <vertAlign val="subscript"/>
        <sz val="11"/>
        <color rgb="FFFFFF00"/>
        <rFont val="Calibri"/>
        <family val="2"/>
        <scheme val="minor"/>
      </rPr>
      <t>VAC</t>
    </r>
    <r>
      <rPr>
        <vertAlign val="superscript"/>
        <sz val="11"/>
        <color rgb="FFFFFF00"/>
        <rFont val="Calibri"/>
        <family val="2"/>
        <scheme val="minor"/>
      </rPr>
      <t>2</t>
    </r>
    <r>
      <rPr>
        <sz val="11"/>
        <color rgb="FFFFFF00"/>
        <rFont val="Calibri"/>
        <family val="2"/>
        <scheme val="minor"/>
      </rPr>
      <t>/(2g)</t>
    </r>
  </si>
  <si>
    <r>
      <t>P</t>
    </r>
    <r>
      <rPr>
        <vertAlign val="subscript"/>
        <sz val="11"/>
        <color rgb="FFFFFF00"/>
        <rFont val="Calibri"/>
        <family val="2"/>
        <scheme val="minor"/>
      </rPr>
      <t>MAN</t>
    </r>
    <r>
      <rPr>
        <sz val="11"/>
        <color rgb="FFFFFF00"/>
        <rFont val="Calibri"/>
        <family val="2"/>
        <scheme val="minor"/>
      </rPr>
      <t>/(</t>
    </r>
    <r>
      <rPr>
        <sz val="11"/>
        <color rgb="FFFFFF00"/>
        <rFont val="Symbol"/>
        <family val="1"/>
        <charset val="2"/>
      </rPr>
      <t>r.</t>
    </r>
    <r>
      <rPr>
        <sz val="11"/>
        <color rgb="FFFFFF00"/>
        <rFont val="Calibri"/>
        <family val="2"/>
        <scheme val="minor"/>
      </rPr>
      <t>g</t>
    </r>
    <r>
      <rPr>
        <sz val="11"/>
        <color rgb="FFFFFF00"/>
        <rFont val="Symbol"/>
        <family val="1"/>
        <charset val="2"/>
      </rPr>
      <t>)</t>
    </r>
  </si>
  <si>
    <r>
      <t>P</t>
    </r>
    <r>
      <rPr>
        <vertAlign val="subscript"/>
        <sz val="11"/>
        <color rgb="FFFFFF00"/>
        <rFont val="Calibri"/>
        <family val="2"/>
        <scheme val="minor"/>
      </rPr>
      <t>VAC</t>
    </r>
    <r>
      <rPr>
        <sz val="11"/>
        <color rgb="FFFFFF00"/>
        <rFont val="Calibri"/>
        <family val="2"/>
        <scheme val="minor"/>
      </rPr>
      <t>/(</t>
    </r>
    <r>
      <rPr>
        <sz val="11"/>
        <color rgb="FFFFFF00"/>
        <rFont val="Symbol"/>
        <family val="1"/>
        <charset val="2"/>
      </rPr>
      <t>r.</t>
    </r>
    <r>
      <rPr>
        <sz val="11"/>
        <color rgb="FFFFFF00"/>
        <rFont val="Calibri"/>
        <family val="2"/>
        <scheme val="minor"/>
      </rPr>
      <t>g</t>
    </r>
    <r>
      <rPr>
        <sz val="11"/>
        <color rgb="FFFFFF00"/>
        <rFont val="Symbol"/>
        <family val="1"/>
        <charset val="2"/>
      </rPr>
      <t>)</t>
    </r>
  </si>
  <si>
    <r>
      <t>(MAN+VAC)</t>
    </r>
    <r>
      <rPr>
        <sz val="11"/>
        <color rgb="FFFFFF00"/>
        <rFont val="Calibri"/>
        <family val="2"/>
        <scheme val="minor"/>
      </rPr>
      <t>/(</t>
    </r>
    <r>
      <rPr>
        <sz val="11"/>
        <color rgb="FFFFFF00"/>
        <rFont val="Symbol"/>
        <family val="1"/>
        <charset val="2"/>
      </rPr>
      <t>r.</t>
    </r>
    <r>
      <rPr>
        <sz val="11"/>
        <color rgb="FFFFFF00"/>
        <rFont val="Calibri"/>
        <family val="2"/>
        <scheme val="minor"/>
      </rPr>
      <t>g</t>
    </r>
    <r>
      <rPr>
        <sz val="11"/>
        <color rgb="FFFFFF00"/>
        <rFont val="Symbol"/>
        <family val="1"/>
        <charset val="2"/>
      </rPr>
      <t>)</t>
    </r>
  </si>
  <si>
    <r>
      <t>H</t>
    </r>
    <r>
      <rPr>
        <vertAlign val="subscript"/>
        <sz val="11"/>
        <color rgb="FFFFFF00"/>
        <rFont val="Calibri"/>
        <family val="2"/>
        <scheme val="minor"/>
      </rPr>
      <t>o</t>
    </r>
  </si>
  <si>
    <r>
      <t>H</t>
    </r>
    <r>
      <rPr>
        <vertAlign val="subscript"/>
        <sz val="11"/>
        <color rgb="FFFFFF00"/>
        <rFont val="Calibri"/>
        <family val="2"/>
        <scheme val="minor"/>
      </rPr>
      <t>sistema</t>
    </r>
  </si>
  <si>
    <t>H</t>
  </si>
  <si>
    <t>P_atm</t>
  </si>
  <si>
    <t>mca</t>
  </si>
  <si>
    <t>P1</t>
  </si>
  <si>
    <t>P2</t>
  </si>
  <si>
    <r>
      <rPr>
        <sz val="11"/>
        <color rgb="FFFFFF00"/>
        <rFont val="Symbol"/>
        <family val="1"/>
        <charset val="2"/>
      </rPr>
      <t>D</t>
    </r>
    <r>
      <rPr>
        <sz val="11"/>
        <color rgb="FFFFFF00"/>
        <rFont val="Calibri"/>
        <family val="2"/>
        <scheme val="minor"/>
      </rPr>
      <t>H</t>
    </r>
  </si>
  <si>
    <r>
      <t>H</t>
    </r>
    <r>
      <rPr>
        <vertAlign val="subscript"/>
        <sz val="11"/>
        <color rgb="FFFFFF00"/>
        <rFont val="Calibri"/>
        <family val="2"/>
        <scheme val="minor"/>
      </rPr>
      <t>0</t>
    </r>
  </si>
  <si>
    <t>Altitude</t>
  </si>
  <si>
    <t xml:space="preserve">m  </t>
  </si>
  <si>
    <t>v^2/(2g)</t>
  </si>
  <si>
    <r>
      <t>T (</t>
    </r>
    <r>
      <rPr>
        <vertAlign val="superscript"/>
        <sz val="14"/>
        <color theme="1"/>
        <rFont val="Times New Roman"/>
        <family val="1"/>
      </rPr>
      <t>o</t>
    </r>
    <r>
      <rPr>
        <sz val="14"/>
        <color theme="1"/>
        <rFont val="Times New Roman"/>
        <family val="1"/>
      </rPr>
      <t>C)</t>
    </r>
  </si>
  <si>
    <r>
      <t>r</t>
    </r>
    <r>
      <rPr>
        <sz val="14"/>
        <color theme="1"/>
        <rFont val="Times New Roman"/>
        <family val="1"/>
      </rPr>
      <t xml:space="preserve"> (kg/m</t>
    </r>
    <r>
      <rPr>
        <vertAlign val="superscript"/>
        <sz val="14"/>
        <color theme="1"/>
        <rFont val="Times New Roman"/>
        <family val="1"/>
      </rPr>
      <t>3</t>
    </r>
    <r>
      <rPr>
        <sz val="14"/>
        <color theme="1"/>
        <rFont val="Times New Roman"/>
        <family val="1"/>
      </rPr>
      <t>)</t>
    </r>
  </si>
  <si>
    <t>µ (cP)</t>
  </si>
  <si>
    <r>
      <t>P</t>
    </r>
    <r>
      <rPr>
        <vertAlign val="subscript"/>
        <sz val="14"/>
        <color theme="1"/>
        <rFont val="Times New Roman"/>
        <family val="1"/>
      </rPr>
      <t>v</t>
    </r>
    <r>
      <rPr>
        <sz val="14"/>
        <color theme="1"/>
        <rFont val="Times New Roman"/>
        <family val="1"/>
      </rPr>
      <t xml:space="preserve"> (lbf/in</t>
    </r>
    <r>
      <rPr>
        <vertAlign val="superscript"/>
        <sz val="14"/>
        <color theme="1"/>
        <rFont val="Times New Roman"/>
        <family val="1"/>
      </rPr>
      <t>2</t>
    </r>
    <r>
      <rPr>
        <sz val="14"/>
        <color theme="1"/>
        <rFont val="Times New Roman"/>
        <family val="1"/>
      </rPr>
      <t>) psi</t>
    </r>
  </si>
  <si>
    <t>D</t>
  </si>
  <si>
    <t xml:space="preserve">in  </t>
  </si>
  <si>
    <t>m²</t>
  </si>
  <si>
    <t>Q (L/min)</t>
  </si>
  <si>
    <t>H (m.c.a.)</t>
  </si>
  <si>
    <t>kg/m³</t>
  </si>
  <si>
    <r>
      <t>0</t>
    </r>
    <r>
      <rPr>
        <vertAlign val="superscript"/>
        <sz val="11"/>
        <color rgb="FF0000FF"/>
        <rFont val="Calibri"/>
        <family val="2"/>
        <scheme val="minor"/>
      </rPr>
      <t>o</t>
    </r>
    <r>
      <rPr>
        <sz val="11"/>
        <color rgb="FF0000FF"/>
        <rFont val="Calibri"/>
        <family val="2"/>
        <scheme val="minor"/>
      </rPr>
      <t>C</t>
    </r>
  </si>
  <si>
    <r>
      <t>20</t>
    </r>
    <r>
      <rPr>
        <vertAlign val="superscript"/>
        <sz val="11"/>
        <color rgb="FF0000FF"/>
        <rFont val="Calibri"/>
        <family val="2"/>
        <scheme val="minor"/>
      </rPr>
      <t>o</t>
    </r>
    <r>
      <rPr>
        <sz val="11"/>
        <color rgb="FF0000FF"/>
        <rFont val="Calibri"/>
        <family val="2"/>
        <scheme val="minor"/>
      </rPr>
      <t>C</t>
    </r>
  </si>
  <si>
    <t>Q (m³/s)</t>
  </si>
  <si>
    <t>aço</t>
  </si>
  <si>
    <t>v (m/s)</t>
  </si>
  <si>
    <t>Pa.s</t>
  </si>
  <si>
    <t>f</t>
  </si>
  <si>
    <t>K</t>
  </si>
  <si>
    <r>
      <t>Q(m</t>
    </r>
    <r>
      <rPr>
        <vertAlign val="superscript"/>
        <sz val="12"/>
        <color rgb="FFFFFF00"/>
        <rFont val="Calibri"/>
        <family val="2"/>
        <scheme val="minor"/>
      </rPr>
      <t>3</t>
    </r>
    <r>
      <rPr>
        <sz val="12"/>
        <color rgb="FFFFFF00"/>
        <rFont val="Calibri"/>
        <family val="2"/>
        <scheme val="minor"/>
      </rPr>
      <t>/h)</t>
    </r>
  </si>
  <si>
    <r>
      <t>H</t>
    </r>
    <r>
      <rPr>
        <vertAlign val="subscript"/>
        <sz val="12"/>
        <color rgb="FFFFFF00"/>
        <rFont val="Calibri"/>
        <family val="2"/>
        <scheme val="minor"/>
      </rPr>
      <t>sistema</t>
    </r>
    <r>
      <rPr>
        <sz val="12"/>
        <color rgb="FFFFFF00"/>
        <rFont val="Calibri"/>
        <family val="2"/>
        <scheme val="minor"/>
      </rPr>
      <t xml:space="preserve"> (m.c.a.)</t>
    </r>
  </si>
  <si>
    <r>
      <t>H</t>
    </r>
    <r>
      <rPr>
        <vertAlign val="subscript"/>
        <sz val="12"/>
        <color rgb="FFFFFF00"/>
        <rFont val="Calibri"/>
        <family val="2"/>
        <scheme val="minor"/>
      </rPr>
      <t>0</t>
    </r>
  </si>
  <si>
    <t>m³/h</t>
  </si>
  <si>
    <t>a</t>
  </si>
  <si>
    <t>b</t>
  </si>
  <si>
    <t>c</t>
  </si>
  <si>
    <t>cte</t>
  </si>
  <si>
    <t>iso</t>
  </si>
  <si>
    <t>Hsistema</t>
  </si>
  <si>
    <t>Bomba A</t>
  </si>
  <si>
    <t>Bomba B</t>
  </si>
  <si>
    <t xml:space="preserve">Estão abaixo representadas as curvas (H, Q) de duas bombas (A e B) e a curva do sistema </t>
  </si>
  <si>
    <t>L/h</t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</si>
  <si>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</si>
  <si>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r>
      <t>H</t>
    </r>
    <r>
      <rPr>
        <vertAlign val="subscript"/>
        <sz val="11"/>
        <color theme="1"/>
        <rFont val="Calibri"/>
        <family val="2"/>
        <scheme val="minor"/>
      </rPr>
      <t>B</t>
    </r>
  </si>
  <si>
    <t xml:space="preserve">no qual deverão operar segundo o esquema de associação mostrado a seguir. Quais serão </t>
  </si>
  <si>
    <t>a vazão calculada e a altura manométrica desenvolvida?</t>
  </si>
  <si>
    <t>Duas A em paralelo</t>
  </si>
  <si>
    <t>Duas B em paralelo</t>
  </si>
  <si>
    <t>Duas A em série com duas B</t>
  </si>
  <si>
    <t>Especificar a bomba da GP com 3550rpm</t>
  </si>
  <si>
    <t>chuta o rendimento da água</t>
  </si>
  <si>
    <t>CONVERSÃO</t>
  </si>
  <si>
    <t>cSt</t>
  </si>
  <si>
    <t>SSU</t>
  </si>
  <si>
    <t>para operar com um fluido viscoso:</t>
  </si>
  <si>
    <r>
      <rPr>
        <sz val="11"/>
        <color rgb="FFFFFF00"/>
        <rFont val="Symbol"/>
        <family val="1"/>
        <charset val="2"/>
      </rPr>
      <t>h</t>
    </r>
    <r>
      <rPr>
        <vertAlign val="subscript"/>
        <sz val="11"/>
        <color rgb="FFFFFF00"/>
        <rFont val="Calibri"/>
        <family val="2"/>
        <scheme val="minor"/>
      </rPr>
      <t>água</t>
    </r>
  </si>
  <si>
    <t>%</t>
  </si>
  <si>
    <r>
      <t>kg/m</t>
    </r>
    <r>
      <rPr>
        <b/>
        <vertAlign val="superscript"/>
        <sz val="11"/>
        <color rgb="FF0066FF"/>
        <rFont val="Calibri"/>
        <family val="2"/>
        <scheme val="minor"/>
      </rPr>
      <t>3</t>
    </r>
  </si>
  <si>
    <r>
      <t>obtém C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 xml:space="preserve"> e C</t>
    </r>
    <r>
      <rPr>
        <vertAlign val="subscript"/>
        <sz val="11"/>
        <color theme="1"/>
        <rFont val="Calibri"/>
        <family val="2"/>
        <scheme val="minor"/>
      </rPr>
      <t>Q</t>
    </r>
  </si>
  <si>
    <t>n</t>
  </si>
  <si>
    <r>
      <t>C</t>
    </r>
    <r>
      <rPr>
        <vertAlign val="subscript"/>
        <sz val="11"/>
        <color rgb="FFFFFF00"/>
        <rFont val="Calibri"/>
        <family val="2"/>
        <scheme val="minor"/>
      </rPr>
      <t>Q</t>
    </r>
  </si>
  <si>
    <t>viscosidade</t>
  </si>
  <si>
    <r>
      <t>C</t>
    </r>
    <r>
      <rPr>
        <vertAlign val="subscript"/>
        <sz val="11"/>
        <color rgb="FFFFFF00"/>
        <rFont val="Calibri"/>
        <family val="2"/>
        <scheme val="minor"/>
      </rPr>
      <t>H</t>
    </r>
  </si>
  <si>
    <t>nas condições</t>
  </si>
  <si>
    <t>transforma (Ho;Qo) para (Ha;Qa)</t>
  </si>
  <si>
    <r>
      <t>Q</t>
    </r>
    <r>
      <rPr>
        <vertAlign val="subscript"/>
        <sz val="11"/>
        <color rgb="FFFFFF66"/>
        <rFont val="Calibri"/>
        <family val="2"/>
        <scheme val="minor"/>
      </rPr>
      <t>água</t>
    </r>
  </si>
  <si>
    <t>gpm</t>
  </si>
  <si>
    <r>
      <t>Q</t>
    </r>
    <r>
      <rPr>
        <vertAlign val="subscript"/>
        <sz val="11"/>
        <color rgb="FFFFFF66"/>
        <rFont val="Calibri"/>
        <family val="2"/>
        <scheme val="minor"/>
      </rPr>
      <t>óleo</t>
    </r>
  </si>
  <si>
    <r>
      <t>H</t>
    </r>
    <r>
      <rPr>
        <vertAlign val="subscript"/>
        <sz val="11"/>
        <color rgb="FFFFFF66"/>
        <rFont val="Calibri"/>
        <family val="2"/>
        <scheme val="minor"/>
      </rPr>
      <t>água</t>
    </r>
  </si>
  <si>
    <t>ft de água</t>
  </si>
  <si>
    <r>
      <t>H</t>
    </r>
    <r>
      <rPr>
        <vertAlign val="subscript"/>
        <sz val="11"/>
        <color rgb="FFFFFF66"/>
        <rFont val="Calibri"/>
        <family val="2"/>
        <scheme val="minor"/>
      </rPr>
      <t>óleo</t>
    </r>
  </si>
  <si>
    <t>ft de óleo</t>
  </si>
  <si>
    <r>
      <t xml:space="preserve">Entra com o ponto da água no gráfico e tira </t>
    </r>
    <r>
      <rPr>
        <sz val="11"/>
        <color theme="1"/>
        <rFont val="Symbol"/>
        <family val="1"/>
        <charset val="2"/>
      </rPr>
      <t>h</t>
    </r>
    <r>
      <rPr>
        <vertAlign val="subscript"/>
        <sz val="11"/>
        <color theme="1"/>
        <rFont val="Calibri"/>
        <family val="2"/>
        <scheme val="minor"/>
      </rPr>
      <t>água</t>
    </r>
    <r>
      <rPr>
        <sz val="11"/>
        <color theme="1"/>
        <rFont val="Calibri"/>
        <family val="2"/>
        <scheme val="minor"/>
      </rPr>
      <t xml:space="preserve"> novo</t>
    </r>
  </si>
  <si>
    <t>e reinicia o procedimento até a convergência</t>
  </si>
  <si>
    <t>rpm</t>
  </si>
  <si>
    <r>
      <t>D</t>
    </r>
    <r>
      <rPr>
        <vertAlign val="subscript"/>
        <sz val="11"/>
        <color rgb="FFFFFF66"/>
        <rFont val="Calibri"/>
        <family val="2"/>
        <scheme val="minor"/>
      </rPr>
      <t>rotor</t>
    </r>
  </si>
  <si>
    <r>
      <t>Pot</t>
    </r>
    <r>
      <rPr>
        <vertAlign val="subscript"/>
        <sz val="11"/>
        <color rgb="FFFFFF66"/>
        <rFont val="Calibri"/>
        <family val="2"/>
        <scheme val="minor"/>
      </rPr>
      <t>motriz</t>
    </r>
  </si>
  <si>
    <t>CV</t>
  </si>
  <si>
    <t>Encontra o rendimento do óleo</t>
  </si>
  <si>
    <r>
      <t>Pot</t>
    </r>
    <r>
      <rPr>
        <vertAlign val="subscript"/>
        <sz val="11"/>
        <color rgb="FFFFFF66"/>
        <rFont val="Calibri"/>
        <family val="2"/>
        <scheme val="minor"/>
      </rPr>
      <t>instalada</t>
    </r>
  </si>
  <si>
    <r>
      <t>C</t>
    </r>
    <r>
      <rPr>
        <vertAlign val="subscript"/>
        <sz val="11"/>
        <color rgb="FFFFFF00"/>
        <rFont val="Symbol"/>
        <family val="1"/>
        <charset val="2"/>
      </rPr>
      <t>h</t>
    </r>
  </si>
  <si>
    <r>
      <rPr>
        <sz val="11"/>
        <color rgb="FFFFFF00"/>
        <rFont val="Symbol"/>
        <family val="1"/>
        <charset val="2"/>
      </rPr>
      <t>h</t>
    </r>
    <r>
      <rPr>
        <vertAlign val="subscript"/>
        <sz val="11"/>
        <color rgb="FFFFFF00"/>
        <rFont val="Calibri"/>
        <family val="2"/>
        <scheme val="minor"/>
      </rPr>
      <t>óleo</t>
    </r>
  </si>
  <si>
    <t>rotor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</si>
</sst>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E+00"/>
  </numFmts>
  <fonts count="46"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vertAlign val="superscript"/>
      <sz val="11"/>
      <color rgb="FF0070C0"/>
      <name val="Calibri"/>
      <family val="2"/>
      <scheme val="minor"/>
    </font>
    <font>
      <vertAlign val="subscript"/>
      <sz val="11"/>
      <color rgb="FFFFFF00"/>
      <name val="Calibri"/>
      <family val="2"/>
      <scheme val="minor"/>
    </font>
    <font>
      <sz val="11"/>
      <color rgb="FF0070C0"/>
      <name val="Calibri"/>
      <family val="2"/>
      <scheme val="minor"/>
    </font>
    <font>
      <vertAlign val="superscript"/>
      <sz val="11"/>
      <color rgb="FF0070C0"/>
      <name val="Calibri"/>
      <family val="2"/>
      <scheme val="minor"/>
    </font>
    <font>
      <sz val="11"/>
      <color rgb="FFFFFF00"/>
      <name val="Symbol"/>
      <family val="1"/>
      <charset val="2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mbria"/>
      <family val="1"/>
    </font>
    <font>
      <sz val="10"/>
      <color theme="1"/>
      <name val="Cambria"/>
      <family val="1"/>
    </font>
    <font>
      <sz val="10"/>
      <color rgb="FF000000"/>
      <name val="Cambria"/>
      <family val="1"/>
    </font>
    <font>
      <b/>
      <vertAlign val="subscript"/>
      <sz val="11"/>
      <color rgb="FFFFFF00"/>
      <name val="Calibri"/>
      <family val="2"/>
      <scheme val="minor"/>
    </font>
    <font>
      <sz val="11"/>
      <color theme="0"/>
      <name val="Symbol"/>
      <family val="1"/>
      <charset val="2"/>
    </font>
    <font>
      <vertAlign val="superscript"/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FFFF00"/>
      <name val="Calibri"/>
      <family val="1"/>
      <charset val="2"/>
      <scheme val="minor"/>
    </font>
    <font>
      <sz val="14"/>
      <color theme="1"/>
      <name val="Times New Roman"/>
      <family val="1"/>
    </font>
    <font>
      <vertAlign val="superscript"/>
      <sz val="14"/>
      <color theme="1"/>
      <name val="Times New Roman"/>
      <family val="1"/>
    </font>
    <font>
      <sz val="14"/>
      <color theme="1"/>
      <name val="Symbol"/>
      <family val="1"/>
      <charset val="2"/>
    </font>
    <font>
      <vertAlign val="subscript"/>
      <sz val="14"/>
      <color theme="1"/>
      <name val="Times New Roman"/>
      <family val="1"/>
    </font>
    <font>
      <sz val="12"/>
      <color rgb="FFFFFF00"/>
      <name val="Times New Roman"/>
      <family val="1"/>
    </font>
    <font>
      <sz val="12"/>
      <color rgb="FF0000FF"/>
      <name val="Times New Roman"/>
      <family val="1"/>
    </font>
    <font>
      <vertAlign val="superscript"/>
      <sz val="11"/>
      <color rgb="FF00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00FF"/>
      <name val="Calibri"/>
      <family val="2"/>
      <scheme val="minor"/>
    </font>
    <font>
      <vertAlign val="superscript"/>
      <sz val="12"/>
      <color rgb="FFFFFF00"/>
      <name val="Calibri"/>
      <family val="2"/>
      <scheme val="minor"/>
    </font>
    <font>
      <vertAlign val="subscript"/>
      <sz val="12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rgb="FFFFFF00"/>
      <name val="Calibri"/>
      <family val="2"/>
    </font>
    <font>
      <sz val="11"/>
      <color rgb="FF0066FF"/>
      <name val="Calibri"/>
      <family val="2"/>
      <scheme val="minor"/>
    </font>
    <font>
      <b/>
      <sz val="11"/>
      <color rgb="FF0066FF"/>
      <name val="Calibri"/>
      <family val="2"/>
    </font>
    <font>
      <b/>
      <sz val="11"/>
      <color rgb="FFFFFF66"/>
      <name val="Symbol"/>
      <family val="1"/>
      <charset val="2"/>
    </font>
    <font>
      <b/>
      <sz val="11"/>
      <color rgb="FF0066FF"/>
      <name val="Calibri"/>
      <family val="2"/>
      <scheme val="minor"/>
    </font>
    <font>
      <b/>
      <vertAlign val="superscript"/>
      <sz val="11"/>
      <color rgb="FF0066FF"/>
      <name val="Calibri"/>
      <family val="2"/>
      <scheme val="minor"/>
    </font>
    <font>
      <sz val="11"/>
      <color rgb="FFFFFF66"/>
      <name val="Calibri"/>
      <family val="2"/>
      <scheme val="minor"/>
    </font>
    <font>
      <vertAlign val="subscript"/>
      <sz val="11"/>
      <color rgb="FFFFFF66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rgb="FFFFFF00"/>
      <name val="Symbol"/>
      <family val="1"/>
      <charset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7E7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FF6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4" fillId="2" borderId="1" xfId="0" applyFont="1" applyFill="1" applyBorder="1"/>
    <xf numFmtId="0" fontId="7" fillId="2" borderId="1" xfId="0" applyFont="1" applyFill="1" applyBorder="1"/>
    <xf numFmtId="0" fontId="3" fillId="3" borderId="1" xfId="0" applyFont="1" applyFill="1" applyBorder="1" applyAlignment="1">
      <alignment horizontal="left"/>
    </xf>
    <xf numFmtId="0" fontId="2" fillId="3" borderId="1" xfId="0" applyFont="1" applyFill="1" applyBorder="1"/>
    <xf numFmtId="0" fontId="9" fillId="3" borderId="1" xfId="0" applyFont="1" applyFill="1" applyBorder="1"/>
    <xf numFmtId="0" fontId="2" fillId="3" borderId="1" xfId="0" applyFont="1" applyFill="1" applyBorder="1" applyAlignment="1">
      <alignment horizontal="left"/>
    </xf>
    <xf numFmtId="0" fontId="0" fillId="4" borderId="0" xfId="0" applyFill="1"/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11" fontId="10" fillId="0" borderId="5" xfId="0" applyNumberFormat="1" applyFont="1" applyBorder="1" applyAlignment="1">
      <alignment horizontal="center" vertical="center" wrapText="1"/>
    </xf>
    <xf numFmtId="0" fontId="11" fillId="4" borderId="0" xfId="0" applyFont="1" applyFill="1"/>
    <xf numFmtId="0" fontId="14" fillId="0" borderId="6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16" fontId="15" fillId="0" borderId="4" xfId="0" applyNumberFormat="1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16" fontId="16" fillId="5" borderId="4" xfId="0" applyNumberFormat="1" applyFont="1" applyFill="1" applyBorder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12" fontId="15" fillId="0" borderId="4" xfId="0" applyNumberFormat="1" applyFont="1" applyBorder="1" applyAlignment="1">
      <alignment horizontal="center" vertical="center" wrapText="1"/>
    </xf>
    <xf numFmtId="12" fontId="16" fillId="5" borderId="4" xfId="0" applyNumberFormat="1" applyFont="1" applyFill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2" fillId="4" borderId="0" xfId="0" applyFont="1" applyFill="1"/>
    <xf numFmtId="0" fontId="7" fillId="4" borderId="0" xfId="0" applyFont="1" applyFill="1"/>
    <xf numFmtId="0" fontId="1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 applyAlignment="1">
      <alignment horizontal="right"/>
    </xf>
    <xf numFmtId="0" fontId="12" fillId="4" borderId="0" xfId="0" applyFont="1" applyFill="1"/>
    <xf numFmtId="0" fontId="2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8" fillId="6" borderId="1" xfId="0" applyFont="1" applyFill="1" applyBorder="1"/>
    <xf numFmtId="0" fontId="13" fillId="4" borderId="1" xfId="0" applyFont="1" applyFill="1" applyBorder="1"/>
    <xf numFmtId="0" fontId="9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right"/>
    </xf>
    <xf numFmtId="0" fontId="9" fillId="3" borderId="1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right"/>
    </xf>
    <xf numFmtId="0" fontId="20" fillId="2" borderId="1" xfId="0" applyFont="1" applyFill="1" applyBorder="1"/>
    <xf numFmtId="164" fontId="7" fillId="2" borderId="1" xfId="0" applyNumberFormat="1" applyFont="1" applyFill="1" applyBorder="1"/>
    <xf numFmtId="0" fontId="2" fillId="3" borderId="0" xfId="0" applyFont="1" applyFill="1"/>
    <xf numFmtId="0" fontId="1" fillId="2" borderId="0" xfId="0" applyFont="1" applyFill="1"/>
    <xf numFmtId="0" fontId="22" fillId="3" borderId="0" xfId="0" applyFont="1" applyFill="1"/>
    <xf numFmtId="0" fontId="23" fillId="0" borderId="2" xfId="0" applyFont="1" applyBorder="1" applyAlignment="1">
      <alignment horizontal="center" vertical="center" wrapText="1"/>
    </xf>
    <xf numFmtId="0" fontId="25" fillId="0" borderId="3" xfId="0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 wrapText="1"/>
    </xf>
    <xf numFmtId="0" fontId="23" fillId="0" borderId="3" xfId="0" applyFont="1" applyBorder="1" applyAlignment="1">
      <alignment horizontal="justify" vertical="center" wrapText="1"/>
    </xf>
    <xf numFmtId="0" fontId="23" fillId="0" borderId="4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9" fillId="3" borderId="0" xfId="0" applyFont="1" applyFill="1"/>
    <xf numFmtId="0" fontId="1" fillId="2" borderId="1" xfId="0" applyFont="1" applyFill="1" applyBorder="1"/>
    <xf numFmtId="0" fontId="30" fillId="3" borderId="1" xfId="0" applyFont="1" applyFill="1" applyBorder="1" applyAlignment="1">
      <alignment horizontal="center" vertical="center" wrapText="1"/>
    </xf>
    <xf numFmtId="0" fontId="31" fillId="2" borderId="1" xfId="0" applyFont="1" applyFill="1" applyBorder="1" applyAlignment="1">
      <alignment horizontal="center" vertical="center" wrapText="1"/>
    </xf>
    <xf numFmtId="0" fontId="30" fillId="3" borderId="3" xfId="0" applyFont="1" applyFill="1" applyBorder="1" applyAlignment="1">
      <alignment horizontal="center" vertical="center" wrapText="1"/>
    </xf>
    <xf numFmtId="0" fontId="30" fillId="3" borderId="2" xfId="0" applyFont="1" applyFill="1" applyBorder="1" applyAlignment="1">
      <alignment horizontal="center" vertical="center" wrapText="1"/>
    </xf>
    <xf numFmtId="0" fontId="31" fillId="2" borderId="5" xfId="0" applyFont="1" applyFill="1" applyBorder="1" applyAlignment="1">
      <alignment horizontal="center" vertical="center" wrapText="1"/>
    </xf>
    <xf numFmtId="0" fontId="31" fillId="2" borderId="4" xfId="0" applyFont="1" applyFill="1" applyBorder="1" applyAlignment="1">
      <alignment horizontal="center" vertical="center" wrapText="1"/>
    </xf>
    <xf numFmtId="0" fontId="30" fillId="3" borderId="1" xfId="0" applyFont="1" applyFill="1" applyBorder="1" applyAlignment="1">
      <alignment horizontal="center"/>
    </xf>
    <xf numFmtId="0" fontId="31" fillId="2" borderId="1" xfId="0" applyFont="1" applyFill="1" applyBorder="1" applyAlignment="1">
      <alignment horizontal="center"/>
    </xf>
    <xf numFmtId="165" fontId="1" fillId="2" borderId="0" xfId="0" applyNumberFormat="1" applyFont="1" applyFill="1"/>
    <xf numFmtId="11" fontId="1" fillId="2" borderId="1" xfId="0" applyNumberFormat="1" applyFont="1" applyFill="1" applyBorder="1"/>
    <xf numFmtId="11" fontId="1" fillId="2" borderId="1" xfId="0" applyNumberFormat="1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34" fillId="6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31" fillId="6" borderId="4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0" xfId="0" applyFill="1"/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166" fontId="0" fillId="4" borderId="0" xfId="0" applyNumberFormat="1" applyFill="1"/>
    <xf numFmtId="2" fontId="0" fillId="7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6" fillId="10" borderId="3" xfId="0" applyFont="1" applyFill="1" applyBorder="1" applyAlignment="1">
      <alignment horizontal="center" vertical="center"/>
    </xf>
    <xf numFmtId="0" fontId="22" fillId="10" borderId="0" xfId="0" applyFont="1" applyFill="1" applyAlignment="1">
      <alignment horizontal="right"/>
    </xf>
    <xf numFmtId="0" fontId="37" fillId="2" borderId="0" xfId="0" applyFont="1" applyFill="1"/>
    <xf numFmtId="0" fontId="38" fillId="2" borderId="4" xfId="0" applyFont="1" applyFill="1" applyBorder="1" applyAlignment="1">
      <alignment horizontal="center" vertical="center"/>
    </xf>
    <xf numFmtId="0" fontId="38" fillId="2" borderId="5" xfId="0" applyFont="1" applyFill="1" applyBorder="1" applyAlignment="1">
      <alignment horizontal="center" vertical="center"/>
    </xf>
    <xf numFmtId="0" fontId="39" fillId="10" borderId="1" xfId="0" applyFont="1" applyFill="1" applyBorder="1" applyAlignment="1">
      <alignment horizontal="right"/>
    </xf>
    <xf numFmtId="0" fontId="40" fillId="11" borderId="10" xfId="0" applyFont="1" applyFill="1" applyBorder="1"/>
    <xf numFmtId="0" fontId="40" fillId="11" borderId="11" xfId="0" applyFont="1" applyFill="1" applyBorder="1"/>
    <xf numFmtId="0" fontId="40" fillId="11" borderId="12" xfId="0" applyFont="1" applyFill="1" applyBorder="1"/>
    <xf numFmtId="164" fontId="40" fillId="11" borderId="11" xfId="0" applyNumberFormat="1" applyFont="1" applyFill="1" applyBorder="1"/>
    <xf numFmtId="0" fontId="2" fillId="10" borderId="1" xfId="0" applyFont="1" applyFill="1" applyBorder="1"/>
    <xf numFmtId="0" fontId="37" fillId="2" borderId="1" xfId="0" applyFont="1" applyFill="1" applyBorder="1"/>
    <xf numFmtId="0" fontId="42" fillId="10" borderId="9" xfId="0" applyFont="1" applyFill="1" applyBorder="1" applyAlignment="1">
      <alignment horizontal="right"/>
    </xf>
    <xf numFmtId="0" fontId="40" fillId="11" borderId="13" xfId="0" applyFont="1" applyFill="1" applyBorder="1"/>
    <xf numFmtId="0" fontId="42" fillId="10" borderId="9" xfId="0" applyFont="1" applyFill="1" applyBorder="1"/>
    <xf numFmtId="1" fontId="40" fillId="11" borderId="13" xfId="0" applyNumberFormat="1" applyFont="1" applyFill="1" applyBorder="1"/>
    <xf numFmtId="0" fontId="2" fillId="10" borderId="1" xfId="0" applyFont="1" applyFill="1" applyBorder="1" applyAlignment="1">
      <alignment horizontal="right"/>
    </xf>
    <xf numFmtId="164" fontId="40" fillId="11" borderId="9" xfId="0" applyNumberFormat="1" applyFont="1" applyFill="1" applyBorder="1"/>
    <xf numFmtId="1" fontId="1" fillId="2" borderId="0" xfId="0" applyNumberFormat="1" applyFont="1" applyFill="1" applyAlignment="1">
      <alignment horizontal="center"/>
    </xf>
    <xf numFmtId="1" fontId="0" fillId="4" borderId="0" xfId="0" applyNumberFormat="1" applyFill="1"/>
    <xf numFmtId="0" fontId="14" fillId="0" borderId="6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H</a:t>
            </a:r>
            <a:r>
              <a:rPr lang="pt-BR" baseline="0"/>
              <a:t> x Q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'Curva do sistema'!$T$2:$T$15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50</c:v>
                </c:pt>
                <c:pt idx="3">
                  <c:v>100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  <c:pt idx="13">
                  <c:v>1500</c:v>
                </c:pt>
              </c:numCache>
            </c:numRef>
          </c:xVal>
          <c:yVal>
            <c:numRef>
              <c:f>'Curva do sistema'!$U$2:$U$15</c:f>
              <c:numCache>
                <c:formatCode>General</c:formatCode>
                <c:ptCount val="14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10.1</c:v>
                </c:pt>
                <c:pt idx="4">
                  <c:v>10.37</c:v>
                </c:pt>
                <c:pt idx="5">
                  <c:v>10.79</c:v>
                </c:pt>
                <c:pt idx="6">
                  <c:v>11.36</c:v>
                </c:pt>
                <c:pt idx="7">
                  <c:v>12.08</c:v>
                </c:pt>
                <c:pt idx="8">
                  <c:v>12.94</c:v>
                </c:pt>
                <c:pt idx="9">
                  <c:v>13.95</c:v>
                </c:pt>
                <c:pt idx="10">
                  <c:v>15.1</c:v>
                </c:pt>
                <c:pt idx="11">
                  <c:v>16.399999999999999</c:v>
                </c:pt>
                <c:pt idx="12">
                  <c:v>17.850000000000001</c:v>
                </c:pt>
                <c:pt idx="13">
                  <c:v>27.28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AA-44A9-A16F-9F3BEC2F0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370432"/>
        <c:axId val="426349312"/>
      </c:scatterChart>
      <c:valAx>
        <c:axId val="42637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349312"/>
        <c:crosses val="autoZero"/>
        <c:crossBetween val="midCat"/>
      </c:valAx>
      <c:valAx>
        <c:axId val="42634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6370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Curva</a:t>
            </a:r>
            <a:r>
              <a:rPr lang="pt-BR" baseline="0"/>
              <a:t> do sistema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'Exercício 3'!$U$2:$U$15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50</c:v>
                </c:pt>
                <c:pt idx="3">
                  <c:v>100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  <c:pt idx="13">
                  <c:v>1500</c:v>
                </c:pt>
              </c:numCache>
            </c:numRef>
          </c:xVal>
          <c:yVal>
            <c:numRef>
              <c:f>'Exercício 3'!$Z$2:$Z$15</c:f>
              <c:numCache>
                <c:formatCode>General</c:formatCode>
                <c:ptCount val="14"/>
                <c:pt idx="0">
                  <c:v>9</c:v>
                </c:pt>
                <c:pt idx="1">
                  <c:v>9.0221982390438775</c:v>
                </c:pt>
                <c:pt idx="2">
                  <c:v>9.3766920531745654</c:v>
                </c:pt>
                <c:pt idx="3">
                  <c:v>10.331819005769068</c:v>
                </c:pt>
                <c:pt idx="4">
                  <c:v>13.848375986619873</c:v>
                </c:pt>
                <c:pt idx="5">
                  <c:v>19.463759636691528</c:v>
                </c:pt>
                <c:pt idx="6">
                  <c:v>27.162178177275369</c:v>
                </c:pt>
                <c:pt idx="7">
                  <c:v>36.937825496794339</c:v>
                </c:pt>
                <c:pt idx="8">
                  <c:v>48.788035994506018</c:v>
                </c:pt>
                <c:pt idx="9">
                  <c:v>62.711404209469279</c:v>
                </c:pt>
                <c:pt idx="10">
                  <c:v>78.707116145441674</c:v>
                </c:pt>
                <c:pt idx="11">
                  <c:v>96.772977936989307</c:v>
                </c:pt>
                <c:pt idx="12">
                  <c:v>116.91214741994321</c:v>
                </c:pt>
                <c:pt idx="13">
                  <c:v>248.67448289870549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D6-456E-85D6-A51C38014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4497439"/>
        <c:axId val="1844497919"/>
      </c:scatterChart>
      <c:valAx>
        <c:axId val="18444974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4497919"/>
        <c:crosses val="autoZero"/>
        <c:crossBetween val="midCat"/>
      </c:valAx>
      <c:valAx>
        <c:axId val="18444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44974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'Exercício 5'!$A$12:$A$16</c:f>
              <c:numCache>
                <c:formatCode>General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</c:numCache>
            </c:numRef>
          </c:xVal>
          <c:yVal>
            <c:numRef>
              <c:f>'Exercício 5'!$B$12:$B$16</c:f>
              <c:numCache>
                <c:formatCode>General</c:formatCode>
                <c:ptCount val="5"/>
                <c:pt idx="0">
                  <c:v>53</c:v>
                </c:pt>
                <c:pt idx="1">
                  <c:v>52</c:v>
                </c:pt>
                <c:pt idx="2">
                  <c:v>50</c:v>
                </c:pt>
                <c:pt idx="3">
                  <c:v>42</c:v>
                </c:pt>
                <c:pt idx="4">
                  <c:v>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26-48BF-8986-4FFD82B516A2}"/>
            </c:ext>
          </c:extLst>
        </c:ser>
        <c:ser>
          <c:idx val="1"/>
          <c:order val="1"/>
          <c:tx>
            <c:v>sitema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'Exercício 5'!$A$12:$A$16</c:f>
              <c:numCache>
                <c:formatCode>General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</c:numCache>
            </c:numRef>
          </c:xVal>
          <c:yVal>
            <c:numRef>
              <c:f>'Exercício 5'!$C$12:$C$16</c:f>
              <c:numCache>
                <c:formatCode>General</c:formatCode>
                <c:ptCount val="5"/>
                <c:pt idx="0">
                  <c:v>40</c:v>
                </c:pt>
                <c:pt idx="1">
                  <c:v>42.5</c:v>
                </c:pt>
                <c:pt idx="2">
                  <c:v>50</c:v>
                </c:pt>
                <c:pt idx="3">
                  <c:v>62.5</c:v>
                </c:pt>
                <c:pt idx="4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26-48BF-8986-4FFD82B51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696847"/>
        <c:axId val="1056509727"/>
      </c:scatterChart>
      <c:valAx>
        <c:axId val="1074696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6509727"/>
        <c:crosses val="autoZero"/>
        <c:crossBetween val="midCat"/>
      </c:valAx>
      <c:valAx>
        <c:axId val="1056509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4696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'[1]Ex 11'!$E$4:$E$12</c:f>
              <c:numCache>
                <c:formatCode>General</c:formatCode>
                <c:ptCount val="9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</c:numCache>
            </c:numRef>
          </c:xVal>
          <c:yVal>
            <c:numRef>
              <c:f>'[1]Ex 11'!$F$4:$F$12</c:f>
              <c:numCache>
                <c:formatCode>General</c:formatCode>
                <c:ptCount val="9"/>
                <c:pt idx="0">
                  <c:v>15</c:v>
                </c:pt>
                <c:pt idx="1">
                  <c:v>14.45</c:v>
                </c:pt>
                <c:pt idx="2">
                  <c:v>13.55</c:v>
                </c:pt>
                <c:pt idx="3">
                  <c:v>12.3</c:v>
                </c:pt>
                <c:pt idx="4">
                  <c:v>10.7</c:v>
                </c:pt>
                <c:pt idx="5">
                  <c:v>8.75</c:v>
                </c:pt>
                <c:pt idx="6">
                  <c:v>6.4499999999999993</c:v>
                </c:pt>
                <c:pt idx="7">
                  <c:v>3.8000000000000007</c:v>
                </c:pt>
                <c:pt idx="8">
                  <c:v>0.80000000000000071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4E-4B51-8D9A-8B606250C79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'[1]Ex 11'!$I$4:$I$16</c:f>
              <c:numCache>
                <c:formatCode>General</c:formatCode>
                <c:ptCount val="13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</c:numCache>
            </c:numRef>
          </c:xVal>
          <c:yVal>
            <c:numRef>
              <c:f>'[1]Ex 11'!$J$4:$J$16</c:f>
              <c:numCache>
                <c:formatCode>General</c:formatCode>
                <c:ptCount val="13"/>
                <c:pt idx="0">
                  <c:v>21</c:v>
                </c:pt>
                <c:pt idx="1">
                  <c:v>20.874999999999996</c:v>
                </c:pt>
                <c:pt idx="2">
                  <c:v>20.499999999999993</c:v>
                </c:pt>
                <c:pt idx="3">
                  <c:v>19.874999999999989</c:v>
                </c:pt>
                <c:pt idx="4">
                  <c:v>18.999999999999989</c:v>
                </c:pt>
                <c:pt idx="5">
                  <c:v>17.874999999999986</c:v>
                </c:pt>
                <c:pt idx="6">
                  <c:v>16.499999999999982</c:v>
                </c:pt>
                <c:pt idx="7">
                  <c:v>14.874999999999979</c:v>
                </c:pt>
                <c:pt idx="8">
                  <c:v>12.999999999999975</c:v>
                </c:pt>
                <c:pt idx="9">
                  <c:v>10.874999999999973</c:v>
                </c:pt>
                <c:pt idx="10">
                  <c:v>8.4999999999999698</c:v>
                </c:pt>
                <c:pt idx="11">
                  <c:v>5.8749999999999662</c:v>
                </c:pt>
                <c:pt idx="12">
                  <c:v>2.9999999999999645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4E-4B51-8D9A-8B606250C79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'[1]Ex 11'!$C$4:$C$12</c:f>
              <c:numCache>
                <c:formatCode>General</c:formatCode>
                <c:ptCount val="9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</c:numCache>
            </c:numRef>
          </c:xVal>
          <c:yVal>
            <c:numRef>
              <c:f>'[1]Ex 11'!$D$4:$D$12</c:f>
              <c:numCache>
                <c:formatCode>General</c:formatCode>
                <c:ptCount val="9"/>
                <c:pt idx="0">
                  <c:v>15</c:v>
                </c:pt>
                <c:pt idx="1">
                  <c:v>14.45</c:v>
                </c:pt>
                <c:pt idx="2">
                  <c:v>13.55</c:v>
                </c:pt>
                <c:pt idx="3">
                  <c:v>12.3</c:v>
                </c:pt>
                <c:pt idx="4">
                  <c:v>10.7</c:v>
                </c:pt>
                <c:pt idx="5">
                  <c:v>8.75</c:v>
                </c:pt>
                <c:pt idx="6">
                  <c:v>6.4499999999999993</c:v>
                </c:pt>
                <c:pt idx="7">
                  <c:v>3.8000000000000007</c:v>
                </c:pt>
                <c:pt idx="8">
                  <c:v>0.80000000000000071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4E-4B51-8D9A-8B606250C79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'[1]Ex 11'!$G$4:$G$16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</c:numCache>
            </c:numRef>
          </c:xVal>
          <c:yVal>
            <c:numRef>
              <c:f>'[1]Ex 11'!$H$4:$H$16</c:f>
              <c:numCache>
                <c:formatCode>General</c:formatCode>
                <c:ptCount val="13"/>
                <c:pt idx="0">
                  <c:v>21</c:v>
                </c:pt>
                <c:pt idx="1">
                  <c:v>20.874999999999996</c:v>
                </c:pt>
                <c:pt idx="2">
                  <c:v>20.499999999999993</c:v>
                </c:pt>
                <c:pt idx="3">
                  <c:v>19.874999999999989</c:v>
                </c:pt>
                <c:pt idx="4">
                  <c:v>18.999999999999989</c:v>
                </c:pt>
                <c:pt idx="5">
                  <c:v>17.874999999999986</c:v>
                </c:pt>
                <c:pt idx="6">
                  <c:v>16.499999999999982</c:v>
                </c:pt>
                <c:pt idx="7">
                  <c:v>14.874999999999979</c:v>
                </c:pt>
                <c:pt idx="8">
                  <c:v>12.999999999999975</c:v>
                </c:pt>
                <c:pt idx="9">
                  <c:v>10.874999999999973</c:v>
                </c:pt>
                <c:pt idx="10">
                  <c:v>8.4999999999999698</c:v>
                </c:pt>
                <c:pt idx="11">
                  <c:v>5.8749999999999662</c:v>
                </c:pt>
                <c:pt idx="12">
                  <c:v>2.9999999999999645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54E-4B51-8D9A-8B606250C79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'[1]Ex 11'!$L$4:$L$16</c:f>
              <c:numCache>
                <c:formatCode>General</c:formatCode>
                <c:ptCount val="13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</c:numCache>
            </c:numRef>
          </c:xVal>
          <c:yVal>
            <c:numRef>
              <c:f>'[1]Ex 11'!$M$4:$M$16</c:f>
              <c:numCache>
                <c:formatCode>General</c:formatCode>
                <c:ptCount val="13"/>
                <c:pt idx="0">
                  <c:v>36</c:v>
                </c:pt>
                <c:pt idx="1">
                  <c:v>35.324999999999996</c:v>
                </c:pt>
                <c:pt idx="2">
                  <c:v>34.049999999999997</c:v>
                </c:pt>
                <c:pt idx="3">
                  <c:v>32.17499999999999</c:v>
                </c:pt>
                <c:pt idx="4">
                  <c:v>29.699999999999989</c:v>
                </c:pt>
                <c:pt idx="5">
                  <c:v>26.624999999999986</c:v>
                </c:pt>
                <c:pt idx="6">
                  <c:v>22.949999999999982</c:v>
                </c:pt>
                <c:pt idx="7">
                  <c:v>18.674999999999979</c:v>
                </c:pt>
                <c:pt idx="8">
                  <c:v>13.799999999999976</c:v>
                </c:pt>
                <c:pt idx="9">
                  <c:v>10.874999999999973</c:v>
                </c:pt>
                <c:pt idx="10">
                  <c:v>8.4999999999999698</c:v>
                </c:pt>
                <c:pt idx="11">
                  <c:v>5.8749999999999662</c:v>
                </c:pt>
                <c:pt idx="12">
                  <c:v>2.9999999999999645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4E-4B51-8D9A-8B606250C79F}"/>
            </c:ext>
          </c:extLst>
        </c:ser>
        <c:ser>
          <c:idx val="5"/>
          <c:order val="5"/>
          <c:tx>
            <c:v>sistema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'[1]Ex 11'!$A$3:$A$19</c:f>
              <c:numCache>
                <c:formatCode>General</c:formatCode>
                <c:ptCount val="1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</c:numCache>
            </c:numRef>
          </c:xVal>
          <c:yVal>
            <c:numRef>
              <c:f>'[1]Ex 11'!$B$3:$B$19</c:f>
              <c:numCache>
                <c:formatCode>General</c:formatCode>
                <c:ptCount val="17"/>
                <c:pt idx="0">
                  <c:v>24</c:v>
                </c:pt>
                <c:pt idx="1">
                  <c:v>24.087755000000001</c:v>
                </c:pt>
                <c:pt idx="2">
                  <c:v>24.351019999999998</c:v>
                </c:pt>
                <c:pt idx="3">
                  <c:v>24.789795000000002</c:v>
                </c:pt>
                <c:pt idx="4">
                  <c:v>25.40408</c:v>
                </c:pt>
                <c:pt idx="5">
                  <c:v>26.193874999999998</c:v>
                </c:pt>
                <c:pt idx="6">
                  <c:v>27.159179999999999</c:v>
                </c:pt>
                <c:pt idx="7">
                  <c:v>28.299994999999999</c:v>
                </c:pt>
                <c:pt idx="8">
                  <c:v>29.616319999999998</c:v>
                </c:pt>
                <c:pt idx="9">
                  <c:v>31.108155</c:v>
                </c:pt>
                <c:pt idx="10">
                  <c:v>32.775500000000001</c:v>
                </c:pt>
                <c:pt idx="11">
                  <c:v>34.618355000000001</c:v>
                </c:pt>
                <c:pt idx="12">
                  <c:v>36.636719999999997</c:v>
                </c:pt>
                <c:pt idx="13">
                  <c:v>38.830595000000002</c:v>
                </c:pt>
                <c:pt idx="14">
                  <c:v>41.199979999999996</c:v>
                </c:pt>
                <c:pt idx="15">
                  <c:v>43.744874999999993</c:v>
                </c:pt>
                <c:pt idx="16">
                  <c:v>46.465279999999993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54E-4B51-8D9A-8B606250C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940528"/>
        <c:axId val="716940856"/>
      </c:scatterChart>
      <c:valAx>
        <c:axId val="71694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6940856"/>
        <c:crosses val="autoZero"/>
        <c:crossBetween val="midCat"/>
      </c:valAx>
      <c:valAx>
        <c:axId val="716940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16940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10in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'3550'!$T$2:$T$21</c:f>
              <c:numCache>
                <c:formatCode>General</c:formatCode>
                <c:ptCount val="20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</c:numCache>
            </c:numRef>
          </c:xVal>
          <c:yVal>
            <c:numRef>
              <c:f>'3550'!$U$2:$U$21</c:f>
              <c:numCache>
                <c:formatCode>0</c:formatCode>
                <c:ptCount val="20"/>
                <c:pt idx="0">
                  <c:v>430</c:v>
                </c:pt>
                <c:pt idx="1">
                  <c:v>435.07</c:v>
                </c:pt>
                <c:pt idx="2">
                  <c:v>438.48</c:v>
                </c:pt>
                <c:pt idx="3">
                  <c:v>440.23</c:v>
                </c:pt>
                <c:pt idx="4">
                  <c:v>440.32</c:v>
                </c:pt>
                <c:pt idx="5">
                  <c:v>438.75</c:v>
                </c:pt>
                <c:pt idx="6">
                  <c:v>435.52</c:v>
                </c:pt>
                <c:pt idx="7">
                  <c:v>430.63</c:v>
                </c:pt>
                <c:pt idx="8">
                  <c:v>424.08</c:v>
                </c:pt>
                <c:pt idx="9">
                  <c:v>415.87</c:v>
                </c:pt>
                <c:pt idx="10">
                  <c:v>406</c:v>
                </c:pt>
                <c:pt idx="11">
                  <c:v>394.47</c:v>
                </c:pt>
                <c:pt idx="12">
                  <c:v>381.28</c:v>
                </c:pt>
                <c:pt idx="13">
                  <c:v>366.43</c:v>
                </c:pt>
                <c:pt idx="14">
                  <c:v>349.91999999999996</c:v>
                </c:pt>
                <c:pt idx="15">
                  <c:v>331.75</c:v>
                </c:pt>
                <c:pt idx="16">
                  <c:v>311.92</c:v>
                </c:pt>
                <c:pt idx="17">
                  <c:v>290.43</c:v>
                </c:pt>
                <c:pt idx="18">
                  <c:v>267.27999999999997</c:v>
                </c:pt>
                <c:pt idx="19">
                  <c:v>242.47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64-4154-A8DF-F732718C290F}"/>
            </c:ext>
          </c:extLst>
        </c:ser>
        <c:ser>
          <c:idx val="1"/>
          <c:order val="1"/>
          <c:tx>
            <c:v>9in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'3550'!$V$2:$V$20</c:f>
              <c:numCache>
                <c:formatCode>General</c:formatCode>
                <c:ptCount val="19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</c:numCache>
            </c:numRef>
          </c:xVal>
          <c:yVal>
            <c:numRef>
              <c:f>'3550'!$W$2:$W$20</c:f>
              <c:numCache>
                <c:formatCode>0</c:formatCode>
                <c:ptCount val="19"/>
                <c:pt idx="0">
                  <c:v>335</c:v>
                </c:pt>
                <c:pt idx="1">
                  <c:v>340.85725000000002</c:v>
                </c:pt>
                <c:pt idx="2">
                  <c:v>344.87900000000002</c:v>
                </c:pt>
                <c:pt idx="3">
                  <c:v>347.06524999999999</c:v>
                </c:pt>
                <c:pt idx="4">
                  <c:v>347.416</c:v>
                </c:pt>
                <c:pt idx="5">
                  <c:v>345.93124999999998</c:v>
                </c:pt>
                <c:pt idx="6">
                  <c:v>342.61099999999999</c:v>
                </c:pt>
                <c:pt idx="7">
                  <c:v>337.45524999999998</c:v>
                </c:pt>
                <c:pt idx="8">
                  <c:v>330.464</c:v>
                </c:pt>
                <c:pt idx="9">
                  <c:v>321.63724999999999</c:v>
                </c:pt>
                <c:pt idx="10">
                  <c:v>310.97500000000002</c:v>
                </c:pt>
                <c:pt idx="11">
                  <c:v>298.47725000000003</c:v>
                </c:pt>
                <c:pt idx="12">
                  <c:v>284.14400000000001</c:v>
                </c:pt>
                <c:pt idx="13">
                  <c:v>267.97525000000002</c:v>
                </c:pt>
                <c:pt idx="14">
                  <c:v>249.971</c:v>
                </c:pt>
                <c:pt idx="15">
                  <c:v>230.13125000000002</c:v>
                </c:pt>
                <c:pt idx="16">
                  <c:v>208.45600000000002</c:v>
                </c:pt>
                <c:pt idx="17">
                  <c:v>184.94525000000004</c:v>
                </c:pt>
                <c:pt idx="18">
                  <c:v>159.59899999999999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64-4154-A8DF-F732718C290F}"/>
            </c:ext>
          </c:extLst>
        </c:ser>
        <c:ser>
          <c:idx val="2"/>
          <c:order val="2"/>
          <c:tx>
            <c:v>8in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'3550'!$X$2:$X$18</c:f>
              <c:numCache>
                <c:formatCode>General</c:formatCode>
                <c:ptCount val="17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</c:numCache>
            </c:numRef>
          </c:xVal>
          <c:yVal>
            <c:numRef>
              <c:f>'3550'!$Y$2:$Y$18</c:f>
              <c:numCache>
                <c:formatCode>0</c:formatCode>
                <c:ptCount val="17"/>
                <c:pt idx="0">
                  <c:v>256</c:v>
                </c:pt>
                <c:pt idx="1">
                  <c:v>260.46749999999997</c:v>
                </c:pt>
                <c:pt idx="2">
                  <c:v>263.17</c:v>
                </c:pt>
                <c:pt idx="3">
                  <c:v>264.10750000000002</c:v>
                </c:pt>
                <c:pt idx="4">
                  <c:v>263.27999999999997</c:v>
                </c:pt>
                <c:pt idx="5">
                  <c:v>260.6875</c:v>
                </c:pt>
                <c:pt idx="6">
                  <c:v>256.33</c:v>
                </c:pt>
                <c:pt idx="7">
                  <c:v>250.20749999999998</c:v>
                </c:pt>
                <c:pt idx="8">
                  <c:v>242.32</c:v>
                </c:pt>
                <c:pt idx="9">
                  <c:v>232.66749999999999</c:v>
                </c:pt>
                <c:pt idx="10">
                  <c:v>221.25</c:v>
                </c:pt>
                <c:pt idx="11">
                  <c:v>208.0675</c:v>
                </c:pt>
                <c:pt idx="12">
                  <c:v>193.12</c:v>
                </c:pt>
                <c:pt idx="13">
                  <c:v>176.40749999999997</c:v>
                </c:pt>
                <c:pt idx="14">
                  <c:v>157.93</c:v>
                </c:pt>
                <c:pt idx="15">
                  <c:v>137.6875</c:v>
                </c:pt>
                <c:pt idx="16">
                  <c:v>115.67999999999998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64-4154-A8DF-F732718C290F}"/>
            </c:ext>
          </c:extLst>
        </c:ser>
        <c:ser>
          <c:idx val="3"/>
          <c:order val="3"/>
          <c:tx>
            <c:v>7in</c:v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'3550'!$Z$2:$Z$15</c:f>
              <c:numCache>
                <c:formatCode>General</c:formatCode>
                <c:ptCount val="14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</c:numCache>
            </c:numRef>
          </c:xVal>
          <c:yVal>
            <c:numRef>
              <c:f>'3550'!$AA$2:$AA$15</c:f>
              <c:numCache>
                <c:formatCode>General</c:formatCode>
                <c:ptCount val="14"/>
                <c:pt idx="0">
                  <c:v>187</c:v>
                </c:pt>
                <c:pt idx="1">
                  <c:v>191.43577500000001</c:v>
                </c:pt>
                <c:pt idx="2">
                  <c:v>193.73455000000001</c:v>
                </c:pt>
                <c:pt idx="3">
                  <c:v>193.89632499999999</c:v>
                </c:pt>
                <c:pt idx="4">
                  <c:v>191.9211</c:v>
                </c:pt>
                <c:pt idx="5">
                  <c:v>187.808875</c:v>
                </c:pt>
                <c:pt idx="6">
                  <c:v>181.55965</c:v>
                </c:pt>
                <c:pt idx="7">
                  <c:v>173.17342500000001</c:v>
                </c:pt>
                <c:pt idx="8">
                  <c:v>162.65019999999998</c:v>
                </c:pt>
                <c:pt idx="9">
                  <c:v>149.98997500000002</c:v>
                </c:pt>
                <c:pt idx="10">
                  <c:v>135.19274999999999</c:v>
                </c:pt>
                <c:pt idx="11">
                  <c:v>118.25852500000001</c:v>
                </c:pt>
                <c:pt idx="12">
                  <c:v>99.187299999999993</c:v>
                </c:pt>
                <c:pt idx="13">
                  <c:v>77.979075000000023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064-4154-A8DF-F732718C290F}"/>
            </c:ext>
          </c:extLst>
        </c:ser>
        <c:ser>
          <c:idx val="4"/>
          <c:order val="4"/>
          <c:tx>
            <c:v>6in</c:v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'3550'!$AB$2:$AB$13</c:f>
              <c:numCache>
                <c:formatCode>General</c:formatCode>
                <c:ptCount val="12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</c:numCache>
            </c:numRef>
          </c:xVal>
          <c:yVal>
            <c:numRef>
              <c:f>'3550'!$AC$2:$AC$13</c:f>
              <c:numCache>
                <c:formatCode>General</c:formatCode>
                <c:ptCount val="12"/>
                <c:pt idx="0">
                  <c:v>137.68945869999999</c:v>
                </c:pt>
                <c:pt idx="1">
                  <c:v>136.96585821157751</c:v>
                </c:pt>
                <c:pt idx="2">
                  <c:v>134.34238406945499</c:v>
                </c:pt>
                <c:pt idx="3">
                  <c:v>129.81903627363249</c:v>
                </c:pt>
                <c:pt idx="4">
                  <c:v>123.39581482411</c:v>
                </c:pt>
                <c:pt idx="5">
                  <c:v>115.07271972088751</c:v>
                </c:pt>
                <c:pt idx="6">
                  <c:v>104.84975096396499</c:v>
                </c:pt>
                <c:pt idx="7">
                  <c:v>92.726908553342497</c:v>
                </c:pt>
                <c:pt idx="8">
                  <c:v>78.704192489019988</c:v>
                </c:pt>
                <c:pt idx="9">
                  <c:v>62.781602770997495</c:v>
                </c:pt>
                <c:pt idx="10">
                  <c:v>44.959139399274989</c:v>
                </c:pt>
                <c:pt idx="11">
                  <c:v>25.236802373852498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064-4154-A8DF-F732718C2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446031"/>
        <c:axId val="1966528671"/>
      </c:scatterChart>
      <c:valAx>
        <c:axId val="1646446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6528671"/>
        <c:crosses val="autoZero"/>
        <c:crossBetween val="midCat"/>
      </c:valAx>
      <c:valAx>
        <c:axId val="196652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446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136482939632545E-2"/>
          <c:y val="5.0925925925925923E-2"/>
          <c:w val="0.87119685039370076"/>
          <c:h val="0.8416746864975212"/>
        </c:manualLayout>
      </c:layout>
      <c:scatterChart>
        <c:scatterStyle val="smoothMarker"/>
        <c:varyColors val="0"/>
        <c:ser>
          <c:idx val="0"/>
          <c:order val="0"/>
          <c:tx>
            <c:v>10in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'1750'!$R$2:$R$21</c:f>
              <c:numCache>
                <c:formatCode>General</c:formatCode>
                <c:ptCount val="20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</c:numCache>
            </c:numRef>
          </c:xVal>
          <c:yVal>
            <c:numRef>
              <c:f>'1750'!$S$2:$S$21</c:f>
              <c:numCache>
                <c:formatCode>General</c:formatCode>
                <c:ptCount val="20"/>
                <c:pt idx="0">
                  <c:v>105</c:v>
                </c:pt>
                <c:pt idx="1">
                  <c:v>106.94078</c:v>
                </c:pt>
                <c:pt idx="2">
                  <c:v>108.414435</c:v>
                </c:pt>
                <c:pt idx="3">
                  <c:v>109.420965</c:v>
                </c:pt>
                <c:pt idx="4">
                  <c:v>109.96037</c:v>
                </c:pt>
                <c:pt idx="5">
                  <c:v>110.03265</c:v>
                </c:pt>
                <c:pt idx="6">
                  <c:v>109.637805</c:v>
                </c:pt>
                <c:pt idx="7">
                  <c:v>108.775835</c:v>
                </c:pt>
                <c:pt idx="8">
                  <c:v>107.44674000000001</c:v>
                </c:pt>
                <c:pt idx="9">
                  <c:v>105.65052</c:v>
                </c:pt>
                <c:pt idx="10">
                  <c:v>103.387175</c:v>
                </c:pt>
                <c:pt idx="11">
                  <c:v>100.656705</c:v>
                </c:pt>
                <c:pt idx="12">
                  <c:v>97.45911000000001</c:v>
                </c:pt>
                <c:pt idx="13">
                  <c:v>93.794389999999993</c:v>
                </c:pt>
                <c:pt idx="14">
                  <c:v>89.662544999999994</c:v>
                </c:pt>
                <c:pt idx="15">
                  <c:v>85.063575000000014</c:v>
                </c:pt>
                <c:pt idx="16">
                  <c:v>79.997479999999996</c:v>
                </c:pt>
                <c:pt idx="17">
                  <c:v>74.464259999999996</c:v>
                </c:pt>
                <c:pt idx="18">
                  <c:v>68.463915</c:v>
                </c:pt>
                <c:pt idx="19">
                  <c:v>61.996445000000001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F9-42A5-96A1-06A1FB09DFFD}"/>
            </c:ext>
          </c:extLst>
        </c:ser>
        <c:ser>
          <c:idx val="1"/>
          <c:order val="1"/>
          <c:tx>
            <c:v>8in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'1750'!$V$2:$V$18</c:f>
              <c:numCache>
                <c:formatCode>General</c:formatCode>
                <c:ptCount val="17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</c:numCache>
            </c:numRef>
          </c:xVal>
          <c:yVal>
            <c:numRef>
              <c:f>'1750'!$W$2:$W$18</c:f>
              <c:numCache>
                <c:formatCode>General</c:formatCode>
                <c:ptCount val="17"/>
                <c:pt idx="0">
                  <c:v>63</c:v>
                </c:pt>
                <c:pt idx="1">
                  <c:v>62.962274999999998</c:v>
                </c:pt>
                <c:pt idx="2">
                  <c:v>62.629550000000002</c:v>
                </c:pt>
                <c:pt idx="3">
                  <c:v>62.001824999999997</c:v>
                </c:pt>
                <c:pt idx="4">
                  <c:v>61.079099999999997</c:v>
                </c:pt>
                <c:pt idx="5">
                  <c:v>59.861375000000002</c:v>
                </c:pt>
                <c:pt idx="6">
                  <c:v>58.348649999999999</c:v>
                </c:pt>
                <c:pt idx="7">
                  <c:v>56.540925000000001</c:v>
                </c:pt>
                <c:pt idx="8">
                  <c:v>54.438200000000002</c:v>
                </c:pt>
                <c:pt idx="9">
                  <c:v>52.040475000000001</c:v>
                </c:pt>
                <c:pt idx="10">
                  <c:v>49.347749999999998</c:v>
                </c:pt>
                <c:pt idx="11">
                  <c:v>46.360025</c:v>
                </c:pt>
                <c:pt idx="12">
                  <c:v>43.077300000000001</c:v>
                </c:pt>
                <c:pt idx="13">
                  <c:v>39.499575</c:v>
                </c:pt>
                <c:pt idx="14">
                  <c:v>35.626850000000005</c:v>
                </c:pt>
                <c:pt idx="15">
                  <c:v>31.459125</c:v>
                </c:pt>
                <c:pt idx="16">
                  <c:v>26.996400000000001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F9-42A5-96A1-06A1FB09DFFD}"/>
            </c:ext>
          </c:extLst>
        </c:ser>
        <c:ser>
          <c:idx val="2"/>
          <c:order val="2"/>
          <c:tx>
            <c:v>7in</c:v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'1750'!$X$2:$X$15</c:f>
              <c:numCache>
                <c:formatCode>General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</c:numCache>
            </c:numRef>
          </c:xVal>
          <c:yVal>
            <c:numRef>
              <c:f>'1750'!$Y$2:$Y$15</c:f>
              <c:numCache>
                <c:formatCode>General</c:formatCode>
                <c:ptCount val="14"/>
                <c:pt idx="0">
                  <c:v>46</c:v>
                </c:pt>
                <c:pt idx="1">
                  <c:v>46.273000000000003</c:v>
                </c:pt>
                <c:pt idx="2">
                  <c:v>46.258499999999998</c:v>
                </c:pt>
                <c:pt idx="3">
                  <c:v>45.956499999999998</c:v>
                </c:pt>
                <c:pt idx="4">
                  <c:v>45.366999999999997</c:v>
                </c:pt>
                <c:pt idx="5">
                  <c:v>44.49</c:v>
                </c:pt>
                <c:pt idx="6">
                  <c:v>43.325499999999998</c:v>
                </c:pt>
                <c:pt idx="7">
                  <c:v>41.8735</c:v>
                </c:pt>
                <c:pt idx="8">
                  <c:v>40.134</c:v>
                </c:pt>
                <c:pt idx="9">
                  <c:v>38.106999999999999</c:v>
                </c:pt>
                <c:pt idx="10">
                  <c:v>35.792500000000004</c:v>
                </c:pt>
                <c:pt idx="11">
                  <c:v>33.1905</c:v>
                </c:pt>
                <c:pt idx="12">
                  <c:v>30.301000000000002</c:v>
                </c:pt>
                <c:pt idx="13">
                  <c:v>27.124000000000002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F9-42A5-96A1-06A1FB09DFFD}"/>
            </c:ext>
          </c:extLst>
        </c:ser>
        <c:ser>
          <c:idx val="3"/>
          <c:order val="3"/>
          <c:tx>
            <c:v>6in</c:v>
          </c:tx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'1750'!$Z$2:$Z$13</c:f>
              <c:numCache>
                <c:formatCode>General</c:formatCode>
                <c:ptCount val="12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</c:numCache>
            </c:numRef>
          </c:xVal>
          <c:yVal>
            <c:numRef>
              <c:f>'1750'!$AA$2:$AA$13</c:f>
              <c:numCache>
                <c:formatCode>General</c:formatCode>
                <c:ptCount val="12"/>
                <c:pt idx="0">
                  <c:v>32</c:v>
                </c:pt>
                <c:pt idx="1">
                  <c:v>32.110390000000002</c:v>
                </c:pt>
                <c:pt idx="2">
                  <c:v>31.813904999999998</c:v>
                </c:pt>
                <c:pt idx="3">
                  <c:v>31.110545000000002</c:v>
                </c:pt>
                <c:pt idx="4">
                  <c:v>30.000309999999999</c:v>
                </c:pt>
                <c:pt idx="5">
                  <c:v>28.4832</c:v>
                </c:pt>
                <c:pt idx="6">
                  <c:v>26.559215000000002</c:v>
                </c:pt>
                <c:pt idx="7">
                  <c:v>24.228355000000001</c:v>
                </c:pt>
                <c:pt idx="8">
                  <c:v>21.49062</c:v>
                </c:pt>
                <c:pt idx="9">
                  <c:v>18.34601</c:v>
                </c:pt>
                <c:pt idx="10">
                  <c:v>14.794525</c:v>
                </c:pt>
                <c:pt idx="11">
                  <c:v>10.836164999999998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F9-42A5-96A1-06A1FB09DFFD}"/>
            </c:ext>
          </c:extLst>
        </c:ser>
        <c:ser>
          <c:idx val="4"/>
          <c:order val="4"/>
          <c:tx>
            <c:v>9in</c:v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'1750'!$T$2:$T$20</c:f>
              <c:numCache>
                <c:formatCode>General</c:formatCode>
                <c:ptCount val="19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</c:numCache>
            </c:numRef>
          </c:xVal>
          <c:yVal>
            <c:numRef>
              <c:f>'1750'!$U$2:$U$20</c:f>
              <c:numCache>
                <c:formatCode>General</c:formatCode>
                <c:ptCount val="19"/>
                <c:pt idx="0">
                  <c:v>80</c:v>
                </c:pt>
                <c:pt idx="1">
                  <c:v>80.971554999999995</c:v>
                </c:pt>
                <c:pt idx="2">
                  <c:v>81.600110000000001</c:v>
                </c:pt>
                <c:pt idx="3">
                  <c:v>81.885665000000003</c:v>
                </c:pt>
                <c:pt idx="4">
                  <c:v>81.828220000000002</c:v>
                </c:pt>
                <c:pt idx="5">
                  <c:v>81.427774999999997</c:v>
                </c:pt>
                <c:pt idx="6">
                  <c:v>80.684330000000003</c:v>
                </c:pt>
                <c:pt idx="7">
                  <c:v>79.597885000000005</c:v>
                </c:pt>
                <c:pt idx="8">
                  <c:v>78.168440000000004</c:v>
                </c:pt>
                <c:pt idx="9">
                  <c:v>76.395994999999999</c:v>
                </c:pt>
                <c:pt idx="10">
                  <c:v>74.280550000000005</c:v>
                </c:pt>
                <c:pt idx="11">
                  <c:v>71.822104999999993</c:v>
                </c:pt>
                <c:pt idx="12">
                  <c:v>69.020659999999992</c:v>
                </c:pt>
                <c:pt idx="13">
                  <c:v>65.876215000000002</c:v>
                </c:pt>
                <c:pt idx="14">
                  <c:v>62.388770000000001</c:v>
                </c:pt>
                <c:pt idx="15">
                  <c:v>58.558324999999996</c:v>
                </c:pt>
                <c:pt idx="16">
                  <c:v>54.384879999999995</c:v>
                </c:pt>
                <c:pt idx="17">
                  <c:v>49.868435000000005</c:v>
                </c:pt>
                <c:pt idx="18">
                  <c:v>45.008989999999997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F9-42A5-96A1-06A1FB09D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6387855"/>
        <c:axId val="2036389775"/>
      </c:scatterChart>
      <c:valAx>
        <c:axId val="2036387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6389775"/>
        <c:crosses val="autoZero"/>
        <c:crossBetween val="midCat"/>
      </c:valAx>
      <c:valAx>
        <c:axId val="203638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63878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85785639253605"/>
          <c:y val="9.8374161563137934E-3"/>
          <c:w val="0.12754177602799649"/>
          <c:h val="0.390627734033245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Previsão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'Bomba do exercício 6'!$D$2:$D$29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'Bomba do exercício 6'!$E$2:$E$29</c:f>
              <c:numCache>
                <c:formatCode>General</c:formatCode>
                <c:ptCount val="28"/>
                <c:pt idx="0">
                  <c:v>29</c:v>
                </c:pt>
                <c:pt idx="1">
                  <c:v>29.044612799999999</c:v>
                </c:pt>
                <c:pt idx="2">
                  <c:v>29.053030400000001</c:v>
                </c:pt>
                <c:pt idx="3">
                  <c:v>29.025252800000001</c:v>
                </c:pt>
                <c:pt idx="4">
                  <c:v>28.961279999999999</c:v>
                </c:pt>
                <c:pt idx="5">
                  <c:v>28.861111999999999</c:v>
                </c:pt>
                <c:pt idx="6">
                  <c:v>28.7247488</c:v>
                </c:pt>
                <c:pt idx="7">
                  <c:v>28.552190400000001</c:v>
                </c:pt>
                <c:pt idx="8">
                  <c:v>28.343436799999999</c:v>
                </c:pt>
                <c:pt idx="9">
                  <c:v>28.098488</c:v>
                </c:pt>
                <c:pt idx="10">
                  <c:v>27.817343999999999</c:v>
                </c:pt>
                <c:pt idx="11">
                  <c:v>27.500004799999999</c:v>
                </c:pt>
                <c:pt idx="12">
                  <c:v>27.146470400000002</c:v>
                </c:pt>
                <c:pt idx="13">
                  <c:v>26.756740799999999</c:v>
                </c:pt>
                <c:pt idx="14">
                  <c:v>26.330815999999999</c:v>
                </c:pt>
                <c:pt idx="15">
                  <c:v>25.868696</c:v>
                </c:pt>
                <c:pt idx="16">
                  <c:v>25.3703808</c:v>
                </c:pt>
                <c:pt idx="17">
                  <c:v>24.835870400000001</c:v>
                </c:pt>
                <c:pt idx="18">
                  <c:v>24.265164800000001</c:v>
                </c:pt>
                <c:pt idx="19">
                  <c:v>23.658264000000003</c:v>
                </c:pt>
                <c:pt idx="20">
                  <c:v>23.015168000000003</c:v>
                </c:pt>
                <c:pt idx="21">
                  <c:v>22.335876800000001</c:v>
                </c:pt>
                <c:pt idx="22">
                  <c:v>21.620390400000002</c:v>
                </c:pt>
                <c:pt idx="23">
                  <c:v>20.8687088</c:v>
                </c:pt>
                <c:pt idx="24">
                  <c:v>20.080832000000001</c:v>
                </c:pt>
                <c:pt idx="25">
                  <c:v>19.25676</c:v>
                </c:pt>
                <c:pt idx="26">
                  <c:v>18.396492800000001</c:v>
                </c:pt>
                <c:pt idx="27">
                  <c:v>17.5000304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45-40AC-A647-66E2662171DD}"/>
            </c:ext>
          </c:extLst>
        </c:ser>
        <c:ser>
          <c:idx val="1"/>
          <c:order val="1"/>
          <c:tx>
            <c:v>iso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'Bomba do exercício 6'!$D$2:$D$20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'Bomba do exercício 6'!$F$2:$F$20</c:f>
              <c:numCache>
                <c:formatCode>General</c:formatCode>
                <c:ptCount val="19"/>
                <c:pt idx="0">
                  <c:v>0</c:v>
                </c:pt>
                <c:pt idx="1">
                  <c:v>9.2592592592592587E-2</c:v>
                </c:pt>
                <c:pt idx="2">
                  <c:v>0.37037037037037035</c:v>
                </c:pt>
                <c:pt idx="3">
                  <c:v>0.83333333333333326</c:v>
                </c:pt>
                <c:pt idx="4">
                  <c:v>1.4814814814814814</c:v>
                </c:pt>
                <c:pt idx="5">
                  <c:v>2.3148148148148149</c:v>
                </c:pt>
                <c:pt idx="6">
                  <c:v>3.333333333333333</c:v>
                </c:pt>
                <c:pt idx="7">
                  <c:v>4.5370370370370363</c:v>
                </c:pt>
                <c:pt idx="8">
                  <c:v>5.9259259259259256</c:v>
                </c:pt>
                <c:pt idx="9">
                  <c:v>7.4999999999999991</c:v>
                </c:pt>
                <c:pt idx="10">
                  <c:v>9.2592592592592595</c:v>
                </c:pt>
                <c:pt idx="11">
                  <c:v>11.203703703703702</c:v>
                </c:pt>
                <c:pt idx="12">
                  <c:v>13.333333333333332</c:v>
                </c:pt>
                <c:pt idx="13">
                  <c:v>15.648148148148147</c:v>
                </c:pt>
                <c:pt idx="14">
                  <c:v>18.148148148148145</c:v>
                </c:pt>
                <c:pt idx="15">
                  <c:v>20.833333333333332</c:v>
                </c:pt>
                <c:pt idx="16">
                  <c:v>23.703703703703702</c:v>
                </c:pt>
                <c:pt idx="17">
                  <c:v>26.759259259259256</c:v>
                </c:pt>
                <c:pt idx="18">
                  <c:v>29.999999999999996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1A-4E73-B21D-29EC4D933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6365295"/>
        <c:axId val="2036349935"/>
      </c:scatterChart>
      <c:valAx>
        <c:axId val="2036365295"/>
        <c:scaling>
          <c:orientation val="minMax"/>
          <c:max val="27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6349935"/>
        <c:crosses val="autoZero"/>
        <c:crossBetween val="midCat"/>
        <c:majorUnit val="2"/>
      </c:valAx>
      <c:valAx>
        <c:axId val="2036349935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6365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'Bomba do exercício 7'!$D$2:$D$26</c:f>
              <c:numCache>
                <c:formatCode>General</c:formatCode>
                <c:ptCount val="25"/>
                <c:pt idx="0">
                  <c:v>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</c:numCache>
            </c:numRef>
          </c:xVal>
          <c:yVal>
            <c:numRef>
              <c:f>'Bomba do exercício 7'!$E$2:$E$26</c:f>
              <c:numCache>
                <c:formatCode>General</c:formatCode>
                <c:ptCount val="25"/>
                <c:pt idx="0">
                  <c:v>30</c:v>
                </c:pt>
                <c:pt idx="1">
                  <c:v>29.982749999999999</c:v>
                </c:pt>
                <c:pt idx="2">
                  <c:v>29.931000000000001</c:v>
                </c:pt>
                <c:pt idx="3">
                  <c:v>29.844750000000001</c:v>
                </c:pt>
                <c:pt idx="4">
                  <c:v>29.724</c:v>
                </c:pt>
                <c:pt idx="5">
                  <c:v>29.568750000000001</c:v>
                </c:pt>
                <c:pt idx="6">
                  <c:v>29.379000000000001</c:v>
                </c:pt>
                <c:pt idx="7">
                  <c:v>29.15475</c:v>
                </c:pt>
                <c:pt idx="8">
                  <c:v>28.896000000000001</c:v>
                </c:pt>
                <c:pt idx="9">
                  <c:v>28.60275</c:v>
                </c:pt>
                <c:pt idx="10">
                  <c:v>28.274999999999999</c:v>
                </c:pt>
                <c:pt idx="11">
                  <c:v>27.912749999999999</c:v>
                </c:pt>
                <c:pt idx="12">
                  <c:v>27.515999999999998</c:v>
                </c:pt>
                <c:pt idx="13">
                  <c:v>27.08475</c:v>
                </c:pt>
                <c:pt idx="14">
                  <c:v>26.619</c:v>
                </c:pt>
                <c:pt idx="15">
                  <c:v>26.118749999999999</c:v>
                </c:pt>
                <c:pt idx="16">
                  <c:v>25.584</c:v>
                </c:pt>
                <c:pt idx="17">
                  <c:v>25.014749999999999</c:v>
                </c:pt>
                <c:pt idx="18">
                  <c:v>24.411000000000001</c:v>
                </c:pt>
                <c:pt idx="19">
                  <c:v>23.772750000000002</c:v>
                </c:pt>
                <c:pt idx="20">
                  <c:v>23.1</c:v>
                </c:pt>
                <c:pt idx="21">
                  <c:v>22.392749999999999</c:v>
                </c:pt>
                <c:pt idx="22">
                  <c:v>21.651</c:v>
                </c:pt>
                <c:pt idx="23">
                  <c:v>20.874749999999999</c:v>
                </c:pt>
                <c:pt idx="24">
                  <c:v>20.064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FF-42E9-9788-3324E5271BAC}"/>
            </c:ext>
          </c:extLst>
        </c:ser>
        <c:ser>
          <c:idx val="1"/>
          <c:order val="1"/>
          <c:tx>
            <c:v>iso</c:v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'Bomba do exercício 7'!$D$14:$D$22</c:f>
              <c:numCache>
                <c:formatCode>General</c:formatCode>
                <c:ptCount val="9"/>
                <c:pt idx="0">
                  <c:v>600</c:v>
                </c:pt>
                <c:pt idx="1">
                  <c:v>650</c:v>
                </c:pt>
                <c:pt idx="2">
                  <c:v>700</c:v>
                </c:pt>
                <c:pt idx="3">
                  <c:v>750</c:v>
                </c:pt>
                <c:pt idx="4">
                  <c:v>800</c:v>
                </c:pt>
                <c:pt idx="5">
                  <c:v>850</c:v>
                </c:pt>
                <c:pt idx="6">
                  <c:v>900</c:v>
                </c:pt>
                <c:pt idx="7">
                  <c:v>950</c:v>
                </c:pt>
                <c:pt idx="8">
                  <c:v>1000</c:v>
                </c:pt>
              </c:numCache>
            </c:numRef>
          </c:xVal>
          <c:yVal>
            <c:numRef>
              <c:f>'Bomba do exercício 7'!$F$14:$F$22</c:f>
              <c:numCache>
                <c:formatCode>General</c:formatCode>
                <c:ptCount val="9"/>
                <c:pt idx="0">
                  <c:v>25</c:v>
                </c:pt>
                <c:pt idx="1">
                  <c:v>29.340277777777779</c:v>
                </c:pt>
                <c:pt idx="2">
                  <c:v>34.027777777777779</c:v>
                </c:pt>
                <c:pt idx="3">
                  <c:v>39.0625</c:v>
                </c:pt>
                <c:pt idx="4">
                  <c:v>44.444444444444443</c:v>
                </c:pt>
                <c:pt idx="5">
                  <c:v>50.173611111111114</c:v>
                </c:pt>
                <c:pt idx="6">
                  <c:v>56.25</c:v>
                </c:pt>
                <c:pt idx="7">
                  <c:v>62.673611111111114</c:v>
                </c:pt>
                <c:pt idx="8">
                  <c:v>69.444444444444443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F7-4E4C-8C66-E81CD44B5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4518751"/>
        <c:axId val="531157055"/>
      </c:scatterChart>
      <c:valAx>
        <c:axId val="684518751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1157055"/>
        <c:crosses val="autoZero"/>
        <c:crossBetween val="midCat"/>
      </c:valAx>
      <c:valAx>
        <c:axId val="53115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4518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2.png"/><Relationship Id="rId1" Type="http://schemas.openxmlformats.org/officeDocument/2006/relationships/image" Target="../media/image2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4" Type="http://schemas.openxmlformats.org/officeDocument/2006/relationships/image" Target="../media/image19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9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0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jpeg"/><Relationship Id="rId2" Type="http://schemas.openxmlformats.org/officeDocument/2006/relationships/image" Target="../media/image34.jpeg"/><Relationship Id="rId1" Type="http://schemas.openxmlformats.org/officeDocument/2006/relationships/image" Target="../media/image33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42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4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chart" Target="../charts/chart7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388861</xdr:colOff>
      <xdr:row>4</xdr:row>
      <xdr:rowOff>57150</xdr:rowOff>
    </xdr:from>
    <xdr:to>
      <xdr:col>9</xdr:col>
      <xdr:colOff>95250</xdr:colOff>
      <xdr:row>13</xdr:row>
      <xdr:rowOff>155211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601AF1D-A24B-5668-9518-8B713498E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0711" y="889000"/>
          <a:ext cx="3211589" cy="2003061"/>
        </a:xfrm>
        <a:prstGeom prst="rect">
          <a:avLst/>
        </a:prstGeom>
      </xdr:spPr>
    </xdr:pic>
    <xdr:clientData/>
  </xdr:twoCellAnchor>
  <xdr:twoCellAnchor editAs="oneCell">
    <xdr:from>
      <xdr:col>4</xdr:col>
      <xdr:colOff>88901</xdr:colOff>
      <xdr:row>0</xdr:row>
      <xdr:rowOff>0</xdr:rowOff>
    </xdr:from>
    <xdr:to>
      <xdr:col>9</xdr:col>
      <xdr:colOff>31751</xdr:colOff>
      <xdr:row>4</xdr:row>
      <xdr:rowOff>60237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80899B3-64C5-E4D8-62DF-47EDFD35FA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74951" y="0"/>
          <a:ext cx="2863850" cy="8920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331711</xdr:colOff>
      <xdr:row>5</xdr:row>
      <xdr:rowOff>57150</xdr:rowOff>
    </xdr:from>
    <xdr:to>
      <xdr:col>9</xdr:col>
      <xdr:colOff>265319</xdr:colOff>
      <xdr:row>17</xdr:row>
      <xdr:rowOff>57883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CD7DBD-DC88-4726-A188-460FE089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7211" y="1076325"/>
          <a:ext cx="3419758" cy="243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88901</xdr:colOff>
      <xdr:row>0</xdr:row>
      <xdr:rowOff>0</xdr:rowOff>
    </xdr:from>
    <xdr:to>
      <xdr:col>8</xdr:col>
      <xdr:colOff>498476</xdr:colOff>
      <xdr:row>4</xdr:row>
      <xdr:rowOff>90277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1D601BB-68B8-4048-A232-51910E97C0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5426" y="0"/>
          <a:ext cx="2847975" cy="8889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106241</xdr:colOff>
      <xdr:row>5</xdr:row>
      <xdr:rowOff>95250</xdr:rowOff>
    </xdr:from>
    <xdr:to>
      <xdr:col>16</xdr:col>
      <xdr:colOff>446943</xdr:colOff>
      <xdr:row>15</xdr:row>
      <xdr:rowOff>49012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B168FED-6995-FE77-7E79-678AEF7280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46203" y="1150327"/>
          <a:ext cx="3813663" cy="2012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16809</xdr:colOff>
      <xdr:row>0</xdr:row>
      <xdr:rowOff>0</xdr:rowOff>
    </xdr:from>
    <xdr:to>
      <xdr:col>29</xdr:col>
      <xdr:colOff>509868</xdr:colOff>
      <xdr:row>12</xdr:row>
      <xdr:rowOff>165847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AF7EEEB-10B6-925C-0A21-FE8F3982EA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95250</xdr:colOff>
      <xdr:row>8</xdr:row>
      <xdr:rowOff>33617</xdr:rowOff>
    </xdr:from>
    <xdr:to>
      <xdr:col>29</xdr:col>
      <xdr:colOff>28015</xdr:colOff>
      <xdr:row>8</xdr:row>
      <xdr:rowOff>50426</xdr:rowOff>
    </xdr:to>
    <xdr:cxnSp macro="">
      <xdr:nvCxnSpPr>
        <xdr:cNvPr id="7" name="Conector reto 6">
          <a:extLst>
            <a:ext uri="{FF2B5EF4-FFF2-40B4-BE49-F238E27FC236}">
              <a16:creationId xmlns:a16="http://schemas.microsoft.com/office/drawing/2014/main" id="{71F9DA33-56D8-CD6C-A0F8-71EEC487BE17}"/>
            </a:ext>
          </a:extLst>
        </xdr:cNvPr>
        <xdr:cNvCxnSpPr/>
      </xdr:nvCxnSpPr>
      <xdr:spPr>
        <a:xfrm flipV="1">
          <a:off x="13850471" y="1781735"/>
          <a:ext cx="3429000" cy="16809"/>
        </a:xfrm>
        <a:prstGeom prst="line">
          <a:avLst/>
        </a:prstGeom>
        <a:ln w="19050">
          <a:solidFill>
            <a:srgbClr val="FF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336177</xdr:colOff>
      <xdr:row>6</xdr:row>
      <xdr:rowOff>89647</xdr:rowOff>
    </xdr:from>
    <xdr:to>
      <xdr:col>26</xdr:col>
      <xdr:colOff>347383</xdr:colOff>
      <xdr:row>8</xdr:row>
      <xdr:rowOff>44823</xdr:rowOff>
    </xdr:to>
    <xdr:cxnSp macro="">
      <xdr:nvCxnSpPr>
        <xdr:cNvPr id="9" name="Conector de Seta Reta 8">
          <a:extLst>
            <a:ext uri="{FF2B5EF4-FFF2-40B4-BE49-F238E27FC236}">
              <a16:creationId xmlns:a16="http://schemas.microsoft.com/office/drawing/2014/main" id="{EA299C18-5305-0B38-E257-FAC0F9385365}"/>
            </a:ext>
          </a:extLst>
        </xdr:cNvPr>
        <xdr:cNvCxnSpPr/>
      </xdr:nvCxnSpPr>
      <xdr:spPr>
        <a:xfrm flipV="1">
          <a:off x="15839515" y="1367118"/>
          <a:ext cx="11206" cy="425823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488577</xdr:colOff>
      <xdr:row>3</xdr:row>
      <xdr:rowOff>39220</xdr:rowOff>
    </xdr:from>
    <xdr:to>
      <xdr:col>28</xdr:col>
      <xdr:colOff>504265</xdr:colOff>
      <xdr:row>8</xdr:row>
      <xdr:rowOff>29135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18E0AB9B-94C3-447F-B872-CFD3B79B56EC}"/>
            </a:ext>
          </a:extLst>
        </xdr:cNvPr>
        <xdr:cNvCxnSpPr/>
      </xdr:nvCxnSpPr>
      <xdr:spPr>
        <a:xfrm flipV="1">
          <a:off x="17157327" y="717176"/>
          <a:ext cx="15688" cy="1060077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200025</xdr:colOff>
      <xdr:row>5</xdr:row>
      <xdr:rowOff>133351</xdr:rowOff>
    </xdr:from>
    <xdr:to>
      <xdr:col>11</xdr:col>
      <xdr:colOff>151531</xdr:colOff>
      <xdr:row>18</xdr:row>
      <xdr:rowOff>76201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832822A-5662-4025-BCC4-723DD154F8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5" y="1200151"/>
          <a:ext cx="5180731" cy="291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361950</xdr:colOff>
      <xdr:row>6</xdr:row>
      <xdr:rowOff>134214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6BF606E1-ED5E-4408-A9B6-DDCD718B4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753225" cy="14296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1</xdr:rowOff>
    </xdr:from>
    <xdr:to>
      <xdr:col>10</xdr:col>
      <xdr:colOff>8660</xdr:colOff>
      <xdr:row>4</xdr:row>
      <xdr:rowOff>141895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5D34E7C-59C4-5763-2E19-B8FEAADDEB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" y="1"/>
          <a:ext cx="6070022" cy="9038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19049</xdr:colOff>
      <xdr:row>11</xdr:row>
      <xdr:rowOff>180975</xdr:rowOff>
    </xdr:from>
    <xdr:to>
      <xdr:col>6</xdr:col>
      <xdr:colOff>485774</xdr:colOff>
      <xdr:row>21</xdr:row>
      <xdr:rowOff>128699</xdr:rowOff>
    </xdr:to>
    <xdr:pic>
      <xdr:nvPicPr>
        <xdr:cNvPr id="3" name="Imagem 2" descr="Diagrama, Esquemático&#10;&#10;O conteúdo gerado por IA pode estar incorreto.">
          <a:extLst>
            <a:ext uri="{FF2B5EF4-FFF2-40B4-BE49-F238E27FC236}">
              <a16:creationId xmlns:a16="http://schemas.microsoft.com/office/drawing/2014/main" id="{069DD42C-5748-26C7-CCD3-4A9FD28EC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49" y="1704975"/>
          <a:ext cx="4124325" cy="185272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</xdr:col>
      <xdr:colOff>76200</xdr:colOff>
      <xdr:row>12</xdr:row>
      <xdr:rowOff>38100</xdr:rowOff>
    </xdr:from>
    <xdr:to>
      <xdr:col>17</xdr:col>
      <xdr:colOff>192731</xdr:colOff>
      <xdr:row>21</xdr:row>
      <xdr:rowOff>19050</xdr:rowOff>
    </xdr:to>
    <xdr:pic>
      <xdr:nvPicPr>
        <xdr:cNvPr id="4" name="Imagem 3" descr="Diagrama, Esquemático&#10;&#10;O conteúdo gerado por IA pode estar incorreto.">
          <a:extLst>
            <a:ext uri="{FF2B5EF4-FFF2-40B4-BE49-F238E27FC236}">
              <a16:creationId xmlns:a16="http://schemas.microsoft.com/office/drawing/2014/main" id="{75707FC6-C7FB-8079-E28A-B0F3B0EEE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1752600"/>
          <a:ext cx="4383731" cy="16954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0</xdr:colOff>
      <xdr:row>24</xdr:row>
      <xdr:rowOff>96982</xdr:rowOff>
    </xdr:from>
    <xdr:to>
      <xdr:col>6</xdr:col>
      <xdr:colOff>408079</xdr:colOff>
      <xdr:row>34</xdr:row>
      <xdr:rowOff>20782</xdr:rowOff>
    </xdr:to>
    <xdr:pic>
      <xdr:nvPicPr>
        <xdr:cNvPr id="5" name="Imagem 4" descr="Diagrama, Esquemático&#10;&#10;O conteúdo gerado por IA pode estar incorreto.">
          <a:extLst>
            <a:ext uri="{FF2B5EF4-FFF2-40B4-BE49-F238E27FC236}">
              <a16:creationId xmlns:a16="http://schemas.microsoft.com/office/drawing/2014/main" id="{814AF060-0982-ABC6-2E40-8CC41762F0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13118"/>
          <a:ext cx="4044897" cy="18288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600075</xdr:colOff>
      <xdr:row>24</xdr:row>
      <xdr:rowOff>113434</xdr:rowOff>
    </xdr:from>
    <xdr:to>
      <xdr:col>17</xdr:col>
      <xdr:colOff>333375</xdr:colOff>
      <xdr:row>34</xdr:row>
      <xdr:rowOff>105667</xdr:rowOff>
    </xdr:to>
    <xdr:pic>
      <xdr:nvPicPr>
        <xdr:cNvPr id="6" name="Imagem 5" descr="Diagrama, Esquemático&#10;&#10;O conteúdo gerado por IA pode estar incorreto.">
          <a:extLst>
            <a:ext uri="{FF2B5EF4-FFF2-40B4-BE49-F238E27FC236}">
              <a16:creationId xmlns:a16="http://schemas.microsoft.com/office/drawing/2014/main" id="{1EA250A1-7623-553D-78A9-FCA82315C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5302" y="4529570"/>
          <a:ext cx="4582391" cy="189723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7</xdr:col>
      <xdr:colOff>0</xdr:colOff>
      <xdr:row>49</xdr:row>
      <xdr:rowOff>166305</xdr:rowOff>
    </xdr:to>
    <xdr:pic>
      <xdr:nvPicPr>
        <xdr:cNvPr id="7" name="Imagem 6" descr="Diagrama, Esquemático&#10;&#10;O conteúdo gerado por IA pode estar incorreto.">
          <a:extLst>
            <a:ext uri="{FF2B5EF4-FFF2-40B4-BE49-F238E27FC236}">
              <a16:creationId xmlns:a16="http://schemas.microsoft.com/office/drawing/2014/main" id="{B9947D5A-AB6F-8EE3-CD7C-6FACD9DDC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0"/>
          <a:ext cx="4267200" cy="207130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</xdr:col>
      <xdr:colOff>0</xdr:colOff>
      <xdr:row>39</xdr:row>
      <xdr:rowOff>0</xdr:rowOff>
    </xdr:from>
    <xdr:to>
      <xdr:col>17</xdr:col>
      <xdr:colOff>38100</xdr:colOff>
      <xdr:row>50</xdr:row>
      <xdr:rowOff>104288</xdr:rowOff>
    </xdr:to>
    <xdr:pic>
      <xdr:nvPicPr>
        <xdr:cNvPr id="8" name="Imagem 7" descr="Diagrama&#10;&#10;O conteúdo gerado por IA pode estar incorreto.">
          <a:extLst>
            <a:ext uri="{FF2B5EF4-FFF2-40B4-BE49-F238E27FC236}">
              <a16:creationId xmlns:a16="http://schemas.microsoft.com/office/drawing/2014/main" id="{2620639A-1C65-4BA0-8CF0-7940D044D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0" y="6858000"/>
          <a:ext cx="4305300" cy="2199788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11</xdr:col>
      <xdr:colOff>583407</xdr:colOff>
      <xdr:row>0</xdr:row>
      <xdr:rowOff>0</xdr:rowOff>
    </xdr:from>
    <xdr:to>
      <xdr:col>25</xdr:col>
      <xdr:colOff>223838</xdr:colOff>
      <xdr:row>6</xdr:row>
      <xdr:rowOff>78798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F98D7CC2-1A52-DAC5-8ACF-FADAC8CBD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62813" y="0"/>
          <a:ext cx="8141494" cy="124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232171</xdr:colOff>
      <xdr:row>18</xdr:row>
      <xdr:rowOff>89297</xdr:rowOff>
    </xdr:from>
    <xdr:to>
      <xdr:col>10</xdr:col>
      <xdr:colOff>404812</xdr:colOff>
      <xdr:row>19</xdr:row>
      <xdr:rowOff>77390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7743E351-C32A-8A59-8BE1-2F38BAD98286}"/>
            </a:ext>
          </a:extLst>
        </xdr:cNvPr>
        <xdr:cNvSpPr/>
      </xdr:nvSpPr>
      <xdr:spPr>
        <a:xfrm>
          <a:off x="6304359" y="3607594"/>
          <a:ext cx="172641" cy="17859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200024</xdr:colOff>
      <xdr:row>12</xdr:row>
      <xdr:rowOff>63103</xdr:rowOff>
    </xdr:from>
    <xdr:to>
      <xdr:col>14</xdr:col>
      <xdr:colOff>372665</xdr:colOff>
      <xdr:row>13</xdr:row>
      <xdr:rowOff>51196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9B94E775-A00E-4903-93A3-54D65AF01F44}"/>
            </a:ext>
          </a:extLst>
        </xdr:cNvPr>
        <xdr:cNvSpPr/>
      </xdr:nvSpPr>
      <xdr:spPr>
        <a:xfrm>
          <a:off x="8701087" y="2438400"/>
          <a:ext cx="172641" cy="17859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348853</xdr:colOff>
      <xdr:row>18</xdr:row>
      <xdr:rowOff>122634</xdr:rowOff>
    </xdr:from>
    <xdr:to>
      <xdr:col>0</xdr:col>
      <xdr:colOff>521494</xdr:colOff>
      <xdr:row>19</xdr:row>
      <xdr:rowOff>110727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4D45D66F-71EF-45B1-8E4C-78F58562578D}"/>
            </a:ext>
          </a:extLst>
        </xdr:cNvPr>
        <xdr:cNvSpPr/>
      </xdr:nvSpPr>
      <xdr:spPr>
        <a:xfrm>
          <a:off x="348853" y="3640931"/>
          <a:ext cx="172641" cy="17859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477440</xdr:colOff>
      <xdr:row>12</xdr:row>
      <xdr:rowOff>36909</xdr:rowOff>
    </xdr:from>
    <xdr:to>
      <xdr:col>4</xdr:col>
      <xdr:colOff>42862</xdr:colOff>
      <xdr:row>13</xdr:row>
      <xdr:rowOff>25002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D553304E-3D66-4186-A7BB-EC7A4B53C151}"/>
            </a:ext>
          </a:extLst>
        </xdr:cNvPr>
        <xdr:cNvSpPr/>
      </xdr:nvSpPr>
      <xdr:spPr>
        <a:xfrm>
          <a:off x="2299096" y="2412206"/>
          <a:ext cx="172641" cy="17859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382191</xdr:colOff>
      <xdr:row>30</xdr:row>
      <xdr:rowOff>13096</xdr:rowOff>
    </xdr:from>
    <xdr:to>
      <xdr:col>0</xdr:col>
      <xdr:colOff>554832</xdr:colOff>
      <xdr:row>31</xdr:row>
      <xdr:rowOff>1189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B760F487-30A2-43C5-8998-33B74E9D29A5}"/>
            </a:ext>
          </a:extLst>
        </xdr:cNvPr>
        <xdr:cNvSpPr/>
      </xdr:nvSpPr>
      <xdr:spPr>
        <a:xfrm>
          <a:off x="382191" y="5853112"/>
          <a:ext cx="172641" cy="17859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207169</xdr:colOff>
      <xdr:row>26</xdr:row>
      <xdr:rowOff>117871</xdr:rowOff>
    </xdr:from>
    <xdr:to>
      <xdr:col>4</xdr:col>
      <xdr:colOff>379810</xdr:colOff>
      <xdr:row>27</xdr:row>
      <xdr:rowOff>105964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3DC85F4A-E5BC-4A39-96D1-C7FEBA7BCE37}"/>
            </a:ext>
          </a:extLst>
        </xdr:cNvPr>
        <xdr:cNvSpPr/>
      </xdr:nvSpPr>
      <xdr:spPr>
        <a:xfrm>
          <a:off x="2636044" y="5195887"/>
          <a:ext cx="172641" cy="17859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396478</xdr:colOff>
      <xdr:row>25</xdr:row>
      <xdr:rowOff>15478</xdr:rowOff>
    </xdr:from>
    <xdr:to>
      <xdr:col>10</xdr:col>
      <xdr:colOff>569119</xdr:colOff>
      <xdr:row>26</xdr:row>
      <xdr:rowOff>3571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F26ECC16-BFB5-4FFE-9F88-53703206E146}"/>
            </a:ext>
          </a:extLst>
        </xdr:cNvPr>
        <xdr:cNvSpPr/>
      </xdr:nvSpPr>
      <xdr:spPr>
        <a:xfrm>
          <a:off x="6468666" y="4902994"/>
          <a:ext cx="172641" cy="17859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54769</xdr:colOff>
      <xdr:row>27</xdr:row>
      <xdr:rowOff>120253</xdr:rowOff>
    </xdr:from>
    <xdr:to>
      <xdr:col>15</xdr:col>
      <xdr:colOff>227410</xdr:colOff>
      <xdr:row>28</xdr:row>
      <xdr:rowOff>108346</xdr:rowOff>
    </xdr:to>
    <xdr:sp macro="" textlink="">
      <xdr:nvSpPr>
        <xdr:cNvPr id="17" name="Elipse 16">
          <a:extLst>
            <a:ext uri="{FF2B5EF4-FFF2-40B4-BE49-F238E27FC236}">
              <a16:creationId xmlns:a16="http://schemas.microsoft.com/office/drawing/2014/main" id="{3EA7AA52-4735-4292-9D05-923C130A7BA5}"/>
            </a:ext>
          </a:extLst>
        </xdr:cNvPr>
        <xdr:cNvSpPr/>
      </xdr:nvSpPr>
      <xdr:spPr>
        <a:xfrm>
          <a:off x="9163050" y="5388769"/>
          <a:ext cx="172641" cy="17859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488156</xdr:colOff>
      <xdr:row>44</xdr:row>
      <xdr:rowOff>71438</xdr:rowOff>
    </xdr:from>
    <xdr:to>
      <xdr:col>1</xdr:col>
      <xdr:colOff>53578</xdr:colOff>
      <xdr:row>45</xdr:row>
      <xdr:rowOff>59531</xdr:rowOff>
    </xdr:to>
    <xdr:sp macro="" textlink="">
      <xdr:nvSpPr>
        <xdr:cNvPr id="18" name="Elipse 17">
          <a:extLst>
            <a:ext uri="{FF2B5EF4-FFF2-40B4-BE49-F238E27FC236}">
              <a16:creationId xmlns:a16="http://schemas.microsoft.com/office/drawing/2014/main" id="{83A046CA-21C5-4893-A698-BBF01BE9171C}"/>
            </a:ext>
          </a:extLst>
        </xdr:cNvPr>
        <xdr:cNvSpPr/>
      </xdr:nvSpPr>
      <xdr:spPr>
        <a:xfrm>
          <a:off x="488156" y="8649891"/>
          <a:ext cx="172641" cy="17859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557212</xdr:colOff>
      <xdr:row>40</xdr:row>
      <xdr:rowOff>176214</xdr:rowOff>
    </xdr:from>
    <xdr:to>
      <xdr:col>5</xdr:col>
      <xdr:colOff>122634</xdr:colOff>
      <xdr:row>41</xdr:row>
      <xdr:rowOff>164307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736FD9BE-BC51-408B-A4B4-CF69AD255E42}"/>
            </a:ext>
          </a:extLst>
        </xdr:cNvPr>
        <xdr:cNvSpPr/>
      </xdr:nvSpPr>
      <xdr:spPr>
        <a:xfrm>
          <a:off x="2986087" y="7992667"/>
          <a:ext cx="172641" cy="17859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351234</xdr:colOff>
      <xdr:row>47</xdr:row>
      <xdr:rowOff>148828</xdr:rowOff>
    </xdr:from>
    <xdr:to>
      <xdr:col>10</xdr:col>
      <xdr:colOff>523875</xdr:colOff>
      <xdr:row>48</xdr:row>
      <xdr:rowOff>136921</xdr:rowOff>
    </xdr:to>
    <xdr:sp macro="" textlink="">
      <xdr:nvSpPr>
        <xdr:cNvPr id="20" name="Elipse 19">
          <a:extLst>
            <a:ext uri="{FF2B5EF4-FFF2-40B4-BE49-F238E27FC236}">
              <a16:creationId xmlns:a16="http://schemas.microsoft.com/office/drawing/2014/main" id="{CCD799AD-1319-4544-8934-1BDE03EF3412}"/>
            </a:ext>
          </a:extLst>
        </xdr:cNvPr>
        <xdr:cNvSpPr/>
      </xdr:nvSpPr>
      <xdr:spPr>
        <a:xfrm>
          <a:off x="6423422" y="9298781"/>
          <a:ext cx="172641" cy="17859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307181</xdr:colOff>
      <xdr:row>42</xdr:row>
      <xdr:rowOff>21431</xdr:rowOff>
    </xdr:from>
    <xdr:to>
      <xdr:col>14</xdr:col>
      <xdr:colOff>479822</xdr:colOff>
      <xdr:row>43</xdr:row>
      <xdr:rowOff>9524</xdr:rowOff>
    </xdr:to>
    <xdr:sp macro="" textlink="">
      <xdr:nvSpPr>
        <xdr:cNvPr id="21" name="Elipse 20">
          <a:extLst>
            <a:ext uri="{FF2B5EF4-FFF2-40B4-BE49-F238E27FC236}">
              <a16:creationId xmlns:a16="http://schemas.microsoft.com/office/drawing/2014/main" id="{B89F2ADE-B65E-4FA7-AC34-CE0763CE1D24}"/>
            </a:ext>
          </a:extLst>
        </xdr:cNvPr>
        <xdr:cNvSpPr/>
      </xdr:nvSpPr>
      <xdr:spPr>
        <a:xfrm>
          <a:off x="8808244" y="8218884"/>
          <a:ext cx="172641" cy="17859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352425</xdr:colOff>
      <xdr:row>7</xdr:row>
      <xdr:rowOff>46038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9C573A6-7F70-3F63-5E6D-E3A232C336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1457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9524</xdr:rowOff>
    </xdr:from>
    <xdr:to>
      <xdr:col>10</xdr:col>
      <xdr:colOff>76200</xdr:colOff>
      <xdr:row>24</xdr:row>
      <xdr:rowOff>124502</xdr:rowOff>
    </xdr:to>
    <xdr:pic>
      <xdr:nvPicPr>
        <xdr:cNvPr id="3" name="Imagem 2" descr="Diagrama&#10;&#10;O conteúdo gerado por IA pode estar incorreto.">
          <a:extLst>
            <a:ext uri="{FF2B5EF4-FFF2-40B4-BE49-F238E27FC236}">
              <a16:creationId xmlns:a16="http://schemas.microsoft.com/office/drawing/2014/main" id="{B2D9767D-AFCB-72BF-7243-61721759E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33524"/>
          <a:ext cx="6172200" cy="3162978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43296</xdr:colOff>
      <xdr:row>20</xdr:row>
      <xdr:rowOff>113433</xdr:rowOff>
    </xdr:from>
    <xdr:to>
      <xdr:col>1</xdr:col>
      <xdr:colOff>215937</xdr:colOff>
      <xdr:row>21</xdr:row>
      <xdr:rowOff>101526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32670650-E8EA-4F9C-B4A3-454EAF66FDEA}"/>
            </a:ext>
          </a:extLst>
        </xdr:cNvPr>
        <xdr:cNvSpPr/>
      </xdr:nvSpPr>
      <xdr:spPr>
        <a:xfrm>
          <a:off x="649432" y="3992706"/>
          <a:ext cx="172641" cy="17859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282286</xdr:colOff>
      <xdr:row>8</xdr:row>
      <xdr:rowOff>40697</xdr:rowOff>
    </xdr:from>
    <xdr:to>
      <xdr:col>7</xdr:col>
      <xdr:colOff>454927</xdr:colOff>
      <xdr:row>9</xdr:row>
      <xdr:rowOff>28790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6AC8EBAE-E2C7-48E4-AF50-FA0F3691E1DC}"/>
            </a:ext>
          </a:extLst>
        </xdr:cNvPr>
        <xdr:cNvSpPr/>
      </xdr:nvSpPr>
      <xdr:spPr>
        <a:xfrm>
          <a:off x="4525241" y="1633970"/>
          <a:ext cx="172641" cy="17859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308162</xdr:colOff>
      <xdr:row>0</xdr:row>
      <xdr:rowOff>0</xdr:rowOff>
    </xdr:from>
    <xdr:to>
      <xdr:col>33</xdr:col>
      <xdr:colOff>605118</xdr:colOff>
      <xdr:row>13</xdr:row>
      <xdr:rowOff>188259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E078997-1B9C-ED3E-70CA-34516EB42C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371475</xdr:colOff>
      <xdr:row>11</xdr:row>
      <xdr:rowOff>16371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45175B2-2F8E-9701-07FC-1BF06B99B5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905875" cy="21118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104775</xdr:rowOff>
    </xdr:from>
    <xdr:to>
      <xdr:col>15</xdr:col>
      <xdr:colOff>571500</xdr:colOff>
      <xdr:row>32</xdr:row>
      <xdr:rowOff>180975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38A1102-1DA3-C5DA-0C3E-3994D5A476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9715500" cy="407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133350</xdr:colOff>
      <xdr:row>6</xdr:row>
      <xdr:rowOff>95250</xdr:rowOff>
    </xdr:from>
    <xdr:to>
      <xdr:col>23</xdr:col>
      <xdr:colOff>161925</xdr:colOff>
      <xdr:row>22</xdr:row>
      <xdr:rowOff>180975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82D5B56-2EB1-3D3A-41D0-7460B91C52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96550" y="1238250"/>
          <a:ext cx="3686175" cy="3133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577850</xdr:colOff>
      <xdr:row>1</xdr:row>
      <xdr:rowOff>114300</xdr:rowOff>
    </xdr:from>
    <xdr:to>
      <xdr:col>27</xdr:col>
      <xdr:colOff>190500</xdr:colOff>
      <xdr:row>6</xdr:row>
      <xdr:rowOff>142875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8180F91-6581-1D9F-2553-13A84868E4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9450" y="304800"/>
          <a:ext cx="3270250" cy="981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171450</xdr:colOff>
      <xdr:row>1</xdr:row>
      <xdr:rowOff>104775</xdr:rowOff>
    </xdr:from>
    <xdr:to>
      <xdr:col>21</xdr:col>
      <xdr:colOff>381000</xdr:colOff>
      <xdr:row>6</xdr:row>
      <xdr:rowOff>182293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B0B82221-05E7-4018-B803-3DB7A430C8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295275"/>
          <a:ext cx="2038350" cy="10300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4</xdr:col>
      <xdr:colOff>598714</xdr:colOff>
      <xdr:row>41</xdr:row>
      <xdr:rowOff>123825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4D1F0C01-A6F7-4B9F-9802-07B949FAD5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48500"/>
          <a:ext cx="3037114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47625</xdr:colOff>
      <xdr:row>7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491CB96-8BBD-C25D-5CB5-9FE9AB29A2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334625" cy="133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504825</xdr:colOff>
      <xdr:row>7</xdr:row>
      <xdr:rowOff>133349</xdr:rowOff>
    </xdr:from>
    <xdr:to>
      <xdr:col>14</xdr:col>
      <xdr:colOff>493939</xdr:colOff>
      <xdr:row>11</xdr:row>
      <xdr:rowOff>190499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B5C2FAD-2808-4DA6-DEDC-0636792009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466849"/>
          <a:ext cx="3037114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19049</xdr:colOff>
      <xdr:row>18</xdr:row>
      <xdr:rowOff>71437</xdr:rowOff>
    </xdr:from>
    <xdr:to>
      <xdr:col>11</xdr:col>
      <xdr:colOff>390524</xdr:colOff>
      <xdr:row>36</xdr:row>
      <xdr:rowOff>104775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7440CC5-A94F-8A79-4990-1DB5429510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495300</xdr:colOff>
      <xdr:row>10</xdr:row>
      <xdr:rowOff>76200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872031A-E361-AFDE-D2A9-A81059C011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6393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514350</xdr:colOff>
      <xdr:row>11</xdr:row>
      <xdr:rowOff>38100</xdr:rowOff>
    </xdr:from>
    <xdr:to>
      <xdr:col>11</xdr:col>
      <xdr:colOff>285750</xdr:colOff>
      <xdr:row>35</xdr:row>
      <xdr:rowOff>19050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C924A8E-BE4B-5536-2CE8-79AA2C5063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2133600"/>
          <a:ext cx="5867400" cy="4610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180975</xdr:colOff>
      <xdr:row>8</xdr:row>
      <xdr:rowOff>104775</xdr:rowOff>
    </xdr:from>
    <xdr:to>
      <xdr:col>17</xdr:col>
      <xdr:colOff>476250</xdr:colOff>
      <xdr:row>16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665E0397-2864-E908-B937-155C2F1470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175" y="1628775"/>
          <a:ext cx="3343275" cy="1447800"/>
        </a:xfrm>
        <a:prstGeom prst="rect">
          <a:avLst/>
        </a:prstGeom>
        <a:noFill/>
        <a:effectLst>
          <a:outerShdw blurRad="50800" dist="38100" dir="16200000" rotWithShape="0">
            <a:prstClr val="black">
              <a:alpha val="40000"/>
            </a:prstClr>
          </a:outerShdw>
          <a:softEdge rad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590550</xdr:colOff>
      <xdr:row>0</xdr:row>
      <xdr:rowOff>0</xdr:rowOff>
    </xdr:from>
    <xdr:to>
      <xdr:col>24</xdr:col>
      <xdr:colOff>9525</xdr:colOff>
      <xdr:row>16</xdr:row>
      <xdr:rowOff>57150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D0F66F6-02C6-408E-AA4A-D3F9495EB2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0" y="0"/>
          <a:ext cx="3686175" cy="3133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5</xdr:row>
      <xdr:rowOff>85725</xdr:rowOff>
    </xdr:from>
    <xdr:to>
      <xdr:col>11</xdr:col>
      <xdr:colOff>295275</xdr:colOff>
      <xdr:row>27</xdr:row>
      <xdr:rowOff>123825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66DC260-42E6-0BEE-9F08-E251450756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9700" y="1038225"/>
          <a:ext cx="5591175" cy="422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476250</xdr:colOff>
      <xdr:row>5</xdr:row>
      <xdr:rowOff>133350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7B13A198-805B-4A03-79A4-F7978EC432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010650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19</xdr:col>
      <xdr:colOff>295275</xdr:colOff>
      <xdr:row>14</xdr:row>
      <xdr:rowOff>114300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425C322-65B5-4284-8F81-AD6F73ACF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33500"/>
          <a:ext cx="3343275" cy="1447800"/>
        </a:xfrm>
        <a:prstGeom prst="rect">
          <a:avLst/>
        </a:prstGeom>
        <a:noFill/>
        <a:effectLst>
          <a:outerShdw blurRad="50800" dist="38100" dir="16200000" rotWithShape="0">
            <a:prstClr val="black">
              <a:alpha val="40000"/>
            </a:prstClr>
          </a:outerShdw>
          <a:softEdge rad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238125</xdr:colOff>
      <xdr:row>0</xdr:row>
      <xdr:rowOff>0</xdr:rowOff>
    </xdr:from>
    <xdr:to>
      <xdr:col>33</xdr:col>
      <xdr:colOff>381000</xdr:colOff>
      <xdr:row>18</xdr:row>
      <xdr:rowOff>159771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7C41D7F6-904E-183D-CAD7-E2C8E45991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0" y="0"/>
          <a:ext cx="8036719" cy="3588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514350</xdr:colOff>
      <xdr:row>14</xdr:row>
      <xdr:rowOff>66675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FE80DD4-7DE0-4F13-A524-60C72640BA4F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123950" cy="25431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400050</xdr:colOff>
      <xdr:row>1</xdr:row>
      <xdr:rowOff>146050</xdr:rowOff>
    </xdr:from>
    <xdr:to>
      <xdr:col>18</xdr:col>
      <xdr:colOff>265430</xdr:colOff>
      <xdr:row>18</xdr:row>
      <xdr:rowOff>57150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FC1637B-7C26-41C0-B447-45299F832F84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48550" y="336550"/>
          <a:ext cx="3522980" cy="31496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451346</xdr:colOff>
      <xdr:row>0</xdr:row>
      <xdr:rowOff>0</xdr:rowOff>
    </xdr:from>
    <xdr:to>
      <xdr:col>26</xdr:col>
      <xdr:colOff>327520</xdr:colOff>
      <xdr:row>13</xdr:row>
      <xdr:rowOff>66675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7DE8CB3-B6A7-4A67-AED4-50CB4E29C11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95946" y="0"/>
          <a:ext cx="1095374" cy="254317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121228</xdr:colOff>
      <xdr:row>3</xdr:row>
      <xdr:rowOff>159326</xdr:rowOff>
    </xdr:from>
    <xdr:to>
      <xdr:col>23</xdr:col>
      <xdr:colOff>95250</xdr:colOff>
      <xdr:row>20</xdr:row>
      <xdr:rowOff>155864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684F149-FEAE-4E11-A98E-5067F61189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12</xdr:col>
      <xdr:colOff>171451</xdr:colOff>
      <xdr:row>5</xdr:row>
      <xdr:rowOff>66239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35047CB-71B1-F630-46DD-2F804CCB82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7315200" cy="10187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365125</xdr:colOff>
      <xdr:row>12</xdr:row>
      <xdr:rowOff>133350</xdr:rowOff>
    </xdr:to>
    <xdr:pic>
      <xdr:nvPicPr>
        <xdr:cNvPr id="2" name="Imagem 1" descr="C:\Users\Marcos\1-MARCOS\1-ENSINO\OP A\Matéria\OP I\Figuras 2\Figura 88.jpg">
          <a:extLst>
            <a:ext uri="{FF2B5EF4-FFF2-40B4-BE49-F238E27FC236}">
              <a16:creationId xmlns:a16="http://schemas.microsoft.com/office/drawing/2014/main" id="{4CF80923-4DA9-47A1-A25D-6FA0BAF7B331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32325" cy="24193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50800</xdr:colOff>
      <xdr:row>0</xdr:row>
      <xdr:rowOff>68792</xdr:rowOff>
    </xdr:from>
    <xdr:to>
      <xdr:col>15</xdr:col>
      <xdr:colOff>345440</xdr:colOff>
      <xdr:row>12</xdr:row>
      <xdr:rowOff>115147</xdr:rowOff>
    </xdr:to>
    <xdr:pic>
      <xdr:nvPicPr>
        <xdr:cNvPr id="3" name="Imagem 2" descr="C:\Users\Marcos\1-MARCOS\1-ENSINO\OP A\Matéria\OP I\Figuras 2\Figura 89.jpg">
          <a:extLst>
            <a:ext uri="{FF2B5EF4-FFF2-40B4-BE49-F238E27FC236}">
              <a16:creationId xmlns:a16="http://schemas.microsoft.com/office/drawing/2014/main" id="{1845F471-F85C-4928-8DFD-A3355A06F435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9000" y="68792"/>
          <a:ext cx="4561840" cy="233235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5</xdr:col>
      <xdr:colOff>0</xdr:colOff>
      <xdr:row>13</xdr:row>
      <xdr:rowOff>152400</xdr:rowOff>
    </xdr:from>
    <xdr:to>
      <xdr:col>12</xdr:col>
      <xdr:colOff>140335</xdr:colOff>
      <xdr:row>25</xdr:row>
      <xdr:rowOff>32385</xdr:rowOff>
    </xdr:to>
    <xdr:pic>
      <xdr:nvPicPr>
        <xdr:cNvPr id="4" name="Imagem 3" descr="C:\Users\Marcos\1-MARCOS\1-ENSINO\OP A\Matéria\OP I\Figuras 2\Figura 90.jpg">
          <a:extLst>
            <a:ext uri="{FF2B5EF4-FFF2-40B4-BE49-F238E27FC236}">
              <a16:creationId xmlns:a16="http://schemas.microsoft.com/office/drawing/2014/main" id="{2A6BDF5F-383F-4BA9-AEEA-89A0F2958E5E}"/>
            </a:ext>
          </a:extLst>
        </xdr:cNvPr>
        <xdr:cNvPicPr/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5125" y="2628900"/>
          <a:ext cx="4407535" cy="216598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2197100</xdr:colOff>
      <xdr:row>32</xdr:row>
      <xdr:rowOff>88900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DEC0331-352A-4BAE-A002-ECBCF25C91FD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784600" cy="60071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161745</xdr:colOff>
      <xdr:row>21</xdr:row>
      <xdr:rowOff>3624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FC1C175-D692-594C-4C7C-53CD46A97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70707" cy="396638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412750</xdr:colOff>
      <xdr:row>21</xdr:row>
      <xdr:rowOff>107950</xdr:rowOff>
    </xdr:to>
    <xdr:pic>
      <xdr:nvPicPr>
        <xdr:cNvPr id="2" name="Imagem 1" descr="C:\Users\Marcos\1-MARCOS\1-ENSINO\FT 1\MATÉRIA\DIAGRAMA DE MOODY.jpg">
          <a:extLst>
            <a:ext uri="{FF2B5EF4-FFF2-40B4-BE49-F238E27FC236}">
              <a16:creationId xmlns:a16="http://schemas.microsoft.com/office/drawing/2014/main" id="{253535B3-6060-4F45-BD7E-E1A6B79AD7B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118350" cy="39751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80596</xdr:colOff>
      <xdr:row>0</xdr:row>
      <xdr:rowOff>0</xdr:rowOff>
    </xdr:from>
    <xdr:to>
      <xdr:col>19</xdr:col>
      <xdr:colOff>25643</xdr:colOff>
      <xdr:row>17</xdr:row>
      <xdr:rowOff>169008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9F2ED68-8262-4377-86DF-72DE2F3CC28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8865" y="0"/>
          <a:ext cx="5154490" cy="4279412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495300</xdr:colOff>
      <xdr:row>17</xdr:row>
      <xdr:rowOff>182956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7DFF1F4-93C1-43F6-9404-1C23BABEBD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886575" cy="34214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333375</xdr:colOff>
      <xdr:row>18</xdr:row>
      <xdr:rowOff>185114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B9A0C9A-F702-47E8-8292-B813936FBC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48575" cy="3614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371475</xdr:colOff>
      <xdr:row>22</xdr:row>
      <xdr:rowOff>161925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FEFE0F6-18E6-01E0-2ED0-892D6CBDC5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467475" cy="435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29</xdr:col>
      <xdr:colOff>228600</xdr:colOff>
      <xdr:row>0</xdr:row>
      <xdr:rowOff>0</xdr:rowOff>
    </xdr:from>
    <xdr:to>
      <xdr:col>36</xdr:col>
      <xdr:colOff>533400</xdr:colOff>
      <xdr:row>14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7072BE0-0DC8-F826-FFE1-D93A128632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211992</xdr:colOff>
      <xdr:row>24</xdr:row>
      <xdr:rowOff>29200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16BDD1E-2061-43F3-B679-5ABBEBD9A1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698392" cy="460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612291</xdr:colOff>
      <xdr:row>17</xdr:row>
      <xdr:rowOff>112805</xdr:rowOff>
    </xdr:from>
    <xdr:to>
      <xdr:col>5</xdr:col>
      <xdr:colOff>177770</xdr:colOff>
      <xdr:row>18</xdr:row>
      <xdr:rowOff>81055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BC3A76A5-F297-F756-B653-A676B81D9E6A}"/>
            </a:ext>
          </a:extLst>
        </xdr:cNvPr>
        <xdr:cNvSpPr/>
      </xdr:nvSpPr>
      <xdr:spPr>
        <a:xfrm>
          <a:off x="3061577" y="3417397"/>
          <a:ext cx="177800" cy="162638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587844</xdr:colOff>
      <xdr:row>13</xdr:row>
      <xdr:rowOff>132666</xdr:rowOff>
    </xdr:from>
    <xdr:to>
      <xdr:col>6</xdr:col>
      <xdr:colOff>155179</xdr:colOff>
      <xdr:row>14</xdr:row>
      <xdr:rowOff>100916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9E543BFE-DB05-4361-B1DD-1E780B634440}"/>
            </a:ext>
          </a:extLst>
        </xdr:cNvPr>
        <xdr:cNvSpPr/>
      </xdr:nvSpPr>
      <xdr:spPr>
        <a:xfrm>
          <a:off x="3628517" y="2609166"/>
          <a:ext cx="175470" cy="1587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43284</xdr:colOff>
      <xdr:row>15</xdr:row>
      <xdr:rowOff>20049</xdr:rowOff>
    </xdr:from>
    <xdr:to>
      <xdr:col>7</xdr:col>
      <xdr:colOff>222685</xdr:colOff>
      <xdr:row>15</xdr:row>
      <xdr:rowOff>182687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043BD9F-C10D-454C-8535-0D918FF6AB46}"/>
            </a:ext>
          </a:extLst>
        </xdr:cNvPr>
        <xdr:cNvSpPr/>
      </xdr:nvSpPr>
      <xdr:spPr>
        <a:xfrm>
          <a:off x="4329534" y="2935865"/>
          <a:ext cx="179401" cy="162638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151869</xdr:colOff>
      <xdr:row>10</xdr:row>
      <xdr:rowOff>145728</xdr:rowOff>
    </xdr:from>
    <xdr:to>
      <xdr:col>7</xdr:col>
      <xdr:colOff>327814</xdr:colOff>
      <xdr:row>11</xdr:row>
      <xdr:rowOff>113978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8AC32391-336D-4508-BEC8-59AF6C01D3DA}"/>
            </a:ext>
          </a:extLst>
        </xdr:cNvPr>
        <xdr:cNvSpPr/>
      </xdr:nvSpPr>
      <xdr:spPr>
        <a:xfrm>
          <a:off x="4425130" y="2050728"/>
          <a:ext cx="175945" cy="1587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73995</xdr:colOff>
      <xdr:row>10</xdr:row>
      <xdr:rowOff>10742</xdr:rowOff>
    </xdr:from>
    <xdr:to>
      <xdr:col>8</xdr:col>
      <xdr:colOff>253395</xdr:colOff>
      <xdr:row>10</xdr:row>
      <xdr:rowOff>173380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654E922E-5D49-49C4-A56B-56C51346EAA2}"/>
            </a:ext>
          </a:extLst>
        </xdr:cNvPr>
        <xdr:cNvSpPr/>
      </xdr:nvSpPr>
      <xdr:spPr>
        <a:xfrm>
          <a:off x="4972566" y="1954620"/>
          <a:ext cx="179400" cy="162638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420688</xdr:colOff>
      <xdr:row>0</xdr:row>
      <xdr:rowOff>0</xdr:rowOff>
    </xdr:from>
    <xdr:to>
      <xdr:col>35</xdr:col>
      <xdr:colOff>103188</xdr:colOff>
      <xdr:row>14</xdr:row>
      <xdr:rowOff>76200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EDC0A0D-CBA3-9ECA-127B-8BF0591246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358346</xdr:colOff>
      <xdr:row>0</xdr:row>
      <xdr:rowOff>0</xdr:rowOff>
    </xdr:from>
    <xdr:to>
      <xdr:col>15</xdr:col>
      <xdr:colOff>476249</xdr:colOff>
      <xdr:row>16</xdr:row>
      <xdr:rowOff>62901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5769DAF-A33E-087E-F0F1-31560A7ABD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17971</xdr:colOff>
      <xdr:row>0</xdr:row>
      <xdr:rowOff>0</xdr:rowOff>
    </xdr:from>
    <xdr:to>
      <xdr:col>22</xdr:col>
      <xdr:colOff>296533</xdr:colOff>
      <xdr:row>16</xdr:row>
      <xdr:rowOff>52995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34DC725-6B0D-40F2-865E-8592C31CC2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4575" y="0"/>
          <a:ext cx="3944788" cy="3072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266700</xdr:colOff>
      <xdr:row>0</xdr:row>
      <xdr:rowOff>0</xdr:rowOff>
    </xdr:from>
    <xdr:to>
      <xdr:col>25</xdr:col>
      <xdr:colOff>71438</xdr:colOff>
      <xdr:row>18</xdr:row>
      <xdr:rowOff>103035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E7AD84E-5FB7-4FFE-87A1-554E6D5AAE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29900" y="0"/>
          <a:ext cx="4681538" cy="35320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209550</xdr:colOff>
      <xdr:row>0</xdr:row>
      <xdr:rowOff>0</xdr:rowOff>
    </xdr:from>
    <xdr:to>
      <xdr:col>16</xdr:col>
      <xdr:colOff>38100</xdr:colOff>
      <xdr:row>19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640787A-02C6-2C3C-5F8B-F3D70EF29A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AULAS/BOMBAS/AULA%206/ASSOCIA&#199;&#195;O%20DE%20BOMBAS.xlsm" TargetMode="External"/><Relationship Id="rId2" Type="http://schemas.openxmlformats.org/officeDocument/2006/relationships/externalLinkPath" Target="file:///D:\DISCIPLINAS\OP%201\AULAS\BOMBAS\AULA%206\ASSOCIA&#199;&#195;O%20DE%20BOMBAS.xlsm" TargetMode="External"/><Relationship Id="rId1" Type="http://schemas.openxmlformats.org/officeDocument/2006/relationships/externalLinkPath" Target="/DISCIPLINAS/OP%201/AULAS/BOMBAS/AULA%206/ASSOCIA&#199;&#195;O%20DE%20BOMB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Exercício 9"/>
      <sheetName val="Exercício 10"/>
      <sheetName val="Exercício 11"/>
      <sheetName val="Ex 11"/>
    </sheetNames>
    <sheetDataSet>
      <sheetData sheetId="0"/>
      <sheetData sheetId="1"/>
      <sheetData sheetId="2"/>
      <sheetData sheetId="3">
        <row r="3">
          <cell r="A3">
            <v>0</v>
          </cell>
          <cell r="B3">
            <v>24</v>
          </cell>
        </row>
        <row r="4">
          <cell r="A4">
            <v>50</v>
          </cell>
          <cell r="B4">
            <v>24.087755000000001</v>
          </cell>
          <cell r="C4">
            <v>0</v>
          </cell>
          <cell r="D4">
            <v>15</v>
          </cell>
          <cell r="E4">
            <v>0</v>
          </cell>
          <cell r="F4">
            <v>15</v>
          </cell>
          <cell r="G4">
            <v>0</v>
          </cell>
          <cell r="H4">
            <v>21</v>
          </cell>
          <cell r="I4">
            <v>0</v>
          </cell>
          <cell r="J4">
            <v>21</v>
          </cell>
          <cell r="L4">
            <v>0</v>
          </cell>
          <cell r="M4">
            <v>36</v>
          </cell>
        </row>
        <row r="5">
          <cell r="A5">
            <v>100</v>
          </cell>
          <cell r="B5">
            <v>24.351019999999998</v>
          </cell>
          <cell r="C5">
            <v>50</v>
          </cell>
          <cell r="D5">
            <v>14.45</v>
          </cell>
          <cell r="E5">
            <v>100</v>
          </cell>
          <cell r="F5">
            <v>14.45</v>
          </cell>
          <cell r="G5">
            <v>50</v>
          </cell>
          <cell r="H5">
            <v>20.874999999999996</v>
          </cell>
          <cell r="I5">
            <v>100</v>
          </cell>
          <cell r="J5">
            <v>20.874999999999996</v>
          </cell>
          <cell r="L5">
            <v>100</v>
          </cell>
          <cell r="M5">
            <v>35.324999999999996</v>
          </cell>
        </row>
        <row r="6">
          <cell r="A6">
            <v>150</v>
          </cell>
          <cell r="B6">
            <v>24.789795000000002</v>
          </cell>
          <cell r="C6">
            <v>100</v>
          </cell>
          <cell r="D6">
            <v>13.55</v>
          </cell>
          <cell r="E6">
            <v>200</v>
          </cell>
          <cell r="F6">
            <v>13.55</v>
          </cell>
          <cell r="G6">
            <v>100</v>
          </cell>
          <cell r="H6">
            <v>20.499999999999993</v>
          </cell>
          <cell r="I6">
            <v>200</v>
          </cell>
          <cell r="J6">
            <v>20.499999999999993</v>
          </cell>
          <cell r="L6">
            <v>200</v>
          </cell>
          <cell r="M6">
            <v>34.049999999999997</v>
          </cell>
        </row>
        <row r="7">
          <cell r="A7">
            <v>200</v>
          </cell>
          <cell r="B7">
            <v>25.40408</v>
          </cell>
          <cell r="C7">
            <v>150</v>
          </cell>
          <cell r="D7">
            <v>12.3</v>
          </cell>
          <cell r="E7">
            <v>300</v>
          </cell>
          <cell r="F7">
            <v>12.3</v>
          </cell>
          <cell r="G7">
            <v>150</v>
          </cell>
          <cell r="H7">
            <v>19.874999999999989</v>
          </cell>
          <cell r="I7">
            <v>300</v>
          </cell>
          <cell r="J7">
            <v>19.874999999999989</v>
          </cell>
          <cell r="L7">
            <v>300</v>
          </cell>
          <cell r="M7">
            <v>32.17499999999999</v>
          </cell>
        </row>
        <row r="8">
          <cell r="A8">
            <v>250</v>
          </cell>
          <cell r="B8">
            <v>26.193874999999998</v>
          </cell>
          <cell r="C8">
            <v>200</v>
          </cell>
          <cell r="D8">
            <v>10.7</v>
          </cell>
          <cell r="E8">
            <v>400</v>
          </cell>
          <cell r="F8">
            <v>10.7</v>
          </cell>
          <cell r="G8">
            <v>200</v>
          </cell>
          <cell r="H8">
            <v>18.999999999999989</v>
          </cell>
          <cell r="I8">
            <v>400</v>
          </cell>
          <cell r="J8">
            <v>18.999999999999989</v>
          </cell>
          <cell r="L8">
            <v>400</v>
          </cell>
          <cell r="M8">
            <v>29.699999999999989</v>
          </cell>
        </row>
        <row r="9">
          <cell r="A9">
            <v>300</v>
          </cell>
          <cell r="B9">
            <v>27.159179999999999</v>
          </cell>
          <cell r="C9">
            <v>250</v>
          </cell>
          <cell r="D9">
            <v>8.75</v>
          </cell>
          <cell r="E9">
            <v>500</v>
          </cell>
          <cell r="F9">
            <v>8.75</v>
          </cell>
          <cell r="G9">
            <v>250</v>
          </cell>
          <cell r="H9">
            <v>17.874999999999986</v>
          </cell>
          <cell r="I9">
            <v>500</v>
          </cell>
          <cell r="J9">
            <v>17.874999999999986</v>
          </cell>
          <cell r="L9">
            <v>500</v>
          </cell>
          <cell r="M9">
            <v>26.624999999999986</v>
          </cell>
        </row>
        <row r="10">
          <cell r="A10">
            <v>350</v>
          </cell>
          <cell r="B10">
            <v>28.299994999999999</v>
          </cell>
          <cell r="C10">
            <v>300</v>
          </cell>
          <cell r="D10">
            <v>6.4499999999999993</v>
          </cell>
          <cell r="E10">
            <v>600</v>
          </cell>
          <cell r="F10">
            <v>6.4499999999999993</v>
          </cell>
          <cell r="G10">
            <v>300</v>
          </cell>
          <cell r="H10">
            <v>16.499999999999982</v>
          </cell>
          <cell r="I10">
            <v>600</v>
          </cell>
          <cell r="J10">
            <v>16.499999999999982</v>
          </cell>
          <cell r="L10">
            <v>600</v>
          </cell>
          <cell r="M10">
            <v>22.949999999999982</v>
          </cell>
        </row>
        <row r="11">
          <cell r="A11">
            <v>400</v>
          </cell>
          <cell r="B11">
            <v>29.616319999999998</v>
          </cell>
          <cell r="C11">
            <v>350</v>
          </cell>
          <cell r="D11">
            <v>3.8000000000000007</v>
          </cell>
          <cell r="E11">
            <v>700</v>
          </cell>
          <cell r="F11">
            <v>3.8000000000000007</v>
          </cell>
          <cell r="G11">
            <v>350</v>
          </cell>
          <cell r="H11">
            <v>14.874999999999979</v>
          </cell>
          <cell r="I11">
            <v>700</v>
          </cell>
          <cell r="J11">
            <v>14.874999999999979</v>
          </cell>
          <cell r="L11">
            <v>700</v>
          </cell>
          <cell r="M11">
            <v>18.674999999999979</v>
          </cell>
        </row>
        <row r="12">
          <cell r="A12">
            <v>450</v>
          </cell>
          <cell r="B12">
            <v>31.108155</v>
          </cell>
          <cell r="C12">
            <v>400</v>
          </cell>
          <cell r="D12">
            <v>0.80000000000000071</v>
          </cell>
          <cell r="E12">
            <v>800</v>
          </cell>
          <cell r="F12">
            <v>0.80000000000000071</v>
          </cell>
          <cell r="G12">
            <v>400</v>
          </cell>
          <cell r="H12">
            <v>12.999999999999975</v>
          </cell>
          <cell r="I12">
            <v>800</v>
          </cell>
          <cell r="J12">
            <v>12.999999999999975</v>
          </cell>
          <cell r="L12">
            <v>800</v>
          </cell>
          <cell r="M12">
            <v>13.799999999999976</v>
          </cell>
        </row>
        <row r="13">
          <cell r="A13">
            <v>500</v>
          </cell>
          <cell r="B13">
            <v>32.775500000000001</v>
          </cell>
          <cell r="G13">
            <v>450</v>
          </cell>
          <cell r="H13">
            <v>10.874999999999973</v>
          </cell>
          <cell r="I13">
            <v>900</v>
          </cell>
          <cell r="J13">
            <v>10.874999999999973</v>
          </cell>
          <cell r="L13">
            <v>900</v>
          </cell>
          <cell r="M13">
            <v>10.874999999999973</v>
          </cell>
        </row>
        <row r="14">
          <cell r="A14">
            <v>550</v>
          </cell>
          <cell r="B14">
            <v>34.618355000000001</v>
          </cell>
          <cell r="G14">
            <v>500</v>
          </cell>
          <cell r="H14">
            <v>8.4999999999999698</v>
          </cell>
          <cell r="I14">
            <v>1000</v>
          </cell>
          <cell r="J14">
            <v>8.4999999999999698</v>
          </cell>
          <cell r="L14">
            <v>1000</v>
          </cell>
          <cell r="M14">
            <v>8.4999999999999698</v>
          </cell>
        </row>
        <row r="15">
          <cell r="A15">
            <v>600</v>
          </cell>
          <cell r="B15">
            <v>36.636719999999997</v>
          </cell>
          <cell r="G15">
            <v>550</v>
          </cell>
          <cell r="H15">
            <v>5.8749999999999662</v>
          </cell>
          <cell r="I15">
            <v>1100</v>
          </cell>
          <cell r="J15">
            <v>5.8749999999999662</v>
          </cell>
          <cell r="L15">
            <v>1100</v>
          </cell>
          <cell r="M15">
            <v>5.8749999999999662</v>
          </cell>
        </row>
        <row r="16">
          <cell r="A16">
            <v>650</v>
          </cell>
          <cell r="B16">
            <v>38.830595000000002</v>
          </cell>
          <cell r="G16">
            <v>600</v>
          </cell>
          <cell r="H16">
            <v>2.9999999999999645</v>
          </cell>
          <cell r="I16">
            <v>1200</v>
          </cell>
          <cell r="J16">
            <v>2.9999999999999645</v>
          </cell>
          <cell r="L16">
            <v>1200</v>
          </cell>
          <cell r="M16">
            <v>2.9999999999999645</v>
          </cell>
        </row>
        <row r="17">
          <cell r="A17">
            <v>700</v>
          </cell>
          <cell r="B17">
            <v>41.199979999999996</v>
          </cell>
        </row>
        <row r="18">
          <cell r="A18">
            <v>750</v>
          </cell>
          <cell r="B18">
            <v>43.744874999999993</v>
          </cell>
        </row>
        <row r="19">
          <cell r="A19">
            <v>800</v>
          </cell>
          <cell r="B19">
            <v>46.465279999999993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6CF2A-7BBC-4630-8F82-F6F5FF46CF02}">
  <sheetPr codeName="Planilha1"/>
  <dimension ref="A1:R34"/>
  <sheetViews>
    <sheetView tabSelected="1" zoomScale="150" zoomScaleNormal="150" workbookViewId="0">
      <selection activeCell="L4" sqref="L4"/>
    </sheetView>
  </sheetViews>
  <sheetFormatPr defaultColWidth="8.7109375" defaultRowHeight="15"/>
  <cols>
    <col min="1" max="1" width="14" style="7" customWidth="1"/>
    <col min="2" max="11" width="8.7109375" style="7"/>
    <col min="12" max="13" width="8.7109375" style="7" customWidth="1"/>
    <col min="14" max="16384" width="8.7109375" style="7"/>
  </cols>
  <sheetData>
    <row r="1" spans="1:18">
      <c r="A1" s="34" t="s">
        <v>25</v>
      </c>
      <c r="B1" s="35">
        <v>400</v>
      </c>
      <c r="C1" s="35" t="s">
        <v>42</v>
      </c>
      <c r="N1" s="26"/>
    </row>
    <row r="2" spans="1:18" ht="18">
      <c r="A2" s="4" t="s">
        <v>9</v>
      </c>
      <c r="B2" s="2">
        <v>3</v>
      </c>
      <c r="C2" s="2" t="s">
        <v>43</v>
      </c>
      <c r="N2" s="26"/>
      <c r="O2" s="32"/>
    </row>
    <row r="3" spans="1:18" ht="17.25">
      <c r="A3" s="3" t="s">
        <v>5</v>
      </c>
      <c r="B3" s="2">
        <v>9.81</v>
      </c>
      <c r="C3" s="2" t="s">
        <v>6</v>
      </c>
      <c r="G3" s="26"/>
      <c r="H3" s="27"/>
      <c r="I3" s="27"/>
      <c r="N3" s="26"/>
      <c r="O3" s="33"/>
    </row>
    <row r="4" spans="1:18">
      <c r="A4" s="5" t="s">
        <v>24</v>
      </c>
      <c r="B4" s="2">
        <v>0.6</v>
      </c>
      <c r="C4" s="2"/>
      <c r="N4" s="26"/>
      <c r="O4" s="33"/>
    </row>
    <row r="5" spans="1:18">
      <c r="A5" s="5" t="s">
        <v>25</v>
      </c>
      <c r="B5" s="2">
        <f>B1/60</f>
        <v>6.666666666666667</v>
      </c>
      <c r="C5" s="2" t="s">
        <v>26</v>
      </c>
      <c r="N5" s="26"/>
      <c r="O5" s="33"/>
    </row>
    <row r="6" spans="1:18" ht="17.25">
      <c r="A6" s="5" t="s">
        <v>7</v>
      </c>
      <c r="B6" s="2">
        <v>998.23</v>
      </c>
      <c r="C6" s="2" t="s">
        <v>8</v>
      </c>
      <c r="N6" s="26"/>
      <c r="O6" s="33"/>
    </row>
    <row r="7" spans="1:18">
      <c r="A7" s="5" t="s">
        <v>4</v>
      </c>
      <c r="B7" s="2">
        <v>1.0289999999999999</v>
      </c>
      <c r="C7" s="2" t="s">
        <v>0</v>
      </c>
    </row>
    <row r="8" spans="1:18" ht="18">
      <c r="A8" s="4" t="s">
        <v>9</v>
      </c>
      <c r="B8" s="2">
        <v>3.0680000000000001</v>
      </c>
      <c r="C8" s="2" t="s">
        <v>10</v>
      </c>
    </row>
    <row r="9" spans="1:18" ht="18.75">
      <c r="A9" s="4" t="s">
        <v>11</v>
      </c>
      <c r="B9" s="2">
        <f>PI()*(B8*0.0254)^2/4</f>
        <v>4.7694469787326055E-3</v>
      </c>
      <c r="C9" s="2" t="s">
        <v>12</v>
      </c>
      <c r="L9" s="13"/>
      <c r="M9" s="31"/>
    </row>
    <row r="10" spans="1:18" ht="18">
      <c r="A10" s="3" t="s">
        <v>44</v>
      </c>
      <c r="B10" s="1">
        <f>B5/(B6*B9)</f>
        <v>1.4002645630573975</v>
      </c>
      <c r="C10" s="2" t="s">
        <v>13</v>
      </c>
    </row>
    <row r="11" spans="1:18" ht="17.25">
      <c r="A11" s="3" t="s">
        <v>1</v>
      </c>
      <c r="B11" s="1">
        <f>B9*B10</f>
        <v>6.6784875897004364E-3</v>
      </c>
      <c r="C11" s="1" t="s">
        <v>2</v>
      </c>
    </row>
    <row r="12" spans="1:18">
      <c r="A12" s="3" t="s">
        <v>1</v>
      </c>
      <c r="B12" s="1">
        <f>B11*60*1000</f>
        <v>400.70925538202619</v>
      </c>
      <c r="C12" s="1" t="s">
        <v>23</v>
      </c>
      <c r="Q12" s="13"/>
      <c r="R12" s="13"/>
    </row>
    <row r="13" spans="1:18">
      <c r="A13" s="4" t="s">
        <v>3</v>
      </c>
      <c r="B13" s="2">
        <v>10</v>
      </c>
      <c r="C13" s="2" t="s">
        <v>4</v>
      </c>
      <c r="L13" s="13"/>
    </row>
    <row r="14" spans="1:18">
      <c r="A14" s="6" t="s">
        <v>45</v>
      </c>
      <c r="B14" s="2">
        <v>1.4999999999999999E-4</v>
      </c>
      <c r="C14" s="2"/>
    </row>
    <row r="15" spans="1:18">
      <c r="A15" s="6" t="s">
        <v>14</v>
      </c>
      <c r="B15" s="2">
        <f>B14*12/B2</f>
        <v>5.9999999999999995E-4</v>
      </c>
      <c r="C15" s="2"/>
    </row>
    <row r="16" spans="1:18">
      <c r="A16" s="6" t="s">
        <v>15</v>
      </c>
      <c r="B16" s="2">
        <f>(B6/(B7*0.001))*B10*B8*0.0254</f>
        <v>105855.74010223642</v>
      </c>
      <c r="C16" s="2"/>
    </row>
    <row r="17" spans="1:13">
      <c r="A17" s="6" t="s">
        <v>16</v>
      </c>
      <c r="B17" s="2" cm="1">
        <f t="array" ref="B17">fanning(B16,B15)</f>
        <v>5.1466878183607893E-3</v>
      </c>
      <c r="C17" s="2"/>
      <c r="H17" s="29"/>
      <c r="I17" s="27"/>
      <c r="J17" s="27"/>
      <c r="M17" s="30"/>
    </row>
    <row r="18" spans="1:13">
      <c r="A18" s="6" t="s">
        <v>46</v>
      </c>
      <c r="B18" s="2">
        <f>18+3*2.5+20+2.2</f>
        <v>47.7</v>
      </c>
      <c r="C18" s="2"/>
      <c r="H18" s="26"/>
      <c r="I18" s="27"/>
      <c r="J18" s="27"/>
      <c r="M18" s="30"/>
    </row>
    <row r="19" spans="1:13" ht="18">
      <c r="A19" s="6" t="s">
        <v>47</v>
      </c>
      <c r="B19" s="2">
        <f>B3*B13+B10^2/2+2*B17*B18*B10^2/(B8*0.0254)</f>
        <v>111.43436269112085</v>
      </c>
      <c r="C19" s="2" t="s">
        <v>49</v>
      </c>
      <c r="I19" s="27"/>
      <c r="J19" s="27"/>
    </row>
    <row r="20" spans="1:13">
      <c r="A20" s="6" t="s">
        <v>48</v>
      </c>
      <c r="B20" s="2">
        <f>(B19*B5/B4)/745.7</f>
        <v>1.660399068602519</v>
      </c>
      <c r="C20" s="2" t="s">
        <v>27</v>
      </c>
      <c r="H20" s="29"/>
      <c r="I20" s="27"/>
      <c r="J20" s="27"/>
    </row>
    <row r="22" spans="1:13">
      <c r="H22" s="13"/>
    </row>
    <row r="23" spans="1:13">
      <c r="H23" s="13"/>
    </row>
    <row r="24" spans="1:13">
      <c r="H24" s="13"/>
    </row>
    <row r="28" spans="1:13">
      <c r="A28" s="26"/>
      <c r="B28" s="26"/>
      <c r="C28" s="26"/>
      <c r="D28" s="26"/>
      <c r="E28" s="26"/>
    </row>
    <row r="29" spans="1:13">
      <c r="A29" s="28"/>
      <c r="B29" s="28"/>
      <c r="C29" s="28"/>
      <c r="D29" s="28"/>
      <c r="E29" s="28"/>
    </row>
    <row r="30" spans="1:13">
      <c r="A30" s="28"/>
      <c r="B30" s="28"/>
      <c r="C30" s="28"/>
      <c r="D30" s="28"/>
      <c r="E30" s="28"/>
    </row>
    <row r="32" spans="1:13">
      <c r="A32" s="26"/>
      <c r="B32" s="26"/>
      <c r="C32" s="26"/>
      <c r="D32" s="26"/>
      <c r="E32" s="26"/>
    </row>
    <row r="33" spans="1:5">
      <c r="A33" s="28"/>
      <c r="B33" s="28"/>
      <c r="C33" s="28"/>
      <c r="D33" s="28"/>
      <c r="E33" s="28"/>
    </row>
    <row r="34" spans="1:5">
      <c r="A34" s="28"/>
      <c r="B34" s="28"/>
      <c r="C34" s="28"/>
      <c r="D34" s="28"/>
      <c r="E34" s="28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7D9DA-29E3-490E-8851-40ED436E6C4F}">
  <sheetPr codeName="Planilha7"/>
  <dimension ref="A1:U35"/>
  <sheetViews>
    <sheetView topLeftCell="L1" zoomScale="106" zoomScaleNormal="106" workbookViewId="0">
      <selection activeCell="O17" sqref="O17"/>
    </sheetView>
  </sheetViews>
  <sheetFormatPr defaultColWidth="8.7109375" defaultRowHeight="15"/>
  <cols>
    <col min="1" max="1" width="14" style="7" customWidth="1"/>
    <col min="2" max="16384" width="8.7109375" style="7"/>
  </cols>
  <sheetData>
    <row r="1" spans="1:21" ht="18">
      <c r="A1" s="4" t="s">
        <v>9</v>
      </c>
      <c r="B1" s="2">
        <v>3</v>
      </c>
      <c r="C1" s="2" t="s">
        <v>43</v>
      </c>
      <c r="M1" s="34" t="s">
        <v>25</v>
      </c>
      <c r="N1" s="35">
        <v>1E-3</v>
      </c>
      <c r="O1" s="35" t="s">
        <v>42</v>
      </c>
      <c r="S1" s="36" t="s">
        <v>25</v>
      </c>
      <c r="T1" s="37" t="s">
        <v>1</v>
      </c>
      <c r="U1" s="38" t="s">
        <v>51</v>
      </c>
    </row>
    <row r="2" spans="1:21" ht="17.25">
      <c r="A2" s="3" t="s">
        <v>5</v>
      </c>
      <c r="B2" s="2">
        <v>9.81</v>
      </c>
      <c r="C2" s="2" t="s">
        <v>6</v>
      </c>
      <c r="M2" s="3" t="s">
        <v>1</v>
      </c>
      <c r="N2" s="1">
        <f>B10*60*1000</f>
        <v>1.0017731384550656E-3</v>
      </c>
      <c r="O2" s="1" t="s">
        <v>23</v>
      </c>
      <c r="S2" s="39">
        <v>0</v>
      </c>
      <c r="T2" s="39">
        <v>0</v>
      </c>
      <c r="U2" s="39">
        <v>10</v>
      </c>
    </row>
    <row r="3" spans="1:21" ht="18">
      <c r="A3" s="5" t="s">
        <v>24</v>
      </c>
      <c r="B3" s="2">
        <v>0.6</v>
      </c>
      <c r="C3" s="2"/>
      <c r="G3" s="26"/>
      <c r="H3" s="27"/>
      <c r="I3" s="27"/>
      <c r="M3" s="6" t="s">
        <v>51</v>
      </c>
      <c r="N3" s="2">
        <f>B19</f>
        <v>10.000000092461089</v>
      </c>
      <c r="O3" s="2" t="s">
        <v>4</v>
      </c>
      <c r="S3" s="39">
        <v>10</v>
      </c>
      <c r="T3" s="39">
        <v>10</v>
      </c>
      <c r="U3" s="39">
        <v>10</v>
      </c>
    </row>
    <row r="4" spans="1:21">
      <c r="A4" s="5" t="s">
        <v>25</v>
      </c>
      <c r="B4" s="2">
        <f>N1/60</f>
        <v>1.6666666666666667E-5</v>
      </c>
      <c r="C4" s="2" t="s">
        <v>26</v>
      </c>
      <c r="N4" s="26"/>
      <c r="O4" s="33"/>
      <c r="S4" s="39">
        <v>50</v>
      </c>
      <c r="T4" s="39">
        <v>50</v>
      </c>
      <c r="U4" s="39">
        <v>10</v>
      </c>
    </row>
    <row r="5" spans="1:21" ht="17.25">
      <c r="A5" s="5" t="s">
        <v>7</v>
      </c>
      <c r="B5" s="2">
        <v>998.23</v>
      </c>
      <c r="C5" s="2" t="s">
        <v>8</v>
      </c>
      <c r="N5" s="26"/>
      <c r="O5" s="33"/>
      <c r="S5" s="39">
        <v>100</v>
      </c>
      <c r="T5" s="39">
        <v>100</v>
      </c>
      <c r="U5" s="39">
        <v>10.1</v>
      </c>
    </row>
    <row r="6" spans="1:21">
      <c r="A6" s="5" t="s">
        <v>4</v>
      </c>
      <c r="B6" s="2">
        <v>1.0289999999999999</v>
      </c>
      <c r="C6" s="2" t="s">
        <v>0</v>
      </c>
      <c r="N6" s="26"/>
      <c r="O6" s="33"/>
      <c r="S6" s="39">
        <v>200</v>
      </c>
      <c r="T6" s="39">
        <v>200</v>
      </c>
      <c r="U6" s="39">
        <v>10.37</v>
      </c>
    </row>
    <row r="7" spans="1:21" ht="18">
      <c r="A7" s="4" t="s">
        <v>9</v>
      </c>
      <c r="B7" s="2">
        <v>3.0680000000000001</v>
      </c>
      <c r="C7" s="2" t="s">
        <v>10</v>
      </c>
      <c r="S7" s="39">
        <v>300</v>
      </c>
      <c r="T7" s="39">
        <v>300</v>
      </c>
      <c r="U7" s="39">
        <v>10.79</v>
      </c>
    </row>
    <row r="8" spans="1:21" ht="18.75">
      <c r="A8" s="4" t="s">
        <v>11</v>
      </c>
      <c r="B8" s="2">
        <f>PI()*(B7*0.0254)^2/4</f>
        <v>4.7694469787326055E-3</v>
      </c>
      <c r="C8" s="2" t="s">
        <v>12</v>
      </c>
      <c r="S8" s="39">
        <v>400</v>
      </c>
      <c r="T8" s="39">
        <v>400</v>
      </c>
      <c r="U8" s="39">
        <v>11.36</v>
      </c>
    </row>
    <row r="9" spans="1:21" ht="18">
      <c r="A9" s="3" t="s">
        <v>44</v>
      </c>
      <c r="B9" s="1">
        <f>B4/(B5*B8)</f>
        <v>3.500661407643494E-6</v>
      </c>
      <c r="C9" s="2" t="s">
        <v>13</v>
      </c>
      <c r="L9" s="13"/>
      <c r="M9" s="31"/>
      <c r="S9" s="39">
        <v>500</v>
      </c>
      <c r="T9" s="39">
        <v>500</v>
      </c>
      <c r="U9" s="39">
        <v>12.08</v>
      </c>
    </row>
    <row r="10" spans="1:21" ht="17.25">
      <c r="A10" s="3" t="s">
        <v>1</v>
      </c>
      <c r="B10" s="1">
        <f>B8*B9</f>
        <v>1.6696218974251092E-8</v>
      </c>
      <c r="C10" s="1" t="s">
        <v>2</v>
      </c>
      <c r="S10" s="39">
        <v>600</v>
      </c>
      <c r="T10" s="39">
        <v>600</v>
      </c>
      <c r="U10" s="39">
        <v>12.94</v>
      </c>
    </row>
    <row r="11" spans="1:21">
      <c r="A11" s="4" t="s">
        <v>3</v>
      </c>
      <c r="B11" s="2">
        <v>10</v>
      </c>
      <c r="C11" s="2" t="s">
        <v>4</v>
      </c>
      <c r="S11" s="39">
        <v>700</v>
      </c>
      <c r="T11" s="39">
        <v>700</v>
      </c>
      <c r="U11" s="39">
        <v>13.95</v>
      </c>
    </row>
    <row r="12" spans="1:21">
      <c r="A12" s="6" t="s">
        <v>45</v>
      </c>
      <c r="B12" s="2">
        <v>1.4999999999999999E-4</v>
      </c>
      <c r="C12" s="2"/>
      <c r="Q12" s="13"/>
      <c r="R12" s="13"/>
      <c r="S12" s="39">
        <v>800</v>
      </c>
      <c r="T12" s="39">
        <v>800</v>
      </c>
      <c r="U12" s="39">
        <v>15.1</v>
      </c>
    </row>
    <row r="13" spans="1:21">
      <c r="A13" s="6" t="s">
        <v>14</v>
      </c>
      <c r="B13" s="2">
        <f>B12*12/B1</f>
        <v>5.9999999999999995E-4</v>
      </c>
      <c r="C13" s="2"/>
      <c r="L13" s="13"/>
      <c r="S13" s="39">
        <v>900</v>
      </c>
      <c r="T13" s="39">
        <v>900</v>
      </c>
      <c r="U13" s="39">
        <v>16.399999999999999</v>
      </c>
    </row>
    <row r="14" spans="1:21">
      <c r="A14" s="6" t="s">
        <v>15</v>
      </c>
      <c r="B14" s="2">
        <f>(B5/(B6*0.001))*B9*B7*0.0254</f>
        <v>0.26463935025559104</v>
      </c>
      <c r="C14" s="2"/>
      <c r="S14" s="39">
        <v>1000</v>
      </c>
      <c r="T14" s="39">
        <v>1000</v>
      </c>
      <c r="U14" s="39">
        <v>17.850000000000001</v>
      </c>
    </row>
    <row r="15" spans="1:21">
      <c r="A15" s="6" t="s">
        <v>16</v>
      </c>
      <c r="B15" s="2" cm="1">
        <f t="array" ref="B15">fanning(B14,B13)</f>
        <v>60.459640580839761</v>
      </c>
      <c r="C15" s="2"/>
      <c r="S15" s="39">
        <v>1500</v>
      </c>
      <c r="T15" s="39">
        <v>1500</v>
      </c>
      <c r="U15" s="39">
        <v>27.28</v>
      </c>
    </row>
    <row r="16" spans="1:21">
      <c r="A16" s="6" t="s">
        <v>46</v>
      </c>
      <c r="B16" s="2">
        <f>18+3*2.5+20+2.2</f>
        <v>47.7</v>
      </c>
      <c r="C16" s="2"/>
    </row>
    <row r="17" spans="1:13">
      <c r="A17" s="6" t="s">
        <v>48</v>
      </c>
      <c r="B17" s="2">
        <f>(B18*B4/B3)/745.7</f>
        <v>3.6542845986263209E-6</v>
      </c>
      <c r="C17" s="2" t="s">
        <v>27</v>
      </c>
      <c r="H17" s="29"/>
      <c r="I17" s="27"/>
      <c r="J17" s="27"/>
      <c r="M17" s="30"/>
    </row>
    <row r="18" spans="1:13" ht="18">
      <c r="A18" s="6" t="s">
        <v>47</v>
      </c>
      <c r="B18" s="2">
        <f>B2*B11+B9^2/2+2*B15*B16*B9^2/(B7*0.0254)</f>
        <v>98.100000907043295</v>
      </c>
      <c r="C18" s="2" t="s">
        <v>49</v>
      </c>
      <c r="H18" s="26"/>
      <c r="I18" s="27"/>
      <c r="J18" s="27"/>
      <c r="M18" s="30"/>
    </row>
    <row r="19" spans="1:13" ht="18">
      <c r="A19" s="6" t="s">
        <v>50</v>
      </c>
      <c r="B19" s="2">
        <f>B18/B2</f>
        <v>10.000000092461089</v>
      </c>
      <c r="C19" s="2" t="s">
        <v>4</v>
      </c>
      <c r="H19" s="26"/>
      <c r="I19" s="27"/>
      <c r="J19" s="27"/>
    </row>
    <row r="20" spans="1:13">
      <c r="H20" s="29"/>
      <c r="I20" s="27"/>
      <c r="J20" s="27"/>
    </row>
    <row r="22" spans="1:13">
      <c r="H22" s="13"/>
    </row>
    <row r="23" spans="1:13">
      <c r="H23" s="13"/>
    </row>
    <row r="24" spans="1:13">
      <c r="H24" s="13"/>
    </row>
    <row r="25" spans="1:13">
      <c r="H25" s="13"/>
    </row>
    <row r="29" spans="1:13">
      <c r="A29" s="26"/>
      <c r="B29" s="26"/>
      <c r="C29" s="26"/>
      <c r="D29" s="26"/>
      <c r="E29" s="26"/>
    </row>
    <row r="30" spans="1:13">
      <c r="A30" s="28"/>
      <c r="B30" s="28"/>
      <c r="C30" s="28"/>
      <c r="D30" s="28"/>
      <c r="E30" s="28"/>
    </row>
    <row r="31" spans="1:13">
      <c r="A31" s="28"/>
      <c r="B31" s="28"/>
      <c r="C31" s="28"/>
      <c r="D31" s="28"/>
      <c r="E31" s="28"/>
    </row>
    <row r="33" spans="1:5">
      <c r="A33" s="26"/>
      <c r="B33" s="26"/>
      <c r="C33" s="26"/>
      <c r="D33" s="26"/>
      <c r="E33" s="26"/>
    </row>
    <row r="34" spans="1:5">
      <c r="A34" s="28"/>
      <c r="B34" s="28"/>
      <c r="C34" s="28"/>
      <c r="D34" s="28"/>
      <c r="E34" s="28"/>
    </row>
    <row r="35" spans="1:5">
      <c r="A35" s="28"/>
      <c r="B35" s="28"/>
      <c r="C35" s="28"/>
      <c r="D35" s="28"/>
      <c r="E35" s="28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0E5A2-B684-4C29-B924-B2B2B65C9F7A}">
  <sheetPr codeName="Planilha8"/>
  <dimension ref="M1:O18"/>
  <sheetViews>
    <sheetView topLeftCell="A3" zoomScale="120" zoomScaleNormal="120" workbookViewId="0">
      <selection activeCell="S9" sqref="S9"/>
    </sheetView>
  </sheetViews>
  <sheetFormatPr defaultColWidth="8.7109375" defaultRowHeight="15"/>
  <cols>
    <col min="1" max="12" width="8.7109375" style="7"/>
    <col min="13" max="13" width="15.28515625" style="7" customWidth="1"/>
    <col min="14" max="16384" width="8.7109375" style="7"/>
  </cols>
  <sheetData>
    <row r="1" spans="13:15" ht="17.25">
      <c r="M1" s="40" t="s">
        <v>5</v>
      </c>
      <c r="N1" s="2">
        <v>9.81</v>
      </c>
      <c r="O1" s="2" t="s">
        <v>6</v>
      </c>
    </row>
    <row r="2" spans="13:15" ht="17.25">
      <c r="M2" s="41" t="s">
        <v>7</v>
      </c>
      <c r="N2" s="2">
        <v>998.23</v>
      </c>
      <c r="O2" s="2" t="s">
        <v>8</v>
      </c>
    </row>
    <row r="3" spans="13:15">
      <c r="M3" s="41" t="s">
        <v>4</v>
      </c>
      <c r="N3" s="2">
        <v>1.0289999999999999</v>
      </c>
      <c r="O3" s="2" t="s">
        <v>0</v>
      </c>
    </row>
    <row r="4" spans="13:15" ht="17.25">
      <c r="M4" s="42" t="s">
        <v>1</v>
      </c>
      <c r="N4" s="1">
        <v>400</v>
      </c>
      <c r="O4" s="1" t="s">
        <v>52</v>
      </c>
    </row>
    <row r="5" spans="13:15" ht="17.25">
      <c r="M5" s="42" t="s">
        <v>1</v>
      </c>
      <c r="N5" s="1">
        <f>N4/3600</f>
        <v>0.1111111111111111</v>
      </c>
      <c r="O5" s="1" t="s">
        <v>2</v>
      </c>
    </row>
    <row r="6" spans="13:15" ht="18">
      <c r="M6" s="40" t="s">
        <v>53</v>
      </c>
      <c r="N6" s="2">
        <v>10.02</v>
      </c>
      <c r="O6" s="2" t="s">
        <v>10</v>
      </c>
    </row>
    <row r="7" spans="13:15" ht="18">
      <c r="M7" s="40" t="s">
        <v>54</v>
      </c>
      <c r="N7" s="2">
        <v>11.938000000000001</v>
      </c>
      <c r="O7" s="2" t="s">
        <v>10</v>
      </c>
    </row>
    <row r="8" spans="13:15" ht="18.75">
      <c r="M8" s="40" t="s">
        <v>55</v>
      </c>
      <c r="N8" s="2">
        <f>PI()*(N6*0.0254)^2/4</f>
        <v>5.08736335843804E-2</v>
      </c>
      <c r="O8" s="2" t="s">
        <v>12</v>
      </c>
    </row>
    <row r="9" spans="13:15" ht="18.75">
      <c r="M9" s="40" t="s">
        <v>56</v>
      </c>
      <c r="N9" s="2">
        <f>PI()*(N7*0.0254)^2/4</f>
        <v>7.2213844044692263E-2</v>
      </c>
      <c r="O9" s="2" t="s">
        <v>12</v>
      </c>
    </row>
    <row r="10" spans="13:15" ht="18">
      <c r="M10" s="40" t="s">
        <v>57</v>
      </c>
      <c r="N10" s="2">
        <f>N5/N8</f>
        <v>2.1840608441466869</v>
      </c>
      <c r="O10" s="2" t="s">
        <v>58</v>
      </c>
    </row>
    <row r="11" spans="13:15" ht="18">
      <c r="M11" s="40" t="s">
        <v>59</v>
      </c>
      <c r="N11" s="2">
        <f>N5/N9</f>
        <v>1.5386400292213471</v>
      </c>
      <c r="O11" s="2" t="s">
        <v>58</v>
      </c>
    </row>
    <row r="12" spans="13:15" ht="18.75">
      <c r="M12" s="40" t="s">
        <v>60</v>
      </c>
      <c r="N12" s="43">
        <f>N10^2/(2*N1)</f>
        <v>0.24312547252470634</v>
      </c>
      <c r="O12" s="2" t="s">
        <v>61</v>
      </c>
    </row>
    <row r="13" spans="13:15" ht="18.75">
      <c r="M13" s="40" t="s">
        <v>62</v>
      </c>
      <c r="N13" s="43">
        <f>N11^2/(2*N1)</f>
        <v>0.12066325889512068</v>
      </c>
      <c r="O13" s="2" t="s">
        <v>61</v>
      </c>
    </row>
    <row r="14" spans="13:15" ht="18">
      <c r="M14" s="40" t="s">
        <v>63</v>
      </c>
      <c r="N14" s="2">
        <f>3.1*98100/(N1*N2)</f>
        <v>31.05496729210703</v>
      </c>
      <c r="O14" s="2" t="s">
        <v>61</v>
      </c>
    </row>
    <row r="15" spans="13:15" ht="18">
      <c r="M15" s="40" t="s">
        <v>64</v>
      </c>
      <c r="N15" s="2">
        <f>0.4*98100/(N1*N2)</f>
        <v>4.0070925538202617</v>
      </c>
      <c r="O15" s="2" t="s">
        <v>61</v>
      </c>
    </row>
    <row r="16" spans="13:15">
      <c r="M16" s="40" t="s">
        <v>65</v>
      </c>
      <c r="N16" s="43">
        <f>N14+N15</f>
        <v>35.062059845927294</v>
      </c>
      <c r="O16" s="2" t="s">
        <v>61</v>
      </c>
    </row>
    <row r="17" spans="13:15" ht="18">
      <c r="M17" s="40" t="s">
        <v>66</v>
      </c>
      <c r="N17" s="43">
        <v>1.1000000000000001</v>
      </c>
      <c r="O17" s="2" t="s">
        <v>61</v>
      </c>
    </row>
    <row r="18" spans="13:15" ht="18">
      <c r="M18" s="40" t="s">
        <v>67</v>
      </c>
      <c r="N18" s="44">
        <f>N12-N13+N16+N17</f>
        <v>36.284522059556885</v>
      </c>
      <c r="O18" s="2" t="s">
        <v>61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0C11-47B4-418F-B85E-D9E504021ED4}">
  <sheetPr codeName="Planilha9"/>
  <dimension ref="A6:M56"/>
  <sheetViews>
    <sheetView topLeftCell="A40" zoomScale="160" zoomScaleNormal="160" workbookViewId="0">
      <selection activeCell="I45" sqref="I45"/>
    </sheetView>
  </sheetViews>
  <sheetFormatPr defaultRowHeight="15"/>
  <cols>
    <col min="1" max="16384" width="9.140625" style="7"/>
  </cols>
  <sheetData>
    <row r="6" spans="1:4" ht="17.25">
      <c r="A6" s="57" t="s">
        <v>7</v>
      </c>
      <c r="B6" s="46">
        <v>998.23</v>
      </c>
      <c r="C6" s="46" t="s">
        <v>87</v>
      </c>
      <c r="D6" s="46" t="s">
        <v>89</v>
      </c>
    </row>
    <row r="7" spans="1:4">
      <c r="A7" s="45" t="s">
        <v>75</v>
      </c>
      <c r="B7" s="46">
        <v>600</v>
      </c>
      <c r="C7" s="46" t="s">
        <v>76</v>
      </c>
    </row>
    <row r="8" spans="1:4">
      <c r="A8" s="47" t="s">
        <v>73</v>
      </c>
      <c r="B8" s="46">
        <v>10</v>
      </c>
      <c r="C8" s="46" t="s">
        <v>70</v>
      </c>
    </row>
    <row r="9" spans="1:4">
      <c r="A9" s="45" t="s">
        <v>77</v>
      </c>
      <c r="B9" s="46">
        <f>2^2/(2*9.81)</f>
        <v>0.2038735983690112</v>
      </c>
      <c r="C9" s="46" t="s">
        <v>70</v>
      </c>
    </row>
    <row r="10" spans="1:4" ht="17.25">
      <c r="A10" s="45" t="s">
        <v>69</v>
      </c>
      <c r="B10" s="46">
        <f>10.33-B7/900</f>
        <v>9.663333333333334</v>
      </c>
      <c r="C10" s="46" t="s">
        <v>70</v>
      </c>
      <c r="D10" s="46" t="s">
        <v>88</v>
      </c>
    </row>
    <row r="11" spans="1:4" ht="17.25">
      <c r="A11" s="45" t="s">
        <v>69</v>
      </c>
      <c r="B11" s="46">
        <f>(1000/B6)*B10</f>
        <v>9.6804677612707835</v>
      </c>
      <c r="C11" s="46" t="s">
        <v>70</v>
      </c>
      <c r="D11" s="46" t="s">
        <v>89</v>
      </c>
    </row>
    <row r="23" spans="1:13" ht="18">
      <c r="A23" s="45" t="s">
        <v>74</v>
      </c>
      <c r="B23" s="46">
        <f>5+1</f>
        <v>6</v>
      </c>
      <c r="C23" s="46" t="s">
        <v>4</v>
      </c>
      <c r="K23" s="45" t="s">
        <v>74</v>
      </c>
      <c r="L23" s="46">
        <v>8</v>
      </c>
      <c r="M23" s="46" t="s">
        <v>4</v>
      </c>
    </row>
    <row r="24" spans="1:13">
      <c r="A24" s="45" t="s">
        <v>68</v>
      </c>
      <c r="B24" s="46">
        <f>B23+B8+B9</f>
        <v>16.203873598369011</v>
      </c>
      <c r="C24" s="46" t="s">
        <v>4</v>
      </c>
      <c r="K24" s="45" t="s">
        <v>68</v>
      </c>
      <c r="L24" s="46">
        <f>L23+B8</f>
        <v>18</v>
      </c>
      <c r="M24" s="46" t="s">
        <v>4</v>
      </c>
    </row>
    <row r="36" spans="1:13" ht="18">
      <c r="A36" s="45" t="s">
        <v>71</v>
      </c>
      <c r="B36" s="46">
        <f>B11</f>
        <v>9.6804677612707835</v>
      </c>
      <c r="C36" s="46" t="s">
        <v>4</v>
      </c>
      <c r="K36" s="45" t="s">
        <v>74</v>
      </c>
      <c r="L36" s="46">
        <v>-5</v>
      </c>
      <c r="M36" s="46" t="s">
        <v>4</v>
      </c>
    </row>
    <row r="37" spans="1:13">
      <c r="A37" s="45" t="s">
        <v>72</v>
      </c>
      <c r="B37" s="46">
        <f>B11+12</f>
        <v>21.680467761270783</v>
      </c>
      <c r="C37" s="46" t="s">
        <v>4</v>
      </c>
      <c r="K37" s="45" t="s">
        <v>68</v>
      </c>
      <c r="L37" s="46">
        <f>L36+B8</f>
        <v>5</v>
      </c>
      <c r="M37" s="46" t="s">
        <v>4</v>
      </c>
    </row>
    <row r="38" spans="1:13" ht="18">
      <c r="A38" s="45" t="s">
        <v>74</v>
      </c>
      <c r="B38" s="46">
        <v>15</v>
      </c>
      <c r="C38" s="46" t="s">
        <v>4</v>
      </c>
    </row>
    <row r="39" spans="1:13">
      <c r="A39" s="45" t="s">
        <v>68</v>
      </c>
      <c r="B39" s="67">
        <f>B38+B8+(B37-B36)</f>
        <v>37</v>
      </c>
      <c r="C39" s="46" t="s">
        <v>4</v>
      </c>
    </row>
    <row r="53" spans="1:13" ht="18">
      <c r="A53" s="45" t="s">
        <v>74</v>
      </c>
      <c r="B53" s="46">
        <v>7</v>
      </c>
      <c r="C53" s="46" t="s">
        <v>4</v>
      </c>
      <c r="K53" s="45" t="s">
        <v>74</v>
      </c>
      <c r="L53" s="46">
        <v>25</v>
      </c>
      <c r="M53" s="46" t="s">
        <v>4</v>
      </c>
    </row>
    <row r="54" spans="1:13">
      <c r="A54" s="45" t="s">
        <v>71</v>
      </c>
      <c r="B54" s="46">
        <f>B11-0.5</f>
        <v>9.1804677612707835</v>
      </c>
      <c r="C54" s="46" t="s">
        <v>4</v>
      </c>
      <c r="D54" s="7">
        <f>B55-B54</f>
        <v>52.234999999999999</v>
      </c>
      <c r="K54" s="45" t="s">
        <v>68</v>
      </c>
      <c r="L54" s="46">
        <f>L53+B8+B9</f>
        <v>35.203873598369015</v>
      </c>
      <c r="M54" s="46" t="s">
        <v>4</v>
      </c>
    </row>
    <row r="55" spans="1:13">
      <c r="A55" s="45" t="s">
        <v>72</v>
      </c>
      <c r="B55" s="46">
        <f>51.735+B11</f>
        <v>61.415467761270783</v>
      </c>
      <c r="C55" s="46" t="s">
        <v>4</v>
      </c>
    </row>
    <row r="56" spans="1:13">
      <c r="A56" s="45" t="s">
        <v>68</v>
      </c>
      <c r="B56" s="46">
        <f>B53+B8+D54</f>
        <v>69.234999999999999</v>
      </c>
      <c r="C56" s="46" t="s">
        <v>4</v>
      </c>
    </row>
  </sheetData>
  <phoneticPr fontId="21" type="noConversion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494BA-BF3E-44E1-9003-18462A6CF03B}">
  <sheetPr codeName="Planilha10"/>
  <dimension ref="Q1:Z15"/>
  <sheetViews>
    <sheetView topLeftCell="K1" zoomScale="80" zoomScaleNormal="80" workbookViewId="0">
      <selection activeCell="Z17" sqref="Z17"/>
    </sheetView>
  </sheetViews>
  <sheetFormatPr defaultRowHeight="15"/>
  <cols>
    <col min="1" max="16384" width="9.140625" style="7"/>
  </cols>
  <sheetData>
    <row r="1" spans="17:26" ht="18">
      <c r="Q1" s="37" t="s">
        <v>82</v>
      </c>
      <c r="R1" s="39">
        <v>2</v>
      </c>
      <c r="S1" s="39" t="s">
        <v>43</v>
      </c>
      <c r="U1" s="37" t="s">
        <v>85</v>
      </c>
      <c r="V1" s="37" t="s">
        <v>90</v>
      </c>
      <c r="W1" s="37" t="s">
        <v>92</v>
      </c>
      <c r="X1" s="37" t="s">
        <v>15</v>
      </c>
      <c r="Y1" s="37" t="s">
        <v>94</v>
      </c>
      <c r="Z1" s="38" t="s">
        <v>51</v>
      </c>
    </row>
    <row r="2" spans="17:26">
      <c r="Q2" s="37" t="s">
        <v>82</v>
      </c>
      <c r="R2" s="39">
        <v>2.0670000000000002</v>
      </c>
      <c r="S2" s="39" t="s">
        <v>83</v>
      </c>
      <c r="U2" s="39">
        <v>0</v>
      </c>
      <c r="V2" s="39">
        <f>U2*0.001/60</f>
        <v>0</v>
      </c>
      <c r="W2" s="39">
        <f>V2/$R$4</f>
        <v>0</v>
      </c>
      <c r="X2" s="69">
        <f>($R$7/$R$8)*W2*$R$3</f>
        <v>0</v>
      </c>
      <c r="Y2" s="39"/>
      <c r="Z2" s="39">
        <f>R6</f>
        <v>9</v>
      </c>
    </row>
    <row r="3" spans="17:26">
      <c r="Q3" s="37" t="s">
        <v>82</v>
      </c>
      <c r="R3" s="39">
        <f>R2*0.0254</f>
        <v>5.2501800000000001E-2</v>
      </c>
      <c r="S3" s="39" t="s">
        <v>4</v>
      </c>
      <c r="U3" s="39">
        <v>10</v>
      </c>
      <c r="V3" s="39">
        <f t="shared" ref="V3:V15" si="0">U3*0.001/60</f>
        <v>1.6666666666666666E-4</v>
      </c>
      <c r="W3" s="39">
        <f t="shared" ref="W3:W15" si="1">V3/$R$4</f>
        <v>7.6985774232536941E-2</v>
      </c>
      <c r="X3" s="69">
        <f t="shared" ref="X3:X15" si="2">($R$7/$R$8)*W3*$R$3</f>
        <v>3921.0277679830642</v>
      </c>
      <c r="Y3" s="39" cm="1">
        <f t="array" ref="Y3">fanning(X3,$R$10)</f>
        <v>1.026083990749331E-2</v>
      </c>
      <c r="Z3" s="39">
        <f>$R$6+2*Y3*$R$5*W3^2/(9.81*$R$3)</f>
        <v>9.0221982390438775</v>
      </c>
    </row>
    <row r="4" spans="17:26">
      <c r="Q4" s="37" t="s">
        <v>21</v>
      </c>
      <c r="R4" s="39">
        <f>PI()*R3^2/4</f>
        <v>2.1649021306617889E-3</v>
      </c>
      <c r="S4" s="39" t="s">
        <v>84</v>
      </c>
      <c r="U4" s="39">
        <v>50</v>
      </c>
      <c r="V4" s="39">
        <f t="shared" si="0"/>
        <v>8.3333333333333339E-4</v>
      </c>
      <c r="W4" s="39">
        <f t="shared" si="1"/>
        <v>0.3849288711626847</v>
      </c>
      <c r="X4" s="69">
        <f t="shared" si="2"/>
        <v>19605.138839915322</v>
      </c>
      <c r="Y4" s="39" cm="1">
        <f t="array" ref="Y4">fanning(X4,$R$10)</f>
        <v>6.9648350833758895E-3</v>
      </c>
      <c r="Z4" s="39">
        <f t="shared" ref="Z4:Z15" si="3">$R$6+2*Y4*$R$5*W4^2/(9.81*$R$3)</f>
        <v>9.3766920531745654</v>
      </c>
    </row>
    <row r="5" spans="17:26">
      <c r="Q5" s="37" t="s">
        <v>46</v>
      </c>
      <c r="R5" s="39">
        <v>94</v>
      </c>
      <c r="S5" s="39" t="s">
        <v>4</v>
      </c>
      <c r="U5" s="39">
        <v>100</v>
      </c>
      <c r="V5" s="39">
        <f t="shared" si="0"/>
        <v>1.6666666666666668E-3</v>
      </c>
      <c r="W5" s="39">
        <f t="shared" si="1"/>
        <v>0.76985774232536941</v>
      </c>
      <c r="X5" s="69">
        <f t="shared" si="2"/>
        <v>39210.277679830644</v>
      </c>
      <c r="Y5" s="39" cm="1">
        <f t="array" ref="Y5">fanning(X5,$R$10)</f>
        <v>6.1561557098926941E-3</v>
      </c>
      <c r="Z5" s="39">
        <f t="shared" si="3"/>
        <v>10.331819005769068</v>
      </c>
    </row>
    <row r="6" spans="17:26" ht="18">
      <c r="Q6" s="38" t="s">
        <v>74</v>
      </c>
      <c r="R6" s="39">
        <v>9</v>
      </c>
      <c r="S6" s="39" t="s">
        <v>4</v>
      </c>
      <c r="U6" s="39">
        <v>200</v>
      </c>
      <c r="V6" s="39">
        <f t="shared" si="0"/>
        <v>3.3333333333333335E-3</v>
      </c>
      <c r="W6" s="39">
        <f t="shared" si="1"/>
        <v>1.5397154846507388</v>
      </c>
      <c r="X6" s="69">
        <f t="shared" si="2"/>
        <v>78420.555359661288</v>
      </c>
      <c r="Y6" s="39" cm="1">
        <f t="array" ref="Y6">fanning(X6,$R$10)</f>
        <v>5.6027428247468532E-3</v>
      </c>
      <c r="Z6" s="39">
        <f t="shared" si="3"/>
        <v>13.848375986619873</v>
      </c>
    </row>
    <row r="7" spans="17:26">
      <c r="Q7" s="36" t="s">
        <v>7</v>
      </c>
      <c r="R7" s="58">
        <v>998.23</v>
      </c>
      <c r="S7" s="58" t="s">
        <v>87</v>
      </c>
      <c r="U7" s="39">
        <v>300</v>
      </c>
      <c r="V7" s="39">
        <f t="shared" si="0"/>
        <v>5.0000000000000001E-3</v>
      </c>
      <c r="W7" s="39">
        <f t="shared" si="1"/>
        <v>2.309573226976108</v>
      </c>
      <c r="X7" s="69">
        <f t="shared" si="2"/>
        <v>117630.83303949192</v>
      </c>
      <c r="Y7" s="39" cm="1">
        <f t="array" ref="Y7">fanning(X7,$R$10)</f>
        <v>5.3741481350217503E-3</v>
      </c>
      <c r="Z7" s="39">
        <f t="shared" si="3"/>
        <v>19.463759636691528</v>
      </c>
    </row>
    <row r="8" spans="17:26">
      <c r="Q8" s="36" t="s">
        <v>4</v>
      </c>
      <c r="R8" s="68">
        <v>1.029E-3</v>
      </c>
      <c r="S8" s="58" t="s">
        <v>93</v>
      </c>
      <c r="U8" s="39">
        <v>400</v>
      </c>
      <c r="V8" s="39">
        <f t="shared" si="0"/>
        <v>6.6666666666666671E-3</v>
      </c>
      <c r="W8" s="39">
        <f t="shared" si="1"/>
        <v>3.0794309693014776</v>
      </c>
      <c r="X8" s="69">
        <f t="shared" si="2"/>
        <v>156841.11071932258</v>
      </c>
      <c r="Y8" s="39" cm="1">
        <f t="array" ref="Y8">fanning(X8,$R$10)</f>
        <v>5.2470153792386559E-3</v>
      </c>
      <c r="Z8" s="39">
        <f t="shared" si="3"/>
        <v>27.162178177275369</v>
      </c>
    </row>
    <row r="9" spans="17:26">
      <c r="Q9" s="37" t="s">
        <v>91</v>
      </c>
      <c r="R9" s="39">
        <v>1.4999999999999999E-4</v>
      </c>
      <c r="S9" s="39" t="s">
        <v>22</v>
      </c>
      <c r="U9" s="39">
        <v>500</v>
      </c>
      <c r="V9" s="39">
        <f t="shared" si="0"/>
        <v>8.3333333333333332E-3</v>
      </c>
      <c r="W9" s="39">
        <f t="shared" si="1"/>
        <v>3.8492887116268468</v>
      </c>
      <c r="X9" s="69">
        <f t="shared" si="2"/>
        <v>196051.38839915322</v>
      </c>
      <c r="Y9" s="39" cm="1">
        <f t="array" ref="Y9">fanning(X9,$R$10)</f>
        <v>5.1655548752214875E-3</v>
      </c>
      <c r="Z9" s="39">
        <f t="shared" si="3"/>
        <v>36.937825496794339</v>
      </c>
    </row>
    <row r="10" spans="17:26">
      <c r="Q10" s="37" t="s">
        <v>14</v>
      </c>
      <c r="R10" s="39">
        <f>R9*12/R1</f>
        <v>8.9999999999999998E-4</v>
      </c>
      <c r="S10" s="39"/>
      <c r="U10" s="39">
        <v>600</v>
      </c>
      <c r="V10" s="39">
        <f t="shared" si="0"/>
        <v>0.01</v>
      </c>
      <c r="W10" s="39">
        <f t="shared" si="1"/>
        <v>4.619146453952216</v>
      </c>
      <c r="X10" s="69">
        <f t="shared" si="2"/>
        <v>235261.66607898384</v>
      </c>
      <c r="Y10" s="39" cm="1">
        <f t="array" ref="Y10">fanning(X10,$R$10)</f>
        <v>5.1087469241519528E-3</v>
      </c>
      <c r="Z10" s="39">
        <f t="shared" si="3"/>
        <v>48.788035994506018</v>
      </c>
    </row>
    <row r="11" spans="17:26">
      <c r="U11" s="39">
        <v>700</v>
      </c>
      <c r="V11" s="39">
        <f t="shared" si="0"/>
        <v>1.1666666666666667E-2</v>
      </c>
      <c r="W11" s="39">
        <f t="shared" si="1"/>
        <v>5.3890041962775861</v>
      </c>
      <c r="X11" s="69">
        <f t="shared" si="2"/>
        <v>274471.94375881454</v>
      </c>
      <c r="Y11" s="39" cm="1">
        <f t="array" ref="Y11">fanning(X11,$R$10)</f>
        <v>5.0668122791609057E-3</v>
      </c>
      <c r="Z11" s="39">
        <f t="shared" si="3"/>
        <v>62.711404209469279</v>
      </c>
    </row>
    <row r="12" spans="17:26">
      <c r="U12" s="39">
        <v>800</v>
      </c>
      <c r="V12" s="39">
        <f t="shared" si="0"/>
        <v>1.3333333333333334E-2</v>
      </c>
      <c r="W12" s="39">
        <f t="shared" si="1"/>
        <v>6.1588619386029553</v>
      </c>
      <c r="X12" s="69">
        <f t="shared" si="2"/>
        <v>313682.22143864515</v>
      </c>
      <c r="Y12" s="39" cm="1">
        <f t="array" ref="Y12">fanning(X12,$R$10)</f>
        <v>5.034560101870679E-3</v>
      </c>
      <c r="Z12" s="39">
        <f t="shared" si="3"/>
        <v>78.707116145441674</v>
      </c>
    </row>
    <row r="13" spans="17:26">
      <c r="U13" s="39">
        <v>900</v>
      </c>
      <c r="V13" s="39">
        <f t="shared" si="0"/>
        <v>1.5000000000000001E-2</v>
      </c>
      <c r="W13" s="39">
        <f t="shared" si="1"/>
        <v>6.9287196809283254</v>
      </c>
      <c r="X13" s="69">
        <f t="shared" si="2"/>
        <v>352892.49911847583</v>
      </c>
      <c r="Y13" s="39" cm="1">
        <f t="array" ref="Y13">fanning(X13,$R$10)</f>
        <v>5.008875098045029E-3</v>
      </c>
      <c r="Z13" s="39">
        <f t="shared" si="3"/>
        <v>96.772977936989307</v>
      </c>
    </row>
    <row r="14" spans="17:26">
      <c r="U14" s="39">
        <v>1000</v>
      </c>
      <c r="V14" s="39">
        <f t="shared" si="0"/>
        <v>1.6666666666666666E-2</v>
      </c>
      <c r="W14" s="39">
        <f t="shared" si="1"/>
        <v>7.6985774232536937</v>
      </c>
      <c r="X14" s="69">
        <f t="shared" si="2"/>
        <v>392102.77679830644</v>
      </c>
      <c r="Y14" s="39" cm="1">
        <f t="array" ref="Y14">fanning(X14,$R$10)</f>
        <v>4.9880950761957837E-3</v>
      </c>
      <c r="Z14" s="39">
        <f t="shared" si="3"/>
        <v>116.91214741994321</v>
      </c>
    </row>
    <row r="15" spans="17:26">
      <c r="U15" s="39">
        <v>1500</v>
      </c>
      <c r="V15" s="39">
        <f t="shared" si="0"/>
        <v>2.5000000000000001E-2</v>
      </c>
      <c r="W15" s="39">
        <f t="shared" si="1"/>
        <v>11.547866134880541</v>
      </c>
      <c r="X15" s="69">
        <f t="shared" si="2"/>
        <v>588154.16519745963</v>
      </c>
      <c r="Y15" s="39" cm="1">
        <f t="array" ref="Y15">fanning(X15,$R$10)</f>
        <v>4.9238370146263777E-3</v>
      </c>
      <c r="Z15" s="39">
        <f t="shared" si="3"/>
        <v>248.67448289870549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B667-3852-469F-BA10-F85DDA414F89}">
  <sheetPr codeName="Planilha11"/>
  <dimension ref="A43:C46"/>
  <sheetViews>
    <sheetView topLeftCell="A7" zoomScale="80" zoomScaleNormal="80" workbookViewId="0">
      <selection activeCell="Y20" sqref="Y20"/>
    </sheetView>
  </sheetViews>
  <sheetFormatPr defaultRowHeight="15"/>
  <cols>
    <col min="1" max="16384" width="9.140625" style="7"/>
  </cols>
  <sheetData>
    <row r="43" spans="1:3" ht="15.75">
      <c r="A43" s="65" t="s">
        <v>1</v>
      </c>
      <c r="B43" s="66"/>
      <c r="C43" s="66" t="s">
        <v>99</v>
      </c>
    </row>
    <row r="44" spans="1:3" ht="18.75">
      <c r="A44" s="65" t="s">
        <v>98</v>
      </c>
      <c r="B44" s="66"/>
      <c r="C44" s="66" t="s">
        <v>4</v>
      </c>
    </row>
    <row r="45" spans="1:3" ht="15.75">
      <c r="A45" s="65" t="s">
        <v>68</v>
      </c>
      <c r="B45" s="66"/>
      <c r="C45" s="66" t="s">
        <v>4</v>
      </c>
    </row>
    <row r="46" spans="1:3" ht="15.75">
      <c r="A46" s="59" t="s">
        <v>95</v>
      </c>
      <c r="B46" s="60"/>
      <c r="C46" s="60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F611D-5BCE-4D29-BA85-5675B162F5DE}">
  <sheetPr codeName="Planilha12"/>
  <dimension ref="A10:M16"/>
  <sheetViews>
    <sheetView topLeftCell="A12" workbookViewId="0">
      <selection activeCell="P28" sqref="P28"/>
    </sheetView>
  </sheetViews>
  <sheetFormatPr defaultRowHeight="15"/>
  <cols>
    <col min="1" max="1" width="14.85546875" style="7" customWidth="1"/>
    <col min="2" max="2" width="12.28515625" style="7" customWidth="1"/>
    <col min="3" max="3" width="17.42578125" style="7" customWidth="1"/>
    <col min="4" max="16384" width="9.140625" style="7"/>
  </cols>
  <sheetData>
    <row r="10" spans="1:13" ht="15.75" thickBot="1"/>
    <row r="11" spans="1:13" ht="19.5" thickBot="1">
      <c r="A11" s="61" t="s">
        <v>96</v>
      </c>
      <c r="B11" s="62" t="s">
        <v>86</v>
      </c>
      <c r="C11" s="62" t="s">
        <v>97</v>
      </c>
    </row>
    <row r="12" spans="1:13" ht="16.5" thickBot="1">
      <c r="A12" s="63">
        <v>0</v>
      </c>
      <c r="B12" s="64">
        <v>53</v>
      </c>
      <c r="C12" s="64">
        <f>$L$14+$L$16*A12^2</f>
        <v>40</v>
      </c>
    </row>
    <row r="13" spans="1:13" ht="16.5" thickBot="1">
      <c r="A13" s="63">
        <v>20</v>
      </c>
      <c r="B13" s="64">
        <v>52</v>
      </c>
      <c r="C13" s="64">
        <f t="shared" ref="C13:C16" si="0">$L$14+$L$16*A13^2</f>
        <v>42.5</v>
      </c>
      <c r="K13" s="65" t="s">
        <v>1</v>
      </c>
      <c r="L13" s="66">
        <v>40</v>
      </c>
      <c r="M13" s="66" t="s">
        <v>99</v>
      </c>
    </row>
    <row r="14" spans="1:13" ht="19.5" thickBot="1">
      <c r="A14" s="63">
        <v>40</v>
      </c>
      <c r="B14" s="75">
        <v>50</v>
      </c>
      <c r="C14" s="64">
        <f t="shared" si="0"/>
        <v>50</v>
      </c>
      <c r="K14" s="65" t="s">
        <v>98</v>
      </c>
      <c r="L14" s="66">
        <v>40</v>
      </c>
      <c r="M14" s="66" t="s">
        <v>4</v>
      </c>
    </row>
    <row r="15" spans="1:13" ht="16.5" thickBot="1">
      <c r="A15" s="63">
        <v>60</v>
      </c>
      <c r="B15" s="64">
        <v>42</v>
      </c>
      <c r="C15" s="64">
        <f t="shared" si="0"/>
        <v>62.5</v>
      </c>
      <c r="K15" s="65" t="s">
        <v>68</v>
      </c>
      <c r="L15" s="66">
        <v>50</v>
      </c>
      <c r="M15" s="66" t="s">
        <v>4</v>
      </c>
    </row>
    <row r="16" spans="1:13" ht="16.5" thickBot="1">
      <c r="A16" s="63">
        <v>80</v>
      </c>
      <c r="B16" s="64">
        <v>28</v>
      </c>
      <c r="C16" s="64">
        <f t="shared" si="0"/>
        <v>80</v>
      </c>
      <c r="K16" s="59" t="s">
        <v>95</v>
      </c>
      <c r="L16" s="60">
        <f>(L15-L14)/L13^2</f>
        <v>6.2500000000000003E-3</v>
      </c>
      <c r="M16" s="60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99AF2-986B-4182-9ADA-611D05727FA7}">
  <sheetPr codeName="Planilha13"/>
  <dimension ref="A14:B19"/>
  <sheetViews>
    <sheetView workbookViewId="0">
      <selection activeCell="O26" sqref="O26"/>
    </sheetView>
  </sheetViews>
  <sheetFormatPr defaultRowHeight="15"/>
  <cols>
    <col min="1" max="16384" width="9.140625" style="7"/>
  </cols>
  <sheetData>
    <row r="14" spans="1:2" ht="15.75">
      <c r="A14" s="55"/>
      <c r="B14" s="55"/>
    </row>
    <row r="15" spans="1:2" ht="15.75">
      <c r="A15" s="56"/>
      <c r="B15" s="56"/>
    </row>
    <row r="16" spans="1:2" ht="15.75">
      <c r="A16" s="56"/>
      <c r="B16" s="56"/>
    </row>
    <row r="17" spans="1:2" ht="15.75">
      <c r="A17" s="56"/>
      <c r="B17" s="56"/>
    </row>
    <row r="18" spans="1:2" ht="15.75">
      <c r="A18" s="56"/>
      <c r="B18" s="56"/>
    </row>
    <row r="19" spans="1:2" ht="15.75">
      <c r="A19" s="56"/>
      <c r="B19" s="5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40473-1F3D-4747-A05C-0CB14BF614B0}">
  <sheetPr codeName="Planilha18"/>
  <dimension ref="A1"/>
  <sheetViews>
    <sheetView topLeftCell="B1" zoomScale="120" zoomScaleNormal="120" workbookViewId="0">
      <selection activeCell="O22" sqref="O22"/>
    </sheetView>
  </sheetViews>
  <sheetFormatPr defaultRowHeight="15"/>
  <cols>
    <col min="1" max="16384" width="9.140625" style="7"/>
  </cols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86E38-F129-4BE7-8C90-154A30C01FD4}">
  <dimension ref="C1:J19"/>
  <sheetViews>
    <sheetView workbookViewId="0">
      <selection activeCell="L12" sqref="L12"/>
    </sheetView>
  </sheetViews>
  <sheetFormatPr defaultColWidth="8.7109375" defaultRowHeight="15"/>
  <cols>
    <col min="1" max="9" width="8.7109375" style="7"/>
    <col min="10" max="10" width="9.85546875" style="7" bestFit="1" customWidth="1"/>
    <col min="11" max="16384" width="8.7109375" style="7"/>
  </cols>
  <sheetData>
    <row r="1" spans="3:10">
      <c r="C1" s="76" t="s">
        <v>1</v>
      </c>
      <c r="D1" s="76" t="s">
        <v>105</v>
      </c>
      <c r="E1" s="77" t="s">
        <v>106</v>
      </c>
      <c r="F1" s="77"/>
      <c r="G1" s="78" t="s">
        <v>107</v>
      </c>
      <c r="H1" s="78"/>
      <c r="I1" s="7" t="s">
        <v>108</v>
      </c>
    </row>
    <row r="2" spans="3:10" ht="18">
      <c r="C2" s="76" t="s">
        <v>109</v>
      </c>
      <c r="D2" s="76" t="s">
        <v>4</v>
      </c>
      <c r="E2" s="79" t="s">
        <v>1</v>
      </c>
      <c r="F2" s="79" t="s">
        <v>110</v>
      </c>
      <c r="G2" s="80" t="s">
        <v>1</v>
      </c>
      <c r="H2" s="80" t="s">
        <v>111</v>
      </c>
      <c r="I2" s="7" t="s">
        <v>112</v>
      </c>
      <c r="J2" s="81"/>
    </row>
    <row r="3" spans="3:10">
      <c r="C3" s="76">
        <v>0</v>
      </c>
      <c r="D3" s="82">
        <v>24</v>
      </c>
      <c r="E3" s="79" t="s">
        <v>109</v>
      </c>
      <c r="F3" s="79" t="s">
        <v>4</v>
      </c>
      <c r="G3" s="80" t="s">
        <v>109</v>
      </c>
      <c r="H3" s="80" t="s">
        <v>4</v>
      </c>
      <c r="I3" s="7" t="s">
        <v>113</v>
      </c>
    </row>
    <row r="4" spans="3:10">
      <c r="C4" s="76">
        <v>50</v>
      </c>
      <c r="D4" s="82">
        <v>24.087755000000001</v>
      </c>
      <c r="E4" s="79">
        <v>0</v>
      </c>
      <c r="F4" s="83">
        <v>15</v>
      </c>
      <c r="G4" s="80">
        <v>0</v>
      </c>
      <c r="H4" s="84">
        <v>21</v>
      </c>
    </row>
    <row r="5" spans="3:10">
      <c r="C5" s="76">
        <v>100</v>
      </c>
      <c r="D5" s="82">
        <v>24.351019999999998</v>
      </c>
      <c r="E5" s="79">
        <v>50</v>
      </c>
      <c r="F5" s="83">
        <v>14.45</v>
      </c>
      <c r="G5" s="80">
        <v>50</v>
      </c>
      <c r="H5" s="84">
        <v>20.874999999999996</v>
      </c>
    </row>
    <row r="6" spans="3:10">
      <c r="C6" s="76">
        <v>150</v>
      </c>
      <c r="D6" s="82">
        <v>24.789795000000002</v>
      </c>
      <c r="E6" s="79">
        <v>100</v>
      </c>
      <c r="F6" s="83">
        <v>13.55</v>
      </c>
      <c r="G6" s="80">
        <v>100</v>
      </c>
      <c r="H6" s="84">
        <v>20.499999999999993</v>
      </c>
    </row>
    <row r="7" spans="3:10">
      <c r="C7" s="76">
        <v>200</v>
      </c>
      <c r="D7" s="82">
        <v>25.40408</v>
      </c>
      <c r="E7" s="79">
        <v>150</v>
      </c>
      <c r="F7" s="83">
        <v>12.3</v>
      </c>
      <c r="G7" s="80">
        <v>150</v>
      </c>
      <c r="H7" s="84">
        <v>19.874999999999989</v>
      </c>
    </row>
    <row r="8" spans="3:10">
      <c r="C8" s="76">
        <v>250</v>
      </c>
      <c r="D8" s="82">
        <v>26.193874999999998</v>
      </c>
      <c r="E8" s="79">
        <v>200</v>
      </c>
      <c r="F8" s="83">
        <v>10.7</v>
      </c>
      <c r="G8" s="80">
        <v>200</v>
      </c>
      <c r="H8" s="84">
        <v>18.999999999999989</v>
      </c>
    </row>
    <row r="9" spans="3:10">
      <c r="C9" s="76">
        <v>300</v>
      </c>
      <c r="D9" s="82">
        <v>27.159179999999999</v>
      </c>
      <c r="E9" s="79">
        <v>250</v>
      </c>
      <c r="F9" s="83">
        <v>8.75</v>
      </c>
      <c r="G9" s="80">
        <v>250</v>
      </c>
      <c r="H9" s="84">
        <v>17.874999999999986</v>
      </c>
    </row>
    <row r="10" spans="3:10">
      <c r="C10" s="76">
        <v>350</v>
      </c>
      <c r="D10" s="82">
        <v>28.299994999999999</v>
      </c>
      <c r="E10" s="79">
        <v>300</v>
      </c>
      <c r="F10" s="83">
        <v>6.4499999999999993</v>
      </c>
      <c r="G10" s="80">
        <v>300</v>
      </c>
      <c r="H10" s="84">
        <v>16.499999999999982</v>
      </c>
    </row>
    <row r="11" spans="3:10">
      <c r="C11" s="76">
        <v>400</v>
      </c>
      <c r="D11" s="82">
        <v>29.616319999999998</v>
      </c>
      <c r="E11" s="79">
        <v>350</v>
      </c>
      <c r="F11" s="83">
        <v>3.8000000000000007</v>
      </c>
      <c r="G11" s="80">
        <v>350</v>
      </c>
      <c r="H11" s="84">
        <v>14.874999999999979</v>
      </c>
    </row>
    <row r="12" spans="3:10">
      <c r="C12" s="76">
        <v>450</v>
      </c>
      <c r="D12" s="82">
        <v>31.108155</v>
      </c>
      <c r="E12" s="79">
        <v>400</v>
      </c>
      <c r="F12" s="83">
        <v>0.80000000000000071</v>
      </c>
      <c r="G12" s="80">
        <v>400</v>
      </c>
      <c r="H12" s="84">
        <v>12.999999999999975</v>
      </c>
    </row>
    <row r="13" spans="3:10">
      <c r="C13" s="76">
        <v>500</v>
      </c>
      <c r="D13" s="82">
        <v>32.775500000000001</v>
      </c>
      <c r="F13" s="85"/>
      <c r="G13" s="80">
        <v>450</v>
      </c>
      <c r="H13" s="84">
        <v>10.874999999999973</v>
      </c>
    </row>
    <row r="14" spans="3:10">
      <c r="C14" s="76">
        <v>550</v>
      </c>
      <c r="D14" s="82">
        <v>34.618355000000001</v>
      </c>
      <c r="F14" s="85"/>
      <c r="G14" s="80">
        <v>500</v>
      </c>
      <c r="H14" s="84">
        <v>8.4999999999999698</v>
      </c>
    </row>
    <row r="15" spans="3:10">
      <c r="C15" s="76">
        <v>600</v>
      </c>
      <c r="D15" s="82">
        <v>36.636719999999997</v>
      </c>
      <c r="G15" s="80">
        <v>550</v>
      </c>
      <c r="H15" s="84">
        <v>5.8749999999999662</v>
      </c>
    </row>
    <row r="16" spans="3:10">
      <c r="C16" s="76">
        <v>650</v>
      </c>
      <c r="D16" s="82">
        <v>38.830595000000002</v>
      </c>
      <c r="G16" s="80">
        <v>600</v>
      </c>
      <c r="H16" s="84">
        <v>2.9999999999999645</v>
      </c>
    </row>
    <row r="17" spans="3:4">
      <c r="C17" s="76">
        <v>700</v>
      </c>
      <c r="D17" s="82">
        <v>41.199979999999996</v>
      </c>
    </row>
    <row r="18" spans="3:4">
      <c r="C18" s="76">
        <v>750</v>
      </c>
      <c r="D18" s="82">
        <v>43.744874999999993</v>
      </c>
    </row>
    <row r="19" spans="3:4">
      <c r="C19" s="76">
        <v>800</v>
      </c>
      <c r="D19" s="82">
        <v>46.465279999999993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E83CE-301E-456D-8CBB-A48FE5649DB4}">
  <dimension ref="A1:M19"/>
  <sheetViews>
    <sheetView workbookViewId="0">
      <selection activeCell="E17" sqref="E17"/>
    </sheetView>
  </sheetViews>
  <sheetFormatPr defaultColWidth="8.7109375" defaultRowHeight="15"/>
  <cols>
    <col min="1" max="16384" width="8.7109375" style="7"/>
  </cols>
  <sheetData>
    <row r="1" spans="1:13">
      <c r="A1" s="76" t="s">
        <v>1</v>
      </c>
      <c r="B1" s="76" t="s">
        <v>105</v>
      </c>
      <c r="C1" s="77" t="s">
        <v>106</v>
      </c>
      <c r="D1" s="77"/>
      <c r="E1" s="7" t="s">
        <v>114</v>
      </c>
      <c r="G1" s="78" t="s">
        <v>107</v>
      </c>
      <c r="H1" s="78"/>
      <c r="I1" s="7" t="s">
        <v>115</v>
      </c>
      <c r="L1" s="7" t="s">
        <v>116</v>
      </c>
    </row>
    <row r="2" spans="1:13" ht="18">
      <c r="A2" s="76" t="s">
        <v>109</v>
      </c>
      <c r="B2" s="76" t="s">
        <v>4</v>
      </c>
      <c r="C2" s="79" t="s">
        <v>1</v>
      </c>
      <c r="D2" s="79" t="s">
        <v>110</v>
      </c>
      <c r="E2" s="85" t="s">
        <v>1</v>
      </c>
      <c r="F2" s="85" t="s">
        <v>68</v>
      </c>
      <c r="G2" s="80" t="s">
        <v>1</v>
      </c>
      <c r="H2" s="80" t="s">
        <v>111</v>
      </c>
      <c r="I2" s="85" t="s">
        <v>1</v>
      </c>
      <c r="J2" s="85" t="s">
        <v>68</v>
      </c>
      <c r="L2" s="85" t="s">
        <v>1</v>
      </c>
      <c r="M2" s="85" t="s">
        <v>68</v>
      </c>
    </row>
    <row r="3" spans="1:13">
      <c r="A3" s="76">
        <v>0</v>
      </c>
      <c r="B3" s="82">
        <v>24</v>
      </c>
      <c r="C3" s="79" t="s">
        <v>109</v>
      </c>
      <c r="D3" s="79" t="s">
        <v>4</v>
      </c>
      <c r="E3" s="79" t="s">
        <v>109</v>
      </c>
      <c r="F3" s="79" t="s">
        <v>4</v>
      </c>
      <c r="G3" s="80" t="s">
        <v>109</v>
      </c>
      <c r="H3" s="80" t="s">
        <v>4</v>
      </c>
      <c r="I3" s="80" t="s">
        <v>109</v>
      </c>
      <c r="J3" s="80" t="s">
        <v>4</v>
      </c>
      <c r="L3" s="80" t="s">
        <v>109</v>
      </c>
      <c r="M3" s="80" t="s">
        <v>4</v>
      </c>
    </row>
    <row r="4" spans="1:13">
      <c r="A4" s="76">
        <v>50</v>
      </c>
      <c r="B4" s="82">
        <v>24.087755000000001</v>
      </c>
      <c r="C4" s="79">
        <v>0</v>
      </c>
      <c r="D4" s="83">
        <v>15</v>
      </c>
      <c r="E4" s="86">
        <f>2*C4</f>
        <v>0</v>
      </c>
      <c r="F4" s="87">
        <f>D4</f>
        <v>15</v>
      </c>
      <c r="G4" s="80">
        <v>0</v>
      </c>
      <c r="H4" s="84">
        <v>21</v>
      </c>
      <c r="I4" s="86">
        <f>2*G4</f>
        <v>0</v>
      </c>
      <c r="J4" s="87">
        <f>H4</f>
        <v>21</v>
      </c>
      <c r="L4" s="85">
        <v>0</v>
      </c>
      <c r="M4" s="87">
        <f>J4+F4</f>
        <v>36</v>
      </c>
    </row>
    <row r="5" spans="1:13">
      <c r="A5" s="76">
        <v>100</v>
      </c>
      <c r="B5" s="82">
        <v>24.351019999999998</v>
      </c>
      <c r="C5" s="79">
        <v>50</v>
      </c>
      <c r="D5" s="83">
        <v>14.45</v>
      </c>
      <c r="E5" s="86">
        <f t="shared" ref="E5:E12" si="0">2*C5</f>
        <v>100</v>
      </c>
      <c r="F5" s="87">
        <f t="shared" ref="F5:F12" si="1">D5</f>
        <v>14.45</v>
      </c>
      <c r="G5" s="80">
        <v>50</v>
      </c>
      <c r="H5" s="84">
        <v>20.874999999999996</v>
      </c>
      <c r="I5" s="86">
        <f t="shared" ref="I5:I16" si="2">2*G5</f>
        <v>100</v>
      </c>
      <c r="J5" s="87">
        <f t="shared" ref="J5:J16" si="3">H5</f>
        <v>20.874999999999996</v>
      </c>
      <c r="L5" s="85">
        <v>100</v>
      </c>
      <c r="M5" s="87">
        <f>J5+F5</f>
        <v>35.324999999999996</v>
      </c>
    </row>
    <row r="6" spans="1:13">
      <c r="A6" s="76">
        <v>150</v>
      </c>
      <c r="B6" s="82">
        <v>24.789795000000002</v>
      </c>
      <c r="C6" s="79">
        <v>100</v>
      </c>
      <c r="D6" s="83">
        <v>13.55</v>
      </c>
      <c r="E6" s="86">
        <f t="shared" si="0"/>
        <v>200</v>
      </c>
      <c r="F6" s="87">
        <f t="shared" si="1"/>
        <v>13.55</v>
      </c>
      <c r="G6" s="80">
        <v>100</v>
      </c>
      <c r="H6" s="84">
        <v>20.499999999999993</v>
      </c>
      <c r="I6" s="86">
        <f t="shared" si="2"/>
        <v>200</v>
      </c>
      <c r="J6" s="87">
        <f t="shared" si="3"/>
        <v>20.499999999999993</v>
      </c>
      <c r="L6" s="85">
        <v>200</v>
      </c>
      <c r="M6" s="87">
        <f t="shared" ref="M6:M16" si="4">J6+F6</f>
        <v>34.049999999999997</v>
      </c>
    </row>
    <row r="7" spans="1:13">
      <c r="A7" s="76">
        <v>200</v>
      </c>
      <c r="B7" s="82">
        <v>25.40408</v>
      </c>
      <c r="C7" s="79">
        <v>150</v>
      </c>
      <c r="D7" s="83">
        <v>12.3</v>
      </c>
      <c r="E7" s="86">
        <f t="shared" si="0"/>
        <v>300</v>
      </c>
      <c r="F7" s="87">
        <f t="shared" si="1"/>
        <v>12.3</v>
      </c>
      <c r="G7" s="80">
        <v>150</v>
      </c>
      <c r="H7" s="84">
        <v>19.874999999999989</v>
      </c>
      <c r="I7" s="86">
        <f t="shared" si="2"/>
        <v>300</v>
      </c>
      <c r="J7" s="87">
        <f t="shared" si="3"/>
        <v>19.874999999999989</v>
      </c>
      <c r="L7" s="85">
        <v>300</v>
      </c>
      <c r="M7" s="87">
        <f t="shared" si="4"/>
        <v>32.17499999999999</v>
      </c>
    </row>
    <row r="8" spans="1:13">
      <c r="A8" s="76">
        <v>250</v>
      </c>
      <c r="B8" s="82">
        <v>26.193874999999998</v>
      </c>
      <c r="C8" s="79">
        <v>200</v>
      </c>
      <c r="D8" s="83">
        <v>10.7</v>
      </c>
      <c r="E8" s="86">
        <f t="shared" si="0"/>
        <v>400</v>
      </c>
      <c r="F8" s="87">
        <f t="shared" si="1"/>
        <v>10.7</v>
      </c>
      <c r="G8" s="80">
        <v>200</v>
      </c>
      <c r="H8" s="84">
        <v>18.999999999999989</v>
      </c>
      <c r="I8" s="86">
        <f t="shared" si="2"/>
        <v>400</v>
      </c>
      <c r="J8" s="87">
        <f t="shared" si="3"/>
        <v>18.999999999999989</v>
      </c>
      <c r="L8" s="85">
        <v>400</v>
      </c>
      <c r="M8" s="87">
        <f t="shared" si="4"/>
        <v>29.699999999999989</v>
      </c>
    </row>
    <row r="9" spans="1:13">
      <c r="A9" s="76">
        <v>300</v>
      </c>
      <c r="B9" s="82">
        <v>27.159179999999999</v>
      </c>
      <c r="C9" s="79">
        <v>250</v>
      </c>
      <c r="D9" s="83">
        <v>8.75</v>
      </c>
      <c r="E9" s="86">
        <f t="shared" si="0"/>
        <v>500</v>
      </c>
      <c r="F9" s="87">
        <f t="shared" si="1"/>
        <v>8.75</v>
      </c>
      <c r="G9" s="80">
        <v>250</v>
      </c>
      <c r="H9" s="84">
        <v>17.874999999999986</v>
      </c>
      <c r="I9" s="86">
        <f t="shared" si="2"/>
        <v>500</v>
      </c>
      <c r="J9" s="87">
        <f t="shared" si="3"/>
        <v>17.874999999999986</v>
      </c>
      <c r="L9" s="85">
        <v>500</v>
      </c>
      <c r="M9" s="87">
        <f t="shared" si="4"/>
        <v>26.624999999999986</v>
      </c>
    </row>
    <row r="10" spans="1:13">
      <c r="A10" s="76">
        <v>350</v>
      </c>
      <c r="B10" s="82">
        <v>28.299994999999999</v>
      </c>
      <c r="C10" s="79">
        <v>300</v>
      </c>
      <c r="D10" s="83">
        <v>6.4499999999999993</v>
      </c>
      <c r="E10" s="86">
        <f t="shared" si="0"/>
        <v>600</v>
      </c>
      <c r="F10" s="87">
        <f t="shared" si="1"/>
        <v>6.4499999999999993</v>
      </c>
      <c r="G10" s="80">
        <v>300</v>
      </c>
      <c r="H10" s="84">
        <v>16.499999999999982</v>
      </c>
      <c r="I10" s="86">
        <f t="shared" si="2"/>
        <v>600</v>
      </c>
      <c r="J10" s="87">
        <f t="shared" si="3"/>
        <v>16.499999999999982</v>
      </c>
      <c r="L10" s="85">
        <v>600</v>
      </c>
      <c r="M10" s="87">
        <f t="shared" si="4"/>
        <v>22.949999999999982</v>
      </c>
    </row>
    <row r="11" spans="1:13">
      <c r="A11" s="76">
        <v>400</v>
      </c>
      <c r="B11" s="82">
        <v>29.616319999999998</v>
      </c>
      <c r="C11" s="79">
        <v>350</v>
      </c>
      <c r="D11" s="83">
        <v>3.8000000000000007</v>
      </c>
      <c r="E11" s="86">
        <f t="shared" si="0"/>
        <v>700</v>
      </c>
      <c r="F11" s="87">
        <f t="shared" si="1"/>
        <v>3.8000000000000007</v>
      </c>
      <c r="G11" s="80">
        <v>350</v>
      </c>
      <c r="H11" s="84">
        <v>14.874999999999979</v>
      </c>
      <c r="I11" s="86">
        <f t="shared" si="2"/>
        <v>700</v>
      </c>
      <c r="J11" s="87">
        <f t="shared" si="3"/>
        <v>14.874999999999979</v>
      </c>
      <c r="L11" s="85">
        <v>700</v>
      </c>
      <c r="M11" s="87">
        <f t="shared" si="4"/>
        <v>18.674999999999979</v>
      </c>
    </row>
    <row r="12" spans="1:13">
      <c r="A12" s="76">
        <v>450</v>
      </c>
      <c r="B12" s="82">
        <v>31.108155</v>
      </c>
      <c r="C12" s="79">
        <v>400</v>
      </c>
      <c r="D12" s="83">
        <v>0.80000000000000071</v>
      </c>
      <c r="E12" s="86">
        <f t="shared" si="0"/>
        <v>800</v>
      </c>
      <c r="F12" s="87">
        <f t="shared" si="1"/>
        <v>0.80000000000000071</v>
      </c>
      <c r="G12" s="80">
        <v>400</v>
      </c>
      <c r="H12" s="84">
        <v>12.999999999999975</v>
      </c>
      <c r="I12" s="86">
        <f t="shared" si="2"/>
        <v>800</v>
      </c>
      <c r="J12" s="87">
        <f t="shared" si="3"/>
        <v>12.999999999999975</v>
      </c>
      <c r="L12" s="85">
        <v>800</v>
      </c>
      <c r="M12" s="87">
        <f t="shared" si="4"/>
        <v>13.799999999999976</v>
      </c>
    </row>
    <row r="13" spans="1:13">
      <c r="A13" s="76">
        <v>500</v>
      </c>
      <c r="B13" s="82">
        <v>32.775500000000001</v>
      </c>
      <c r="D13" s="85"/>
      <c r="G13" s="80">
        <v>450</v>
      </c>
      <c r="H13" s="84">
        <v>10.874999999999973</v>
      </c>
      <c r="I13" s="86">
        <f t="shared" si="2"/>
        <v>900</v>
      </c>
      <c r="J13" s="87">
        <f t="shared" si="3"/>
        <v>10.874999999999973</v>
      </c>
      <c r="L13" s="85">
        <v>900</v>
      </c>
      <c r="M13" s="87">
        <f t="shared" si="4"/>
        <v>10.874999999999973</v>
      </c>
    </row>
    <row r="14" spans="1:13">
      <c r="A14" s="76">
        <v>550</v>
      </c>
      <c r="B14" s="82">
        <v>34.618355000000001</v>
      </c>
      <c r="D14" s="85"/>
      <c r="G14" s="80">
        <v>500</v>
      </c>
      <c r="H14" s="84">
        <v>8.4999999999999698</v>
      </c>
      <c r="I14" s="86">
        <f t="shared" si="2"/>
        <v>1000</v>
      </c>
      <c r="J14" s="87">
        <f t="shared" si="3"/>
        <v>8.4999999999999698</v>
      </c>
      <c r="L14" s="85">
        <v>1000</v>
      </c>
      <c r="M14" s="87">
        <f t="shared" si="4"/>
        <v>8.4999999999999698</v>
      </c>
    </row>
    <row r="15" spans="1:13">
      <c r="A15" s="76">
        <v>600</v>
      </c>
      <c r="B15" s="82">
        <v>36.636719999999997</v>
      </c>
      <c r="G15" s="80">
        <v>550</v>
      </c>
      <c r="H15" s="84">
        <v>5.8749999999999662</v>
      </c>
      <c r="I15" s="86">
        <f t="shared" si="2"/>
        <v>1100</v>
      </c>
      <c r="J15" s="87">
        <f t="shared" si="3"/>
        <v>5.8749999999999662</v>
      </c>
      <c r="L15" s="85">
        <v>1100</v>
      </c>
      <c r="M15" s="87">
        <f t="shared" si="4"/>
        <v>5.8749999999999662</v>
      </c>
    </row>
    <row r="16" spans="1:13">
      <c r="A16" s="76">
        <v>650</v>
      </c>
      <c r="B16" s="82">
        <v>38.830595000000002</v>
      </c>
      <c r="G16" s="80">
        <v>600</v>
      </c>
      <c r="H16" s="84">
        <v>2.9999999999999645</v>
      </c>
      <c r="I16" s="86">
        <f t="shared" si="2"/>
        <v>1200</v>
      </c>
      <c r="J16" s="87">
        <f t="shared" si="3"/>
        <v>2.9999999999999645</v>
      </c>
      <c r="L16" s="85">
        <v>1200</v>
      </c>
      <c r="M16" s="87">
        <f t="shared" si="4"/>
        <v>2.9999999999999645</v>
      </c>
    </row>
    <row r="17" spans="1:2">
      <c r="A17" s="76">
        <v>700</v>
      </c>
      <c r="B17" s="82">
        <v>41.199979999999996</v>
      </c>
    </row>
    <row r="18" spans="1:2">
      <c r="A18" s="76">
        <v>750</v>
      </c>
      <c r="B18" s="82">
        <v>43.744874999999993</v>
      </c>
    </row>
    <row r="19" spans="1:2">
      <c r="A19" s="76">
        <v>800</v>
      </c>
      <c r="B19" s="82">
        <v>46.465279999999993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F1E73-52CE-4C42-83C7-0B593081FE36}">
  <dimension ref="A6:R25"/>
  <sheetViews>
    <sheetView topLeftCell="A9" workbookViewId="0">
      <selection activeCell="J11" sqref="J11"/>
    </sheetView>
  </sheetViews>
  <sheetFormatPr defaultColWidth="8.7109375" defaultRowHeight="15"/>
  <cols>
    <col min="1" max="1" width="11.28515625" style="7" customWidth="1"/>
    <col min="2" max="16384" width="8.7109375" style="7"/>
  </cols>
  <sheetData>
    <row r="6" spans="1:18" ht="15.75" thickBot="1"/>
    <row r="7" spans="1:18" ht="15.75" thickBot="1">
      <c r="A7" s="7" t="s">
        <v>117</v>
      </c>
      <c r="F7" s="7" t="s">
        <v>118</v>
      </c>
      <c r="K7" s="7" t="s">
        <v>119</v>
      </c>
      <c r="M7" s="88" t="s">
        <v>120</v>
      </c>
      <c r="N7" s="89" t="s">
        <v>121</v>
      </c>
      <c r="P7" s="88" t="s">
        <v>120</v>
      </c>
      <c r="Q7" s="89" t="s">
        <v>121</v>
      </c>
    </row>
    <row r="8" spans="1:18" ht="18.75" thickBot="1">
      <c r="A8" s="7" t="s">
        <v>122</v>
      </c>
      <c r="F8" s="90" t="s">
        <v>123</v>
      </c>
      <c r="G8" s="91">
        <v>67.5</v>
      </c>
      <c r="H8" s="91" t="s">
        <v>124</v>
      </c>
      <c r="M8" s="92">
        <v>2</v>
      </c>
      <c r="N8" s="93">
        <v>32.6</v>
      </c>
      <c r="O8" s="7">
        <f>N8/M8</f>
        <v>16.3</v>
      </c>
      <c r="P8" s="92">
        <v>180</v>
      </c>
      <c r="Q8" s="93">
        <v>834</v>
      </c>
      <c r="R8" s="7">
        <f>Q8/P8</f>
        <v>4.6333333333333337</v>
      </c>
    </row>
    <row r="9" spans="1:18" ht="15.75" thickBot="1">
      <c r="A9" s="94" t="s">
        <v>4</v>
      </c>
      <c r="B9" s="106">
        <f>B10*B11*0.000001*1000</f>
        <v>194.25857975393913</v>
      </c>
      <c r="C9" s="95" t="s">
        <v>0</v>
      </c>
      <c r="M9" s="92">
        <v>4</v>
      </c>
      <c r="N9" s="93">
        <v>39.200000000000003</v>
      </c>
      <c r="O9" s="7">
        <f t="shared" ref="O9:O25" si="0">N9/M9</f>
        <v>9.8000000000000007</v>
      </c>
      <c r="P9" s="92">
        <v>200</v>
      </c>
      <c r="Q9" s="93">
        <v>927</v>
      </c>
      <c r="R9" s="7">
        <f t="shared" ref="R9:R24" si="1">Q9/P9</f>
        <v>4.6349999999999998</v>
      </c>
    </row>
    <row r="10" spans="1:18" ht="19.5" thickBot="1">
      <c r="A10" s="94" t="s">
        <v>7</v>
      </c>
      <c r="B10" s="96">
        <v>900</v>
      </c>
      <c r="C10" s="97" t="s">
        <v>125</v>
      </c>
      <c r="F10" s="7" t="s">
        <v>126</v>
      </c>
      <c r="M10" s="92">
        <v>7</v>
      </c>
      <c r="N10" s="93">
        <v>48.8</v>
      </c>
      <c r="O10" s="7">
        <f t="shared" si="0"/>
        <v>6.9714285714285706</v>
      </c>
      <c r="P10" s="92">
        <v>220</v>
      </c>
      <c r="Q10" s="93">
        <v>1019</v>
      </c>
      <c r="R10" s="7">
        <f t="shared" si="1"/>
        <v>4.6318181818181818</v>
      </c>
    </row>
    <row r="11" spans="1:18" ht="18.75" thickBot="1">
      <c r="A11" s="94" t="s">
        <v>127</v>
      </c>
      <c r="B11" s="98">
        <f>B12/4.633</f>
        <v>215.84286639326569</v>
      </c>
      <c r="C11" s="97" t="s">
        <v>120</v>
      </c>
      <c r="F11" s="99" t="s">
        <v>128</v>
      </c>
      <c r="G11" s="100">
        <v>0.84</v>
      </c>
      <c r="M11" s="92">
        <v>10</v>
      </c>
      <c r="N11" s="93">
        <v>58.8</v>
      </c>
      <c r="O11" s="7">
        <f t="shared" si="0"/>
        <v>5.88</v>
      </c>
      <c r="P11" s="92">
        <v>240</v>
      </c>
      <c r="Q11" s="93">
        <v>1112</v>
      </c>
      <c r="R11" s="7">
        <f t="shared" si="1"/>
        <v>4.6333333333333337</v>
      </c>
    </row>
    <row r="12" spans="1:18" ht="18.75" thickBot="1">
      <c r="A12" s="101" t="s">
        <v>129</v>
      </c>
      <c r="B12" s="102">
        <v>1000</v>
      </c>
      <c r="C12" s="95" t="s">
        <v>121</v>
      </c>
      <c r="F12" s="99" t="s">
        <v>130</v>
      </c>
      <c r="G12" s="100">
        <v>0.84</v>
      </c>
      <c r="M12" s="92">
        <v>15</v>
      </c>
      <c r="N12" s="93">
        <v>77.400000000000006</v>
      </c>
      <c r="O12" s="7">
        <f t="shared" si="0"/>
        <v>5.16</v>
      </c>
      <c r="P12" s="92">
        <v>260</v>
      </c>
      <c r="Q12" s="93">
        <v>1204</v>
      </c>
      <c r="R12" s="7">
        <f t="shared" si="1"/>
        <v>4.6307692307692312</v>
      </c>
    </row>
    <row r="13" spans="1:18" ht="15.75" thickBot="1">
      <c r="M13" s="92">
        <v>20</v>
      </c>
      <c r="N13" s="93">
        <v>97.8</v>
      </c>
      <c r="O13" s="7">
        <f t="shared" si="0"/>
        <v>4.8899999999999997</v>
      </c>
      <c r="P13" s="92">
        <v>280</v>
      </c>
      <c r="Q13" s="93">
        <v>1297</v>
      </c>
      <c r="R13" s="7">
        <f t="shared" si="1"/>
        <v>4.6321428571428571</v>
      </c>
    </row>
    <row r="14" spans="1:18" ht="15.75" thickBot="1">
      <c r="A14" s="7" t="s">
        <v>131</v>
      </c>
      <c r="F14" s="7" t="s">
        <v>132</v>
      </c>
      <c r="M14" s="92">
        <v>25</v>
      </c>
      <c r="N14" s="93">
        <v>119.4</v>
      </c>
      <c r="O14" s="7">
        <f t="shared" si="0"/>
        <v>4.7759999999999998</v>
      </c>
      <c r="P14" s="92">
        <v>300</v>
      </c>
      <c r="Q14" s="93">
        <v>1390</v>
      </c>
      <c r="R14" s="7">
        <f t="shared" si="1"/>
        <v>4.6333333333333337</v>
      </c>
    </row>
    <row r="15" spans="1:18" ht="18.75" thickBot="1">
      <c r="F15" s="103" t="s">
        <v>133</v>
      </c>
      <c r="G15" s="104">
        <f>B16/G11</f>
        <v>595.2380952380953</v>
      </c>
      <c r="H15" s="95" t="s">
        <v>134</v>
      </c>
      <c r="M15" s="92">
        <v>30</v>
      </c>
      <c r="N15" s="93">
        <v>141.5</v>
      </c>
      <c r="O15" s="7">
        <f t="shared" si="0"/>
        <v>4.7166666666666668</v>
      </c>
      <c r="P15" s="92">
        <v>320</v>
      </c>
      <c r="Q15" s="93">
        <v>1482</v>
      </c>
      <c r="R15" s="7">
        <f t="shared" si="1"/>
        <v>4.6312499999999996</v>
      </c>
    </row>
    <row r="16" spans="1:18" ht="18.75" thickBot="1">
      <c r="A16" s="103" t="s">
        <v>135</v>
      </c>
      <c r="B16" s="102">
        <v>500</v>
      </c>
      <c r="C16" s="95" t="s">
        <v>134</v>
      </c>
      <c r="F16" s="103" t="s">
        <v>136</v>
      </c>
      <c r="G16" s="104">
        <f>B17/G12</f>
        <v>238.0952380952381</v>
      </c>
      <c r="H16" s="95" t="s">
        <v>137</v>
      </c>
      <c r="M16" s="92">
        <v>40</v>
      </c>
      <c r="N16" s="93">
        <v>186.8</v>
      </c>
      <c r="O16" s="7">
        <f t="shared" si="0"/>
        <v>4.67</v>
      </c>
      <c r="P16" s="92">
        <v>340</v>
      </c>
      <c r="Q16" s="93">
        <v>1575</v>
      </c>
      <c r="R16" s="7">
        <f t="shared" si="1"/>
        <v>4.632352941176471</v>
      </c>
    </row>
    <row r="17" spans="1:18" ht="18.75" thickBot="1">
      <c r="A17" s="103" t="s">
        <v>138</v>
      </c>
      <c r="B17" s="102">
        <v>200</v>
      </c>
      <c r="C17" s="95" t="s">
        <v>139</v>
      </c>
      <c r="M17" s="92">
        <v>50</v>
      </c>
      <c r="N17" s="93">
        <v>233</v>
      </c>
      <c r="O17" s="7">
        <f t="shared" si="0"/>
        <v>4.66</v>
      </c>
      <c r="P17" s="92">
        <v>360</v>
      </c>
      <c r="Q17" s="93">
        <v>1668</v>
      </c>
      <c r="R17" s="7">
        <f t="shared" si="1"/>
        <v>4.6333333333333337</v>
      </c>
    </row>
    <row r="18" spans="1:18" ht="18.75" thickBot="1">
      <c r="F18" s="7" t="s">
        <v>140</v>
      </c>
      <c r="M18" s="92">
        <v>60</v>
      </c>
      <c r="N18" s="93">
        <v>279</v>
      </c>
      <c r="O18" s="7">
        <f t="shared" si="0"/>
        <v>4.6500000000000004</v>
      </c>
      <c r="P18" s="92">
        <v>380</v>
      </c>
      <c r="Q18" s="93">
        <v>1760</v>
      </c>
      <c r="R18" s="7">
        <f t="shared" si="1"/>
        <v>4.6315789473684212</v>
      </c>
    </row>
    <row r="19" spans="1:18" ht="15.75" thickBot="1">
      <c r="F19" s="7" t="s">
        <v>141</v>
      </c>
      <c r="M19" s="92">
        <v>70</v>
      </c>
      <c r="N19" s="93">
        <v>325</v>
      </c>
      <c r="O19" s="7">
        <f t="shared" si="0"/>
        <v>4.6428571428571432</v>
      </c>
      <c r="P19" s="92">
        <v>400</v>
      </c>
      <c r="Q19" s="93">
        <v>1853</v>
      </c>
      <c r="R19" s="7">
        <f t="shared" si="1"/>
        <v>4.6325000000000003</v>
      </c>
    </row>
    <row r="20" spans="1:18" ht="18.75" thickBot="1">
      <c r="A20" s="103" t="s">
        <v>127</v>
      </c>
      <c r="B20" s="102">
        <v>3550</v>
      </c>
      <c r="C20" s="95" t="s">
        <v>142</v>
      </c>
      <c r="F20" s="90" t="s">
        <v>123</v>
      </c>
      <c r="G20" s="91">
        <v>67.5</v>
      </c>
      <c r="H20" s="91" t="s">
        <v>124</v>
      </c>
      <c r="M20" s="92">
        <v>80</v>
      </c>
      <c r="N20" s="93">
        <v>371</v>
      </c>
      <c r="O20" s="7">
        <f t="shared" si="0"/>
        <v>4.6375000000000002</v>
      </c>
      <c r="P20" s="92">
        <v>420</v>
      </c>
      <c r="Q20" s="93">
        <v>1946</v>
      </c>
      <c r="R20" s="7">
        <f t="shared" si="1"/>
        <v>4.6333333333333337</v>
      </c>
    </row>
    <row r="21" spans="1:18" ht="18.75" thickBot="1">
      <c r="A21" s="103" t="s">
        <v>143</v>
      </c>
      <c r="B21" s="102">
        <v>9</v>
      </c>
      <c r="C21" s="95" t="s">
        <v>10</v>
      </c>
      <c r="M21" s="92">
        <v>90</v>
      </c>
      <c r="N21" s="93">
        <v>417</v>
      </c>
      <c r="O21" s="7">
        <f t="shared" si="0"/>
        <v>4.6333333333333337</v>
      </c>
      <c r="P21" s="92">
        <v>440</v>
      </c>
      <c r="Q21" s="93">
        <v>2038</v>
      </c>
      <c r="R21" s="7">
        <f t="shared" si="1"/>
        <v>4.6318181818181818</v>
      </c>
    </row>
    <row r="22" spans="1:18" ht="18.75" thickBot="1">
      <c r="A22" s="103" t="s">
        <v>144</v>
      </c>
      <c r="B22" s="104">
        <f>1.01417*((B10*9.81*B17*0.3048*B16*0.003785/60)/(G24/100))/745.7</f>
        <v>61.079564185156805</v>
      </c>
      <c r="C22" s="95" t="s">
        <v>145</v>
      </c>
      <c r="F22" s="7" t="s">
        <v>146</v>
      </c>
      <c r="M22" s="92">
        <v>100</v>
      </c>
      <c r="N22" s="93">
        <v>463</v>
      </c>
      <c r="O22" s="7">
        <f t="shared" si="0"/>
        <v>4.63</v>
      </c>
      <c r="P22" s="92">
        <v>460</v>
      </c>
      <c r="Q22" s="93">
        <v>2131</v>
      </c>
      <c r="R22" s="7">
        <f t="shared" si="1"/>
        <v>4.6326086956521735</v>
      </c>
    </row>
    <row r="23" spans="1:18" ht="18.75" thickBot="1">
      <c r="A23" s="103" t="s">
        <v>147</v>
      </c>
      <c r="B23" s="104">
        <v>80</v>
      </c>
      <c r="C23" s="95" t="s">
        <v>145</v>
      </c>
      <c r="F23" s="105" t="s">
        <v>148</v>
      </c>
      <c r="G23" s="100">
        <v>0.56000000000000005</v>
      </c>
      <c r="M23" s="92">
        <v>120</v>
      </c>
      <c r="N23" s="93">
        <v>556</v>
      </c>
      <c r="O23" s="7">
        <f t="shared" si="0"/>
        <v>4.6333333333333337</v>
      </c>
      <c r="P23" s="92">
        <v>480</v>
      </c>
      <c r="Q23" s="93">
        <v>2224</v>
      </c>
      <c r="R23" s="7">
        <f t="shared" si="1"/>
        <v>4.6333333333333337</v>
      </c>
    </row>
    <row r="24" spans="1:18" ht="18.75" thickBot="1">
      <c r="F24" s="90" t="s">
        <v>149</v>
      </c>
      <c r="G24" s="91">
        <f>G23*G20</f>
        <v>37.800000000000004</v>
      </c>
      <c r="H24" s="91" t="s">
        <v>124</v>
      </c>
      <c r="M24" s="92">
        <v>140</v>
      </c>
      <c r="N24" s="93">
        <v>649</v>
      </c>
      <c r="O24" s="7">
        <f t="shared" si="0"/>
        <v>4.6357142857142861</v>
      </c>
      <c r="P24" s="92">
        <v>500</v>
      </c>
      <c r="Q24" s="93">
        <v>2316</v>
      </c>
      <c r="R24" s="7">
        <f t="shared" si="1"/>
        <v>4.6319999999999997</v>
      </c>
    </row>
    <row r="25" spans="1:18" ht="15.75" thickBot="1">
      <c r="M25" s="92">
        <v>160</v>
      </c>
      <c r="N25" s="93">
        <v>741</v>
      </c>
      <c r="O25" s="7">
        <f t="shared" si="0"/>
        <v>4.6312499999999996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81F54-4C99-4311-AF4B-B2C6F1C9D8DC}">
  <dimension ref="A1"/>
  <sheetViews>
    <sheetView workbookViewId="0">
      <selection activeCell="P17" sqref="P17"/>
    </sheetView>
  </sheetViews>
  <sheetFormatPr defaultColWidth="8.7109375" defaultRowHeight="15"/>
  <cols>
    <col min="1" max="16384" width="8.7109375" style="7"/>
  </cols>
  <sheetData/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963D8-137A-4E5B-B4EB-86F895FB1C12}">
  <sheetPr codeName="Planilha5"/>
  <dimension ref="C1:F4"/>
  <sheetViews>
    <sheetView workbookViewId="0">
      <selection activeCell="E1" sqref="E1"/>
    </sheetView>
  </sheetViews>
  <sheetFormatPr defaultColWidth="8.7109375" defaultRowHeight="15"/>
  <cols>
    <col min="1" max="1" width="22.7109375" style="7" customWidth="1"/>
    <col min="2" max="2" width="32.28515625" style="7" customWidth="1"/>
    <col min="3" max="3" width="20.28515625" style="7" customWidth="1"/>
    <col min="4" max="4" width="18.7109375" style="7" customWidth="1"/>
    <col min="5" max="5" width="15.85546875" style="7" customWidth="1"/>
    <col min="6" max="16384" width="8.7109375" style="7"/>
  </cols>
  <sheetData>
    <row r="1" spans="3:6" ht="15" customHeight="1" thickBot="1">
      <c r="C1" s="8" t="s">
        <v>17</v>
      </c>
      <c r="D1" s="9" t="s">
        <v>21</v>
      </c>
      <c r="E1" s="9">
        <v>1.4999999999999999E-4</v>
      </c>
      <c r="F1" s="9" t="s">
        <v>22</v>
      </c>
    </row>
    <row r="2" spans="3:6" ht="15" customHeight="1" thickBot="1">
      <c r="C2" s="10" t="s">
        <v>18</v>
      </c>
      <c r="D2" s="11" t="s">
        <v>21</v>
      </c>
      <c r="E2" s="11">
        <v>8.4999999999999995E-4</v>
      </c>
      <c r="F2" s="11" t="s">
        <v>22</v>
      </c>
    </row>
    <row r="3" spans="3:6" ht="15" customHeight="1" thickBot="1">
      <c r="C3" s="10" t="s">
        <v>19</v>
      </c>
      <c r="D3" s="11" t="s">
        <v>21</v>
      </c>
      <c r="E3" s="11">
        <v>5.0000000000000001E-4</v>
      </c>
      <c r="F3" s="11" t="s">
        <v>22</v>
      </c>
    </row>
    <row r="4" spans="3:6" ht="15" customHeight="1" thickBot="1">
      <c r="C4" s="10" t="s">
        <v>20</v>
      </c>
      <c r="D4" s="11" t="s">
        <v>21</v>
      </c>
      <c r="E4" s="12">
        <v>5.0000000000000004E-6</v>
      </c>
      <c r="F4" s="11" t="s">
        <v>22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599CF-E1AE-4FD6-8FB2-E3490EBDC570}">
  <sheetPr codeName="Planilha2"/>
  <dimension ref="A1"/>
  <sheetViews>
    <sheetView zoomScale="120" zoomScaleNormal="120" workbookViewId="0">
      <selection activeCell="Q12" sqref="Q12"/>
    </sheetView>
  </sheetViews>
  <sheetFormatPr defaultColWidth="8.7109375" defaultRowHeight="15"/>
  <cols>
    <col min="1" max="16384" width="8.7109375" style="7"/>
  </cols>
  <sheetData/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9DFC3-8266-4E5B-AA35-64D2C314B797}">
  <sheetPr codeName="Planilha3"/>
  <dimension ref="A1"/>
  <sheetViews>
    <sheetView topLeftCell="A3" workbookViewId="0">
      <selection activeCell="N24" sqref="N24"/>
    </sheetView>
  </sheetViews>
  <sheetFormatPr defaultColWidth="8.7109375" defaultRowHeight="15"/>
  <cols>
    <col min="1" max="16384" width="8.7109375" style="7"/>
  </cols>
  <sheetData/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B8165-375D-4A44-8D08-501136C94736}">
  <sheetPr codeName="Planilha6"/>
  <dimension ref="A1:I38"/>
  <sheetViews>
    <sheetView zoomScale="130" zoomScaleNormal="130" workbookViewId="0">
      <selection activeCell="J2" sqref="J2"/>
    </sheetView>
  </sheetViews>
  <sheetFormatPr defaultColWidth="8.7109375" defaultRowHeight="15"/>
  <cols>
    <col min="1" max="3" width="8.7109375" style="7" customWidth="1"/>
    <col min="4" max="16384" width="8.7109375" style="7"/>
  </cols>
  <sheetData>
    <row r="1" spans="1:9" ht="51" customHeight="1" thickBot="1">
      <c r="A1" s="14" t="s">
        <v>28</v>
      </c>
      <c r="B1" s="16" t="s">
        <v>30</v>
      </c>
      <c r="C1" s="109" t="s">
        <v>32</v>
      </c>
      <c r="D1" s="16" t="s">
        <v>33</v>
      </c>
      <c r="E1" s="16" t="s">
        <v>30</v>
      </c>
      <c r="F1" s="16" t="s">
        <v>36</v>
      </c>
      <c r="G1" s="16" t="s">
        <v>36</v>
      </c>
      <c r="H1" s="111" t="s">
        <v>39</v>
      </c>
      <c r="I1" s="112"/>
    </row>
    <row r="2" spans="1:9" ht="39" thickBot="1">
      <c r="A2" s="15" t="s">
        <v>29</v>
      </c>
      <c r="B2" s="17" t="s">
        <v>31</v>
      </c>
      <c r="C2" s="110"/>
      <c r="D2" s="17" t="s">
        <v>34</v>
      </c>
      <c r="E2" s="17" t="s">
        <v>35</v>
      </c>
      <c r="F2" s="17" t="s">
        <v>37</v>
      </c>
      <c r="G2" s="17" t="s">
        <v>38</v>
      </c>
      <c r="H2" s="17" t="s">
        <v>40</v>
      </c>
      <c r="I2" s="17" t="s">
        <v>41</v>
      </c>
    </row>
    <row r="3" spans="1:9" ht="15.75" thickBot="1">
      <c r="A3" s="18">
        <v>46235</v>
      </c>
      <c r="B3" s="19">
        <v>0.40500000000000003</v>
      </c>
      <c r="C3" s="19">
        <v>40</v>
      </c>
      <c r="D3" s="19">
        <v>6.8000000000000005E-2</v>
      </c>
      <c r="E3" s="19">
        <v>0.26900000000000002</v>
      </c>
      <c r="F3" s="19">
        <v>7.1999999999999995E-2</v>
      </c>
      <c r="G3" s="19">
        <v>3.8999999999999999E-4</v>
      </c>
      <c r="H3" s="19">
        <v>0.106</v>
      </c>
      <c r="I3" s="19">
        <v>7.0400000000000004E-2</v>
      </c>
    </row>
    <row r="4" spans="1:9" ht="15.75" thickBot="1">
      <c r="A4" s="18">
        <v>46235</v>
      </c>
      <c r="B4" s="19">
        <v>0.40500000000000003</v>
      </c>
      <c r="C4" s="19">
        <v>80</v>
      </c>
      <c r="D4" s="19">
        <v>9.5000000000000001E-2</v>
      </c>
      <c r="E4" s="19">
        <v>0.215</v>
      </c>
      <c r="F4" s="19">
        <v>9.2999999999999999E-2</v>
      </c>
      <c r="G4" s="19">
        <v>2.5000000000000001E-4</v>
      </c>
      <c r="H4" s="19">
        <v>0.106</v>
      </c>
      <c r="I4" s="19">
        <v>5.6300000000000003E-2</v>
      </c>
    </row>
    <row r="5" spans="1:9" ht="15.75" thickBot="1">
      <c r="A5" s="20">
        <v>46113</v>
      </c>
      <c r="B5" s="21">
        <v>0.54</v>
      </c>
      <c r="C5" s="21">
        <v>40</v>
      </c>
      <c r="D5" s="21">
        <v>8.7999999999999995E-2</v>
      </c>
      <c r="E5" s="21">
        <v>0.36399999999999999</v>
      </c>
      <c r="F5" s="21">
        <v>0.125</v>
      </c>
      <c r="G5" s="21">
        <v>7.2000000000000005E-4</v>
      </c>
      <c r="H5" s="21">
        <v>0.14099999999999999</v>
      </c>
      <c r="I5" s="21">
        <v>9.5299999999999996E-2</v>
      </c>
    </row>
    <row r="6" spans="1:9" ht="15.75" thickBot="1">
      <c r="A6" s="20">
        <v>46113</v>
      </c>
      <c r="B6" s="21">
        <v>0.54</v>
      </c>
      <c r="C6" s="21">
        <v>80</v>
      </c>
      <c r="D6" s="21">
        <v>0.11899999999999999</v>
      </c>
      <c r="E6" s="21">
        <v>0.30199999999999999</v>
      </c>
      <c r="F6" s="21">
        <v>0.157</v>
      </c>
      <c r="G6" s="21">
        <v>5.0000000000000001E-4</v>
      </c>
      <c r="H6" s="21">
        <v>0.14099999999999999</v>
      </c>
      <c r="I6" s="21">
        <v>7.9100000000000004E-2</v>
      </c>
    </row>
    <row r="7" spans="1:9" ht="15.75" thickBot="1">
      <c r="A7" s="18">
        <v>46237</v>
      </c>
      <c r="B7" s="19">
        <v>0.67500000000000004</v>
      </c>
      <c r="C7" s="19">
        <v>40</v>
      </c>
      <c r="D7" s="19">
        <v>9.0999999999999998E-2</v>
      </c>
      <c r="E7" s="19">
        <v>0.49299999999999999</v>
      </c>
      <c r="F7" s="19">
        <v>0.16700000000000001</v>
      </c>
      <c r="G7" s="19">
        <v>1.33E-3</v>
      </c>
      <c r="H7" s="19">
        <v>0.17699999999999999</v>
      </c>
      <c r="I7" s="19">
        <v>0.12909999999999999</v>
      </c>
    </row>
    <row r="8" spans="1:9" ht="15.75" thickBot="1">
      <c r="A8" s="18">
        <v>46237</v>
      </c>
      <c r="B8" s="19">
        <v>0.67500000000000004</v>
      </c>
      <c r="C8" s="19">
        <v>80</v>
      </c>
      <c r="D8" s="19">
        <v>0.126</v>
      </c>
      <c r="E8" s="19">
        <v>0.42299999999999999</v>
      </c>
      <c r="F8" s="19">
        <v>0.217</v>
      </c>
      <c r="G8" s="19">
        <v>9.7999999999999997E-4</v>
      </c>
      <c r="H8" s="19">
        <v>0.17699999999999999</v>
      </c>
      <c r="I8" s="19">
        <v>0.11070000000000001</v>
      </c>
    </row>
    <row r="9" spans="1:9" ht="15.75" thickBot="1">
      <c r="A9" s="20">
        <v>46054</v>
      </c>
      <c r="B9" s="21">
        <v>0.84</v>
      </c>
      <c r="C9" s="21">
        <v>40</v>
      </c>
      <c r="D9" s="21">
        <v>0.109</v>
      </c>
      <c r="E9" s="21">
        <v>0.622</v>
      </c>
      <c r="F9" s="21">
        <v>0.25</v>
      </c>
      <c r="G9" s="21">
        <v>2.1099999999999999E-3</v>
      </c>
      <c r="H9" s="21">
        <v>0.22</v>
      </c>
      <c r="I9" s="21">
        <v>0.1628</v>
      </c>
    </row>
    <row r="10" spans="1:9" ht="15.75" thickBot="1">
      <c r="A10" s="20">
        <v>46054</v>
      </c>
      <c r="B10" s="21">
        <v>0.84</v>
      </c>
      <c r="C10" s="21">
        <v>80</v>
      </c>
      <c r="D10" s="21">
        <v>0.14699999999999999</v>
      </c>
      <c r="E10" s="21">
        <v>0.54600000000000004</v>
      </c>
      <c r="F10" s="21">
        <v>0.32</v>
      </c>
      <c r="G10" s="21">
        <v>1.6299999999999999E-3</v>
      </c>
      <c r="H10" s="21">
        <v>0.22</v>
      </c>
      <c r="I10" s="21">
        <v>0.1429</v>
      </c>
    </row>
    <row r="11" spans="1:9" ht="15.75" thickBot="1">
      <c r="A11" s="18">
        <v>46115</v>
      </c>
      <c r="B11" s="19">
        <v>1.05</v>
      </c>
      <c r="C11" s="19">
        <v>40</v>
      </c>
      <c r="D11" s="19">
        <v>0.113</v>
      </c>
      <c r="E11" s="19">
        <v>0.82399999999999995</v>
      </c>
      <c r="F11" s="19">
        <v>0.33300000000000002</v>
      </c>
      <c r="G11" s="19">
        <v>3.7000000000000002E-3</v>
      </c>
      <c r="H11" s="19">
        <v>0.27500000000000002</v>
      </c>
      <c r="I11" s="19">
        <v>0.2157</v>
      </c>
    </row>
    <row r="12" spans="1:9" ht="15.75" thickBot="1">
      <c r="A12" s="18">
        <v>46115</v>
      </c>
      <c r="B12" s="19">
        <v>1.05</v>
      </c>
      <c r="C12" s="19">
        <v>80</v>
      </c>
      <c r="D12" s="19">
        <v>0.154</v>
      </c>
      <c r="E12" s="19">
        <v>0.74199999999999999</v>
      </c>
      <c r="F12" s="19">
        <v>0.433</v>
      </c>
      <c r="G12" s="19">
        <v>3.0000000000000001E-3</v>
      </c>
      <c r="H12" s="19">
        <v>0.27500000000000002</v>
      </c>
      <c r="I12" s="19">
        <v>0.1943</v>
      </c>
    </row>
    <row r="13" spans="1:9" ht="15.75" thickBot="1">
      <c r="A13" s="22">
        <v>1</v>
      </c>
      <c r="B13" s="21">
        <v>1.3149999999999999</v>
      </c>
      <c r="C13" s="21">
        <v>40</v>
      </c>
      <c r="D13" s="21">
        <v>0.13300000000000001</v>
      </c>
      <c r="E13" s="21">
        <v>1.0489999999999999</v>
      </c>
      <c r="F13" s="21">
        <v>0.49399999999999999</v>
      </c>
      <c r="G13" s="21">
        <v>6.0000000000000001E-3</v>
      </c>
      <c r="H13" s="21">
        <v>0.34399999999999997</v>
      </c>
      <c r="I13" s="21">
        <v>0.27460000000000001</v>
      </c>
    </row>
    <row r="14" spans="1:9" ht="15.75" thickBot="1">
      <c r="A14" s="22">
        <v>1</v>
      </c>
      <c r="B14" s="21">
        <v>1.3149999999999999</v>
      </c>
      <c r="C14" s="21">
        <v>80</v>
      </c>
      <c r="D14" s="21">
        <v>0.17899999999999999</v>
      </c>
      <c r="E14" s="21">
        <v>0.95699999999999996</v>
      </c>
      <c r="F14" s="21">
        <v>0.63900000000000001</v>
      </c>
      <c r="G14" s="21">
        <v>5.0000000000000001E-3</v>
      </c>
      <c r="H14" s="21">
        <v>0.34399999999999997</v>
      </c>
      <c r="I14" s="21">
        <v>0.2505</v>
      </c>
    </row>
    <row r="15" spans="1:9" ht="15.75" thickBot="1">
      <c r="A15" s="23">
        <v>1.25</v>
      </c>
      <c r="B15" s="19">
        <v>1.66</v>
      </c>
      <c r="C15" s="19">
        <v>40</v>
      </c>
      <c r="D15" s="19">
        <v>0.14000000000000001</v>
      </c>
      <c r="E15" s="19">
        <v>1.38</v>
      </c>
      <c r="F15" s="19">
        <v>0.66900000000000004</v>
      </c>
      <c r="G15" s="19">
        <v>1.039E-2</v>
      </c>
      <c r="H15" s="19">
        <v>0.435</v>
      </c>
      <c r="I15" s="19">
        <v>0.36130000000000001</v>
      </c>
    </row>
    <row r="16" spans="1:9" ht="15.75" thickBot="1">
      <c r="A16" s="23">
        <v>1.25</v>
      </c>
      <c r="B16" s="19">
        <v>1.66</v>
      </c>
      <c r="C16" s="19">
        <v>80</v>
      </c>
      <c r="D16" s="19">
        <v>0.191</v>
      </c>
      <c r="E16" s="19">
        <v>1.278</v>
      </c>
      <c r="F16" s="19">
        <v>0.88100000000000001</v>
      </c>
      <c r="G16" s="19">
        <v>8.9099999999999995E-3</v>
      </c>
      <c r="H16" s="19">
        <v>0.435</v>
      </c>
      <c r="I16" s="19">
        <v>0.33460000000000001</v>
      </c>
    </row>
    <row r="17" spans="1:9" ht="15.75" thickBot="1">
      <c r="A17" s="24">
        <v>1.5</v>
      </c>
      <c r="B17" s="21">
        <v>1.9</v>
      </c>
      <c r="C17" s="21">
        <v>40</v>
      </c>
      <c r="D17" s="21">
        <v>0.14499999999999999</v>
      </c>
      <c r="E17" s="21">
        <v>1.61</v>
      </c>
      <c r="F17" s="21">
        <v>0.79900000000000004</v>
      </c>
      <c r="G17" s="21">
        <v>1.414E-2</v>
      </c>
      <c r="H17" s="21">
        <v>0.497</v>
      </c>
      <c r="I17" s="21">
        <v>0.42149999999999999</v>
      </c>
    </row>
    <row r="18" spans="1:9" ht="15.75" thickBot="1">
      <c r="A18" s="24">
        <v>1.5</v>
      </c>
      <c r="B18" s="21">
        <v>1.9</v>
      </c>
      <c r="C18" s="21">
        <v>80</v>
      </c>
      <c r="D18" s="21">
        <v>0.2</v>
      </c>
      <c r="E18" s="21">
        <v>1.5</v>
      </c>
      <c r="F18" s="21">
        <v>1.0680000000000001</v>
      </c>
      <c r="G18" s="21">
        <v>1.227E-2</v>
      </c>
      <c r="H18" s="21">
        <v>0.497</v>
      </c>
      <c r="I18" s="21">
        <v>0.39269999999999999</v>
      </c>
    </row>
    <row r="19" spans="1:9" ht="15.75" thickBot="1">
      <c r="A19" s="25">
        <v>2</v>
      </c>
      <c r="B19" s="19">
        <v>2.375</v>
      </c>
      <c r="C19" s="19">
        <v>40</v>
      </c>
      <c r="D19" s="19">
        <v>0.154</v>
      </c>
      <c r="E19" s="19">
        <v>2.0670000000000002</v>
      </c>
      <c r="F19" s="19">
        <v>1.075</v>
      </c>
      <c r="G19" s="19">
        <v>2.3300000000000001E-2</v>
      </c>
      <c r="H19" s="19">
        <v>0.622</v>
      </c>
      <c r="I19" s="19">
        <v>0.54110000000000003</v>
      </c>
    </row>
    <row r="20" spans="1:9" ht="15.75" thickBot="1">
      <c r="A20" s="25">
        <v>2</v>
      </c>
      <c r="B20" s="19">
        <v>2.375</v>
      </c>
      <c r="C20" s="19">
        <v>80</v>
      </c>
      <c r="D20" s="19">
        <v>0.218</v>
      </c>
      <c r="E20" s="19">
        <v>1.9390000000000001</v>
      </c>
      <c r="F20" s="19">
        <v>1.4770000000000001</v>
      </c>
      <c r="G20" s="19">
        <v>2.051E-2</v>
      </c>
      <c r="H20" s="19">
        <v>0.622</v>
      </c>
      <c r="I20" s="19">
        <v>0.50760000000000005</v>
      </c>
    </row>
    <row r="21" spans="1:9" ht="15.75" thickBot="1">
      <c r="A21" s="24">
        <v>2.5</v>
      </c>
      <c r="B21" s="21">
        <v>2.875</v>
      </c>
      <c r="C21" s="21">
        <v>40</v>
      </c>
      <c r="D21" s="21">
        <v>0.20300000000000001</v>
      </c>
      <c r="E21" s="21">
        <v>2.4689999999999999</v>
      </c>
      <c r="F21" s="21">
        <v>1.704</v>
      </c>
      <c r="G21" s="21">
        <v>3.3250000000000002E-2</v>
      </c>
      <c r="H21" s="21">
        <v>0.753</v>
      </c>
      <c r="I21" s="21">
        <v>0.64639999999999997</v>
      </c>
    </row>
    <row r="22" spans="1:9" ht="15.75" thickBot="1">
      <c r="A22" s="24">
        <v>2.5</v>
      </c>
      <c r="B22" s="21">
        <v>2.875</v>
      </c>
      <c r="C22" s="21">
        <v>80</v>
      </c>
      <c r="D22" s="21">
        <v>0.27600000000000002</v>
      </c>
      <c r="E22" s="21">
        <v>2.323</v>
      </c>
      <c r="F22" s="21">
        <v>2.254</v>
      </c>
      <c r="G22" s="21">
        <v>2.9430000000000001E-2</v>
      </c>
      <c r="H22" s="21">
        <v>0.753</v>
      </c>
      <c r="I22" s="21">
        <v>0.60819999999999996</v>
      </c>
    </row>
    <row r="23" spans="1:9" ht="15.75" thickBot="1">
      <c r="A23" s="25">
        <v>3</v>
      </c>
      <c r="B23" s="19">
        <v>3.5</v>
      </c>
      <c r="C23" s="19">
        <v>40</v>
      </c>
      <c r="D23" s="19">
        <v>0.216</v>
      </c>
      <c r="E23" s="19">
        <v>3.0680000000000001</v>
      </c>
      <c r="F23" s="19">
        <v>2.2280000000000002</v>
      </c>
      <c r="G23" s="19">
        <v>5.1339999999999997E-2</v>
      </c>
      <c r="H23" s="19">
        <v>0.91600000000000004</v>
      </c>
      <c r="I23" s="19">
        <v>0.80320000000000003</v>
      </c>
    </row>
    <row r="24" spans="1:9" ht="15.75" thickBot="1">
      <c r="A24" s="25">
        <v>3</v>
      </c>
      <c r="B24" s="19">
        <v>3.5</v>
      </c>
      <c r="C24" s="19">
        <v>80</v>
      </c>
      <c r="D24" s="19">
        <v>0.3</v>
      </c>
      <c r="E24" s="19">
        <v>2.9</v>
      </c>
      <c r="F24" s="19">
        <v>3.016</v>
      </c>
      <c r="G24" s="19">
        <v>4.5870000000000001E-2</v>
      </c>
      <c r="H24" s="19">
        <v>0.91600000000000004</v>
      </c>
      <c r="I24" s="19">
        <v>0.75919999999999999</v>
      </c>
    </row>
    <row r="25" spans="1:9" ht="15.75" thickBot="1">
      <c r="A25" s="24">
        <v>3.5</v>
      </c>
      <c r="B25" s="21">
        <v>4</v>
      </c>
      <c r="C25" s="21">
        <v>40</v>
      </c>
      <c r="D25" s="21">
        <v>0.22600000000000001</v>
      </c>
      <c r="E25" s="21">
        <v>3.548</v>
      </c>
      <c r="F25" s="21">
        <v>2.68</v>
      </c>
      <c r="G25" s="21">
        <v>6.8659999999999999E-2</v>
      </c>
      <c r="H25" s="21">
        <v>1.0469999999999999</v>
      </c>
      <c r="I25" s="21">
        <v>0.92889999999999995</v>
      </c>
    </row>
    <row r="26" spans="1:9" ht="15.75" thickBot="1">
      <c r="A26" s="24">
        <v>3.5</v>
      </c>
      <c r="B26" s="21">
        <v>4</v>
      </c>
      <c r="C26" s="21">
        <v>80</v>
      </c>
      <c r="D26" s="21">
        <v>0.318</v>
      </c>
      <c r="E26" s="21">
        <v>3.3639999999999999</v>
      </c>
      <c r="F26" s="21">
        <v>3.6779999999999999</v>
      </c>
      <c r="G26" s="21">
        <v>6.1719999999999997E-2</v>
      </c>
      <c r="H26" s="21">
        <v>1.0469999999999999</v>
      </c>
      <c r="I26" s="21">
        <v>0.88070000000000004</v>
      </c>
    </row>
    <row r="27" spans="1:9" ht="15.75" thickBot="1">
      <c r="A27" s="25">
        <v>4</v>
      </c>
      <c r="B27" s="19">
        <v>4.5</v>
      </c>
      <c r="C27" s="19">
        <v>40</v>
      </c>
      <c r="D27" s="19">
        <v>0.23699999999999999</v>
      </c>
      <c r="E27" s="19">
        <v>4.0259999999999998</v>
      </c>
      <c r="F27" s="19">
        <v>3.1739999999999999</v>
      </c>
      <c r="G27" s="19">
        <v>8.8400000000000006E-2</v>
      </c>
      <c r="H27" s="19">
        <v>1.1779999999999999</v>
      </c>
      <c r="I27" s="19">
        <v>1.054</v>
      </c>
    </row>
    <row r="28" spans="1:9" ht="15.75" thickBot="1">
      <c r="A28" s="25">
        <v>4</v>
      </c>
      <c r="B28" s="19">
        <v>4.5</v>
      </c>
      <c r="C28" s="19">
        <v>80</v>
      </c>
      <c r="D28" s="19">
        <v>0.33700000000000002</v>
      </c>
      <c r="E28" s="19">
        <v>3.8260000000000001</v>
      </c>
      <c r="F28" s="19">
        <v>4.407</v>
      </c>
      <c r="G28" s="19">
        <v>7.9839999999999994E-2</v>
      </c>
      <c r="H28" s="19">
        <v>1.1779999999999999</v>
      </c>
      <c r="I28" s="19">
        <v>1.0016</v>
      </c>
    </row>
    <row r="29" spans="1:9" ht="15.75" thickBot="1">
      <c r="A29" s="22">
        <v>5</v>
      </c>
      <c r="B29" s="21">
        <v>5.5629999999999997</v>
      </c>
      <c r="C29" s="21">
        <v>40</v>
      </c>
      <c r="D29" s="21">
        <v>0.25800000000000001</v>
      </c>
      <c r="E29" s="21">
        <v>5.0469999999999997</v>
      </c>
      <c r="F29" s="21">
        <v>4.3</v>
      </c>
      <c r="G29" s="21">
        <v>0.13893</v>
      </c>
      <c r="H29" s="21">
        <v>1.456</v>
      </c>
      <c r="I29" s="21">
        <v>1.3212999999999999</v>
      </c>
    </row>
    <row r="30" spans="1:9" ht="15.75" thickBot="1">
      <c r="A30" s="22">
        <v>5</v>
      </c>
      <c r="B30" s="21">
        <v>5.5629999999999997</v>
      </c>
      <c r="C30" s="21">
        <v>80</v>
      </c>
      <c r="D30" s="21">
        <v>0.375</v>
      </c>
      <c r="E30" s="21">
        <v>4.8129999999999997</v>
      </c>
      <c r="F30" s="21">
        <v>6.1120000000000001</v>
      </c>
      <c r="G30" s="21">
        <v>0.12634999999999999</v>
      </c>
      <c r="H30" s="21">
        <v>1.456</v>
      </c>
      <c r="I30" s="21">
        <v>1.26</v>
      </c>
    </row>
    <row r="31" spans="1:9" ht="15.75" thickBot="1">
      <c r="A31" s="25">
        <v>6</v>
      </c>
      <c r="B31" s="19">
        <v>6.625</v>
      </c>
      <c r="C31" s="19">
        <v>40</v>
      </c>
      <c r="D31" s="19">
        <v>0.28000000000000003</v>
      </c>
      <c r="E31" s="19">
        <v>6.0650000000000004</v>
      </c>
      <c r="F31" s="19">
        <v>5.5810000000000004</v>
      </c>
      <c r="G31" s="19">
        <v>0.20063</v>
      </c>
      <c r="H31" s="19">
        <v>1.734</v>
      </c>
      <c r="I31" s="19">
        <v>1.5878000000000001</v>
      </c>
    </row>
    <row r="32" spans="1:9" ht="15.75" thickBot="1">
      <c r="A32" s="25">
        <v>6</v>
      </c>
      <c r="B32" s="19">
        <v>6.625</v>
      </c>
      <c r="C32" s="19">
        <v>80</v>
      </c>
      <c r="D32" s="19">
        <v>0.432</v>
      </c>
      <c r="E32" s="19">
        <v>5.7610000000000001</v>
      </c>
      <c r="F32" s="19">
        <v>8.4049999999999994</v>
      </c>
      <c r="G32" s="19">
        <v>0.18101999999999999</v>
      </c>
      <c r="H32" s="19">
        <v>1.734</v>
      </c>
      <c r="I32" s="19">
        <v>1.5082</v>
      </c>
    </row>
    <row r="33" spans="1:9" ht="15.75" thickBot="1">
      <c r="A33" s="22">
        <v>8</v>
      </c>
      <c r="B33" s="21">
        <v>8.625</v>
      </c>
      <c r="C33" s="21">
        <v>40</v>
      </c>
      <c r="D33" s="21">
        <v>0.32200000000000001</v>
      </c>
      <c r="E33" s="21">
        <v>7.9809999999999999</v>
      </c>
      <c r="F33" s="21">
        <v>8.3989999999999991</v>
      </c>
      <c r="G33" s="21">
        <v>0.34741</v>
      </c>
      <c r="H33" s="21">
        <v>2.258</v>
      </c>
      <c r="I33" s="21">
        <v>2.0893999999999999</v>
      </c>
    </row>
    <row r="34" spans="1:9" ht="15.75" thickBot="1">
      <c r="A34" s="22">
        <v>8</v>
      </c>
      <c r="B34" s="21">
        <v>8.625</v>
      </c>
      <c r="C34" s="21">
        <v>80</v>
      </c>
      <c r="D34" s="21">
        <v>0.5</v>
      </c>
      <c r="E34" s="21">
        <v>7.625</v>
      </c>
      <c r="F34" s="21">
        <v>12.763</v>
      </c>
      <c r="G34" s="21">
        <v>0.31711</v>
      </c>
      <c r="H34" s="21">
        <v>2.258</v>
      </c>
      <c r="I34" s="21">
        <v>1.9962</v>
      </c>
    </row>
    <row r="35" spans="1:9" ht="15.75" thickBot="1">
      <c r="A35" s="25">
        <v>10</v>
      </c>
      <c r="B35" s="19">
        <v>10.75</v>
      </c>
      <c r="C35" s="19">
        <v>40</v>
      </c>
      <c r="D35" s="19">
        <v>0.36499999999999999</v>
      </c>
      <c r="E35" s="19">
        <v>10.02</v>
      </c>
      <c r="F35" s="19">
        <v>11.907999999999999</v>
      </c>
      <c r="G35" s="19">
        <v>0.54759999999999998</v>
      </c>
      <c r="H35" s="19">
        <v>2.8140000000000001</v>
      </c>
      <c r="I35" s="19">
        <v>2.6232000000000002</v>
      </c>
    </row>
    <row r="36" spans="1:9" ht="15.75" thickBot="1">
      <c r="A36" s="25">
        <v>10</v>
      </c>
      <c r="B36" s="19">
        <v>10.75</v>
      </c>
      <c r="C36" s="19">
        <v>80</v>
      </c>
      <c r="D36" s="19">
        <v>0.59399999999999997</v>
      </c>
      <c r="E36" s="19">
        <v>9.5619999999999994</v>
      </c>
      <c r="F36" s="19">
        <v>18.952000000000002</v>
      </c>
      <c r="G36" s="19">
        <v>0.49868000000000001</v>
      </c>
      <c r="H36" s="19">
        <v>2.8140000000000001</v>
      </c>
      <c r="I36" s="19">
        <v>2.5032999999999999</v>
      </c>
    </row>
    <row r="37" spans="1:9" ht="15.75" thickBot="1">
      <c r="A37" s="22">
        <v>12</v>
      </c>
      <c r="B37" s="21">
        <v>12.75</v>
      </c>
      <c r="C37" s="21">
        <v>40</v>
      </c>
      <c r="D37" s="21">
        <v>0.40600000000000003</v>
      </c>
      <c r="E37" s="21">
        <v>11.938000000000001</v>
      </c>
      <c r="F37" s="21">
        <v>15.744999999999999</v>
      </c>
      <c r="G37" s="21">
        <v>0.77729999999999999</v>
      </c>
      <c r="H37" s="21">
        <v>3.3380000000000001</v>
      </c>
      <c r="I37" s="21">
        <v>3.1254</v>
      </c>
    </row>
    <row r="38" spans="1:9" ht="15.75" thickBot="1">
      <c r="A38" s="22">
        <v>12</v>
      </c>
      <c r="B38" s="21">
        <v>12.75</v>
      </c>
      <c r="C38" s="21">
        <v>80</v>
      </c>
      <c r="D38" s="21">
        <v>0.68799999999999994</v>
      </c>
      <c r="E38" s="21">
        <v>11.374000000000001</v>
      </c>
      <c r="F38" s="21">
        <v>26.071000000000002</v>
      </c>
      <c r="G38" s="21">
        <v>0.70559000000000005</v>
      </c>
      <c r="H38" s="21">
        <v>3.3380000000000001</v>
      </c>
      <c r="I38" s="21">
        <v>2.9777</v>
      </c>
    </row>
  </sheetData>
  <mergeCells count="2">
    <mergeCell ref="C1:C2"/>
    <mergeCell ref="H1:I1"/>
  </mergeCells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67919-9892-4B81-8D46-9BA21712716F}">
  <sheetPr codeName="Planilha4"/>
  <dimension ref="A1"/>
  <sheetViews>
    <sheetView workbookViewId="0">
      <selection activeCell="R12" sqref="R12"/>
    </sheetView>
  </sheetViews>
  <sheetFormatPr defaultColWidth="8.7109375" defaultRowHeight="15"/>
  <cols>
    <col min="1" max="16384" width="8.7109375" style="7"/>
  </cols>
  <sheetData/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91978-3E44-46D5-B973-C49E05F179A2}">
  <sheetPr codeName="Planilha14"/>
  <dimension ref="A1"/>
  <sheetViews>
    <sheetView workbookViewId="0">
      <selection activeCell="Q17" sqref="Q17"/>
    </sheetView>
  </sheetViews>
  <sheetFormatPr defaultRowHeight="15"/>
  <cols>
    <col min="1" max="16384" width="9.140625" style="7"/>
  </cols>
  <sheetData/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46FF1-9798-4A72-9537-4C78644A2A1A}">
  <sheetPr codeName="Planilha15"/>
  <dimension ref="A2:D18"/>
  <sheetViews>
    <sheetView workbookViewId="0">
      <selection activeCell="B10" sqref="B10"/>
    </sheetView>
  </sheetViews>
  <sheetFormatPr defaultColWidth="8.7109375" defaultRowHeight="15"/>
  <cols>
    <col min="1" max="1" width="8.7109375" style="7"/>
    <col min="2" max="2" width="15.140625" style="7" customWidth="1"/>
    <col min="3" max="3" width="17.28515625" style="7" customWidth="1"/>
    <col min="4" max="4" width="18" style="7" customWidth="1"/>
    <col min="5" max="16384" width="8.7109375" style="7"/>
  </cols>
  <sheetData>
    <row r="2" spans="1:4" ht="15.75" thickBot="1"/>
    <row r="3" spans="1:4" ht="24" thickBot="1">
      <c r="A3" s="48" t="s">
        <v>78</v>
      </c>
      <c r="B3" s="49" t="s">
        <v>79</v>
      </c>
      <c r="C3" s="50" t="s">
        <v>80</v>
      </c>
      <c r="D3" s="51" t="s">
        <v>81</v>
      </c>
    </row>
    <row r="4" spans="1:4" ht="19.5" thickBot="1">
      <c r="A4" s="52">
        <v>0</v>
      </c>
      <c r="B4" s="53">
        <v>999.87</v>
      </c>
      <c r="C4" s="53">
        <v>1.8280000000000001</v>
      </c>
      <c r="D4" s="53">
        <v>8.6599999999999996E-2</v>
      </c>
    </row>
    <row r="5" spans="1:4" ht="19.5" thickBot="1">
      <c r="A5" s="52">
        <v>2</v>
      </c>
      <c r="B5" s="53">
        <v>999.87</v>
      </c>
      <c r="C5" s="53">
        <v>1.7070000000000001</v>
      </c>
      <c r="D5" s="53">
        <v>0.10249999999999999</v>
      </c>
    </row>
    <row r="6" spans="1:4" ht="19.5" thickBot="1">
      <c r="A6" s="52">
        <v>4</v>
      </c>
      <c r="B6" s="53">
        <v>1000</v>
      </c>
      <c r="C6" s="53">
        <v>1.5980000000000001</v>
      </c>
      <c r="D6" s="53">
        <v>0.1181</v>
      </c>
    </row>
    <row r="7" spans="1:4" ht="19.5" thickBot="1">
      <c r="A7" s="52">
        <v>5</v>
      </c>
      <c r="B7" s="53">
        <v>999.99</v>
      </c>
      <c r="C7" s="53">
        <v>1.548</v>
      </c>
      <c r="D7" s="53">
        <v>0.12670000000000001</v>
      </c>
    </row>
    <row r="8" spans="1:4" ht="19.5" thickBot="1">
      <c r="A8" s="52">
        <v>10</v>
      </c>
      <c r="B8" s="53">
        <v>999.73</v>
      </c>
      <c r="C8" s="53">
        <v>1.335</v>
      </c>
      <c r="D8" s="53">
        <v>0.16520000000000001</v>
      </c>
    </row>
    <row r="9" spans="1:4" ht="19.5" thickBot="1">
      <c r="A9" s="52">
        <v>15</v>
      </c>
      <c r="B9" s="53">
        <v>999.13</v>
      </c>
      <c r="C9" s="53">
        <v>1.167</v>
      </c>
      <c r="D9" s="53">
        <v>0.2475</v>
      </c>
    </row>
    <row r="10" spans="1:4" ht="19.5" thickBot="1">
      <c r="A10" s="52">
        <v>20</v>
      </c>
      <c r="B10" s="53">
        <v>998.23</v>
      </c>
      <c r="C10" s="53">
        <v>1.0289999999999999</v>
      </c>
      <c r="D10" s="54">
        <v>0.31619999999999998</v>
      </c>
    </row>
    <row r="11" spans="1:4" ht="19.5" thickBot="1">
      <c r="A11" s="52">
        <v>30</v>
      </c>
      <c r="B11" s="53">
        <v>995.67</v>
      </c>
      <c r="C11" s="53">
        <v>0.81499999999999995</v>
      </c>
      <c r="D11" s="53">
        <v>0.57720000000000005</v>
      </c>
    </row>
    <row r="12" spans="1:4" ht="19.5" thickBot="1">
      <c r="A12" s="52">
        <v>40</v>
      </c>
      <c r="B12" s="53">
        <v>992.24</v>
      </c>
      <c r="C12" s="53">
        <v>0.66600000000000004</v>
      </c>
      <c r="D12" s="53">
        <v>1.0072000000000001</v>
      </c>
    </row>
    <row r="13" spans="1:4" ht="19.5" thickBot="1">
      <c r="A13" s="52">
        <v>50</v>
      </c>
      <c r="B13" s="53">
        <v>988</v>
      </c>
      <c r="C13" s="53">
        <v>0.56000000000000005</v>
      </c>
      <c r="D13" s="53">
        <v>1.6919999999999999</v>
      </c>
    </row>
    <row r="14" spans="1:4" ht="19.5" thickBot="1">
      <c r="A14" s="52">
        <v>60</v>
      </c>
      <c r="B14" s="53">
        <v>983</v>
      </c>
      <c r="C14" s="53">
        <v>0.47899999999999998</v>
      </c>
      <c r="D14" s="53">
        <v>2.742</v>
      </c>
    </row>
    <row r="15" spans="1:4" ht="19.5" thickBot="1">
      <c r="A15" s="52">
        <v>70</v>
      </c>
      <c r="B15" s="53">
        <v>978</v>
      </c>
      <c r="C15" s="53">
        <v>0.41499999999999998</v>
      </c>
      <c r="D15" s="53">
        <v>4.3049999999999997</v>
      </c>
    </row>
    <row r="16" spans="1:4" ht="19.5" thickBot="1">
      <c r="A16" s="52">
        <v>80</v>
      </c>
      <c r="B16" s="53">
        <v>972</v>
      </c>
      <c r="C16" s="53">
        <v>0.36399999999999999</v>
      </c>
      <c r="D16" s="53">
        <v>6.5650000000000004</v>
      </c>
    </row>
    <row r="17" spans="1:4" ht="19.5" thickBot="1">
      <c r="A17" s="52">
        <v>90</v>
      </c>
      <c r="B17" s="53">
        <v>965</v>
      </c>
      <c r="C17" s="53">
        <v>0.32300000000000001</v>
      </c>
      <c r="D17" s="53">
        <v>9.7439999999999998</v>
      </c>
    </row>
    <row r="18" spans="1:4" ht="19.5" thickBot="1">
      <c r="A18" s="52">
        <v>100</v>
      </c>
      <c r="B18" s="53">
        <v>958</v>
      </c>
      <c r="C18" s="53">
        <v>0.28999999999999998</v>
      </c>
      <c r="D18" s="53">
        <v>14.696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74FBB-5FC0-4623-8FED-C546FEFCACFD}">
  <sheetPr codeName="Planilha17"/>
  <dimension ref="N1:AC21"/>
  <sheetViews>
    <sheetView topLeftCell="J1" zoomScale="120" zoomScaleNormal="120" workbookViewId="0">
      <selection activeCell="Q10" sqref="Q10"/>
    </sheetView>
  </sheetViews>
  <sheetFormatPr defaultRowHeight="15"/>
  <cols>
    <col min="1" max="16384" width="9.140625" style="7"/>
  </cols>
  <sheetData>
    <row r="1" spans="14:29">
      <c r="O1" s="7" t="s">
        <v>150</v>
      </c>
      <c r="P1" s="70" t="s">
        <v>100</v>
      </c>
      <c r="Q1" s="70" t="s">
        <v>101</v>
      </c>
      <c r="R1" s="70" t="s">
        <v>102</v>
      </c>
      <c r="T1" s="70">
        <v>10</v>
      </c>
      <c r="U1" s="70" t="s">
        <v>68</v>
      </c>
      <c r="V1" s="70">
        <v>9</v>
      </c>
      <c r="W1" s="70" t="s">
        <v>68</v>
      </c>
      <c r="X1" s="70">
        <v>8</v>
      </c>
      <c r="Y1" s="70" t="s">
        <v>68</v>
      </c>
      <c r="Z1" s="70">
        <v>7</v>
      </c>
      <c r="AA1" s="70" t="s">
        <v>68</v>
      </c>
      <c r="AB1" s="70">
        <v>6</v>
      </c>
      <c r="AC1" s="70" t="s">
        <v>68</v>
      </c>
    </row>
    <row r="2" spans="14:29">
      <c r="N2" s="26"/>
      <c r="O2" s="45">
        <v>10</v>
      </c>
      <c r="P2" s="69">
        <v>-3.3199999999999999E-4</v>
      </c>
      <c r="Q2" s="39">
        <v>0.11799999999999999</v>
      </c>
      <c r="R2" s="39">
        <v>430</v>
      </c>
      <c r="T2" s="71">
        <v>0</v>
      </c>
      <c r="U2" s="107">
        <f>$P$2*T2^2+$Q$2*T2+$R$2</f>
        <v>430</v>
      </c>
      <c r="V2" s="71">
        <v>0</v>
      </c>
      <c r="W2" s="107">
        <f>$P$3*V2^2+$Q$3*V2+$R$3</f>
        <v>335</v>
      </c>
      <c r="X2" s="71">
        <v>0</v>
      </c>
      <c r="Y2" s="107">
        <f>$P$4*X2^2+$Q$4*X2+$R$4</f>
        <v>256</v>
      </c>
      <c r="Z2" s="71">
        <v>0</v>
      </c>
      <c r="AA2" s="71">
        <f>$P$5*Z2^2+$Q$5*Z2+$R$5</f>
        <v>187</v>
      </c>
      <c r="AB2" s="71">
        <v>0</v>
      </c>
      <c r="AC2" s="71">
        <f>$P$6*AB2^2+$Q$6*AA2+$R$6</f>
        <v>137.68945869999999</v>
      </c>
    </row>
    <row r="3" spans="14:29">
      <c r="N3" s="26"/>
      <c r="O3" s="45">
        <v>9</v>
      </c>
      <c r="P3" s="69">
        <v>-3.6709999999999998E-4</v>
      </c>
      <c r="Q3" s="39">
        <v>0.13550000000000001</v>
      </c>
      <c r="R3" s="39">
        <v>335</v>
      </c>
      <c r="T3" s="71">
        <v>50</v>
      </c>
      <c r="U3" s="107">
        <f t="shared" ref="U3:U21" si="0">$P$2*T3^2+$Q$2*T3+$R$2</f>
        <v>435.07</v>
      </c>
      <c r="V3" s="71">
        <v>50</v>
      </c>
      <c r="W3" s="107">
        <f t="shared" ref="W3:W20" si="1">$P$3*V3^2+$Q$3*V3+$R$3</f>
        <v>340.85725000000002</v>
      </c>
      <c r="X3" s="71">
        <v>50</v>
      </c>
      <c r="Y3" s="107">
        <f t="shared" ref="Y3:Y18" si="2">$P$4*X3^2+$Q$4*X3+$R$4</f>
        <v>260.46749999999997</v>
      </c>
      <c r="Z3" s="71">
        <v>50</v>
      </c>
      <c r="AA3" s="71">
        <f t="shared" ref="AA3:AA15" si="3">$P$5*Z3^2+$Q$5*Z3+$R$5</f>
        <v>191.43577500000001</v>
      </c>
      <c r="AB3" s="71">
        <v>50</v>
      </c>
      <c r="AC3" s="71">
        <f t="shared" ref="AC3:AC13" si="4">$P$6*AB3^2+$Q$6*AA3+$R$6</f>
        <v>136.96585821157751</v>
      </c>
    </row>
    <row r="4" spans="14:29">
      <c r="N4" s="26"/>
      <c r="O4" s="45">
        <v>8</v>
      </c>
      <c r="P4" s="69">
        <v>-3.5300000000000002E-4</v>
      </c>
      <c r="Q4" s="39">
        <v>0.107</v>
      </c>
      <c r="R4" s="39">
        <v>256</v>
      </c>
      <c r="T4" s="71">
        <v>100</v>
      </c>
      <c r="U4" s="107">
        <f t="shared" si="0"/>
        <v>438.48</v>
      </c>
      <c r="V4" s="71">
        <v>100</v>
      </c>
      <c r="W4" s="107">
        <f t="shared" si="1"/>
        <v>344.87900000000002</v>
      </c>
      <c r="X4" s="71">
        <v>100</v>
      </c>
      <c r="Y4" s="107">
        <f t="shared" si="2"/>
        <v>263.17</v>
      </c>
      <c r="Z4" s="71">
        <v>100</v>
      </c>
      <c r="AA4" s="71">
        <f t="shared" si="3"/>
        <v>193.73455000000001</v>
      </c>
      <c r="AB4" s="71">
        <v>100</v>
      </c>
      <c r="AC4" s="71">
        <f t="shared" si="4"/>
        <v>134.34238406945499</v>
      </c>
    </row>
    <row r="5" spans="14:29">
      <c r="N5" s="26"/>
      <c r="O5" s="45">
        <v>7</v>
      </c>
      <c r="P5" s="39">
        <v>-4.2739999999999998E-4</v>
      </c>
      <c r="Q5" s="39">
        <v>0.1100855</v>
      </c>
      <c r="R5" s="39">
        <v>187</v>
      </c>
      <c r="T5" s="71">
        <v>150</v>
      </c>
      <c r="U5" s="107">
        <f t="shared" si="0"/>
        <v>440.23</v>
      </c>
      <c r="V5" s="71">
        <v>150</v>
      </c>
      <c r="W5" s="107">
        <f t="shared" si="1"/>
        <v>347.06524999999999</v>
      </c>
      <c r="X5" s="71">
        <v>150</v>
      </c>
      <c r="Y5" s="107">
        <f t="shared" si="2"/>
        <v>264.10750000000002</v>
      </c>
      <c r="Z5" s="71">
        <v>150</v>
      </c>
      <c r="AA5" s="71">
        <f t="shared" si="3"/>
        <v>193.89632499999999</v>
      </c>
      <c r="AB5" s="71">
        <v>150</v>
      </c>
      <c r="AC5" s="71">
        <f t="shared" si="4"/>
        <v>129.81903627363249</v>
      </c>
    </row>
    <row r="6" spans="14:29">
      <c r="N6" s="26"/>
      <c r="O6" s="45">
        <v>6</v>
      </c>
      <c r="P6" s="39">
        <v>-3.6240000000000003E-4</v>
      </c>
      <c r="Q6" s="39">
        <v>4.11201E-2</v>
      </c>
      <c r="R6" s="39">
        <v>130</v>
      </c>
      <c r="T6" s="71">
        <v>200</v>
      </c>
      <c r="U6" s="107">
        <f t="shared" si="0"/>
        <v>440.32</v>
      </c>
      <c r="V6" s="71">
        <v>200</v>
      </c>
      <c r="W6" s="107">
        <f t="shared" si="1"/>
        <v>347.416</v>
      </c>
      <c r="X6" s="71">
        <v>200</v>
      </c>
      <c r="Y6" s="107">
        <f t="shared" si="2"/>
        <v>263.27999999999997</v>
      </c>
      <c r="Z6" s="71">
        <v>200</v>
      </c>
      <c r="AA6" s="71">
        <f t="shared" si="3"/>
        <v>191.9211</v>
      </c>
      <c r="AB6" s="71">
        <v>200</v>
      </c>
      <c r="AC6" s="71">
        <f t="shared" si="4"/>
        <v>123.39581482411</v>
      </c>
    </row>
    <row r="7" spans="14:29">
      <c r="T7" s="71">
        <v>250</v>
      </c>
      <c r="U7" s="107">
        <f t="shared" si="0"/>
        <v>438.75</v>
      </c>
      <c r="V7" s="71">
        <v>250</v>
      </c>
      <c r="W7" s="107">
        <f t="shared" si="1"/>
        <v>345.93124999999998</v>
      </c>
      <c r="X7" s="71">
        <v>250</v>
      </c>
      <c r="Y7" s="107">
        <f t="shared" si="2"/>
        <v>260.6875</v>
      </c>
      <c r="Z7" s="71">
        <v>250</v>
      </c>
      <c r="AA7" s="71">
        <f t="shared" si="3"/>
        <v>187.808875</v>
      </c>
      <c r="AB7" s="71">
        <v>250</v>
      </c>
      <c r="AC7" s="71">
        <f t="shared" si="4"/>
        <v>115.07271972088751</v>
      </c>
    </row>
    <row r="8" spans="14:29">
      <c r="T8" s="71">
        <v>300</v>
      </c>
      <c r="U8" s="107">
        <f t="shared" si="0"/>
        <v>435.52</v>
      </c>
      <c r="V8" s="71">
        <v>300</v>
      </c>
      <c r="W8" s="107">
        <f t="shared" si="1"/>
        <v>342.61099999999999</v>
      </c>
      <c r="X8" s="71">
        <v>300</v>
      </c>
      <c r="Y8" s="107">
        <f t="shared" si="2"/>
        <v>256.33</v>
      </c>
      <c r="Z8" s="71">
        <v>300</v>
      </c>
      <c r="AA8" s="71">
        <f t="shared" si="3"/>
        <v>181.55965</v>
      </c>
      <c r="AB8" s="71">
        <v>300</v>
      </c>
      <c r="AC8" s="71">
        <f t="shared" si="4"/>
        <v>104.84975096396499</v>
      </c>
    </row>
    <row r="9" spans="14:29">
      <c r="P9" s="108"/>
      <c r="T9" s="71">
        <v>350</v>
      </c>
      <c r="U9" s="107">
        <f t="shared" si="0"/>
        <v>430.63</v>
      </c>
      <c r="V9" s="71">
        <v>350</v>
      </c>
      <c r="W9" s="107">
        <f t="shared" si="1"/>
        <v>337.45524999999998</v>
      </c>
      <c r="X9" s="71">
        <v>350</v>
      </c>
      <c r="Y9" s="107">
        <f t="shared" si="2"/>
        <v>250.20749999999998</v>
      </c>
      <c r="Z9" s="71">
        <v>350</v>
      </c>
      <c r="AA9" s="71">
        <f t="shared" si="3"/>
        <v>173.17342500000001</v>
      </c>
      <c r="AB9" s="71">
        <v>350</v>
      </c>
      <c r="AC9" s="71">
        <f t="shared" si="4"/>
        <v>92.726908553342497</v>
      </c>
    </row>
    <row r="10" spans="14:29">
      <c r="T10" s="71">
        <v>400</v>
      </c>
      <c r="U10" s="107">
        <f t="shared" si="0"/>
        <v>424.08</v>
      </c>
      <c r="V10" s="71">
        <v>400</v>
      </c>
      <c r="W10" s="107">
        <f t="shared" si="1"/>
        <v>330.464</v>
      </c>
      <c r="X10" s="71">
        <v>400</v>
      </c>
      <c r="Y10" s="107">
        <f t="shared" si="2"/>
        <v>242.32</v>
      </c>
      <c r="Z10" s="71">
        <v>400</v>
      </c>
      <c r="AA10" s="71">
        <f t="shared" si="3"/>
        <v>162.65019999999998</v>
      </c>
      <c r="AB10" s="71">
        <v>400</v>
      </c>
      <c r="AC10" s="71">
        <f t="shared" si="4"/>
        <v>78.704192489019988</v>
      </c>
    </row>
    <row r="11" spans="14:29">
      <c r="T11" s="71">
        <v>450</v>
      </c>
      <c r="U11" s="107">
        <f t="shared" si="0"/>
        <v>415.87</v>
      </c>
      <c r="V11" s="71">
        <v>450</v>
      </c>
      <c r="W11" s="107">
        <f t="shared" si="1"/>
        <v>321.63724999999999</v>
      </c>
      <c r="X11" s="71">
        <v>450</v>
      </c>
      <c r="Y11" s="107">
        <f t="shared" si="2"/>
        <v>232.66749999999999</v>
      </c>
      <c r="Z11" s="71">
        <v>450</v>
      </c>
      <c r="AA11" s="71">
        <f t="shared" si="3"/>
        <v>149.98997500000002</v>
      </c>
      <c r="AB11" s="71">
        <v>450</v>
      </c>
      <c r="AC11" s="71">
        <f t="shared" si="4"/>
        <v>62.781602770997495</v>
      </c>
    </row>
    <row r="12" spans="14:29">
      <c r="T12" s="71">
        <v>500</v>
      </c>
      <c r="U12" s="107">
        <f t="shared" si="0"/>
        <v>406</v>
      </c>
      <c r="V12" s="71">
        <v>500</v>
      </c>
      <c r="W12" s="107">
        <f t="shared" si="1"/>
        <v>310.97500000000002</v>
      </c>
      <c r="X12" s="71">
        <v>500</v>
      </c>
      <c r="Y12" s="107">
        <f t="shared" si="2"/>
        <v>221.25</v>
      </c>
      <c r="Z12" s="71">
        <v>500</v>
      </c>
      <c r="AA12" s="71">
        <f t="shared" si="3"/>
        <v>135.19274999999999</v>
      </c>
      <c r="AB12" s="71">
        <v>500</v>
      </c>
      <c r="AC12" s="71">
        <f t="shared" si="4"/>
        <v>44.959139399274989</v>
      </c>
    </row>
    <row r="13" spans="14:29">
      <c r="T13" s="71">
        <v>550</v>
      </c>
      <c r="U13" s="107">
        <f t="shared" si="0"/>
        <v>394.47</v>
      </c>
      <c r="V13" s="71">
        <v>550</v>
      </c>
      <c r="W13" s="107">
        <f t="shared" si="1"/>
        <v>298.47725000000003</v>
      </c>
      <c r="X13" s="71">
        <v>550</v>
      </c>
      <c r="Y13" s="107">
        <f t="shared" si="2"/>
        <v>208.0675</v>
      </c>
      <c r="Z13" s="71">
        <v>550</v>
      </c>
      <c r="AA13" s="71">
        <f t="shared" si="3"/>
        <v>118.25852500000001</v>
      </c>
      <c r="AB13" s="71">
        <v>550</v>
      </c>
      <c r="AC13" s="71">
        <f t="shared" si="4"/>
        <v>25.236802373852498</v>
      </c>
    </row>
    <row r="14" spans="14:29">
      <c r="T14" s="71">
        <v>600</v>
      </c>
      <c r="U14" s="107">
        <f t="shared" si="0"/>
        <v>381.28</v>
      </c>
      <c r="V14" s="71">
        <v>600</v>
      </c>
      <c r="W14" s="107">
        <f t="shared" si="1"/>
        <v>284.14400000000001</v>
      </c>
      <c r="X14" s="71">
        <v>600</v>
      </c>
      <c r="Y14" s="107">
        <f t="shared" si="2"/>
        <v>193.12</v>
      </c>
      <c r="Z14" s="71">
        <v>600</v>
      </c>
      <c r="AA14" s="71">
        <f t="shared" si="3"/>
        <v>99.187299999999993</v>
      </c>
    </row>
    <row r="15" spans="14:29">
      <c r="T15" s="71">
        <v>650</v>
      </c>
      <c r="U15" s="107">
        <f t="shared" si="0"/>
        <v>366.43</v>
      </c>
      <c r="V15" s="71">
        <v>650</v>
      </c>
      <c r="W15" s="107">
        <f t="shared" si="1"/>
        <v>267.97525000000002</v>
      </c>
      <c r="X15" s="71">
        <v>650</v>
      </c>
      <c r="Y15" s="107">
        <f t="shared" si="2"/>
        <v>176.40749999999997</v>
      </c>
      <c r="Z15" s="71">
        <v>650</v>
      </c>
      <c r="AA15" s="71">
        <f t="shared" si="3"/>
        <v>77.979075000000023</v>
      </c>
    </row>
    <row r="16" spans="14:29">
      <c r="T16" s="71">
        <v>700</v>
      </c>
      <c r="U16" s="107">
        <f t="shared" si="0"/>
        <v>349.91999999999996</v>
      </c>
      <c r="V16" s="71">
        <v>700</v>
      </c>
      <c r="W16" s="107">
        <f t="shared" si="1"/>
        <v>249.971</v>
      </c>
      <c r="X16" s="71">
        <v>700</v>
      </c>
      <c r="Y16" s="107">
        <f t="shared" si="2"/>
        <v>157.93</v>
      </c>
    </row>
    <row r="17" spans="20:25">
      <c r="T17" s="71">
        <v>750</v>
      </c>
      <c r="U17" s="107">
        <f t="shared" si="0"/>
        <v>331.75</v>
      </c>
      <c r="V17" s="71">
        <v>750</v>
      </c>
      <c r="W17" s="107">
        <f t="shared" si="1"/>
        <v>230.13125000000002</v>
      </c>
      <c r="X17" s="71">
        <v>750</v>
      </c>
      <c r="Y17" s="107">
        <f t="shared" si="2"/>
        <v>137.6875</v>
      </c>
    </row>
    <row r="18" spans="20:25">
      <c r="T18" s="71">
        <v>800</v>
      </c>
      <c r="U18" s="107">
        <f t="shared" si="0"/>
        <v>311.92</v>
      </c>
      <c r="V18" s="71">
        <v>800</v>
      </c>
      <c r="W18" s="107">
        <f t="shared" si="1"/>
        <v>208.45600000000002</v>
      </c>
      <c r="X18" s="71">
        <v>800</v>
      </c>
      <c r="Y18" s="107">
        <f t="shared" si="2"/>
        <v>115.67999999999998</v>
      </c>
    </row>
    <row r="19" spans="20:25">
      <c r="T19" s="71">
        <v>850</v>
      </c>
      <c r="U19" s="107">
        <f t="shared" si="0"/>
        <v>290.43</v>
      </c>
      <c r="V19" s="71">
        <v>850</v>
      </c>
      <c r="W19" s="107">
        <f t="shared" si="1"/>
        <v>184.94525000000004</v>
      </c>
      <c r="X19" s="33"/>
      <c r="Y19" s="33"/>
    </row>
    <row r="20" spans="20:25">
      <c r="T20" s="71">
        <v>900</v>
      </c>
      <c r="U20" s="107">
        <f t="shared" si="0"/>
        <v>267.27999999999997</v>
      </c>
      <c r="V20" s="71">
        <v>900</v>
      </c>
      <c r="W20" s="107">
        <f t="shared" si="1"/>
        <v>159.59899999999999</v>
      </c>
      <c r="X20" s="33"/>
      <c r="Y20" s="33"/>
    </row>
    <row r="21" spans="20:25">
      <c r="T21" s="71">
        <v>950</v>
      </c>
      <c r="U21" s="107">
        <f t="shared" si="0"/>
        <v>242.47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B0206-530A-4A54-A081-4484FCC45B90}">
  <sheetPr codeName="Planilha16"/>
  <dimension ref="L1:AA21"/>
  <sheetViews>
    <sheetView topLeftCell="F1" zoomScale="120" zoomScaleNormal="120" workbookViewId="0">
      <selection activeCell="O13" sqref="O13"/>
    </sheetView>
  </sheetViews>
  <sheetFormatPr defaultRowHeight="15"/>
  <cols>
    <col min="1" max="16384" width="9.140625" style="7"/>
  </cols>
  <sheetData>
    <row r="1" spans="12:27">
      <c r="M1" s="7" t="s">
        <v>150</v>
      </c>
      <c r="N1" s="70" t="s">
        <v>100</v>
      </c>
      <c r="O1" s="70" t="s">
        <v>101</v>
      </c>
      <c r="P1" s="70" t="s">
        <v>102</v>
      </c>
      <c r="R1" s="70">
        <v>10</v>
      </c>
      <c r="S1" s="70" t="s">
        <v>68</v>
      </c>
      <c r="T1" s="70">
        <v>9</v>
      </c>
      <c r="U1" s="70" t="s">
        <v>68</v>
      </c>
      <c r="V1" s="70">
        <v>8</v>
      </c>
      <c r="W1" s="70" t="s">
        <v>68</v>
      </c>
      <c r="X1" s="70">
        <v>7</v>
      </c>
      <c r="Y1" s="70" t="s">
        <v>68</v>
      </c>
      <c r="Z1" s="70">
        <v>6</v>
      </c>
      <c r="AA1" s="70" t="s">
        <v>68</v>
      </c>
    </row>
    <row r="2" spans="12:27">
      <c r="L2" s="26"/>
      <c r="M2" s="45">
        <v>10</v>
      </c>
      <c r="N2" s="39">
        <v>-3.7369999999999998E-4</v>
      </c>
      <c r="O2" s="39">
        <v>8.6973700000000001E-2</v>
      </c>
      <c r="P2" s="39">
        <v>105</v>
      </c>
      <c r="R2" s="71">
        <v>0</v>
      </c>
      <c r="S2" s="71">
        <f>$N$2*R2^2+$O$2*R2+$P$2</f>
        <v>105</v>
      </c>
      <c r="T2" s="71">
        <v>0</v>
      </c>
      <c r="U2" s="71">
        <f>$N$3*R2^2+$O$3*R2+$P$3</f>
        <v>80</v>
      </c>
      <c r="V2" s="71">
        <v>0</v>
      </c>
      <c r="W2" s="71">
        <f>$N$4*R2^2+$O$4*R2+$P$4</f>
        <v>63</v>
      </c>
      <c r="X2" s="71">
        <v>0</v>
      </c>
      <c r="Y2" s="71">
        <f>$N$5*R2^2+$O$5*R2+$P$5</f>
        <v>46</v>
      </c>
      <c r="Z2" s="71">
        <v>0</v>
      </c>
      <c r="AA2" s="71">
        <f>$N$6*R2^2+$O$6*R2+$P$6</f>
        <v>32</v>
      </c>
    </row>
    <row r="3" spans="12:27">
      <c r="L3" s="26"/>
      <c r="M3" s="45">
        <v>9</v>
      </c>
      <c r="N3" s="39">
        <v>-2.744E-4</v>
      </c>
      <c r="O3" s="39">
        <v>4.5722199999999998E-2</v>
      </c>
      <c r="P3" s="39">
        <v>80</v>
      </c>
      <c r="R3" s="71">
        <v>25</v>
      </c>
      <c r="S3" s="71">
        <f t="shared" ref="S3:S21" si="0">$N$2*R3^2+$O$2*R3+$P$2</f>
        <v>106.94078</v>
      </c>
      <c r="T3" s="71">
        <v>25</v>
      </c>
      <c r="U3" s="71">
        <f t="shared" ref="U3:U20" si="1">$N$3*R3^2+$O$3*R3+$P$3</f>
        <v>80.971554999999995</v>
      </c>
      <c r="V3" s="71">
        <v>25</v>
      </c>
      <c r="W3" s="71">
        <f t="shared" ref="W3:W18" si="2">$N$4*R3^2+$O$4*R3+$P$4</f>
        <v>62.962274999999998</v>
      </c>
      <c r="X3" s="71">
        <v>25</v>
      </c>
      <c r="Y3" s="71">
        <f t="shared" ref="Y3:Y15" si="3">$N$5*R3^2+$O$5*R3+$P$5</f>
        <v>46.273000000000003</v>
      </c>
      <c r="Z3" s="71">
        <v>25</v>
      </c>
      <c r="AA3" s="71">
        <f t="shared" ref="AA3:AA13" si="4">$N$6*R3^2+$O$6*R3+$P$6</f>
        <v>32.110390000000002</v>
      </c>
    </row>
    <row r="4" spans="12:27">
      <c r="L4" s="26"/>
      <c r="M4" s="45">
        <v>8</v>
      </c>
      <c r="N4" s="39">
        <v>-2.3599999999999999E-4</v>
      </c>
      <c r="O4" s="39">
        <v>4.3909999999999999E-3</v>
      </c>
      <c r="P4" s="39">
        <v>63</v>
      </c>
      <c r="R4" s="71">
        <v>50</v>
      </c>
      <c r="S4" s="71">
        <f t="shared" si="0"/>
        <v>108.414435</v>
      </c>
      <c r="T4" s="71">
        <v>50</v>
      </c>
      <c r="U4" s="71">
        <f t="shared" si="1"/>
        <v>81.600110000000001</v>
      </c>
      <c r="V4" s="71">
        <v>50</v>
      </c>
      <c r="W4" s="71">
        <f t="shared" si="2"/>
        <v>62.629550000000002</v>
      </c>
      <c r="X4" s="71">
        <v>50</v>
      </c>
      <c r="Y4" s="71">
        <f t="shared" si="3"/>
        <v>46.258499999999998</v>
      </c>
      <c r="Z4" s="71">
        <v>50</v>
      </c>
      <c r="AA4" s="71">
        <f t="shared" si="4"/>
        <v>31.813904999999998</v>
      </c>
    </row>
    <row r="5" spans="12:27">
      <c r="L5" s="26"/>
      <c r="M5" s="45">
        <v>7</v>
      </c>
      <c r="N5" s="39">
        <v>-2.3000000000000001E-4</v>
      </c>
      <c r="O5" s="39">
        <v>1.6670000000000001E-2</v>
      </c>
      <c r="P5" s="39">
        <v>46</v>
      </c>
      <c r="R5" s="71">
        <v>75</v>
      </c>
      <c r="S5" s="71">
        <f t="shared" si="0"/>
        <v>109.420965</v>
      </c>
      <c r="T5" s="71">
        <v>75</v>
      </c>
      <c r="U5" s="71">
        <f t="shared" si="1"/>
        <v>81.885665000000003</v>
      </c>
      <c r="V5" s="71">
        <v>75</v>
      </c>
      <c r="W5" s="71">
        <f t="shared" si="2"/>
        <v>62.001824999999997</v>
      </c>
      <c r="X5" s="71">
        <v>75</v>
      </c>
      <c r="Y5" s="71">
        <f t="shared" si="3"/>
        <v>45.956499999999998</v>
      </c>
      <c r="Z5" s="71">
        <v>75</v>
      </c>
      <c r="AA5" s="71">
        <f t="shared" si="4"/>
        <v>31.110545000000002</v>
      </c>
    </row>
    <row r="6" spans="12:27">
      <c r="L6" s="26"/>
      <c r="M6" s="45">
        <v>6</v>
      </c>
      <c r="N6" s="39">
        <v>-3.255E-4</v>
      </c>
      <c r="O6" s="39">
        <v>1.2553099999999999E-2</v>
      </c>
      <c r="P6" s="39">
        <v>32</v>
      </c>
      <c r="R6" s="71">
        <v>100</v>
      </c>
      <c r="S6" s="71">
        <f t="shared" si="0"/>
        <v>109.96037</v>
      </c>
      <c r="T6" s="71">
        <v>100</v>
      </c>
      <c r="U6" s="71">
        <f t="shared" si="1"/>
        <v>81.828220000000002</v>
      </c>
      <c r="V6" s="71">
        <v>100</v>
      </c>
      <c r="W6" s="71">
        <f t="shared" si="2"/>
        <v>61.079099999999997</v>
      </c>
      <c r="X6" s="71">
        <v>100</v>
      </c>
      <c r="Y6" s="71">
        <f t="shared" si="3"/>
        <v>45.366999999999997</v>
      </c>
      <c r="Z6" s="71">
        <v>100</v>
      </c>
      <c r="AA6" s="71">
        <f t="shared" si="4"/>
        <v>30.000309999999999</v>
      </c>
    </row>
    <row r="7" spans="12:27">
      <c r="R7" s="71">
        <v>125</v>
      </c>
      <c r="S7" s="71">
        <f t="shared" si="0"/>
        <v>110.03265</v>
      </c>
      <c r="T7" s="71">
        <v>125</v>
      </c>
      <c r="U7" s="71">
        <f t="shared" si="1"/>
        <v>81.427774999999997</v>
      </c>
      <c r="V7" s="71">
        <v>125</v>
      </c>
      <c r="W7" s="71">
        <f t="shared" si="2"/>
        <v>59.861375000000002</v>
      </c>
      <c r="X7" s="71">
        <v>125</v>
      </c>
      <c r="Y7" s="71">
        <f t="shared" si="3"/>
        <v>44.49</v>
      </c>
      <c r="Z7" s="71">
        <v>125</v>
      </c>
      <c r="AA7" s="71">
        <f t="shared" si="4"/>
        <v>28.4832</v>
      </c>
    </row>
    <row r="8" spans="12:27">
      <c r="R8" s="71">
        <v>150</v>
      </c>
      <c r="S8" s="71">
        <f t="shared" si="0"/>
        <v>109.637805</v>
      </c>
      <c r="T8" s="71">
        <v>150</v>
      </c>
      <c r="U8" s="71">
        <f t="shared" si="1"/>
        <v>80.684330000000003</v>
      </c>
      <c r="V8" s="71">
        <v>150</v>
      </c>
      <c r="W8" s="71">
        <f t="shared" si="2"/>
        <v>58.348649999999999</v>
      </c>
      <c r="X8" s="71">
        <v>150</v>
      </c>
      <c r="Y8" s="71">
        <f t="shared" si="3"/>
        <v>43.325499999999998</v>
      </c>
      <c r="Z8" s="71">
        <v>150</v>
      </c>
      <c r="AA8" s="71">
        <f t="shared" si="4"/>
        <v>26.559215000000002</v>
      </c>
    </row>
    <row r="9" spans="12:27">
      <c r="R9" s="71">
        <v>175</v>
      </c>
      <c r="S9" s="71">
        <f t="shared" si="0"/>
        <v>108.775835</v>
      </c>
      <c r="T9" s="71">
        <v>175</v>
      </c>
      <c r="U9" s="71">
        <f t="shared" si="1"/>
        <v>79.597885000000005</v>
      </c>
      <c r="V9" s="71">
        <v>175</v>
      </c>
      <c r="W9" s="71">
        <f t="shared" si="2"/>
        <v>56.540925000000001</v>
      </c>
      <c r="X9" s="71">
        <v>175</v>
      </c>
      <c r="Y9" s="71">
        <f t="shared" si="3"/>
        <v>41.8735</v>
      </c>
      <c r="Z9" s="71">
        <v>175</v>
      </c>
      <c r="AA9" s="71">
        <f t="shared" si="4"/>
        <v>24.228355000000001</v>
      </c>
    </row>
    <row r="10" spans="12:27">
      <c r="R10" s="71">
        <v>200</v>
      </c>
      <c r="S10" s="71">
        <f t="shared" si="0"/>
        <v>107.44674000000001</v>
      </c>
      <c r="T10" s="71">
        <v>200</v>
      </c>
      <c r="U10" s="71">
        <f t="shared" si="1"/>
        <v>78.168440000000004</v>
      </c>
      <c r="V10" s="71">
        <v>200</v>
      </c>
      <c r="W10" s="71">
        <f t="shared" si="2"/>
        <v>54.438200000000002</v>
      </c>
      <c r="X10" s="71">
        <v>200</v>
      </c>
      <c r="Y10" s="71">
        <f t="shared" si="3"/>
        <v>40.134</v>
      </c>
      <c r="Z10" s="71">
        <v>200</v>
      </c>
      <c r="AA10" s="71">
        <f t="shared" si="4"/>
        <v>21.49062</v>
      </c>
    </row>
    <row r="11" spans="12:27">
      <c r="R11" s="71">
        <v>225</v>
      </c>
      <c r="S11" s="71">
        <f t="shared" si="0"/>
        <v>105.65052</v>
      </c>
      <c r="T11" s="71">
        <v>225</v>
      </c>
      <c r="U11" s="71">
        <f t="shared" si="1"/>
        <v>76.395994999999999</v>
      </c>
      <c r="V11" s="71">
        <v>225</v>
      </c>
      <c r="W11" s="71">
        <f t="shared" si="2"/>
        <v>52.040475000000001</v>
      </c>
      <c r="X11" s="71">
        <v>225</v>
      </c>
      <c r="Y11" s="71">
        <f t="shared" si="3"/>
        <v>38.106999999999999</v>
      </c>
      <c r="Z11" s="71">
        <v>225</v>
      </c>
      <c r="AA11" s="71">
        <f t="shared" si="4"/>
        <v>18.34601</v>
      </c>
    </row>
    <row r="12" spans="12:27">
      <c r="R12" s="71">
        <v>250</v>
      </c>
      <c r="S12" s="71">
        <f t="shared" si="0"/>
        <v>103.387175</v>
      </c>
      <c r="T12" s="71">
        <v>250</v>
      </c>
      <c r="U12" s="71">
        <f t="shared" si="1"/>
        <v>74.280550000000005</v>
      </c>
      <c r="V12" s="71">
        <v>250</v>
      </c>
      <c r="W12" s="71">
        <f t="shared" si="2"/>
        <v>49.347749999999998</v>
      </c>
      <c r="X12" s="71">
        <v>250</v>
      </c>
      <c r="Y12" s="71">
        <f t="shared" si="3"/>
        <v>35.792500000000004</v>
      </c>
      <c r="Z12" s="71">
        <v>250</v>
      </c>
      <c r="AA12" s="71">
        <f t="shared" si="4"/>
        <v>14.794525</v>
      </c>
    </row>
    <row r="13" spans="12:27">
      <c r="R13" s="71">
        <v>275</v>
      </c>
      <c r="S13" s="71">
        <f t="shared" si="0"/>
        <v>100.656705</v>
      </c>
      <c r="T13" s="71">
        <v>275</v>
      </c>
      <c r="U13" s="71">
        <f t="shared" si="1"/>
        <v>71.822104999999993</v>
      </c>
      <c r="V13" s="71">
        <v>275</v>
      </c>
      <c r="W13" s="71">
        <f t="shared" si="2"/>
        <v>46.360025</v>
      </c>
      <c r="X13" s="71">
        <v>275</v>
      </c>
      <c r="Y13" s="71">
        <f t="shared" si="3"/>
        <v>33.1905</v>
      </c>
      <c r="Z13" s="71">
        <v>275</v>
      </c>
      <c r="AA13" s="71">
        <f t="shared" si="4"/>
        <v>10.836164999999998</v>
      </c>
    </row>
    <row r="14" spans="12:27">
      <c r="R14" s="71">
        <v>300</v>
      </c>
      <c r="S14" s="71">
        <f t="shared" si="0"/>
        <v>97.45911000000001</v>
      </c>
      <c r="T14" s="71">
        <v>300</v>
      </c>
      <c r="U14" s="71">
        <f t="shared" si="1"/>
        <v>69.020659999999992</v>
      </c>
      <c r="V14" s="71">
        <v>300</v>
      </c>
      <c r="W14" s="71">
        <f t="shared" si="2"/>
        <v>43.077300000000001</v>
      </c>
      <c r="X14" s="71">
        <v>300</v>
      </c>
      <c r="Y14" s="71">
        <f t="shared" si="3"/>
        <v>30.301000000000002</v>
      </c>
    </row>
    <row r="15" spans="12:27">
      <c r="R15" s="71">
        <v>325</v>
      </c>
      <c r="S15" s="71">
        <f t="shared" si="0"/>
        <v>93.794389999999993</v>
      </c>
      <c r="T15" s="71">
        <v>325</v>
      </c>
      <c r="U15" s="71">
        <f t="shared" si="1"/>
        <v>65.876215000000002</v>
      </c>
      <c r="V15" s="71">
        <v>325</v>
      </c>
      <c r="W15" s="71">
        <f t="shared" si="2"/>
        <v>39.499575</v>
      </c>
      <c r="X15" s="71">
        <v>325</v>
      </c>
      <c r="Y15" s="71">
        <f t="shared" si="3"/>
        <v>27.124000000000002</v>
      </c>
    </row>
    <row r="16" spans="12:27">
      <c r="R16" s="71">
        <v>350</v>
      </c>
      <c r="S16" s="71">
        <f t="shared" si="0"/>
        <v>89.662544999999994</v>
      </c>
      <c r="T16" s="71">
        <v>350</v>
      </c>
      <c r="U16" s="71">
        <f t="shared" si="1"/>
        <v>62.388770000000001</v>
      </c>
      <c r="V16" s="71">
        <v>350</v>
      </c>
      <c r="W16" s="71">
        <f t="shared" si="2"/>
        <v>35.626850000000005</v>
      </c>
    </row>
    <row r="17" spans="18:23">
      <c r="R17" s="71">
        <v>375</v>
      </c>
      <c r="S17" s="71">
        <f t="shared" si="0"/>
        <v>85.063575000000014</v>
      </c>
      <c r="T17" s="71">
        <v>375</v>
      </c>
      <c r="U17" s="71">
        <f t="shared" si="1"/>
        <v>58.558324999999996</v>
      </c>
      <c r="V17" s="71">
        <v>375</v>
      </c>
      <c r="W17" s="71">
        <f t="shared" si="2"/>
        <v>31.459125</v>
      </c>
    </row>
    <row r="18" spans="18:23">
      <c r="R18" s="71">
        <v>400</v>
      </c>
      <c r="S18" s="71">
        <f t="shared" si="0"/>
        <v>79.997479999999996</v>
      </c>
      <c r="T18" s="71">
        <v>400</v>
      </c>
      <c r="U18" s="71">
        <f t="shared" si="1"/>
        <v>54.384879999999995</v>
      </c>
      <c r="V18" s="71">
        <v>400</v>
      </c>
      <c r="W18" s="71">
        <f t="shared" si="2"/>
        <v>26.996400000000001</v>
      </c>
    </row>
    <row r="19" spans="18:23">
      <c r="R19" s="71">
        <v>425</v>
      </c>
      <c r="S19" s="71">
        <f t="shared" si="0"/>
        <v>74.464259999999996</v>
      </c>
      <c r="T19" s="71">
        <v>425</v>
      </c>
      <c r="U19" s="71">
        <f t="shared" si="1"/>
        <v>49.868435000000005</v>
      </c>
      <c r="V19" s="33"/>
      <c r="W19" s="33"/>
    </row>
    <row r="20" spans="18:23">
      <c r="R20" s="71">
        <v>450</v>
      </c>
      <c r="S20" s="71">
        <f t="shared" si="0"/>
        <v>68.463915</v>
      </c>
      <c r="T20" s="71">
        <v>450</v>
      </c>
      <c r="U20" s="71">
        <f t="shared" si="1"/>
        <v>45.008989999999997</v>
      </c>
      <c r="V20" s="33"/>
      <c r="W20" s="33"/>
    </row>
    <row r="21" spans="18:23">
      <c r="R21" s="71">
        <v>475</v>
      </c>
      <c r="S21" s="71">
        <f t="shared" si="0"/>
        <v>61.996445000000001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BD0E5-59DB-4A4D-AAE8-8A46FD78012F}">
  <dimension ref="A1:F29"/>
  <sheetViews>
    <sheetView zoomScale="110" zoomScaleNormal="110" workbookViewId="0">
      <selection activeCell="B13" sqref="B13"/>
    </sheetView>
  </sheetViews>
  <sheetFormatPr defaultRowHeight="15"/>
  <sheetData>
    <row r="1" spans="1:6">
      <c r="A1" s="38" t="s">
        <v>100</v>
      </c>
      <c r="B1" s="58">
        <v>-1.8097599999999998E-2</v>
      </c>
      <c r="D1" s="70" t="s">
        <v>1</v>
      </c>
      <c r="E1" s="70" t="s">
        <v>68</v>
      </c>
      <c r="F1" s="70" t="s">
        <v>104</v>
      </c>
    </row>
    <row r="2" spans="1:6">
      <c r="A2" s="38" t="s">
        <v>101</v>
      </c>
      <c r="B2" s="58">
        <v>6.2710399999999999E-2</v>
      </c>
      <c r="D2" s="72">
        <v>0</v>
      </c>
      <c r="E2" s="72">
        <f>$B$1*D2^2+$B$2*D2+$B$3</f>
        <v>29</v>
      </c>
      <c r="F2" s="46">
        <f>D2^2/$B$6</f>
        <v>0</v>
      </c>
    </row>
    <row r="3" spans="1:6">
      <c r="A3" s="38" t="s">
        <v>102</v>
      </c>
      <c r="B3" s="58">
        <v>29</v>
      </c>
      <c r="D3" s="71">
        <v>1</v>
      </c>
      <c r="E3" s="71">
        <f t="shared" ref="E3:E29" si="0">$B$1*D3^2+$B$2*D3+$B$3</f>
        <v>29.044612799999999</v>
      </c>
      <c r="F3" s="46">
        <f t="shared" ref="F3:F20" si="1">D3^2/$B$6</f>
        <v>9.2592592592592587E-2</v>
      </c>
    </row>
    <row r="4" spans="1:6">
      <c r="A4" s="38" t="s">
        <v>1</v>
      </c>
      <c r="B4" s="58">
        <v>18</v>
      </c>
      <c r="D4" s="71">
        <v>2</v>
      </c>
      <c r="E4" s="71">
        <f t="shared" si="0"/>
        <v>29.053030400000001</v>
      </c>
      <c r="F4" s="46">
        <f t="shared" si="1"/>
        <v>0.37037037037037035</v>
      </c>
    </row>
    <row r="5" spans="1:6">
      <c r="A5" s="38" t="s">
        <v>68</v>
      </c>
      <c r="B5" s="58">
        <v>30</v>
      </c>
      <c r="D5" s="71">
        <v>3</v>
      </c>
      <c r="E5" s="71">
        <f t="shared" si="0"/>
        <v>29.025252800000001</v>
      </c>
      <c r="F5" s="46">
        <f t="shared" si="1"/>
        <v>0.83333333333333326</v>
      </c>
    </row>
    <row r="6" spans="1:6">
      <c r="A6" s="38" t="s">
        <v>103</v>
      </c>
      <c r="B6" s="58">
        <f>B4^2/B5</f>
        <v>10.8</v>
      </c>
      <c r="D6" s="71">
        <v>4</v>
      </c>
      <c r="E6" s="71">
        <f t="shared" si="0"/>
        <v>28.961279999999999</v>
      </c>
      <c r="F6" s="46">
        <f t="shared" si="1"/>
        <v>1.4814814814814814</v>
      </c>
    </row>
    <row r="7" spans="1:6">
      <c r="D7" s="71">
        <v>5</v>
      </c>
      <c r="E7" s="71">
        <f t="shared" si="0"/>
        <v>28.861111999999999</v>
      </c>
      <c r="F7" s="46">
        <f t="shared" si="1"/>
        <v>2.3148148148148149</v>
      </c>
    </row>
    <row r="8" spans="1:6">
      <c r="D8" s="71">
        <v>6</v>
      </c>
      <c r="E8" s="71">
        <f t="shared" si="0"/>
        <v>28.7247488</v>
      </c>
      <c r="F8" s="46">
        <f t="shared" si="1"/>
        <v>3.333333333333333</v>
      </c>
    </row>
    <row r="9" spans="1:6">
      <c r="D9" s="71">
        <v>7</v>
      </c>
      <c r="E9" s="71">
        <f t="shared" si="0"/>
        <v>28.552190400000001</v>
      </c>
      <c r="F9" s="46">
        <f t="shared" si="1"/>
        <v>4.5370370370370363</v>
      </c>
    </row>
    <row r="10" spans="1:6">
      <c r="D10" s="71">
        <v>8</v>
      </c>
      <c r="E10" s="71">
        <f t="shared" si="0"/>
        <v>28.343436799999999</v>
      </c>
      <c r="F10" s="46">
        <f t="shared" si="1"/>
        <v>5.9259259259259256</v>
      </c>
    </row>
    <row r="11" spans="1:6">
      <c r="D11" s="71">
        <v>9</v>
      </c>
      <c r="E11" s="71">
        <f t="shared" si="0"/>
        <v>28.098488</v>
      </c>
      <c r="F11" s="46">
        <f t="shared" si="1"/>
        <v>7.4999999999999991</v>
      </c>
    </row>
    <row r="12" spans="1:6">
      <c r="D12" s="71">
        <v>10</v>
      </c>
      <c r="E12" s="71">
        <f t="shared" si="0"/>
        <v>27.817343999999999</v>
      </c>
      <c r="F12" s="46">
        <f t="shared" si="1"/>
        <v>9.2592592592592595</v>
      </c>
    </row>
    <row r="13" spans="1:6">
      <c r="D13" s="72">
        <v>11</v>
      </c>
      <c r="E13" s="72">
        <f t="shared" si="0"/>
        <v>27.500004799999999</v>
      </c>
      <c r="F13" s="46">
        <f t="shared" si="1"/>
        <v>11.203703703703702</v>
      </c>
    </row>
    <row r="14" spans="1:6">
      <c r="D14" s="71">
        <v>12</v>
      </c>
      <c r="E14" s="71">
        <f t="shared" si="0"/>
        <v>27.146470400000002</v>
      </c>
      <c r="F14" s="46">
        <f t="shared" si="1"/>
        <v>13.333333333333332</v>
      </c>
    </row>
    <row r="15" spans="1:6">
      <c r="D15" s="71">
        <v>13</v>
      </c>
      <c r="E15" s="71">
        <f t="shared" si="0"/>
        <v>26.756740799999999</v>
      </c>
      <c r="F15" s="46">
        <f t="shared" si="1"/>
        <v>15.648148148148147</v>
      </c>
    </row>
    <row r="16" spans="1:6">
      <c r="D16" s="71">
        <v>14</v>
      </c>
      <c r="E16" s="71">
        <f t="shared" si="0"/>
        <v>26.330815999999999</v>
      </c>
      <c r="F16" s="46">
        <f t="shared" si="1"/>
        <v>18.148148148148145</v>
      </c>
    </row>
    <row r="17" spans="4:6">
      <c r="D17" s="71">
        <v>15</v>
      </c>
      <c r="E17" s="71">
        <f t="shared" si="0"/>
        <v>25.868696</v>
      </c>
      <c r="F17" s="46">
        <f t="shared" si="1"/>
        <v>20.833333333333332</v>
      </c>
    </row>
    <row r="18" spans="4:6">
      <c r="D18" s="71">
        <v>16</v>
      </c>
      <c r="E18" s="71">
        <f t="shared" si="0"/>
        <v>25.3703808</v>
      </c>
      <c r="F18" s="46">
        <f t="shared" si="1"/>
        <v>23.703703703703702</v>
      </c>
    </row>
    <row r="19" spans="4:6">
      <c r="D19" s="71">
        <v>17</v>
      </c>
      <c r="E19" s="71">
        <f t="shared" si="0"/>
        <v>24.835870400000001</v>
      </c>
      <c r="F19" s="46">
        <f t="shared" si="1"/>
        <v>26.759259259259256</v>
      </c>
    </row>
    <row r="20" spans="4:6">
      <c r="D20" s="71">
        <v>18</v>
      </c>
      <c r="E20" s="71">
        <f t="shared" si="0"/>
        <v>24.265164800000001</v>
      </c>
      <c r="F20" s="46">
        <f t="shared" si="1"/>
        <v>29.999999999999996</v>
      </c>
    </row>
    <row r="21" spans="4:6">
      <c r="D21" s="71">
        <v>19</v>
      </c>
      <c r="E21" s="71">
        <f t="shared" si="0"/>
        <v>23.658264000000003</v>
      </c>
    </row>
    <row r="22" spans="4:6">
      <c r="D22" s="71">
        <v>20</v>
      </c>
      <c r="E22" s="71">
        <f t="shared" si="0"/>
        <v>23.015168000000003</v>
      </c>
    </row>
    <row r="23" spans="4:6">
      <c r="D23" s="72">
        <v>21</v>
      </c>
      <c r="E23" s="72">
        <f t="shared" si="0"/>
        <v>22.335876800000001</v>
      </c>
    </row>
    <row r="24" spans="4:6">
      <c r="D24" s="71">
        <v>22</v>
      </c>
      <c r="E24" s="71">
        <f t="shared" si="0"/>
        <v>21.620390400000002</v>
      </c>
    </row>
    <row r="25" spans="4:6">
      <c r="D25" s="71">
        <v>23</v>
      </c>
      <c r="E25" s="71">
        <f t="shared" si="0"/>
        <v>20.8687088</v>
      </c>
    </row>
    <row r="26" spans="4:6">
      <c r="D26" s="72">
        <v>24</v>
      </c>
      <c r="E26" s="72">
        <f t="shared" si="0"/>
        <v>20.080832000000001</v>
      </c>
    </row>
    <row r="27" spans="4:6">
      <c r="D27" s="71">
        <v>25</v>
      </c>
      <c r="E27" s="71">
        <f t="shared" si="0"/>
        <v>19.25676</v>
      </c>
    </row>
    <row r="28" spans="4:6">
      <c r="D28" s="71">
        <v>26</v>
      </c>
      <c r="E28" s="71">
        <f t="shared" si="0"/>
        <v>18.396492800000001</v>
      </c>
    </row>
    <row r="29" spans="4:6">
      <c r="D29" s="72">
        <v>27</v>
      </c>
      <c r="E29" s="72">
        <f t="shared" si="0"/>
        <v>17.5000304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3D042-AAD8-4948-8974-55215E86AF23}">
  <dimension ref="A1:F29"/>
  <sheetViews>
    <sheetView zoomScaleNormal="100" workbookViewId="0">
      <selection activeCell="F9" sqref="F9"/>
    </sheetView>
  </sheetViews>
  <sheetFormatPr defaultRowHeight="15"/>
  <sheetData>
    <row r="1" spans="1:6">
      <c r="A1" s="38" t="s">
        <v>100</v>
      </c>
      <c r="B1" s="68">
        <v>-6.9E-6</v>
      </c>
      <c r="D1" s="70" t="s">
        <v>1</v>
      </c>
      <c r="E1" s="70" t="s">
        <v>68</v>
      </c>
    </row>
    <row r="2" spans="1:6">
      <c r="A2" s="38" t="s">
        <v>101</v>
      </c>
      <c r="B2" s="58">
        <v>0</v>
      </c>
      <c r="D2" s="71">
        <v>0</v>
      </c>
      <c r="E2" s="71">
        <f>$B$1*D2^2+$B$2*D2+$B$3</f>
        <v>30</v>
      </c>
    </row>
    <row r="3" spans="1:6">
      <c r="A3" s="38" t="s">
        <v>102</v>
      </c>
      <c r="B3" s="58">
        <v>30</v>
      </c>
      <c r="D3" s="71">
        <v>50</v>
      </c>
      <c r="E3" s="71">
        <f t="shared" ref="E3:E26" si="0">$B$1*D3^2+$B$2*D3+$B$3</f>
        <v>29.982749999999999</v>
      </c>
    </row>
    <row r="4" spans="1:6">
      <c r="A4" s="38" t="s">
        <v>1</v>
      </c>
      <c r="B4" s="58">
        <v>600</v>
      </c>
      <c r="D4" s="71">
        <v>100</v>
      </c>
      <c r="E4" s="71">
        <f t="shared" si="0"/>
        <v>29.931000000000001</v>
      </c>
    </row>
    <row r="5" spans="1:6">
      <c r="A5" s="38" t="s">
        <v>68</v>
      </c>
      <c r="B5" s="58">
        <v>25</v>
      </c>
      <c r="D5" s="71">
        <v>150</v>
      </c>
      <c r="E5" s="71">
        <f t="shared" si="0"/>
        <v>29.844750000000001</v>
      </c>
    </row>
    <row r="6" spans="1:6">
      <c r="A6" s="38" t="s">
        <v>103</v>
      </c>
      <c r="B6" s="58">
        <f>B4^2/B5</f>
        <v>14400</v>
      </c>
      <c r="D6" s="71">
        <v>200</v>
      </c>
      <c r="E6" s="71">
        <f t="shared" si="0"/>
        <v>29.724</v>
      </c>
    </row>
    <row r="7" spans="1:6">
      <c r="D7" s="71">
        <v>250</v>
      </c>
      <c r="E7" s="71">
        <f t="shared" si="0"/>
        <v>29.568750000000001</v>
      </c>
    </row>
    <row r="8" spans="1:6">
      <c r="D8" s="71">
        <v>300</v>
      </c>
      <c r="E8" s="71">
        <f t="shared" si="0"/>
        <v>29.379000000000001</v>
      </c>
    </row>
    <row r="9" spans="1:6">
      <c r="D9" s="71">
        <v>350</v>
      </c>
      <c r="E9" s="71">
        <f t="shared" si="0"/>
        <v>29.15475</v>
      </c>
    </row>
    <row r="10" spans="1:6">
      <c r="D10" s="71">
        <v>400</v>
      </c>
      <c r="E10" s="71">
        <f t="shared" si="0"/>
        <v>28.896000000000001</v>
      </c>
    </row>
    <row r="11" spans="1:6">
      <c r="D11" s="71">
        <v>450</v>
      </c>
      <c r="E11" s="71">
        <f t="shared" si="0"/>
        <v>28.60275</v>
      </c>
    </row>
    <row r="12" spans="1:6">
      <c r="D12" s="71">
        <v>500</v>
      </c>
      <c r="E12" s="71">
        <f t="shared" si="0"/>
        <v>28.274999999999999</v>
      </c>
    </row>
    <row r="13" spans="1:6">
      <c r="D13" s="71">
        <v>550</v>
      </c>
      <c r="E13" s="71">
        <f t="shared" si="0"/>
        <v>27.912749999999999</v>
      </c>
    </row>
    <row r="14" spans="1:6">
      <c r="D14" s="71">
        <v>600</v>
      </c>
      <c r="E14" s="71">
        <f t="shared" si="0"/>
        <v>27.515999999999998</v>
      </c>
      <c r="F14" s="46">
        <f>D14^2/$B$6</f>
        <v>25</v>
      </c>
    </row>
    <row r="15" spans="1:6">
      <c r="D15" s="71">
        <v>650</v>
      </c>
      <c r="E15" s="71">
        <f t="shared" si="0"/>
        <v>27.08475</v>
      </c>
      <c r="F15" s="46">
        <f t="shared" ref="F15:F22" si="1">D15^2/$B$6</f>
        <v>29.340277777777779</v>
      </c>
    </row>
    <row r="16" spans="1:6">
      <c r="D16" s="71">
        <v>700</v>
      </c>
      <c r="E16" s="71">
        <f t="shared" si="0"/>
        <v>26.619</v>
      </c>
      <c r="F16" s="46">
        <f t="shared" si="1"/>
        <v>34.027777777777779</v>
      </c>
    </row>
    <row r="17" spans="4:6">
      <c r="D17" s="71">
        <v>750</v>
      </c>
      <c r="E17" s="71">
        <f t="shared" si="0"/>
        <v>26.118749999999999</v>
      </c>
      <c r="F17" s="46">
        <f t="shared" si="1"/>
        <v>39.0625</v>
      </c>
    </row>
    <row r="18" spans="4:6">
      <c r="D18" s="71">
        <v>800</v>
      </c>
      <c r="E18" s="71">
        <f t="shared" si="0"/>
        <v>25.584</v>
      </c>
      <c r="F18" s="46">
        <f t="shared" si="1"/>
        <v>44.444444444444443</v>
      </c>
    </row>
    <row r="19" spans="4:6">
      <c r="D19" s="71">
        <v>850</v>
      </c>
      <c r="E19" s="71">
        <f t="shared" si="0"/>
        <v>25.014749999999999</v>
      </c>
      <c r="F19" s="46">
        <f t="shared" si="1"/>
        <v>50.173611111111114</v>
      </c>
    </row>
    <row r="20" spans="4:6">
      <c r="D20" s="71">
        <v>900</v>
      </c>
      <c r="E20" s="71">
        <f t="shared" si="0"/>
        <v>24.411000000000001</v>
      </c>
      <c r="F20" s="46">
        <f t="shared" si="1"/>
        <v>56.25</v>
      </c>
    </row>
    <row r="21" spans="4:6">
      <c r="D21" s="71">
        <v>950</v>
      </c>
      <c r="E21" s="71">
        <f t="shared" si="0"/>
        <v>23.772750000000002</v>
      </c>
      <c r="F21" s="46">
        <f t="shared" si="1"/>
        <v>62.673611111111114</v>
      </c>
    </row>
    <row r="22" spans="4:6">
      <c r="D22" s="71">
        <v>1000</v>
      </c>
      <c r="E22" s="71">
        <f t="shared" si="0"/>
        <v>23.1</v>
      </c>
      <c r="F22" s="46">
        <f t="shared" si="1"/>
        <v>69.444444444444443</v>
      </c>
    </row>
    <row r="23" spans="4:6">
      <c r="D23" s="71">
        <v>1050</v>
      </c>
      <c r="E23" s="71">
        <f t="shared" si="0"/>
        <v>22.392749999999999</v>
      </c>
    </row>
    <row r="24" spans="4:6">
      <c r="D24" s="71">
        <v>1100</v>
      </c>
      <c r="E24" s="71">
        <f t="shared" si="0"/>
        <v>21.651</v>
      </c>
    </row>
    <row r="25" spans="4:6">
      <c r="D25" s="71">
        <v>1150</v>
      </c>
      <c r="E25" s="71">
        <f t="shared" si="0"/>
        <v>20.874749999999999</v>
      </c>
    </row>
    <row r="26" spans="4:6">
      <c r="D26" s="71">
        <v>1200</v>
      </c>
      <c r="E26" s="71">
        <f t="shared" si="0"/>
        <v>20.064</v>
      </c>
    </row>
    <row r="27" spans="4:6">
      <c r="D27" s="73"/>
      <c r="E27" s="73"/>
    </row>
    <row r="28" spans="4:6">
      <c r="D28" s="73"/>
      <c r="E28" s="73"/>
    </row>
    <row r="29" spans="4:6">
      <c r="D29" s="74"/>
      <c r="E29" s="74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24</vt:i4>
      </vt:variant>
    </vt:vector>
  </HeadingPairs>
  <TitlesOfParts>
    <vt:vector size="24" baseType="lpstr">
      <vt:lpstr>Mecânica dos Fluidos</vt:lpstr>
      <vt:lpstr>Curva do sistema</vt:lpstr>
      <vt:lpstr>Exercício 1</vt:lpstr>
      <vt:lpstr>Exercício 2</vt:lpstr>
      <vt:lpstr>Exercício 3</vt:lpstr>
      <vt:lpstr>Exercício 4</vt:lpstr>
      <vt:lpstr>Exercício 5</vt:lpstr>
      <vt:lpstr>Exercício 6</vt:lpstr>
      <vt:lpstr>Exercício 7</vt:lpstr>
      <vt:lpstr>Exercício 11</vt:lpstr>
      <vt:lpstr>Ex 11</vt:lpstr>
      <vt:lpstr>Exercício 16</vt:lpstr>
      <vt:lpstr>Correções de viscosidade</vt:lpstr>
      <vt:lpstr>Rugosidade relativa</vt:lpstr>
      <vt:lpstr>Perdas</vt:lpstr>
      <vt:lpstr>Moody</vt:lpstr>
      <vt:lpstr>Schedule</vt:lpstr>
      <vt:lpstr>Velocidade específica</vt:lpstr>
      <vt:lpstr>Potência</vt:lpstr>
      <vt:lpstr>Propriedades da água</vt:lpstr>
      <vt:lpstr>3550</vt:lpstr>
      <vt:lpstr>1750</vt:lpstr>
      <vt:lpstr>Bomba do exercício 6</vt:lpstr>
      <vt:lpstr>Bomba do exercício 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Moreira</dc:creator>
  <cp:lastModifiedBy>Marcos Moreira</cp:lastModifiedBy>
  <dcterms:created xsi:type="dcterms:W3CDTF">2018-02-09T10:16:24Z</dcterms:created>
  <dcterms:modified xsi:type="dcterms:W3CDTF">2026-09-24T11:39:08Z</dcterms:modified>
</cp:coreProperties>
</file>