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VÍDEOS NOVOS\BOMBAS\DIMENSIONAMENTO DE UM SISTEMA DE BOMBEAMENTO\"/>
    </mc:Choice>
  </mc:AlternateContent>
  <xr:revisionPtr revIDLastSave="0" documentId="13_ncr:1_{8A5A493F-46E7-4473-8079-DB2CDB125BF5}" xr6:coauthVersionLast="47" xr6:coauthVersionMax="47" xr10:uidLastSave="{00000000-0000-0000-0000-000000000000}"/>
  <bookViews>
    <workbookView xWindow="-120" yWindow="-120" windowWidth="20730" windowHeight="11160" xr2:uid="{8DEF6693-5FF0-440A-ADFC-DE052A836674}"/>
  </bookViews>
  <sheets>
    <sheet name="Enunciado" sheetId="9" r:id="rId1"/>
    <sheet name="Schedule" sheetId="6" r:id="rId2"/>
    <sheet name="Letra a" sheetId="15" r:id="rId3"/>
    <sheet name="Letra b-e" sheetId="16" r:id="rId4"/>
    <sheet name="Cavitação" sheetId="1" r:id="rId5"/>
    <sheet name="Raspagem" sheetId="10" r:id="rId6"/>
    <sheet name="Válvula de alívio" sheetId="11" r:id="rId7"/>
    <sheet name="Perdas" sheetId="2" r:id="rId8"/>
    <sheet name="Velocidade específica" sheetId="4" r:id="rId9"/>
    <sheet name="Propriedades da água" sheetId="14" r:id="rId10"/>
    <sheet name="Potência" sheetId="7" r:id="rId11"/>
    <sheet name="Mapa" sheetId="17" r:id="rId12"/>
    <sheet name="Mapa geral" sheetId="18" r:id="rId13"/>
    <sheet name="1750" sheetId="12" r:id="rId14"/>
    <sheet name="3550" sheetId="13" r:id="rId15"/>
    <sheet name="Rugosidade relativa" sheetId="5" r:id="rId16"/>
    <sheet name="Moody" sheetId="3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9" i="10" l="1"/>
  <c r="F10" i="10" l="1"/>
  <c r="G10" i="10" s="1"/>
  <c r="D10" i="10" s="1"/>
  <c r="F5" i="10"/>
  <c r="G5" i="10" s="1"/>
  <c r="D5" i="10" s="1"/>
  <c r="F6" i="10"/>
  <c r="G6" i="10" s="1"/>
  <c r="D6" i="10" s="1"/>
  <c r="F7" i="10"/>
  <c r="G7" i="10" s="1"/>
  <c r="D7" i="10" s="1"/>
  <c r="F8" i="10"/>
  <c r="G8" i="10" s="1"/>
  <c r="D8" i="10" s="1"/>
  <c r="F9" i="10"/>
  <c r="G9" i="10" s="1"/>
  <c r="D9" i="10" s="1"/>
  <c r="F3" i="10"/>
  <c r="G3" i="10" s="1"/>
  <c r="D3" i="10" s="1"/>
  <c r="F4" i="10"/>
  <c r="G4" i="10" s="1"/>
  <c r="D4" i="10" s="1"/>
  <c r="F11" i="10"/>
  <c r="G11" i="10" s="1"/>
  <c r="D11" i="10" s="1"/>
  <c r="F12" i="10"/>
  <c r="G12" i="10" s="1"/>
  <c r="D12" i="10" s="1"/>
  <c r="F2" i="10"/>
  <c r="G2" i="10" s="1"/>
  <c r="D2" i="10" s="1"/>
  <c r="B12" i="1"/>
  <c r="B5" i="1"/>
  <c r="B10" i="1" s="1"/>
  <c r="B13" i="1" s="1"/>
  <c r="B7" i="1"/>
  <c r="Q11" i="11"/>
  <c r="Q13" i="11"/>
  <c r="B16" i="16" a="1"/>
  <c r="B16" i="16" l="1"/>
  <c r="Q15" i="11"/>
  <c r="N9" i="18"/>
  <c r="J13" i="16"/>
  <c r="N5" i="16"/>
  <c r="B14" i="16"/>
  <c r="F14" i="16"/>
  <c r="F15" i="16"/>
  <c r="B15" i="16"/>
  <c r="B11" i="16"/>
  <c r="N7" i="18"/>
  <c r="N11" i="18" s="1"/>
  <c r="F16" i="16"/>
  <c r="N12" i="18" l="1"/>
  <c r="N11" i="16"/>
  <c r="J12" i="16"/>
  <c r="F11" i="16"/>
  <c r="N12" i="16" s="1"/>
  <c r="B9" i="15"/>
  <c r="G9" i="15" s="1"/>
  <c r="G7" i="15"/>
  <c r="G6" i="15"/>
  <c r="G5" i="15"/>
  <c r="G4" i="15"/>
  <c r="B5" i="15"/>
  <c r="B7" i="15" s="1"/>
  <c r="B11" i="15" s="1"/>
  <c r="B4" i="15"/>
  <c r="B6" i="15" s="1"/>
  <c r="B10" i="15" s="1"/>
  <c r="G8" i="15" l="1"/>
  <c r="N10" i="16"/>
  <c r="N1" i="16" s="1"/>
  <c r="N2" i="16" s="1"/>
  <c r="N15" i="16" s="1"/>
  <c r="M13" i="11"/>
  <c r="M18" i="11" s="1"/>
  <c r="S4" i="16" l="1"/>
  <c r="S5" i="16" s="1"/>
  <c r="S6" i="16" s="1"/>
  <c r="S7" i="16" s="1"/>
  <c r="H27" i="10"/>
  <c r="H28" i="10" s="1"/>
  <c r="B23" i="10"/>
  <c r="A23" i="10" l="1"/>
  <c r="I20" i="10"/>
  <c r="A28" i="10" l="1"/>
  <c r="A32" i="10"/>
  <c r="A36" i="10"/>
  <c r="A24" i="10"/>
  <c r="A38" i="10"/>
  <c r="A27" i="10"/>
  <c r="A31" i="10"/>
  <c r="A39" i="10"/>
  <c r="A25" i="10"/>
  <c r="A29" i="10"/>
  <c r="A33" i="10"/>
  <c r="A37" i="10"/>
  <c r="A30" i="10"/>
  <c r="A34" i="10"/>
  <c r="A26" i="10"/>
  <c r="A35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<sst xmlns="http://schemas.openxmlformats.org/spreadsheetml/2006/main" count="244" uniqueCount="126">
  <si>
    <t>cP</t>
  </si>
  <si>
    <t>Q</t>
  </si>
  <si>
    <t>m</t>
  </si>
  <si>
    <t>g</t>
  </si>
  <si>
    <t>r</t>
  </si>
  <si>
    <r>
      <t>D</t>
    </r>
    <r>
      <rPr>
        <vertAlign val="subscript"/>
        <sz val="11"/>
        <color rgb="FFFFFF00"/>
        <rFont val="Calibri"/>
        <family val="2"/>
        <scheme val="minor"/>
      </rPr>
      <t>sucção</t>
    </r>
  </si>
  <si>
    <t>in</t>
  </si>
  <si>
    <r>
      <t>A</t>
    </r>
    <r>
      <rPr>
        <vertAlign val="subscript"/>
        <sz val="11"/>
        <color rgb="FFFFFF00"/>
        <rFont val="Calibri"/>
        <family val="2"/>
        <scheme val="minor"/>
      </rPr>
      <t>sucção</t>
    </r>
  </si>
  <si>
    <r>
      <t>L</t>
    </r>
    <r>
      <rPr>
        <vertAlign val="subscript"/>
        <sz val="11"/>
        <color rgb="FFFFFF00"/>
        <rFont val="Calibri"/>
        <family val="2"/>
        <scheme val="minor"/>
      </rPr>
      <t>sucção</t>
    </r>
  </si>
  <si>
    <r>
      <t>L</t>
    </r>
    <r>
      <rPr>
        <vertAlign val="subscript"/>
        <sz val="11"/>
        <color rgb="FFFFFF00"/>
        <rFont val="Calibri"/>
        <family val="2"/>
        <scheme val="minor"/>
      </rPr>
      <t>recalque</t>
    </r>
  </si>
  <si>
    <t xml:space="preserve"> Acessórios: 1 válvula de gaveta totalmente aberta</t>
  </si>
  <si>
    <t>PERDAS (m)</t>
  </si>
  <si>
    <t>Aço comercial</t>
  </si>
  <si>
    <t>Ferro fundido</t>
  </si>
  <si>
    <t>Ferro galvanizado</t>
  </si>
  <si>
    <t>Tubo laminado</t>
  </si>
  <si>
    <t>A</t>
  </si>
  <si>
    <t>ft</t>
  </si>
  <si>
    <t>n</t>
  </si>
  <si>
    <t>rpm</t>
  </si>
  <si>
    <t>L/min</t>
  </si>
  <si>
    <t>m.c.a.</t>
  </si>
  <si>
    <t>Pot motriz</t>
  </si>
  <si>
    <t>Instalada</t>
  </si>
  <si>
    <t>CV</t>
  </si>
  <si>
    <t>vel esp</t>
  </si>
  <si>
    <t>K</t>
  </si>
  <si>
    <r>
      <t>ub</t>
    </r>
    <r>
      <rPr>
        <vertAlign val="subscript"/>
        <sz val="11"/>
        <color rgb="FFFFFF00"/>
        <rFont val="Calibri"/>
        <family val="2"/>
        <scheme val="minor"/>
      </rPr>
      <t>2</t>
    </r>
    <r>
      <rPr>
        <vertAlign val="superscript"/>
        <sz val="11"/>
        <color rgb="FFFFFF00"/>
        <rFont val="Calibri"/>
        <family val="2"/>
        <scheme val="minor"/>
      </rPr>
      <t>2</t>
    </r>
    <r>
      <rPr>
        <sz val="11"/>
        <color rgb="FFFFFF00"/>
        <rFont val="Calibri"/>
        <family val="2"/>
        <scheme val="minor"/>
      </rPr>
      <t>/(2g)</t>
    </r>
  </si>
  <si>
    <r>
      <t>ub</t>
    </r>
    <r>
      <rPr>
        <vertAlign val="subscript"/>
        <sz val="11"/>
        <color rgb="FFFFFF00"/>
        <rFont val="Calibri"/>
        <family val="2"/>
        <scheme val="minor"/>
      </rPr>
      <t>1</t>
    </r>
    <r>
      <rPr>
        <vertAlign val="superscript"/>
        <sz val="11"/>
        <color rgb="FFFFFF00"/>
        <rFont val="Calibri"/>
        <family val="2"/>
        <scheme val="minor"/>
      </rPr>
      <t>2</t>
    </r>
    <r>
      <rPr>
        <sz val="11"/>
        <color rgb="FFFFFF00"/>
        <rFont val="Calibri"/>
        <family val="2"/>
        <scheme val="minor"/>
      </rPr>
      <t>/(2g)</t>
    </r>
  </si>
  <si>
    <r>
      <t>H</t>
    </r>
    <r>
      <rPr>
        <vertAlign val="subscript"/>
        <sz val="11"/>
        <color rgb="FFFFFF00"/>
        <rFont val="Calibri"/>
        <family val="2"/>
        <scheme val="minor"/>
      </rPr>
      <t>o</t>
    </r>
  </si>
  <si>
    <r>
      <t>H</t>
    </r>
    <r>
      <rPr>
        <vertAlign val="subscript"/>
        <sz val="11"/>
        <color rgb="FFFFFF00"/>
        <rFont val="Calibri"/>
        <family val="2"/>
        <scheme val="minor"/>
      </rPr>
      <t>sistema</t>
    </r>
  </si>
  <si>
    <r>
      <t>P</t>
    </r>
    <r>
      <rPr>
        <vertAlign val="subscript"/>
        <sz val="11"/>
        <color rgb="FFFFFF00"/>
        <rFont val="Calibri"/>
        <family val="2"/>
        <scheme val="minor"/>
      </rPr>
      <t>2</t>
    </r>
    <r>
      <rPr>
        <sz val="11"/>
        <color rgb="FFFFFF00"/>
        <rFont val="Calibri"/>
        <family val="2"/>
        <scheme val="minor"/>
      </rPr>
      <t>/(</t>
    </r>
    <r>
      <rPr>
        <sz val="11"/>
        <color rgb="FFFFFF00"/>
        <rFont val="Symbol"/>
        <family val="1"/>
        <charset val="2"/>
      </rPr>
      <t>r.</t>
    </r>
    <r>
      <rPr>
        <sz val="11"/>
        <color rgb="FFFFFF00"/>
        <rFont val="Calibri"/>
        <family val="2"/>
        <scheme val="minor"/>
      </rPr>
      <t>g</t>
    </r>
    <r>
      <rPr>
        <sz val="11"/>
        <color rgb="FFFFFF00"/>
        <rFont val="Symbol"/>
        <family val="1"/>
        <charset val="2"/>
      </rPr>
      <t>)</t>
    </r>
  </si>
  <si>
    <r>
      <t>P</t>
    </r>
    <r>
      <rPr>
        <vertAlign val="subscript"/>
        <sz val="11"/>
        <color rgb="FFFFFF00"/>
        <rFont val="Calibri"/>
        <family val="2"/>
        <scheme val="minor"/>
      </rPr>
      <t>1</t>
    </r>
    <r>
      <rPr>
        <sz val="11"/>
        <color rgb="FFFFFF00"/>
        <rFont val="Calibri"/>
        <family val="2"/>
        <scheme val="minor"/>
      </rPr>
      <t>/(</t>
    </r>
    <r>
      <rPr>
        <sz val="11"/>
        <color rgb="FFFFFF00"/>
        <rFont val="Symbol"/>
        <family val="1"/>
        <charset val="2"/>
      </rPr>
      <t>r.</t>
    </r>
    <r>
      <rPr>
        <sz val="11"/>
        <color rgb="FFFFFF00"/>
        <rFont val="Calibri"/>
        <family val="2"/>
        <scheme val="minor"/>
      </rPr>
      <t>g</t>
    </r>
    <r>
      <rPr>
        <sz val="11"/>
        <color rgb="FFFFFF00"/>
        <rFont val="Symbol"/>
        <family val="1"/>
        <charset val="2"/>
      </rPr>
      <t>)</t>
    </r>
  </si>
  <si>
    <t>m/s</t>
  </si>
  <si>
    <r>
      <t>ub</t>
    </r>
    <r>
      <rPr>
        <vertAlign val="subscript"/>
        <sz val="11"/>
        <color rgb="FFFFFF00"/>
        <rFont val="Calibri"/>
        <family val="2"/>
        <scheme val="minor"/>
      </rPr>
      <t>sucção</t>
    </r>
  </si>
  <si>
    <r>
      <t>ub</t>
    </r>
    <r>
      <rPr>
        <vertAlign val="subscript"/>
        <sz val="11"/>
        <color rgb="FFFFFF00"/>
        <rFont val="Calibri"/>
        <family val="2"/>
        <scheme val="minor"/>
      </rPr>
      <t>recalque</t>
    </r>
  </si>
  <si>
    <r>
      <t>Re</t>
    </r>
    <r>
      <rPr>
        <vertAlign val="subscript"/>
        <sz val="11"/>
        <color rgb="FFFFFF00"/>
        <rFont val="Calibri"/>
        <family val="2"/>
        <scheme val="minor"/>
      </rPr>
      <t>sucção</t>
    </r>
  </si>
  <si>
    <r>
      <t>Re</t>
    </r>
    <r>
      <rPr>
        <vertAlign val="subscript"/>
        <sz val="11"/>
        <color rgb="FFFFFF00"/>
        <rFont val="Calibri"/>
        <family val="2"/>
        <scheme val="minor"/>
      </rPr>
      <t>recalque</t>
    </r>
  </si>
  <si>
    <r>
      <t>e/D</t>
    </r>
    <r>
      <rPr>
        <vertAlign val="subscript"/>
        <sz val="11"/>
        <color rgb="FFFFFF00"/>
        <rFont val="Calibri"/>
        <family val="2"/>
        <scheme val="minor"/>
      </rPr>
      <t>sucção</t>
    </r>
  </si>
  <si>
    <r>
      <t>D</t>
    </r>
    <r>
      <rPr>
        <vertAlign val="subscript"/>
        <sz val="11"/>
        <color rgb="FFFFFF00"/>
        <rFont val="Calibri"/>
        <family val="2"/>
        <scheme val="minor"/>
      </rPr>
      <t>recalque</t>
    </r>
  </si>
  <si>
    <r>
      <t>A</t>
    </r>
    <r>
      <rPr>
        <vertAlign val="subscript"/>
        <sz val="11"/>
        <color rgb="FFFFFF00"/>
        <rFont val="Calibri"/>
        <family val="2"/>
        <scheme val="minor"/>
      </rPr>
      <t>recalque</t>
    </r>
  </si>
  <si>
    <r>
      <t>e/D</t>
    </r>
    <r>
      <rPr>
        <vertAlign val="subscript"/>
        <sz val="11"/>
        <color rgb="FFFFFF00"/>
        <rFont val="Calibri"/>
        <family val="2"/>
        <scheme val="minor"/>
      </rPr>
      <t>recalque</t>
    </r>
  </si>
  <si>
    <t>Sucção</t>
  </si>
  <si>
    <t>Recalque</t>
  </si>
  <si>
    <r>
      <rPr>
        <sz val="11"/>
        <color rgb="FFFFFF00"/>
        <rFont val="Symbol"/>
        <family val="1"/>
        <charset val="2"/>
      </rPr>
      <t>D</t>
    </r>
    <r>
      <rPr>
        <sz val="11"/>
        <color rgb="FFFFFF00"/>
        <rFont val="Calibri"/>
        <family val="2"/>
        <scheme val="minor"/>
      </rPr>
      <t>H</t>
    </r>
    <r>
      <rPr>
        <vertAlign val="subscript"/>
        <sz val="11"/>
        <color rgb="FFFFFF00"/>
        <rFont val="Calibri"/>
        <family val="2"/>
        <scheme val="minor"/>
      </rPr>
      <t>sucção</t>
    </r>
  </si>
  <si>
    <r>
      <rPr>
        <sz val="11"/>
        <color rgb="FFFFFF00"/>
        <rFont val="Symbol"/>
        <family val="1"/>
        <charset val="2"/>
      </rPr>
      <t>D</t>
    </r>
    <r>
      <rPr>
        <sz val="11"/>
        <color rgb="FFFFFF00"/>
        <rFont val="Calibri"/>
        <family val="2"/>
        <scheme val="minor"/>
      </rPr>
      <t>H</t>
    </r>
    <r>
      <rPr>
        <vertAlign val="subscript"/>
        <sz val="11"/>
        <color rgb="FFFFFF00"/>
        <rFont val="Calibri"/>
        <family val="2"/>
        <scheme val="minor"/>
      </rPr>
      <t>recalque</t>
    </r>
  </si>
  <si>
    <r>
      <rPr>
        <sz val="11"/>
        <color rgb="FFFFFF00"/>
        <rFont val="Symbol"/>
        <family val="1"/>
        <charset val="2"/>
      </rPr>
      <t>D</t>
    </r>
    <r>
      <rPr>
        <sz val="11"/>
        <color rgb="FFFFFF00"/>
        <rFont val="Calibri"/>
        <family val="2"/>
        <scheme val="minor"/>
      </rPr>
      <t>H</t>
    </r>
    <r>
      <rPr>
        <vertAlign val="subscript"/>
        <sz val="11"/>
        <color rgb="FFFFFF00"/>
        <rFont val="Calibri"/>
        <family val="2"/>
        <scheme val="minor"/>
      </rPr>
      <t>total</t>
    </r>
  </si>
  <si>
    <r>
      <t>P</t>
    </r>
    <r>
      <rPr>
        <vertAlign val="subscript"/>
        <sz val="11"/>
        <color rgb="FFFFFF00"/>
        <rFont val="Calibri"/>
        <family val="2"/>
        <scheme val="minor"/>
      </rPr>
      <t>vapor</t>
    </r>
    <r>
      <rPr>
        <sz val="11"/>
        <color rgb="FFFFFF00"/>
        <rFont val="Calibri"/>
        <family val="2"/>
        <scheme val="minor"/>
      </rPr>
      <t>/(</t>
    </r>
    <r>
      <rPr>
        <sz val="11"/>
        <color rgb="FFFFFF00"/>
        <rFont val="Symbol"/>
        <family val="1"/>
        <charset val="2"/>
      </rPr>
      <t>r.</t>
    </r>
    <r>
      <rPr>
        <sz val="11"/>
        <color rgb="FFFFFF00"/>
        <rFont val="Calibri"/>
        <family val="2"/>
        <scheme val="minor"/>
      </rPr>
      <t>g</t>
    </r>
    <r>
      <rPr>
        <sz val="11"/>
        <color rgb="FFFFFF00"/>
        <rFont val="Symbol"/>
        <family val="1"/>
        <charset val="2"/>
      </rPr>
      <t>)</t>
    </r>
  </si>
  <si>
    <r>
      <t>NPSH</t>
    </r>
    <r>
      <rPr>
        <vertAlign val="subscript"/>
        <sz val="11"/>
        <color rgb="FFFFFF00"/>
        <rFont val="Calibri"/>
        <family val="2"/>
        <scheme val="minor"/>
      </rPr>
      <t>disponível</t>
    </r>
  </si>
  <si>
    <t>ft.c.a.</t>
  </si>
  <si>
    <r>
      <t>NPSH</t>
    </r>
    <r>
      <rPr>
        <vertAlign val="subscript"/>
        <sz val="11"/>
        <color rgb="FFFFFF00"/>
        <rFont val="Calibri"/>
        <family val="2"/>
        <scheme val="minor"/>
      </rPr>
      <t>requerido</t>
    </r>
  </si>
  <si>
    <t>H=</t>
  </si>
  <si>
    <t>Q=</t>
  </si>
  <si>
    <r>
      <t>Q</t>
    </r>
    <r>
      <rPr>
        <vertAlign val="superscript"/>
        <sz val="11"/>
        <color rgb="FFFFFF00"/>
        <rFont val="Calibri"/>
        <family val="2"/>
        <scheme val="minor"/>
      </rPr>
      <t>2</t>
    </r>
    <r>
      <rPr>
        <sz val="11"/>
        <color rgb="FFFFFF00"/>
        <rFont val="Calibri"/>
        <family val="2"/>
        <scheme val="minor"/>
      </rPr>
      <t>/H=cte=</t>
    </r>
  </si>
  <si>
    <t>CURVA DE ISO-EFICIÊNCIA</t>
  </si>
  <si>
    <t xml:space="preserve">Determine a raspagem a ser feita no rotor para operar em </t>
  </si>
  <si>
    <t>gaveta</t>
  </si>
  <si>
    <t>saída</t>
  </si>
  <si>
    <t>entr. normal</t>
  </si>
  <si>
    <r>
      <t>velocid.</t>
    </r>
    <r>
      <rPr>
        <vertAlign val="subscript"/>
        <sz val="11"/>
        <color rgb="FFFFFF00"/>
        <rFont val="Calibri"/>
        <family val="2"/>
        <scheme val="minor"/>
      </rPr>
      <t>recalque</t>
    </r>
  </si>
  <si>
    <r>
      <t>velocid.</t>
    </r>
    <r>
      <rPr>
        <vertAlign val="subscript"/>
        <sz val="11"/>
        <color rgb="FFFFFF00"/>
        <rFont val="Calibri"/>
        <family val="2"/>
        <scheme val="minor"/>
      </rPr>
      <t>sucção</t>
    </r>
  </si>
  <si>
    <t>1-1,5</t>
  </si>
  <si>
    <t>1,5-2,5</t>
  </si>
  <si>
    <t>AVALIAÇÃO INICIAL</t>
  </si>
  <si>
    <r>
      <t>H</t>
    </r>
    <r>
      <rPr>
        <vertAlign val="subscript"/>
        <sz val="11"/>
        <color rgb="FFFFFF00"/>
        <rFont val="Calibri"/>
        <family val="2"/>
        <scheme val="minor"/>
      </rPr>
      <t>1-Bomba</t>
    </r>
  </si>
  <si>
    <r>
      <t>L</t>
    </r>
    <r>
      <rPr>
        <vertAlign val="subscript"/>
        <sz val="11"/>
        <color rgb="FFFFFF00"/>
        <rFont val="Calibri"/>
        <family val="2"/>
        <scheme val="minor"/>
      </rPr>
      <t>total_sucção</t>
    </r>
  </si>
  <si>
    <r>
      <t>L</t>
    </r>
    <r>
      <rPr>
        <vertAlign val="subscript"/>
        <sz val="11"/>
        <color rgb="FFFFFF00"/>
        <rFont val="Calibri"/>
        <family val="2"/>
        <scheme val="minor"/>
      </rPr>
      <t>total_recalque</t>
    </r>
  </si>
  <si>
    <r>
      <t>f</t>
    </r>
    <r>
      <rPr>
        <vertAlign val="subscript"/>
        <sz val="11"/>
        <color rgb="FFFFFF00"/>
        <rFont val="Calibri"/>
        <family val="2"/>
        <scheme val="minor"/>
      </rPr>
      <t>sucção</t>
    </r>
  </si>
  <si>
    <r>
      <t>f</t>
    </r>
    <r>
      <rPr>
        <vertAlign val="subscript"/>
        <sz val="11"/>
        <color rgb="FFFFFF00"/>
        <rFont val="Calibri"/>
        <family val="2"/>
        <scheme val="minor"/>
      </rPr>
      <t>recalque</t>
    </r>
  </si>
  <si>
    <t>ALTITUDE</t>
  </si>
  <si>
    <t xml:space="preserve">m  </t>
  </si>
  <si>
    <t>µ (cP)</t>
  </si>
  <si>
    <r>
      <t>T (</t>
    </r>
    <r>
      <rPr>
        <vertAlign val="superscript"/>
        <sz val="14"/>
        <color rgb="FFFFFF00"/>
        <rFont val="Times New Roman"/>
        <family val="1"/>
      </rPr>
      <t>o</t>
    </r>
    <r>
      <rPr>
        <sz val="14"/>
        <color rgb="FFFFFF00"/>
        <rFont val="Times New Roman"/>
        <family val="1"/>
      </rPr>
      <t>C)</t>
    </r>
  </si>
  <si>
    <r>
      <t>r</t>
    </r>
    <r>
      <rPr>
        <sz val="14"/>
        <color rgb="FFFFFF00"/>
        <rFont val="Times New Roman"/>
        <family val="1"/>
      </rPr>
      <t xml:space="preserve"> (kg/m</t>
    </r>
    <r>
      <rPr>
        <vertAlign val="superscript"/>
        <sz val="14"/>
        <color rgb="FFFFFF00"/>
        <rFont val="Times New Roman"/>
        <family val="1"/>
      </rPr>
      <t>3</t>
    </r>
    <r>
      <rPr>
        <sz val="14"/>
        <color rgb="FFFFFF00"/>
        <rFont val="Times New Roman"/>
        <family val="1"/>
      </rPr>
      <t>)</t>
    </r>
  </si>
  <si>
    <r>
      <t>P</t>
    </r>
    <r>
      <rPr>
        <vertAlign val="subscript"/>
        <sz val="14"/>
        <color rgb="FFFFFF00"/>
        <rFont val="Times New Roman"/>
        <family val="1"/>
      </rPr>
      <t>v</t>
    </r>
    <r>
      <rPr>
        <sz val="14"/>
        <color rgb="FFFFFF00"/>
        <rFont val="Times New Roman"/>
        <family val="1"/>
      </rPr>
      <t xml:space="preserve"> (lbf/in</t>
    </r>
    <r>
      <rPr>
        <vertAlign val="superscript"/>
        <sz val="14"/>
        <color rgb="FFFFFF00"/>
        <rFont val="Times New Roman"/>
        <family val="1"/>
      </rPr>
      <t>2</t>
    </r>
    <r>
      <rPr>
        <sz val="14"/>
        <color rgb="FFFFFF00"/>
        <rFont val="Times New Roman"/>
        <family val="1"/>
      </rPr>
      <t>) psi</t>
    </r>
  </si>
  <si>
    <r>
      <t>NPSH</t>
    </r>
    <r>
      <rPr>
        <vertAlign val="subscript"/>
        <sz val="11"/>
        <rFont val="Calibri"/>
        <family val="2"/>
        <scheme val="minor"/>
      </rPr>
      <t xml:space="preserve">disponível </t>
    </r>
    <r>
      <rPr>
        <sz val="11"/>
        <rFont val="Calibri"/>
        <family val="2"/>
        <scheme val="minor"/>
      </rPr>
      <t>= (P</t>
    </r>
    <r>
      <rPr>
        <vertAlign val="subscript"/>
        <sz val="11"/>
        <rFont val="Calibri"/>
        <family val="2"/>
        <scheme val="minor"/>
      </rPr>
      <t>1</t>
    </r>
    <r>
      <rPr>
        <sz val="11"/>
        <rFont val="Calibri"/>
        <family val="2"/>
        <scheme val="minor"/>
      </rPr>
      <t>-P</t>
    </r>
    <r>
      <rPr>
        <vertAlign val="subscript"/>
        <sz val="11"/>
        <rFont val="Calibri"/>
        <family val="2"/>
        <scheme val="minor"/>
      </rPr>
      <t>vapor</t>
    </r>
    <r>
      <rPr>
        <sz val="11"/>
        <rFont val="Calibri"/>
        <family val="2"/>
        <scheme val="minor"/>
      </rPr>
      <t>)/</t>
    </r>
    <r>
      <rPr>
        <sz val="11"/>
        <rFont val="Symbol"/>
        <family val="1"/>
        <charset val="2"/>
      </rPr>
      <t xml:space="preserve">g </t>
    </r>
    <r>
      <rPr>
        <sz val="11"/>
        <rFont val="Calibri"/>
        <family val="2"/>
        <scheme val="minor"/>
      </rPr>
      <t>+ H</t>
    </r>
    <r>
      <rPr>
        <vertAlign val="subscript"/>
        <sz val="11"/>
        <rFont val="Calibri"/>
        <family val="2"/>
        <scheme val="minor"/>
      </rPr>
      <t>1-Bomba -</t>
    </r>
    <r>
      <rPr>
        <sz val="11"/>
        <rFont val="Calibri"/>
        <family val="2"/>
        <scheme val="minor"/>
      </rPr>
      <t xml:space="preserve"> </t>
    </r>
    <r>
      <rPr>
        <sz val="11"/>
        <rFont val="Symbol"/>
        <family val="1"/>
        <charset val="2"/>
      </rPr>
      <t>D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sucção</t>
    </r>
  </si>
  <si>
    <r>
      <rPr>
        <sz val="11"/>
        <color rgb="FFFFFF00"/>
        <rFont val="Symbol"/>
        <family val="1"/>
        <charset val="2"/>
      </rPr>
      <t>h</t>
    </r>
    <r>
      <rPr>
        <vertAlign val="subscript"/>
        <sz val="11"/>
        <color rgb="FFFFFF00"/>
        <rFont val="Calibri"/>
        <family val="2"/>
        <scheme val="minor"/>
      </rPr>
      <t>água</t>
    </r>
  </si>
  <si>
    <t>%</t>
  </si>
  <si>
    <t>H (ft)</t>
  </si>
  <si>
    <r>
      <t>Q (gpm</t>
    </r>
    <r>
      <rPr>
        <sz val="11"/>
        <color rgb="FFFFFF00"/>
        <rFont val="Calibri"/>
        <family val="2"/>
        <scheme val="minor"/>
      </rPr>
      <t>)</t>
    </r>
  </si>
  <si>
    <t>gpm</t>
  </si>
  <si>
    <r>
      <t>kg/m</t>
    </r>
    <r>
      <rPr>
        <vertAlign val="superscript"/>
        <sz val="11"/>
        <color rgb="FF0000FF"/>
        <rFont val="Calibri"/>
        <family val="2"/>
        <scheme val="minor"/>
      </rPr>
      <t>3</t>
    </r>
  </si>
  <si>
    <r>
      <t>m/s</t>
    </r>
    <r>
      <rPr>
        <vertAlign val="superscript"/>
        <sz val="11"/>
        <color rgb="FF0000FF"/>
        <rFont val="Calibri"/>
        <family val="2"/>
        <scheme val="minor"/>
      </rPr>
      <t>2</t>
    </r>
  </si>
  <si>
    <r>
      <t>m</t>
    </r>
    <r>
      <rPr>
        <vertAlign val="superscript"/>
        <sz val="11"/>
        <color rgb="FF0000FF"/>
        <rFont val="Calibri"/>
        <family val="2"/>
        <scheme val="minor"/>
      </rPr>
      <t>3</t>
    </r>
    <r>
      <rPr>
        <sz val="11"/>
        <color rgb="FF0000FF"/>
        <rFont val="Calibri"/>
        <family val="2"/>
        <scheme val="minor"/>
      </rPr>
      <t>/s</t>
    </r>
  </si>
  <si>
    <r>
      <t>m</t>
    </r>
    <r>
      <rPr>
        <vertAlign val="superscript"/>
        <sz val="11"/>
        <color rgb="FF0000FF"/>
        <rFont val="Calibri"/>
        <family val="2"/>
        <scheme val="minor"/>
      </rPr>
      <t>2</t>
    </r>
  </si>
  <si>
    <t>d</t>
  </si>
  <si>
    <t>d'</t>
  </si>
  <si>
    <t>raspagem</t>
  </si>
  <si>
    <t>CURVA DE 8in DE 1750rpm</t>
  </si>
  <si>
    <t>e</t>
  </si>
  <si>
    <t>D</t>
  </si>
  <si>
    <t>C</t>
  </si>
  <si>
    <r>
      <t>k</t>
    </r>
    <r>
      <rPr>
        <vertAlign val="subscript"/>
        <sz val="11"/>
        <color rgb="FFFFFF00"/>
        <rFont val="Calibri"/>
        <family val="2"/>
        <scheme val="minor"/>
      </rPr>
      <t>E</t>
    </r>
  </si>
  <si>
    <r>
      <t>k</t>
    </r>
    <r>
      <rPr>
        <vertAlign val="subscript"/>
        <sz val="11"/>
        <color rgb="FFFFFF00"/>
        <rFont val="Calibri"/>
        <family val="2"/>
        <scheme val="minor"/>
      </rPr>
      <t>V</t>
    </r>
  </si>
  <si>
    <t>H</t>
  </si>
  <si>
    <r>
      <t>H</t>
    </r>
    <r>
      <rPr>
        <vertAlign val="subscript"/>
        <sz val="11"/>
        <color rgb="FFFFFF00"/>
        <rFont val="Calibri"/>
        <family val="2"/>
        <scheme val="minor"/>
      </rPr>
      <t>Bomba-2</t>
    </r>
  </si>
  <si>
    <t>TUBULAÇÃO DE SUCÇÃO (aço comercial); 15m</t>
  </si>
  <si>
    <t>TUBULAÇÃO DE RECALQUE (aço comercial); 40m</t>
  </si>
  <si>
    <t>Altitude</t>
  </si>
  <si>
    <r>
      <t>Q</t>
    </r>
    <r>
      <rPr>
        <vertAlign val="subscript"/>
        <sz val="11"/>
        <color rgb="FFFFFF00"/>
        <rFont val="Calibri"/>
        <family val="2"/>
        <scheme val="minor"/>
      </rPr>
      <t>operação</t>
    </r>
  </si>
  <si>
    <t>AVALIAÇÃO FINAL</t>
  </si>
  <si>
    <r>
      <t>v</t>
    </r>
    <r>
      <rPr>
        <vertAlign val="subscript"/>
        <sz val="11"/>
        <color rgb="FFFFFF00"/>
        <rFont val="Calibri"/>
        <family val="2"/>
        <scheme val="minor"/>
      </rPr>
      <t>sucção</t>
    </r>
  </si>
  <si>
    <r>
      <t>v</t>
    </r>
    <r>
      <rPr>
        <vertAlign val="subscript"/>
        <sz val="11"/>
        <color rgb="FFFFFF00"/>
        <rFont val="Calibri"/>
        <family val="2"/>
        <scheme val="minor"/>
      </rPr>
      <t>recalque</t>
    </r>
  </si>
  <si>
    <t>3(1/2)</t>
  </si>
  <si>
    <t>NPSHr</t>
  </si>
  <si>
    <r>
      <t>D</t>
    </r>
    <r>
      <rPr>
        <vertAlign val="subscript"/>
        <sz val="10"/>
        <color rgb="FFFFFF00"/>
        <rFont val="Calibri"/>
        <family val="2"/>
        <scheme val="minor"/>
      </rPr>
      <t>rotor</t>
    </r>
  </si>
  <si>
    <t>Série de bombas da Goulds Pumps</t>
  </si>
  <si>
    <t xml:space="preserve">ft  </t>
  </si>
  <si>
    <r>
      <t>D</t>
    </r>
    <r>
      <rPr>
        <vertAlign val="subscript"/>
        <sz val="10"/>
        <color rgb="FFFFFF00"/>
        <rFont val="Calibri"/>
        <family val="2"/>
        <scheme val="minor"/>
      </rPr>
      <t>S</t>
    </r>
  </si>
  <si>
    <r>
      <t>ft</t>
    </r>
    <r>
      <rPr>
        <vertAlign val="superscript"/>
        <sz val="11"/>
        <color rgb="FF0000FF"/>
        <rFont val="Calibri"/>
        <family val="2"/>
        <scheme val="minor"/>
      </rPr>
      <t>3</t>
    </r>
    <r>
      <rPr>
        <sz val="11"/>
        <color rgb="FF0000FF"/>
        <rFont val="Calibri"/>
        <family val="2"/>
        <scheme val="minor"/>
      </rPr>
      <t>/s</t>
    </r>
  </si>
  <si>
    <r>
      <t>n</t>
    </r>
    <r>
      <rPr>
        <vertAlign val="subscript"/>
        <sz val="10"/>
        <color rgb="FFFFFF00"/>
        <rFont val="Calibri"/>
        <family val="2"/>
        <scheme val="minor"/>
      </rPr>
      <t>S</t>
    </r>
  </si>
  <si>
    <t>W</t>
  </si>
  <si>
    <t>HP</t>
  </si>
  <si>
    <r>
      <t>NPSH</t>
    </r>
    <r>
      <rPr>
        <vertAlign val="subscript"/>
        <sz val="11"/>
        <rFont val="Calibri"/>
        <family val="2"/>
        <scheme val="minor"/>
      </rPr>
      <t xml:space="preserve">disponível </t>
    </r>
    <r>
      <rPr>
        <sz val="11"/>
        <rFont val="Calibri"/>
        <family val="2"/>
        <scheme val="minor"/>
      </rPr>
      <t>= P</t>
    </r>
    <r>
      <rPr>
        <vertAlign val="subscript"/>
        <sz val="11"/>
        <rFont val="Calibri"/>
        <family val="2"/>
        <scheme val="minor"/>
      </rPr>
      <t>S</t>
    </r>
    <r>
      <rPr>
        <sz val="11"/>
        <rFont val="Calibri"/>
        <family val="2"/>
        <scheme val="minor"/>
      </rPr>
      <t>/</t>
    </r>
    <r>
      <rPr>
        <sz val="11"/>
        <rFont val="Symbol"/>
        <family val="1"/>
        <charset val="2"/>
      </rPr>
      <t>g +</t>
    </r>
    <r>
      <rPr>
        <sz val="11"/>
        <rFont val="Arial"/>
        <family val="2"/>
      </rPr>
      <t>v</t>
    </r>
    <r>
      <rPr>
        <vertAlign val="subscript"/>
        <sz val="11"/>
        <rFont val="Arial"/>
        <family val="2"/>
      </rPr>
      <t>s</t>
    </r>
    <r>
      <rPr>
        <vertAlign val="super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/(2g)-P</t>
    </r>
    <r>
      <rPr>
        <vertAlign val="subscript"/>
        <sz val="11"/>
        <rFont val="Calibri"/>
        <family val="2"/>
        <scheme val="minor"/>
      </rPr>
      <t>vapor</t>
    </r>
    <r>
      <rPr>
        <sz val="11"/>
        <rFont val="Calibri"/>
        <family val="2"/>
        <scheme val="minor"/>
      </rPr>
      <t>/</t>
    </r>
    <r>
      <rPr>
        <sz val="11"/>
        <rFont val="Symbol"/>
        <family val="1"/>
        <charset val="2"/>
      </rPr>
      <t xml:space="preserve">g </t>
    </r>
  </si>
  <si>
    <r>
      <t>P</t>
    </r>
    <r>
      <rPr>
        <vertAlign val="subscript"/>
        <sz val="11"/>
        <color rgb="FFFFFF00"/>
        <rFont val="Calibri"/>
        <family val="2"/>
        <scheme val="minor"/>
      </rPr>
      <t>vapor</t>
    </r>
    <r>
      <rPr>
        <sz val="11"/>
        <color rgb="FFFFFF00"/>
        <rFont val="Calibri"/>
        <family val="2"/>
        <scheme val="minor"/>
      </rPr>
      <t/>
    </r>
  </si>
  <si>
    <t>psia</t>
  </si>
  <si>
    <t>cavita?</t>
  </si>
  <si>
    <r>
      <t>Q (m</t>
    </r>
    <r>
      <rPr>
        <vertAlign val="superscript"/>
        <sz val="11"/>
        <color rgb="FFFFFF00"/>
        <rFont val="Calibri"/>
        <family val="2"/>
        <scheme val="minor"/>
      </rPr>
      <t>3</t>
    </r>
    <r>
      <rPr>
        <sz val="11"/>
        <color rgb="FFFFFF00"/>
        <rFont val="Calibri"/>
        <family val="2"/>
        <scheme val="minor"/>
      </rPr>
      <t>/s)</t>
    </r>
  </si>
  <si>
    <t>H (m)</t>
  </si>
  <si>
    <t>Ponto de operação</t>
  </si>
  <si>
    <t>intersecção entre a curva</t>
  </si>
  <si>
    <t xml:space="preserve">do rotor de 8in e a </t>
  </si>
  <si>
    <t>curva de isoeficiência</t>
  </si>
  <si>
    <t xml:space="preserve"> Acessórios: 1 cotovelo de 90 graus raio curto</t>
  </si>
  <si>
    <t>cotovelo 90 raio curto</t>
  </si>
  <si>
    <t>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</si>
</sst>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29">
    <font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vertAlign val="subscript"/>
      <sz val="11"/>
      <color rgb="FFFFFF00"/>
      <name val="Calibri"/>
      <family val="2"/>
      <scheme val="minor"/>
    </font>
    <font>
      <sz val="11"/>
      <color rgb="FFFFFF00"/>
      <name val="Symbol"/>
      <family val="1"/>
      <charset val="2"/>
    </font>
    <font>
      <sz val="12"/>
      <color theme="1"/>
      <name val="Times New Roman"/>
      <family val="1"/>
    </font>
    <font>
      <sz val="11"/>
      <name val="Calibri"/>
      <family val="2"/>
      <scheme val="minor"/>
    </font>
    <font>
      <vertAlign val="subscript"/>
      <sz val="11"/>
      <name val="Calibri"/>
      <family val="2"/>
      <scheme val="minor"/>
    </font>
    <font>
      <sz val="11"/>
      <name val="Symbol"/>
      <family val="1"/>
      <charset val="2"/>
    </font>
    <font>
      <vertAlign val="superscript"/>
      <sz val="11"/>
      <color rgb="FFFFFF00"/>
      <name val="Calibri"/>
      <family val="2"/>
      <scheme val="minor"/>
    </font>
    <font>
      <sz val="11"/>
      <color rgb="FFFFFF00"/>
      <name val="Calibri"/>
      <family val="1"/>
      <charset val="2"/>
      <scheme val="minor"/>
    </font>
    <font>
      <sz val="8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66FF"/>
      <name val="Calibri"/>
      <family val="2"/>
      <scheme val="minor"/>
    </font>
    <font>
      <sz val="11"/>
      <color rgb="FF0066FF"/>
      <name val="Calibri"/>
      <family val="2"/>
      <scheme val="minor"/>
    </font>
    <font>
      <sz val="14"/>
      <color rgb="FFFFFF00"/>
      <name val="Times New Roman"/>
      <family val="1"/>
    </font>
    <font>
      <vertAlign val="superscript"/>
      <sz val="14"/>
      <color rgb="FFFFFF00"/>
      <name val="Times New Roman"/>
      <family val="1"/>
    </font>
    <font>
      <sz val="14"/>
      <color rgb="FFFFFF00"/>
      <name val="Symbol"/>
      <family val="1"/>
      <charset val="2"/>
    </font>
    <font>
      <vertAlign val="subscript"/>
      <sz val="14"/>
      <color rgb="FFFFFF00"/>
      <name val="Times New Roman"/>
      <family val="1"/>
    </font>
    <font>
      <sz val="14"/>
      <color rgb="FF0000FF"/>
      <name val="Times New Roman"/>
      <family val="1"/>
    </font>
    <font>
      <sz val="10"/>
      <color rgb="FFFFFF00"/>
      <name val="Calibri"/>
      <family val="2"/>
      <scheme val="minor"/>
    </font>
    <font>
      <vertAlign val="superscript"/>
      <sz val="11"/>
      <color rgb="FF0000FF"/>
      <name val="Calibri"/>
      <family val="2"/>
      <scheme val="minor"/>
    </font>
    <font>
      <vertAlign val="subscript"/>
      <sz val="10"/>
      <color rgb="FFFFFF00"/>
      <name val="Calibri"/>
      <family val="2"/>
      <scheme val="minor"/>
    </font>
    <font>
      <sz val="14"/>
      <color theme="1"/>
      <name val="Times New Roman"/>
      <family val="1"/>
    </font>
    <font>
      <sz val="11"/>
      <name val="Arial"/>
      <family val="2"/>
    </font>
    <font>
      <vertAlign val="subscript"/>
      <sz val="11"/>
      <name val="Arial"/>
      <family val="2"/>
    </font>
    <font>
      <vertAlign val="superscript"/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3" borderId="1" xfId="0" applyFont="1" applyFill="1" applyBorder="1"/>
    <xf numFmtId="0" fontId="5" fillId="3" borderId="1" xfId="0" applyFont="1" applyFill="1" applyBorder="1"/>
    <xf numFmtId="0" fontId="2" fillId="3" borderId="1" xfId="0" applyFont="1" applyFill="1" applyBorder="1" applyAlignment="1">
      <alignment horizontal="left"/>
    </xf>
    <xf numFmtId="0" fontId="0" fillId="4" borderId="0" xfId="0" applyFill="1"/>
    <xf numFmtId="0" fontId="0" fillId="3" borderId="0" xfId="0" applyFill="1"/>
    <xf numFmtId="0" fontId="2" fillId="3" borderId="0" xfId="0" applyFont="1" applyFill="1"/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11" fontId="6" fillId="0" borderId="5" xfId="0" applyNumberFormat="1" applyFont="1" applyBorder="1" applyAlignment="1">
      <alignment horizontal="center" vertical="center" wrapText="1"/>
    </xf>
    <xf numFmtId="0" fontId="7" fillId="4" borderId="0" xfId="0" applyFont="1" applyFill="1"/>
    <xf numFmtId="0" fontId="0" fillId="4" borderId="0" xfId="0" applyFill="1" applyAlignment="1">
      <alignment horizontal="right"/>
    </xf>
    <xf numFmtId="0" fontId="11" fillId="3" borderId="0" xfId="0" applyFont="1" applyFill="1"/>
    <xf numFmtId="164" fontId="1" fillId="2" borderId="0" xfId="0" applyNumberFormat="1" applyFont="1" applyFill="1"/>
    <xf numFmtId="1" fontId="1" fillId="2" borderId="0" xfId="0" applyNumberFormat="1" applyFont="1" applyFill="1"/>
    <xf numFmtId="0" fontId="12" fillId="3" borderId="0" xfId="0" applyFont="1" applyFill="1"/>
    <xf numFmtId="0" fontId="2" fillId="3" borderId="0" xfId="0" applyFont="1" applyFill="1" applyAlignment="1">
      <alignment horizontal="left"/>
    </xf>
    <xf numFmtId="0" fontId="2" fillId="4" borderId="0" xfId="0" applyFont="1" applyFill="1"/>
    <xf numFmtId="0" fontId="1" fillId="4" borderId="0" xfId="0" applyFont="1" applyFill="1"/>
    <xf numFmtId="0" fontId="1" fillId="2" borderId="1" xfId="0" applyFont="1" applyFill="1" applyBorder="1"/>
    <xf numFmtId="0" fontId="2" fillId="5" borderId="1" xfId="0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right"/>
    </xf>
    <xf numFmtId="0" fontId="14" fillId="2" borderId="7" xfId="0" applyFont="1" applyFill="1" applyBorder="1"/>
    <xf numFmtId="0" fontId="2" fillId="5" borderId="6" xfId="0" applyFont="1" applyFill="1" applyBorder="1"/>
    <xf numFmtId="0" fontId="15" fillId="2" borderId="8" xfId="0" applyFont="1" applyFill="1" applyBorder="1"/>
    <xf numFmtId="0" fontId="15" fillId="2" borderId="7" xfId="0" applyFont="1" applyFill="1" applyBorder="1"/>
    <xf numFmtId="0" fontId="13" fillId="6" borderId="0" xfId="0" applyFont="1" applyFill="1"/>
    <xf numFmtId="0" fontId="0" fillId="6" borderId="0" xfId="0" applyFill="1"/>
    <xf numFmtId="0" fontId="1" fillId="4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2" fontId="1" fillId="2" borderId="1" xfId="0" applyNumberFormat="1" applyFont="1" applyFill="1" applyBorder="1"/>
    <xf numFmtId="0" fontId="16" fillId="3" borderId="2" xfId="0" applyFont="1" applyFill="1" applyBorder="1" applyAlignment="1">
      <alignment horizontal="center" vertical="center" wrapText="1"/>
    </xf>
    <xf numFmtId="0" fontId="18" fillId="3" borderId="3" xfId="0" applyFont="1" applyFill="1" applyBorder="1" applyAlignment="1">
      <alignment horizontal="center" vertical="center" wrapText="1"/>
    </xf>
    <xf numFmtId="0" fontId="16" fillId="3" borderId="3" xfId="0" applyFont="1" applyFill="1" applyBorder="1" applyAlignment="1">
      <alignment horizontal="center" vertical="center" wrapText="1"/>
    </xf>
    <xf numFmtId="0" fontId="16" fillId="3" borderId="3" xfId="0" applyFont="1" applyFill="1" applyBorder="1" applyAlignment="1">
      <alignment horizontal="justify" vertical="center" wrapText="1"/>
    </xf>
    <xf numFmtId="0" fontId="20" fillId="2" borderId="4" xfId="0" applyFont="1" applyFill="1" applyBorder="1" applyAlignment="1">
      <alignment horizontal="center" vertical="center" wrapText="1"/>
    </xf>
    <xf numFmtId="0" fontId="20" fillId="2" borderId="5" xfId="0" applyFont="1" applyFill="1" applyBorder="1" applyAlignment="1">
      <alignment horizontal="center" vertical="center" wrapText="1"/>
    </xf>
    <xf numFmtId="2" fontId="1" fillId="2" borderId="0" xfId="0" applyNumberFormat="1" applyFont="1" applyFill="1"/>
    <xf numFmtId="164" fontId="1" fillId="2" borderId="1" xfId="0" applyNumberFormat="1" applyFont="1" applyFill="1" applyBorder="1"/>
    <xf numFmtId="0" fontId="11" fillId="3" borderId="0" xfId="0" applyFont="1" applyFill="1" applyAlignment="1">
      <alignment horizontal="left"/>
    </xf>
    <xf numFmtId="0" fontId="14" fillId="4" borderId="0" xfId="0" applyFont="1" applyFill="1" applyAlignment="1">
      <alignment horizontal="center"/>
    </xf>
    <xf numFmtId="164" fontId="14" fillId="2" borderId="6" xfId="0" applyNumberFormat="1" applyFont="1" applyFill="1" applyBorder="1" applyAlignment="1">
      <alignment horizontal="center"/>
    </xf>
    <xf numFmtId="164" fontId="14" fillId="2" borderId="1" xfId="0" applyNumberFormat="1" applyFont="1" applyFill="1" applyBorder="1" applyAlignment="1">
      <alignment horizontal="center"/>
    </xf>
    <xf numFmtId="0" fontId="21" fillId="3" borderId="0" xfId="0" applyFont="1" applyFill="1"/>
    <xf numFmtId="1" fontId="1" fillId="2" borderId="1" xfId="0" applyNumberFormat="1" applyFont="1" applyFill="1" applyBorder="1"/>
    <xf numFmtId="0" fontId="2" fillId="3" borderId="0" xfId="0" applyFont="1" applyFill="1" applyAlignment="1">
      <alignment horizontal="right"/>
    </xf>
    <xf numFmtId="11" fontId="1" fillId="2" borderId="0" xfId="0" applyNumberFormat="1" applyFont="1" applyFill="1"/>
    <xf numFmtId="0" fontId="7" fillId="4" borderId="6" xfId="0" applyFont="1" applyFill="1" applyBorder="1"/>
    <xf numFmtId="0" fontId="7" fillId="4" borderId="8" xfId="0" applyFont="1" applyFill="1" applyBorder="1"/>
    <xf numFmtId="0" fontId="7" fillId="4" borderId="7" xfId="0" applyFont="1" applyFill="1" applyBorder="1"/>
    <xf numFmtId="0" fontId="0" fillId="4" borderId="0" xfId="0" applyFill="1" applyAlignment="1">
      <alignment horizontal="left"/>
    </xf>
    <xf numFmtId="2" fontId="1" fillId="4" borderId="0" xfId="0" applyNumberFormat="1" applyFont="1" applyFill="1"/>
    <xf numFmtId="0" fontId="2" fillId="4" borderId="0" xfId="0" applyFont="1" applyFill="1" applyAlignment="1">
      <alignment horizontal="left"/>
    </xf>
    <xf numFmtId="1" fontId="1" fillId="4" borderId="0" xfId="0" applyNumberFormat="1" applyFont="1" applyFill="1"/>
    <xf numFmtId="164" fontId="1" fillId="4" borderId="0" xfId="0" applyNumberFormat="1" applyFont="1" applyFill="1"/>
    <xf numFmtId="0" fontId="24" fillId="0" borderId="0" xfId="0" applyFont="1" applyAlignment="1">
      <alignment horizontal="left" vertical="center"/>
    </xf>
    <xf numFmtId="0" fontId="21" fillId="3" borderId="1" xfId="0" applyFont="1" applyFill="1" applyBorder="1"/>
    <xf numFmtId="0" fontId="5" fillId="3" borderId="9" xfId="0" applyFont="1" applyFill="1" applyBorder="1"/>
    <xf numFmtId="0" fontId="1" fillId="2" borderId="9" xfId="0" applyFont="1" applyFill="1" applyBorder="1"/>
    <xf numFmtId="0" fontId="2" fillId="4" borderId="0" xfId="0" applyFont="1" applyFill="1" applyAlignment="1">
      <alignment horizontal="center"/>
    </xf>
    <xf numFmtId="0" fontId="11" fillId="4" borderId="0" xfId="0" applyFont="1" applyFill="1"/>
    <xf numFmtId="0" fontId="12" fillId="4" borderId="0" xfId="0" applyFont="1" applyFill="1"/>
    <xf numFmtId="0" fontId="11" fillId="4" borderId="0" xfId="0" applyFont="1" applyFill="1" applyAlignment="1">
      <alignment horizontal="left"/>
    </xf>
    <xf numFmtId="0" fontId="21" fillId="4" borderId="0" xfId="0" applyFont="1" applyFill="1"/>
    <xf numFmtId="165" fontId="1" fillId="2" borderId="1" xfId="0" applyNumberFormat="1" applyFont="1" applyFill="1" applyBorder="1"/>
    <xf numFmtId="0" fontId="11" fillId="3" borderId="1" xfId="0" applyFont="1" applyFill="1" applyBorder="1"/>
    <xf numFmtId="1" fontId="13" fillId="6" borderId="1" xfId="0" applyNumberFormat="1" applyFont="1" applyFill="1" applyBorder="1" applyAlignment="1">
      <alignment horizontal="center"/>
    </xf>
    <xf numFmtId="0" fontId="28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Raspagem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Raspagem!$E$2:$E$12</c:f>
              <c:numCache>
                <c:formatCode>General</c:formatCode>
                <c:ptCount val="11"/>
                <c:pt idx="0">
                  <c:v>216</c:v>
                </c:pt>
                <c:pt idx="1">
                  <c:v>217</c:v>
                </c:pt>
                <c:pt idx="2">
                  <c:v>218</c:v>
                </c:pt>
                <c:pt idx="3">
                  <c:v>219</c:v>
                </c:pt>
                <c:pt idx="4">
                  <c:v>220</c:v>
                </c:pt>
                <c:pt idx="5">
                  <c:v>221</c:v>
                </c:pt>
                <c:pt idx="6">
                  <c:v>222</c:v>
                </c:pt>
                <c:pt idx="7">
                  <c:v>223</c:v>
                </c:pt>
                <c:pt idx="8">
                  <c:v>224</c:v>
                </c:pt>
                <c:pt idx="9">
                  <c:v>225</c:v>
                </c:pt>
                <c:pt idx="10">
                  <c:v>226</c:v>
                </c:pt>
              </c:numCache>
            </c:numRef>
          </c:xVal>
          <c:yVal>
            <c:numRef>
              <c:f>Raspagem!$D$2:$D$12</c:f>
              <c:numCache>
                <c:formatCode>General</c:formatCode>
                <c:ptCount val="11"/>
                <c:pt idx="0">
                  <c:v>56.804482516587917</c:v>
                </c:pt>
                <c:pt idx="1">
                  <c:v>56.713007599740166</c:v>
                </c:pt>
                <c:pt idx="2">
                  <c:v>56.620946619546878</c:v>
                </c:pt>
                <c:pt idx="3">
                  <c:v>56.528299576008024</c:v>
                </c:pt>
                <c:pt idx="4">
                  <c:v>56.435066469123647</c:v>
                </c:pt>
                <c:pt idx="5">
                  <c:v>56.34124729889372</c:v>
                </c:pt>
                <c:pt idx="6">
                  <c:v>56.246842065318226</c:v>
                </c:pt>
                <c:pt idx="7">
                  <c:v>56.15185076839721</c:v>
                </c:pt>
                <c:pt idx="8">
                  <c:v>56.056273408130636</c:v>
                </c:pt>
                <c:pt idx="9">
                  <c:v>55.960109984518532</c:v>
                </c:pt>
                <c:pt idx="10">
                  <c:v>55.863360497560876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04-48C4-9323-11B9DBFCF687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Raspagem!$B$23:$B$39</c:f>
              <c:numCache>
                <c:formatCode>General</c:formatCode>
                <c:ptCount val="17"/>
                <c:pt idx="0" formatCode="0.0">
                  <c:v>211.4</c:v>
                </c:pt>
                <c:pt idx="1">
                  <c:v>212</c:v>
                </c:pt>
                <c:pt idx="2">
                  <c:v>213</c:v>
                </c:pt>
                <c:pt idx="3">
                  <c:v>214</c:v>
                </c:pt>
                <c:pt idx="4">
                  <c:v>215</c:v>
                </c:pt>
                <c:pt idx="5">
                  <c:v>216</c:v>
                </c:pt>
                <c:pt idx="6">
                  <c:v>217</c:v>
                </c:pt>
                <c:pt idx="7">
                  <c:v>218</c:v>
                </c:pt>
                <c:pt idx="8">
                  <c:v>219</c:v>
                </c:pt>
                <c:pt idx="9">
                  <c:v>220</c:v>
                </c:pt>
                <c:pt idx="10">
                  <c:v>221</c:v>
                </c:pt>
                <c:pt idx="11">
                  <c:v>222</c:v>
                </c:pt>
                <c:pt idx="12">
                  <c:v>223</c:v>
                </c:pt>
                <c:pt idx="13">
                  <c:v>224</c:v>
                </c:pt>
                <c:pt idx="14">
                  <c:v>225</c:v>
                </c:pt>
                <c:pt idx="15">
                  <c:v>226</c:v>
                </c:pt>
                <c:pt idx="16">
                  <c:v>227</c:v>
                </c:pt>
              </c:numCache>
            </c:numRef>
          </c:xVal>
          <c:yVal>
            <c:numRef>
              <c:f>Raspagem!$A$23:$A$39</c:f>
              <c:numCache>
                <c:formatCode>General</c:formatCode>
                <c:ptCount val="17"/>
                <c:pt idx="0">
                  <c:v>50.8</c:v>
                </c:pt>
                <c:pt idx="1">
                  <c:v>51.088772511767743</c:v>
                </c:pt>
                <c:pt idx="2">
                  <c:v>51.571878784407055</c:v>
                </c:pt>
                <c:pt idx="3">
                  <c:v>52.057258498329375</c:v>
                </c:pt>
                <c:pt idx="4">
                  <c:v>52.544911653534704</c:v>
                </c:pt>
                <c:pt idx="5">
                  <c:v>53.034838250023043</c:v>
                </c:pt>
                <c:pt idx="6">
                  <c:v>53.52703828779439</c:v>
                </c:pt>
                <c:pt idx="7">
                  <c:v>54.021511766848747</c:v>
                </c:pt>
                <c:pt idx="8">
                  <c:v>54.518258687186112</c:v>
                </c:pt>
                <c:pt idx="9">
                  <c:v>55.017279048806486</c:v>
                </c:pt>
                <c:pt idx="10">
                  <c:v>55.51857285170987</c:v>
                </c:pt>
                <c:pt idx="11">
                  <c:v>56.022140095896255</c:v>
                </c:pt>
                <c:pt idx="12">
                  <c:v>56.527980781365656</c:v>
                </c:pt>
                <c:pt idx="13">
                  <c:v>57.036094908118059</c:v>
                </c:pt>
                <c:pt idx="14">
                  <c:v>57.546482476153479</c:v>
                </c:pt>
                <c:pt idx="15">
                  <c:v>58.0591434854719</c:v>
                </c:pt>
                <c:pt idx="16">
                  <c:v>58.574077936073337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04-48C4-9323-11B9DBFCF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7899872"/>
        <c:axId val="757903152"/>
      </c:scatterChart>
      <c:valAx>
        <c:axId val="757899872"/>
        <c:scaling>
          <c:orientation val="minMax"/>
          <c:min val="19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57903152"/>
        <c:crosses val="autoZero"/>
        <c:crossBetween val="midCat"/>
      </c:valAx>
      <c:valAx>
        <c:axId val="75790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57899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4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500614</xdr:colOff>
      <xdr:row>0</xdr:row>
      <xdr:rowOff>0</xdr:rowOff>
    </xdr:from>
    <xdr:to>
      <xdr:col>21</xdr:col>
      <xdr:colOff>228599</xdr:colOff>
      <xdr:row>19</xdr:row>
      <xdr:rowOff>107156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535BD30-DFD4-492F-A8DC-04AB4A2F92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67789" y="0"/>
          <a:ext cx="7995685" cy="37266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253402</xdr:colOff>
      <xdr:row>17</xdr:row>
      <xdr:rowOff>35718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E042C27F-6AAA-1E37-5202-15DF0C3A7A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337246" cy="32742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523875</xdr:colOff>
      <xdr:row>22</xdr:row>
      <xdr:rowOff>92075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9F2ED68-8262-4377-86DF-72DE2F3CC281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400675" cy="414337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0</xdr:colOff>
      <xdr:row>15</xdr:row>
      <xdr:rowOff>89353</xdr:rowOff>
    </xdr:from>
    <xdr:to>
      <xdr:col>8</xdr:col>
      <xdr:colOff>190500</xdr:colOff>
      <xdr:row>15</xdr:row>
      <xdr:rowOff>159203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B84C89D4-E5D2-4D8C-B03D-1A0F8928392D}"/>
            </a:ext>
          </a:extLst>
        </xdr:cNvPr>
        <xdr:cNvCxnSpPr/>
      </xdr:nvCxnSpPr>
      <xdr:spPr>
        <a:xfrm flipV="1">
          <a:off x="0" y="2946853"/>
          <a:ext cx="4816929" cy="69850"/>
        </a:xfrm>
        <a:prstGeom prst="line">
          <a:avLst/>
        </a:prstGeom>
        <a:ln w="2222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71438</xdr:colOff>
      <xdr:row>16</xdr:row>
      <xdr:rowOff>182561</xdr:rowOff>
    </xdr:from>
    <xdr:to>
      <xdr:col>15</xdr:col>
      <xdr:colOff>144747</xdr:colOff>
      <xdr:row>30</xdr:row>
      <xdr:rowOff>146266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9CE36066-B30E-4D85-B676-21DFAA695B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1" y="3865561"/>
          <a:ext cx="5288246" cy="26307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257176</xdr:colOff>
      <xdr:row>0</xdr:row>
      <xdr:rowOff>0</xdr:rowOff>
    </xdr:from>
    <xdr:to>
      <xdr:col>11</xdr:col>
      <xdr:colOff>361950</xdr:colOff>
      <xdr:row>8</xdr:row>
      <xdr:rowOff>11848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9EA1752-023F-42B4-9094-ED8327135A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62526" y="0"/>
          <a:ext cx="2428874" cy="18406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55562</xdr:colOff>
      <xdr:row>1</xdr:row>
      <xdr:rowOff>160532</xdr:rowOff>
    </xdr:from>
    <xdr:to>
      <xdr:col>12</xdr:col>
      <xdr:colOff>484188</xdr:colOff>
      <xdr:row>6</xdr:row>
      <xdr:rowOff>147962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699F634E-BDD9-45B1-B374-F0792EFCEF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46750" y="382782"/>
          <a:ext cx="2166938" cy="10510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71439</xdr:colOff>
      <xdr:row>0</xdr:row>
      <xdr:rowOff>142875</xdr:rowOff>
    </xdr:from>
    <xdr:to>
      <xdr:col>8</xdr:col>
      <xdr:colOff>182563</xdr:colOff>
      <xdr:row>9</xdr:row>
      <xdr:rowOff>7085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4CFB167-A012-470A-9D98-FB251EA26D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65439" y="142875"/>
          <a:ext cx="2428874" cy="18406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263525</xdr:colOff>
      <xdr:row>0</xdr:row>
      <xdr:rowOff>0</xdr:rowOff>
    </xdr:from>
    <xdr:to>
      <xdr:col>14</xdr:col>
      <xdr:colOff>568325</xdr:colOff>
      <xdr:row>14</xdr:row>
      <xdr:rowOff>88900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B89CE26-219B-4BB1-8348-4BABFCE598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88900</xdr:colOff>
      <xdr:row>5</xdr:row>
      <xdr:rowOff>31750</xdr:rowOff>
    </xdr:from>
    <xdr:to>
      <xdr:col>13</xdr:col>
      <xdr:colOff>254000</xdr:colOff>
      <xdr:row>6</xdr:row>
      <xdr:rowOff>19050</xdr:rowOff>
    </xdr:to>
    <xdr:sp macro="" textlink="">
      <xdr:nvSpPr>
        <xdr:cNvPr id="2" name="Elipse 1">
          <a:extLst>
            <a:ext uri="{FF2B5EF4-FFF2-40B4-BE49-F238E27FC236}">
              <a16:creationId xmlns:a16="http://schemas.microsoft.com/office/drawing/2014/main" id="{782E7BA1-3CBE-41CA-AB47-B01CC1817A72}"/>
            </a:ext>
          </a:extLst>
        </xdr:cNvPr>
        <xdr:cNvSpPr/>
      </xdr:nvSpPr>
      <xdr:spPr>
        <a:xfrm>
          <a:off x="8013700" y="977900"/>
          <a:ext cx="165100" cy="171450"/>
        </a:xfrm>
        <a:prstGeom prst="ellipse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177800</xdr:colOff>
      <xdr:row>11</xdr:row>
      <xdr:rowOff>120650</xdr:rowOff>
    </xdr:from>
    <xdr:to>
      <xdr:col>11</xdr:col>
      <xdr:colOff>342900</xdr:colOff>
      <xdr:row>12</xdr:row>
      <xdr:rowOff>107950</xdr:rowOff>
    </xdr:to>
    <xdr:sp macro="" textlink="">
      <xdr:nvSpPr>
        <xdr:cNvPr id="4" name="Elipse 3">
          <a:extLst>
            <a:ext uri="{FF2B5EF4-FFF2-40B4-BE49-F238E27FC236}">
              <a16:creationId xmlns:a16="http://schemas.microsoft.com/office/drawing/2014/main" id="{F56DB426-669D-4B79-A5BC-BD17A1B26638}"/>
            </a:ext>
          </a:extLst>
        </xdr:cNvPr>
        <xdr:cNvSpPr/>
      </xdr:nvSpPr>
      <xdr:spPr>
        <a:xfrm>
          <a:off x="6883400" y="2171700"/>
          <a:ext cx="165100" cy="171450"/>
        </a:xfrm>
        <a:prstGeom prst="ellips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381000</xdr:colOff>
      <xdr:row>5</xdr:row>
      <xdr:rowOff>12700</xdr:rowOff>
    </xdr:from>
    <xdr:to>
      <xdr:col>15</xdr:col>
      <xdr:colOff>546100</xdr:colOff>
      <xdr:row>6</xdr:row>
      <xdr:rowOff>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17F71415-A0C8-46B5-B7B4-560B3D26E3B4}"/>
            </a:ext>
          </a:extLst>
        </xdr:cNvPr>
        <xdr:cNvSpPr/>
      </xdr:nvSpPr>
      <xdr:spPr>
        <a:xfrm>
          <a:off x="9525000" y="958850"/>
          <a:ext cx="165100" cy="171450"/>
        </a:xfrm>
        <a:prstGeom prst="ellips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381000</xdr:colOff>
      <xdr:row>8</xdr:row>
      <xdr:rowOff>57150</xdr:rowOff>
    </xdr:from>
    <xdr:to>
      <xdr:col>15</xdr:col>
      <xdr:colOff>546100</xdr:colOff>
      <xdr:row>9</xdr:row>
      <xdr:rowOff>44450</xdr:rowOff>
    </xdr:to>
    <xdr:sp macro="" textlink="">
      <xdr:nvSpPr>
        <xdr:cNvPr id="6" name="Elipse 5">
          <a:extLst>
            <a:ext uri="{FF2B5EF4-FFF2-40B4-BE49-F238E27FC236}">
              <a16:creationId xmlns:a16="http://schemas.microsoft.com/office/drawing/2014/main" id="{193F5581-17ED-4B11-8DC8-1FCEA295DB9E}"/>
            </a:ext>
          </a:extLst>
        </xdr:cNvPr>
        <xdr:cNvSpPr/>
      </xdr:nvSpPr>
      <xdr:spPr>
        <a:xfrm>
          <a:off x="9525000" y="1555750"/>
          <a:ext cx="165100" cy="171450"/>
        </a:xfrm>
        <a:prstGeom prst="ellipse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501650</xdr:colOff>
      <xdr:row>11</xdr:row>
      <xdr:rowOff>63500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944D20E-BDD4-477D-85C1-221E735C9B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597650" cy="2152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95250</xdr:colOff>
      <xdr:row>10</xdr:row>
      <xdr:rowOff>133350</xdr:rowOff>
    </xdr:from>
    <xdr:to>
      <xdr:col>8</xdr:col>
      <xdr:colOff>406400</xdr:colOff>
      <xdr:row>19</xdr:row>
      <xdr:rowOff>64547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3068EBE1-20A7-42F9-85B7-190D1EB100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1974850"/>
          <a:ext cx="5187950" cy="17663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558800</xdr:colOff>
      <xdr:row>0</xdr:row>
      <xdr:rowOff>0</xdr:rowOff>
    </xdr:from>
    <xdr:to>
      <xdr:col>18</xdr:col>
      <xdr:colOff>285750</xdr:colOff>
      <xdr:row>8</xdr:row>
      <xdr:rowOff>174898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A04AB27B-A4CC-4AB8-B87F-E8E8B1F2B0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54800" y="0"/>
          <a:ext cx="4603750" cy="16480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130968</xdr:colOff>
      <xdr:row>19</xdr:row>
      <xdr:rowOff>35718</xdr:rowOff>
    </xdr:from>
    <xdr:to>
      <xdr:col>18</xdr:col>
      <xdr:colOff>244077</xdr:colOff>
      <xdr:row>31</xdr:row>
      <xdr:rowOff>57995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85BB7BA8-3877-4E59-ABED-3274AAC161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5249" y="3923109"/>
          <a:ext cx="3030141" cy="23082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</xdr:colOff>
      <xdr:row>0</xdr:row>
      <xdr:rowOff>0</xdr:rowOff>
    </xdr:from>
    <xdr:to>
      <xdr:col>12</xdr:col>
      <xdr:colOff>152400</xdr:colOff>
      <xdr:row>22</xdr:row>
      <xdr:rowOff>36830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A63BC7AB-A40D-4DC2-9FB7-E3A2EE17D204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50" y="0"/>
          <a:ext cx="7461250" cy="408813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2</xdr:col>
      <xdr:colOff>203201</xdr:colOff>
      <xdr:row>15</xdr:row>
      <xdr:rowOff>7710</xdr:rowOff>
    </xdr:from>
    <xdr:to>
      <xdr:col>2</xdr:col>
      <xdr:colOff>323851</xdr:colOff>
      <xdr:row>15</xdr:row>
      <xdr:rowOff>122010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D3AB08E5-BE8C-4151-ABB5-A6383E3532E3}"/>
            </a:ext>
          </a:extLst>
        </xdr:cNvPr>
        <xdr:cNvSpPr/>
      </xdr:nvSpPr>
      <xdr:spPr>
        <a:xfrm>
          <a:off x="1359808" y="2865210"/>
          <a:ext cx="120650" cy="114300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279400</xdr:colOff>
      <xdr:row>14</xdr:row>
      <xdr:rowOff>69850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7DFF1F4-93C1-43F6-9404-1C23BABEBD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65800" cy="264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200025</xdr:colOff>
      <xdr:row>17</xdr:row>
      <xdr:rowOff>150576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E0C4EDE-A3F6-4237-B63B-F9DD194C3D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172325" cy="33890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222250</xdr:colOff>
      <xdr:row>21</xdr:row>
      <xdr:rowOff>6350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6A654986-C1C4-4CB9-85B6-56BA5CC1401A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318250" cy="3873500"/>
        </a:xfrm>
        <a:prstGeom prst="rect">
          <a:avLst/>
        </a:prstGeom>
        <a:noFill/>
      </xdr:spPr>
    </xdr:pic>
    <xdr:clientData/>
  </xdr:twoCellAnchor>
  <xdr:twoCellAnchor>
    <xdr:from>
      <xdr:col>1</xdr:col>
      <xdr:colOff>476250</xdr:colOff>
      <xdr:row>13</xdr:row>
      <xdr:rowOff>158750</xdr:rowOff>
    </xdr:from>
    <xdr:to>
      <xdr:col>1</xdr:col>
      <xdr:colOff>596900</xdr:colOff>
      <xdr:row>14</xdr:row>
      <xdr:rowOff>83608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DD74A46A-6EF5-4059-86BA-163AE578237D}"/>
            </a:ext>
          </a:extLst>
        </xdr:cNvPr>
        <xdr:cNvSpPr/>
      </xdr:nvSpPr>
      <xdr:spPr>
        <a:xfrm>
          <a:off x="1085850" y="2552700"/>
          <a:ext cx="120650" cy="109008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184150</xdr:colOff>
      <xdr:row>20</xdr:row>
      <xdr:rowOff>57150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FA2587A-7DEE-4368-B4E2-6CE5C06826C7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889750" cy="38290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6</xdr:col>
      <xdr:colOff>368877</xdr:colOff>
      <xdr:row>6</xdr:row>
      <xdr:rowOff>133927</xdr:rowOff>
    </xdr:from>
    <xdr:to>
      <xdr:col>6</xdr:col>
      <xdr:colOff>489527</xdr:colOff>
      <xdr:row>7</xdr:row>
      <xdr:rowOff>17799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AE86DF34-23EE-4D08-8ABD-5B4B5A393B2F}"/>
            </a:ext>
          </a:extLst>
        </xdr:cNvPr>
        <xdr:cNvSpPr/>
      </xdr:nvSpPr>
      <xdr:spPr>
        <a:xfrm>
          <a:off x="4040332" y="1242291"/>
          <a:ext cx="120650" cy="109008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488950</xdr:colOff>
      <xdr:row>24</xdr:row>
      <xdr:rowOff>29200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ED66380A-B0DB-46CF-A565-BF7F4E328F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965825" cy="447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97367</xdr:colOff>
      <xdr:row>11</xdr:row>
      <xdr:rowOff>180973</xdr:rowOff>
    </xdr:from>
    <xdr:to>
      <xdr:col>4</xdr:col>
      <xdr:colOff>218017</xdr:colOff>
      <xdr:row>12</xdr:row>
      <xdr:rowOff>104773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4AFA10A7-D823-4E92-8FA6-E77F14D53B64}"/>
            </a:ext>
          </a:extLst>
        </xdr:cNvPr>
        <xdr:cNvSpPr/>
      </xdr:nvSpPr>
      <xdr:spPr>
        <a:xfrm>
          <a:off x="2531534" y="2218265"/>
          <a:ext cx="120650" cy="109008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419100</xdr:colOff>
      <xdr:row>22</xdr:row>
      <xdr:rowOff>25400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93AE205-8C9C-4029-9022-6739605EE6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905500" cy="407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241300</xdr:colOff>
      <xdr:row>17</xdr:row>
      <xdr:rowOff>95250</xdr:rowOff>
    </xdr:from>
    <xdr:to>
      <xdr:col>2</xdr:col>
      <xdr:colOff>361950</xdr:colOff>
      <xdr:row>18</xdr:row>
      <xdr:rowOff>19050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24EED43C-156C-4EDB-9320-AEAF6693D816}"/>
            </a:ext>
          </a:extLst>
        </xdr:cNvPr>
        <xdr:cNvSpPr/>
      </xdr:nvSpPr>
      <xdr:spPr>
        <a:xfrm>
          <a:off x="1460500" y="3225800"/>
          <a:ext cx="120650" cy="107950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2197100</xdr:colOff>
      <xdr:row>32</xdr:row>
      <xdr:rowOff>88900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DEC0331-352A-4BAE-A002-ECBCF25C91FD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784600" cy="60071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412750</xdr:colOff>
      <xdr:row>21</xdr:row>
      <xdr:rowOff>107950</xdr:rowOff>
    </xdr:to>
    <xdr:pic>
      <xdr:nvPicPr>
        <xdr:cNvPr id="2" name="Imagem 1" descr="C:\Users\Marcos\1-MARCOS\1-ENSINO\FT 1\MATÉRIA\DIAGRAMA DE MOODY.jpg">
          <a:extLst>
            <a:ext uri="{FF2B5EF4-FFF2-40B4-BE49-F238E27FC236}">
              <a16:creationId xmlns:a16="http://schemas.microsoft.com/office/drawing/2014/main" id="{253535B3-6060-4F45-BD7E-E1A6B79AD7B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118350" cy="39751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6B646-AAB8-412D-B459-452406B07C9B}">
  <sheetPr codeName="Planilha7"/>
  <dimension ref="A20:Q26"/>
  <sheetViews>
    <sheetView tabSelected="1" topLeftCell="A10" zoomScaleNormal="100" workbookViewId="0">
      <selection activeCell="R23" sqref="R23"/>
    </sheetView>
  </sheetViews>
  <sheetFormatPr defaultColWidth="8.7109375" defaultRowHeight="15"/>
  <cols>
    <col min="1" max="9" width="8.7109375" style="4"/>
    <col min="10" max="10" width="10.7109375" style="4" customWidth="1"/>
    <col min="11" max="16384" width="8.7109375" style="4"/>
  </cols>
  <sheetData>
    <row r="20" spans="1:17" ht="18">
      <c r="A20" s="1" t="s">
        <v>99</v>
      </c>
      <c r="B20" s="24">
        <v>800</v>
      </c>
      <c r="C20" s="24" t="s">
        <v>20</v>
      </c>
    </row>
    <row r="21" spans="1:17">
      <c r="A21" s="1" t="s">
        <v>98</v>
      </c>
      <c r="B21" s="24">
        <v>600</v>
      </c>
      <c r="C21" s="24" t="s">
        <v>2</v>
      </c>
    </row>
    <row r="22" spans="1:17" ht="18">
      <c r="A22" s="3" t="s">
        <v>64</v>
      </c>
      <c r="B22" s="24">
        <v>1</v>
      </c>
      <c r="C22" s="24" t="s">
        <v>2</v>
      </c>
      <c r="M22" s="15"/>
      <c r="N22" s="15"/>
      <c r="O22" s="15"/>
      <c r="P22" s="15"/>
      <c r="Q22" s="15"/>
    </row>
    <row r="23" spans="1:17" ht="18">
      <c r="A23" s="1" t="s">
        <v>29</v>
      </c>
      <c r="B23" s="24">
        <v>13</v>
      </c>
      <c r="C23" s="24" t="s">
        <v>2</v>
      </c>
    </row>
    <row r="25" spans="1:17">
      <c r="A25" s="53" t="s">
        <v>96</v>
      </c>
      <c r="B25" s="54"/>
      <c r="C25" s="54"/>
      <c r="D25" s="54"/>
      <c r="E25" s="55"/>
      <c r="F25" s="53" t="s">
        <v>10</v>
      </c>
      <c r="G25" s="54"/>
      <c r="H25" s="54"/>
      <c r="I25" s="54"/>
      <c r="J25" s="55"/>
    </row>
    <row r="26" spans="1:17">
      <c r="A26" s="53" t="s">
        <v>97</v>
      </c>
      <c r="B26" s="54"/>
      <c r="C26" s="54"/>
      <c r="D26" s="54"/>
      <c r="E26" s="55"/>
      <c r="F26" s="53" t="s">
        <v>123</v>
      </c>
      <c r="G26" s="54"/>
      <c r="H26" s="54"/>
      <c r="I26" s="54"/>
      <c r="J26" s="55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B8165-375D-4A44-8D08-501136C94736}">
  <sheetPr codeName="Planilha6"/>
  <dimension ref="A1"/>
  <sheetViews>
    <sheetView topLeftCell="A10" zoomScale="140" zoomScaleNormal="140" workbookViewId="0">
      <selection activeCell="K18" sqref="K18"/>
    </sheetView>
  </sheetViews>
  <sheetFormatPr defaultColWidth="8.7109375" defaultRowHeight="15"/>
  <cols>
    <col min="1" max="16384" width="8.7109375" style="4"/>
  </cols>
  <sheetData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7CCEA-74F3-4178-B168-785DD55D66D2}">
  <sheetPr codeName="Planilha8"/>
  <dimension ref="A1:I11"/>
  <sheetViews>
    <sheetView zoomScale="140" zoomScaleNormal="140" workbookViewId="0">
      <selection activeCell="G8" sqref="G8"/>
    </sheetView>
  </sheetViews>
  <sheetFormatPr defaultColWidth="8.7109375" defaultRowHeight="15"/>
  <cols>
    <col min="1" max="1" width="12.5703125" style="4" customWidth="1"/>
    <col min="2" max="16384" width="8.7109375" style="4"/>
  </cols>
  <sheetData>
    <row r="1" spans="1:9">
      <c r="A1" s="4" t="s">
        <v>63</v>
      </c>
      <c r="F1" s="4" t="s">
        <v>100</v>
      </c>
    </row>
    <row r="2" spans="1:9" ht="18">
      <c r="A2" s="1" t="s">
        <v>60</v>
      </c>
      <c r="B2" s="24">
        <v>1.25</v>
      </c>
      <c r="C2" s="24" t="s">
        <v>33</v>
      </c>
      <c r="D2" s="4" t="s">
        <v>61</v>
      </c>
      <c r="F2" s="1" t="s">
        <v>5</v>
      </c>
      <c r="G2" s="24">
        <v>5.0469999999999997</v>
      </c>
      <c r="H2" s="24" t="s">
        <v>6</v>
      </c>
      <c r="I2" s="56">
        <v>5</v>
      </c>
    </row>
    <row r="3" spans="1:9" ht="18">
      <c r="A3" s="1" t="s">
        <v>59</v>
      </c>
      <c r="B3" s="24">
        <v>2</v>
      </c>
      <c r="C3" s="24" t="s">
        <v>33</v>
      </c>
      <c r="D3" s="4" t="s">
        <v>62</v>
      </c>
      <c r="F3" s="1" t="s">
        <v>39</v>
      </c>
      <c r="G3" s="24">
        <v>3.548</v>
      </c>
      <c r="H3" s="24" t="s">
        <v>6</v>
      </c>
      <c r="I3" s="56" t="s">
        <v>103</v>
      </c>
    </row>
    <row r="4" spans="1:9" ht="18.75">
      <c r="A4" s="1" t="s">
        <v>7</v>
      </c>
      <c r="B4" s="24">
        <f>B8*0.001/(B2*60)</f>
        <v>1.0666666666666668E-2</v>
      </c>
      <c r="C4" s="24" t="s">
        <v>84</v>
      </c>
      <c r="F4" s="1" t="s">
        <v>5</v>
      </c>
      <c r="G4" s="24">
        <f>G2*0.0254</f>
        <v>0.1281938</v>
      </c>
      <c r="H4" s="24" t="s">
        <v>2</v>
      </c>
    </row>
    <row r="5" spans="1:9" ht="18.75">
      <c r="A5" s="1" t="s">
        <v>40</v>
      </c>
      <c r="B5" s="24">
        <f>(B8*0.001/60)/B3</f>
        <v>6.6666666666666671E-3</v>
      </c>
      <c r="C5" s="24" t="s">
        <v>84</v>
      </c>
      <c r="F5" s="1" t="s">
        <v>39</v>
      </c>
      <c r="G5" s="24">
        <f>G3*0.0254</f>
        <v>9.0119199999999997E-2</v>
      </c>
      <c r="H5" s="24" t="s">
        <v>2</v>
      </c>
    </row>
    <row r="6" spans="1:9" ht="18.75">
      <c r="A6" s="1" t="s">
        <v>5</v>
      </c>
      <c r="B6" s="36">
        <f>(4*B4/PI())^0.5</f>
        <v>0.11653849926315511</v>
      </c>
      <c r="C6" s="24" t="s">
        <v>2</v>
      </c>
      <c r="F6" s="1" t="s">
        <v>7</v>
      </c>
      <c r="G6" s="24">
        <f>PI()*G4^2/4</f>
        <v>1.2906958809434592E-2</v>
      </c>
      <c r="H6" s="24" t="s">
        <v>84</v>
      </c>
    </row>
    <row r="7" spans="1:9" ht="18.75">
      <c r="A7" s="1" t="s">
        <v>39</v>
      </c>
      <c r="B7" s="36">
        <f>(4*B5/PI())^0.5</f>
        <v>9.2131773192356131E-2</v>
      </c>
      <c r="C7" s="24" t="s">
        <v>2</v>
      </c>
      <c r="F7" s="1" t="s">
        <v>40</v>
      </c>
      <c r="G7" s="24">
        <f>PI()*G5^2/4</f>
        <v>6.3785877859529466E-3</v>
      </c>
      <c r="H7" s="24" t="s">
        <v>84</v>
      </c>
    </row>
    <row r="8" spans="1:9" ht="18">
      <c r="A8" s="1" t="s">
        <v>99</v>
      </c>
      <c r="B8" s="24">
        <v>800</v>
      </c>
      <c r="C8" s="24" t="s">
        <v>20</v>
      </c>
      <c r="F8" s="1" t="s">
        <v>101</v>
      </c>
      <c r="G8" s="36">
        <f>B9/G6</f>
        <v>1.0330344684750272</v>
      </c>
      <c r="H8" s="24" t="s">
        <v>33</v>
      </c>
    </row>
    <row r="9" spans="1:9" ht="18.75">
      <c r="A9" s="1" t="s">
        <v>99</v>
      </c>
      <c r="B9" s="24">
        <f>800*0.001/60</f>
        <v>1.3333333333333334E-2</v>
      </c>
      <c r="C9" s="24" t="s">
        <v>83</v>
      </c>
      <c r="F9" s="1" t="s">
        <v>102</v>
      </c>
      <c r="G9" s="36">
        <f>B9/G7</f>
        <v>2.0903268530216463</v>
      </c>
      <c r="H9" s="24" t="s">
        <v>33</v>
      </c>
    </row>
    <row r="10" spans="1:9" ht="18">
      <c r="A10" s="1" t="s">
        <v>5</v>
      </c>
      <c r="B10" s="36">
        <f>B6/0.0254</f>
        <v>4.5881298922502012</v>
      </c>
      <c r="C10" s="24" t="s">
        <v>6</v>
      </c>
    </row>
    <row r="11" spans="1:9" ht="18">
      <c r="A11" s="1" t="s">
        <v>39</v>
      </c>
      <c r="B11" s="36">
        <f>B7/0.0254</f>
        <v>3.6272351650533912</v>
      </c>
      <c r="C11" s="24" t="s">
        <v>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E561E-F805-4A34-872F-CB039173D1E3}">
  <sheetPr codeName="Planilha9"/>
  <dimension ref="A1:T30"/>
  <sheetViews>
    <sheetView topLeftCell="D1" zoomScale="120" zoomScaleNormal="120" workbookViewId="0">
      <selection activeCell="S2" sqref="S2"/>
    </sheetView>
  </sheetViews>
  <sheetFormatPr defaultColWidth="8.7109375" defaultRowHeight="15"/>
  <cols>
    <col min="1" max="1" width="14" style="4" customWidth="1"/>
    <col min="2" max="4" width="8.7109375" style="4"/>
    <col min="5" max="5" width="13" style="4" customWidth="1"/>
    <col min="6" max="16384" width="8.7109375" style="4"/>
  </cols>
  <sheetData>
    <row r="1" spans="1:20" ht="18.75">
      <c r="A1" s="3" t="s">
        <v>3</v>
      </c>
      <c r="B1" s="24">
        <v>9.81</v>
      </c>
      <c r="C1" s="24" t="s">
        <v>82</v>
      </c>
      <c r="E1" s="6" t="s">
        <v>11</v>
      </c>
      <c r="F1" s="5"/>
      <c r="G1" s="5"/>
      <c r="M1" s="6" t="s">
        <v>30</v>
      </c>
      <c r="N1" s="18">
        <f>N5-N6+N7-N8+N9+N10</f>
        <v>15.541068440984409</v>
      </c>
      <c r="O1" s="7" t="s">
        <v>21</v>
      </c>
      <c r="R1" s="49" t="s">
        <v>105</v>
      </c>
      <c r="S1" s="18">
        <v>8</v>
      </c>
      <c r="T1" s="7" t="s">
        <v>6</v>
      </c>
    </row>
    <row r="2" spans="1:20" ht="18.75">
      <c r="A2" s="2" t="s">
        <v>4</v>
      </c>
      <c r="B2" s="24">
        <v>998.23</v>
      </c>
      <c r="C2" s="24" t="s">
        <v>81</v>
      </c>
      <c r="E2" s="6"/>
      <c r="F2" s="9" t="s">
        <v>42</v>
      </c>
      <c r="G2" s="9" t="s">
        <v>43</v>
      </c>
      <c r="M2" s="6" t="s">
        <v>30</v>
      </c>
      <c r="N2" s="18">
        <f>N1/0.3048</f>
        <v>50.98775735231105</v>
      </c>
      <c r="O2" s="7" t="s">
        <v>49</v>
      </c>
      <c r="R2" s="49" t="s">
        <v>104</v>
      </c>
      <c r="S2" s="18">
        <v>4.5</v>
      </c>
      <c r="T2" s="7" t="s">
        <v>17</v>
      </c>
    </row>
    <row r="3" spans="1:20" ht="18">
      <c r="A3" s="2" t="s">
        <v>2</v>
      </c>
      <c r="B3" s="24">
        <v>1.0289999999999999</v>
      </c>
      <c r="C3" s="24" t="s">
        <v>0</v>
      </c>
      <c r="E3" s="6" t="s">
        <v>56</v>
      </c>
      <c r="F3" s="8">
        <v>0.9</v>
      </c>
      <c r="G3" s="34"/>
      <c r="R3" s="45" t="s">
        <v>76</v>
      </c>
      <c r="S3" s="7">
        <v>61</v>
      </c>
      <c r="T3" s="7" t="s">
        <v>77</v>
      </c>
    </row>
    <row r="4" spans="1:20">
      <c r="E4" s="6" t="s">
        <v>124</v>
      </c>
      <c r="F4" s="35"/>
      <c r="G4" s="8">
        <v>3</v>
      </c>
      <c r="R4" s="49" t="s">
        <v>22</v>
      </c>
      <c r="S4" s="18">
        <f>B2*B1*N1*J13/(S3/100)</f>
        <v>3326.5143378353737</v>
      </c>
      <c r="T4" s="7" t="s">
        <v>111</v>
      </c>
    </row>
    <row r="5" spans="1:20" ht="18.75">
      <c r="E5" s="6" t="s">
        <v>57</v>
      </c>
      <c r="F5" s="34"/>
      <c r="G5" s="8">
        <v>3.2</v>
      </c>
      <c r="M5" s="6" t="s">
        <v>27</v>
      </c>
      <c r="N5" s="43">
        <f>F12^2/(2*B1)</f>
        <v>0.22263506625891941</v>
      </c>
      <c r="O5" s="7" t="s">
        <v>21</v>
      </c>
      <c r="R5" s="49" t="s">
        <v>22</v>
      </c>
      <c r="S5" s="18">
        <f>S4/745.7</f>
        <v>4.4609284401708109</v>
      </c>
      <c r="T5" s="7" t="s">
        <v>112</v>
      </c>
    </row>
    <row r="6" spans="1:20" ht="18.75">
      <c r="E6" s="20" t="s">
        <v>58</v>
      </c>
      <c r="F6" s="8">
        <v>2</v>
      </c>
      <c r="G6" s="34"/>
      <c r="M6" s="6" t="s">
        <v>28</v>
      </c>
      <c r="N6" s="7">
        <v>0</v>
      </c>
      <c r="O6" s="7" t="s">
        <v>21</v>
      </c>
      <c r="R6" s="49" t="s">
        <v>22</v>
      </c>
      <c r="S6" s="18">
        <f>S5*1.01417</f>
        <v>4.524139796168031</v>
      </c>
      <c r="T6" s="7" t="s">
        <v>24</v>
      </c>
    </row>
    <row r="7" spans="1:20" ht="18">
      <c r="M7" s="6" t="s">
        <v>31</v>
      </c>
      <c r="N7" s="43"/>
      <c r="O7" s="7" t="s">
        <v>21</v>
      </c>
      <c r="R7" s="49" t="s">
        <v>23</v>
      </c>
      <c r="S7" s="43">
        <f>S6*1.3</f>
        <v>5.8813817350184401</v>
      </c>
      <c r="T7" s="7" t="s">
        <v>24</v>
      </c>
    </row>
    <row r="8" spans="1:20" ht="18">
      <c r="M8" s="6" t="s">
        <v>32</v>
      </c>
      <c r="N8" s="43"/>
      <c r="O8" s="7" t="s">
        <v>21</v>
      </c>
      <c r="R8" s="49" t="s">
        <v>23</v>
      </c>
      <c r="S8" s="43">
        <v>6</v>
      </c>
      <c r="T8" s="7" t="s">
        <v>24</v>
      </c>
    </row>
    <row r="9" spans="1:20" ht="18">
      <c r="M9" s="6" t="s">
        <v>29</v>
      </c>
      <c r="N9" s="7">
        <v>13</v>
      </c>
      <c r="O9" s="7" t="s">
        <v>21</v>
      </c>
    </row>
    <row r="10" spans="1:20" ht="18">
      <c r="A10" s="1" t="s">
        <v>8</v>
      </c>
      <c r="B10" s="24">
        <v>15</v>
      </c>
      <c r="C10" s="24" t="s">
        <v>2</v>
      </c>
      <c r="E10" s="1" t="s">
        <v>9</v>
      </c>
      <c r="F10" s="24">
        <v>40</v>
      </c>
      <c r="G10" s="24" t="s">
        <v>2</v>
      </c>
      <c r="M10" s="17" t="s">
        <v>46</v>
      </c>
      <c r="N10" s="43">
        <f>N11+N12</f>
        <v>2.3184333747254899</v>
      </c>
      <c r="O10" s="7" t="s">
        <v>21</v>
      </c>
    </row>
    <row r="11" spans="1:20" ht="18">
      <c r="A11" s="1" t="s">
        <v>65</v>
      </c>
      <c r="B11" s="24">
        <f>B10+F3+F6</f>
        <v>17.899999999999999</v>
      </c>
      <c r="C11" s="24" t="s">
        <v>2</v>
      </c>
      <c r="E11" s="1" t="s">
        <v>66</v>
      </c>
      <c r="F11" s="24">
        <f>F10+G4+G5</f>
        <v>46.2</v>
      </c>
      <c r="G11" s="24" t="s">
        <v>2</v>
      </c>
      <c r="I11" s="6" t="s">
        <v>99</v>
      </c>
      <c r="J11" s="7">
        <v>800</v>
      </c>
      <c r="K11" s="7" t="s">
        <v>20</v>
      </c>
      <c r="M11" s="17" t="s">
        <v>44</v>
      </c>
      <c r="N11" s="43">
        <f>2*B16*B11*B12^2/(B1*5.048*0.0254)</f>
        <v>0.14391766514660692</v>
      </c>
      <c r="O11" s="7" t="s">
        <v>21</v>
      </c>
    </row>
    <row r="12" spans="1:20" ht="18">
      <c r="A12" s="1" t="s">
        <v>34</v>
      </c>
      <c r="B12" s="36">
        <v>1.03</v>
      </c>
      <c r="C12" s="24" t="s">
        <v>33</v>
      </c>
      <c r="E12" s="1" t="s">
        <v>35</v>
      </c>
      <c r="F12" s="36">
        <v>2.09</v>
      </c>
      <c r="G12" s="24" t="s">
        <v>33</v>
      </c>
      <c r="I12" s="6" t="s">
        <v>99</v>
      </c>
      <c r="J12" s="18">
        <f>J11/3.785</f>
        <v>211.36063408190225</v>
      </c>
      <c r="K12" s="7" t="s">
        <v>80</v>
      </c>
      <c r="M12" s="17" t="s">
        <v>45</v>
      </c>
      <c r="N12" s="43">
        <f>2*F16*F11*F12^2/(B1*3.548*0.0254)</f>
        <v>2.1745157095788832</v>
      </c>
      <c r="O12" s="7" t="s">
        <v>21</v>
      </c>
    </row>
    <row r="13" spans="1:20" ht="18.75">
      <c r="A13" s="3" t="s">
        <v>12</v>
      </c>
      <c r="B13" s="24">
        <v>1.4999999999999999E-4</v>
      </c>
      <c r="C13" s="24" t="s">
        <v>17</v>
      </c>
      <c r="E13" s="3" t="s">
        <v>12</v>
      </c>
      <c r="F13" s="24">
        <v>1.4999999999999999E-4</v>
      </c>
      <c r="G13" s="24" t="s">
        <v>17</v>
      </c>
      <c r="I13" s="1" t="s">
        <v>99</v>
      </c>
      <c r="J13" s="24">
        <f>800*0.001/60</f>
        <v>1.3333333333333334E-2</v>
      </c>
      <c r="K13" s="24" t="s">
        <v>83</v>
      </c>
    </row>
    <row r="14" spans="1:20" ht="18">
      <c r="A14" s="1" t="s">
        <v>38</v>
      </c>
      <c r="B14" s="24">
        <f>B13/(5/12)</f>
        <v>3.5999999999999997E-4</v>
      </c>
      <c r="C14" s="24"/>
      <c r="E14" s="1" t="s">
        <v>41</v>
      </c>
      <c r="F14" s="24">
        <f>F13/(3.5/12)</f>
        <v>5.1428571428571419E-4</v>
      </c>
      <c r="G14" s="24"/>
      <c r="M14" s="21" t="s">
        <v>18</v>
      </c>
      <c r="N14" s="7">
        <v>1750</v>
      </c>
      <c r="O14" s="7" t="s">
        <v>19</v>
      </c>
    </row>
    <row r="15" spans="1:20" ht="18">
      <c r="A15" s="1" t="s">
        <v>36</v>
      </c>
      <c r="B15" s="24">
        <f>B2*B12*5.047*0.0254/(B3*0.001)</f>
        <v>128091.25741809521</v>
      </c>
      <c r="C15" s="24"/>
      <c r="E15" s="1" t="s">
        <v>37</v>
      </c>
      <c r="F15" s="24">
        <f>B2*F12*3.548*0.0254/(B3*0.001)</f>
        <v>182716.95825407188</v>
      </c>
      <c r="G15" s="24"/>
      <c r="M15" s="49" t="s">
        <v>25</v>
      </c>
      <c r="N15" s="19">
        <f>N14*J12^0.5/N2^0.75</f>
        <v>1333.3699630085564</v>
      </c>
      <c r="O15" s="7" t="s">
        <v>19</v>
      </c>
    </row>
    <row r="16" spans="1:20" ht="18">
      <c r="A16" s="1" t="s">
        <v>67</v>
      </c>
      <c r="B16" s="24" cm="1">
        <f t="array" ref="B16">fanning(B15,B14)</f>
        <v>4.7662706379893206E-3</v>
      </c>
      <c r="C16" s="24"/>
      <c r="E16" s="1" t="s">
        <v>68</v>
      </c>
      <c r="F16" s="24">
        <f>fanning(F15,F14)</f>
        <v>4.7630412340145508E-3</v>
      </c>
      <c r="G16" s="24"/>
    </row>
    <row r="18" spans="5:13">
      <c r="I18" s="15"/>
    </row>
    <row r="20" spans="5:13">
      <c r="E20" s="58"/>
      <c r="F20" s="59"/>
      <c r="G20" s="23"/>
    </row>
    <row r="21" spans="5:13">
      <c r="E21" s="22"/>
      <c r="F21" s="57"/>
      <c r="G21" s="23"/>
    </row>
    <row r="22" spans="5:13">
      <c r="E22" s="22"/>
      <c r="F22" s="57"/>
      <c r="G22" s="23"/>
    </row>
    <row r="23" spans="5:13">
      <c r="E23" s="22"/>
      <c r="F23" s="57"/>
      <c r="G23" s="23"/>
    </row>
    <row r="24" spans="5:13">
      <c r="E24" s="22"/>
      <c r="F24" s="60"/>
      <c r="G24" s="23"/>
    </row>
    <row r="25" spans="5:13">
      <c r="E25" s="22"/>
      <c r="F25" s="23"/>
      <c r="G25" s="23"/>
    </row>
    <row r="26" spans="5:13">
      <c r="J26" s="15"/>
    </row>
    <row r="27" spans="5:13">
      <c r="J27" s="15"/>
      <c r="M27" s="16"/>
    </row>
    <row r="28" spans="5:13">
      <c r="J28" s="15"/>
      <c r="M28" s="16"/>
    </row>
    <row r="30" spans="5:13">
      <c r="J30" s="22"/>
      <c r="K30" s="23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6CF2A-7BBC-4630-8F82-F6F5FF46CF02}">
  <sheetPr codeName="Planilha1"/>
  <dimension ref="A1:O30"/>
  <sheetViews>
    <sheetView topLeftCell="A3" zoomScale="210" zoomScaleNormal="210" workbookViewId="0">
      <selection activeCell="D12" sqref="D12"/>
    </sheetView>
  </sheetViews>
  <sheetFormatPr defaultColWidth="8.7109375" defaultRowHeight="15"/>
  <cols>
    <col min="1" max="1" width="11.5703125" style="4" customWidth="1"/>
    <col min="2" max="2" width="13" style="4" customWidth="1"/>
    <col min="3" max="8" width="8.7109375" style="4"/>
    <col min="9" max="10" width="8.7109375" style="4" customWidth="1"/>
    <col min="11" max="16384" width="8.7109375" style="4"/>
  </cols>
  <sheetData>
    <row r="1" spans="1:15" ht="17.25">
      <c r="A1" s="3" t="s">
        <v>3</v>
      </c>
      <c r="B1" s="24">
        <v>9.81</v>
      </c>
      <c r="C1" s="24" t="s">
        <v>82</v>
      </c>
      <c r="J1" s="22"/>
      <c r="K1" s="57"/>
      <c r="L1" s="23"/>
      <c r="M1" s="22"/>
    </row>
    <row r="2" spans="1:15" ht="17.25">
      <c r="A2" s="63" t="s">
        <v>4</v>
      </c>
      <c r="B2" s="64">
        <v>998.23</v>
      </c>
      <c r="C2" s="64" t="s">
        <v>81</v>
      </c>
      <c r="J2" s="22"/>
      <c r="K2" s="23"/>
      <c r="L2" s="23"/>
      <c r="M2" s="22"/>
      <c r="N2" s="65"/>
      <c r="O2" s="65"/>
    </row>
    <row r="3" spans="1:15">
      <c r="A3" s="2" t="s">
        <v>2</v>
      </c>
      <c r="B3" s="24">
        <v>1.0289999999999999</v>
      </c>
      <c r="C3" s="24" t="s">
        <v>0</v>
      </c>
      <c r="D3" s="23"/>
      <c r="J3" s="22"/>
      <c r="K3" s="57"/>
      <c r="L3" s="23"/>
      <c r="M3" s="22"/>
      <c r="N3" s="34"/>
      <c r="O3" s="34"/>
    </row>
    <row r="4" spans="1:15">
      <c r="A4" s="3" t="s">
        <v>69</v>
      </c>
      <c r="B4" s="50">
        <v>600</v>
      </c>
      <c r="C4" s="24" t="s">
        <v>70</v>
      </c>
      <c r="D4" s="23"/>
      <c r="J4" s="22"/>
      <c r="K4" s="57"/>
      <c r="L4" s="23"/>
      <c r="M4" s="22"/>
      <c r="N4" s="34"/>
      <c r="O4" s="34"/>
    </row>
    <row r="5" spans="1:15" ht="18">
      <c r="A5" s="1" t="s">
        <v>32</v>
      </c>
      <c r="B5" s="36">
        <f>(10.33-(B4/900))*1000/B2</f>
        <v>9.6804677612707835</v>
      </c>
      <c r="C5" s="24" t="s">
        <v>21</v>
      </c>
      <c r="D5" s="23"/>
      <c r="J5" s="22"/>
      <c r="K5" s="23"/>
      <c r="L5" s="23"/>
      <c r="M5" s="22"/>
      <c r="N5" s="34"/>
      <c r="O5" s="34"/>
    </row>
    <row r="6" spans="1:15" ht="18">
      <c r="A6" s="1" t="s">
        <v>114</v>
      </c>
      <c r="B6" s="70">
        <v>0.31619999999999998</v>
      </c>
      <c r="C6" s="24" t="s">
        <v>115</v>
      </c>
      <c r="J6" s="66"/>
      <c r="K6" s="57"/>
      <c r="L6" s="23"/>
      <c r="M6" s="67"/>
      <c r="N6" s="34"/>
      <c r="O6" s="34"/>
    </row>
    <row r="7" spans="1:15" ht="18">
      <c r="A7" s="1" t="s">
        <v>47</v>
      </c>
      <c r="B7" s="36">
        <f>(B6*0.4536*9.8065*10000/(2.54^2))/(B2*B1)</f>
        <v>0.22262907705202559</v>
      </c>
      <c r="C7" s="24" t="s">
        <v>21</v>
      </c>
      <c r="D7" s="23"/>
      <c r="J7" s="66"/>
      <c r="K7" s="57"/>
      <c r="L7" s="23"/>
    </row>
    <row r="8" spans="1:15" ht="18">
      <c r="A8" s="71" t="s">
        <v>44</v>
      </c>
      <c r="B8" s="36">
        <v>0.14000000000000001</v>
      </c>
      <c r="C8" s="24" t="s">
        <v>21</v>
      </c>
      <c r="J8" s="66"/>
      <c r="K8" s="57"/>
      <c r="L8" s="23"/>
    </row>
    <row r="9" spans="1:15" ht="18">
      <c r="A9" s="3" t="s">
        <v>64</v>
      </c>
      <c r="B9" s="24">
        <v>1</v>
      </c>
      <c r="C9" s="24" t="s">
        <v>2</v>
      </c>
      <c r="J9" s="22"/>
      <c r="K9" s="60"/>
      <c r="L9" s="23"/>
    </row>
    <row r="10" spans="1:15" ht="18">
      <c r="A10" s="1" t="s">
        <v>48</v>
      </c>
      <c r="B10" s="36">
        <f>B5-B7+B9-B8</f>
        <v>10.317838684218758</v>
      </c>
      <c r="C10" s="24" t="s">
        <v>21</v>
      </c>
      <c r="J10" s="22"/>
      <c r="K10" s="60"/>
      <c r="L10" s="23"/>
    </row>
    <row r="11" spans="1:15" ht="18">
      <c r="A11" s="1" t="s">
        <v>50</v>
      </c>
      <c r="B11" s="24">
        <v>4.5</v>
      </c>
      <c r="C11" s="24" t="s">
        <v>49</v>
      </c>
      <c r="D11" s="23"/>
      <c r="J11" s="68"/>
      <c r="K11" s="23"/>
      <c r="L11" s="23"/>
    </row>
    <row r="12" spans="1:15" ht="18">
      <c r="A12" s="1" t="s">
        <v>50</v>
      </c>
      <c r="B12" s="44">
        <f>B11*0.3048</f>
        <v>1.3716000000000002</v>
      </c>
      <c r="C12" s="24" t="s">
        <v>21</v>
      </c>
      <c r="D12" s="23"/>
      <c r="K12" s="60"/>
      <c r="L12" s="23"/>
    </row>
    <row r="13" spans="1:15">
      <c r="A13" s="3" t="s">
        <v>116</v>
      </c>
      <c r="B13" s="72" t="str">
        <f>IF(B10-B12&gt;1,"NÃO","SIM")</f>
        <v>NÃO</v>
      </c>
      <c r="C13" s="24"/>
      <c r="D13" s="23"/>
      <c r="J13" s="69"/>
      <c r="K13" s="57"/>
      <c r="L13" s="23"/>
    </row>
    <row r="14" spans="1:15">
      <c r="B14" s="22"/>
      <c r="C14" s="23"/>
      <c r="D14" s="23"/>
      <c r="J14" s="58"/>
      <c r="K14" s="23"/>
      <c r="L14" s="23"/>
    </row>
    <row r="15" spans="1:15">
      <c r="J15" s="69"/>
      <c r="K15" s="59"/>
      <c r="L15" s="23"/>
    </row>
    <row r="16" spans="1:15" ht="18.75">
      <c r="A16" s="15" t="s">
        <v>113</v>
      </c>
    </row>
    <row r="17" spans="1:10" ht="18">
      <c r="A17" s="15" t="s">
        <v>75</v>
      </c>
    </row>
    <row r="26" spans="1:10">
      <c r="G26" s="15"/>
    </row>
    <row r="27" spans="1:10">
      <c r="G27" s="15"/>
      <c r="J27" s="16"/>
    </row>
    <row r="28" spans="1:10">
      <c r="G28" s="15"/>
      <c r="J28" s="16"/>
    </row>
    <row r="30" spans="1:10">
      <c r="G30" s="22"/>
      <c r="H30" s="23"/>
    </row>
  </sheetData>
  <pageMargins left="0.511811024" right="0.511811024" top="0.78740157499999996" bottom="0.78740157499999996" header="0.31496062000000002" footer="0.31496062000000002"/>
  <pageSetup paperSize="9" orientation="portrait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99B4F-D36B-41ED-9E9C-9B8EC6A5B7B8}">
  <sheetPr codeName="Planilha11"/>
  <dimension ref="A1:Q44"/>
  <sheetViews>
    <sheetView topLeftCell="A3" workbookViewId="0">
      <selection activeCell="M28" sqref="M28"/>
    </sheetView>
  </sheetViews>
  <sheetFormatPr defaultColWidth="8.7109375" defaultRowHeight="15"/>
  <cols>
    <col min="1" max="16384" width="8.7109375" style="4"/>
  </cols>
  <sheetData>
    <row r="1" spans="1:17" ht="17.25">
      <c r="A1" s="4" t="s">
        <v>88</v>
      </c>
      <c r="D1" s="25" t="s">
        <v>78</v>
      </c>
      <c r="E1" s="25" t="s">
        <v>79</v>
      </c>
      <c r="F1" s="25" t="s">
        <v>117</v>
      </c>
      <c r="G1" s="25" t="s">
        <v>118</v>
      </c>
    </row>
    <row r="2" spans="1:17">
      <c r="D2" s="73">
        <f>G2/0.3048</f>
        <v>56.804482516587917</v>
      </c>
      <c r="E2" s="73">
        <v>216</v>
      </c>
      <c r="F2" s="73">
        <f>E2*0.003785/60</f>
        <v>1.3626000000000001E-2</v>
      </c>
      <c r="G2" s="73">
        <f>-22444*F2^2+171.08*F2+19.15</f>
        <v>17.314006271055998</v>
      </c>
    </row>
    <row r="3" spans="1:17">
      <c r="D3" s="73">
        <f t="shared" ref="D3:D10" si="0">G3/0.3048</f>
        <v>56.713007599740166</v>
      </c>
      <c r="E3" s="73">
        <v>217</v>
      </c>
      <c r="F3" s="73">
        <f t="shared" ref="F3:F10" si="1">E3*0.003785/60</f>
        <v>1.3689083333333333E-2</v>
      </c>
      <c r="G3" s="73">
        <f t="shared" ref="G3:G10" si="2">-22444*F3^2+171.08*F3+19.15</f>
        <v>17.286124716400803</v>
      </c>
    </row>
    <row r="4" spans="1:17">
      <c r="D4" s="73">
        <f t="shared" si="0"/>
        <v>56.620946619546878</v>
      </c>
      <c r="E4" s="73">
        <v>218</v>
      </c>
      <c r="F4" s="73">
        <f t="shared" si="1"/>
        <v>1.3752166666666668E-2</v>
      </c>
      <c r="G4" s="73">
        <f t="shared" si="2"/>
        <v>17.258064529637888</v>
      </c>
    </row>
    <row r="5" spans="1:17">
      <c r="D5" s="73">
        <f t="shared" si="0"/>
        <v>56.528299576008024</v>
      </c>
      <c r="E5" s="73">
        <v>219</v>
      </c>
      <c r="F5" s="73">
        <f t="shared" si="1"/>
        <v>1.3815250000000001E-2</v>
      </c>
      <c r="G5" s="73">
        <f t="shared" si="2"/>
        <v>17.229825710767248</v>
      </c>
    </row>
    <row r="6" spans="1:17">
      <c r="D6" s="73">
        <f t="shared" si="0"/>
        <v>56.435066469123647</v>
      </c>
      <c r="E6" s="73">
        <v>220</v>
      </c>
      <c r="F6" s="73">
        <f t="shared" si="1"/>
        <v>1.3878333333333333E-2</v>
      </c>
      <c r="G6" s="73">
        <f t="shared" si="2"/>
        <v>17.201408259788888</v>
      </c>
      <c r="Q6" s="4" t="s">
        <v>119</v>
      </c>
    </row>
    <row r="7" spans="1:17">
      <c r="A7" s="46"/>
      <c r="B7" s="46"/>
      <c r="D7" s="73">
        <f t="shared" si="0"/>
        <v>56.34124729889372</v>
      </c>
      <c r="E7" s="73">
        <v>221</v>
      </c>
      <c r="F7" s="73">
        <f t="shared" si="1"/>
        <v>1.3941416666666668E-2</v>
      </c>
      <c r="G7" s="73">
        <f t="shared" si="2"/>
        <v>17.172812176702806</v>
      </c>
    </row>
    <row r="8" spans="1:17">
      <c r="D8" s="73">
        <f t="shared" si="0"/>
        <v>56.246842065318226</v>
      </c>
      <c r="E8" s="73">
        <v>222</v>
      </c>
      <c r="F8" s="73">
        <f t="shared" si="1"/>
        <v>1.4004500000000001E-2</v>
      </c>
      <c r="G8" s="73">
        <f t="shared" si="2"/>
        <v>17.144037461508997</v>
      </c>
    </row>
    <row r="9" spans="1:17">
      <c r="D9" s="73">
        <f t="shared" si="0"/>
        <v>56.15185076839721</v>
      </c>
      <c r="E9" s="73">
        <v>223</v>
      </c>
      <c r="F9" s="73">
        <f t="shared" si="1"/>
        <v>1.4067583333333333E-2</v>
      </c>
      <c r="G9" s="73">
        <f t="shared" si="2"/>
        <v>17.11508411420747</v>
      </c>
      <c r="Q9" s="4" t="s">
        <v>120</v>
      </c>
    </row>
    <row r="10" spans="1:17">
      <c r="D10" s="73">
        <f t="shared" si="0"/>
        <v>56.056273408130636</v>
      </c>
      <c r="E10" s="73">
        <v>224</v>
      </c>
      <c r="F10" s="73">
        <f t="shared" si="1"/>
        <v>1.4130666666666668E-2</v>
      </c>
      <c r="G10" s="73">
        <f t="shared" si="2"/>
        <v>17.08595213479822</v>
      </c>
      <c r="Q10" s="4" t="s">
        <v>121</v>
      </c>
    </row>
    <row r="11" spans="1:17">
      <c r="D11" s="73">
        <f t="shared" ref="D11:D12" si="3">G11/0.3048</f>
        <v>55.960109984518532</v>
      </c>
      <c r="E11" s="73">
        <v>225</v>
      </c>
      <c r="F11" s="73">
        <f t="shared" ref="F11:F12" si="4">E11*0.003785/60</f>
        <v>1.4193750000000002E-2</v>
      </c>
      <c r="G11" s="73">
        <f t="shared" ref="G11:G12" si="5">-22444*F11^2+171.08*F11+19.15</f>
        <v>17.05664152328125</v>
      </c>
      <c r="Q11" s="4" t="s">
        <v>122</v>
      </c>
    </row>
    <row r="12" spans="1:17">
      <c r="D12" s="73">
        <f t="shared" si="3"/>
        <v>55.863360497560876</v>
      </c>
      <c r="E12" s="73">
        <v>226</v>
      </c>
      <c r="F12" s="73">
        <f t="shared" si="4"/>
        <v>1.4256833333333333E-2</v>
      </c>
      <c r="G12" s="73">
        <f t="shared" si="5"/>
        <v>17.027152279656555</v>
      </c>
    </row>
    <row r="18" spans="1:10">
      <c r="A18" s="4" t="s">
        <v>55</v>
      </c>
      <c r="H18" s="27" t="s">
        <v>51</v>
      </c>
      <c r="I18" s="47">
        <v>50.8</v>
      </c>
      <c r="J18" s="28" t="s">
        <v>17</v>
      </c>
    </row>
    <row r="19" spans="1:10">
      <c r="H19" s="27" t="s">
        <v>52</v>
      </c>
      <c r="I19" s="47">
        <v>211.4</v>
      </c>
      <c r="J19" s="28" t="s">
        <v>80</v>
      </c>
    </row>
    <row r="20" spans="1:10" ht="17.25">
      <c r="H20" s="29" t="s">
        <v>53</v>
      </c>
      <c r="I20" s="30">
        <f>I19^2/I18</f>
        <v>879.72362204724413</v>
      </c>
      <c r="J20" s="31"/>
    </row>
    <row r="21" spans="1:10">
      <c r="A21" s="32" t="s">
        <v>54</v>
      </c>
      <c r="B21" s="32"/>
      <c r="C21" s="33"/>
    </row>
    <row r="22" spans="1:10">
      <c r="A22" s="25" t="s">
        <v>78</v>
      </c>
      <c r="B22" s="25" t="s">
        <v>79</v>
      </c>
    </row>
    <row r="23" spans="1:10">
      <c r="A23" s="26">
        <f>I18</f>
        <v>50.8</v>
      </c>
      <c r="B23" s="48">
        <f>I19</f>
        <v>211.4</v>
      </c>
    </row>
    <row r="24" spans="1:10">
      <c r="A24" s="26">
        <f t="shared" ref="A24:A39" si="6">B24^2/$I$20</f>
        <v>51.088772511767743</v>
      </c>
      <c r="B24" s="26">
        <v>212</v>
      </c>
    </row>
    <row r="25" spans="1:10">
      <c r="A25" s="26">
        <f t="shared" si="6"/>
        <v>51.571878784407055</v>
      </c>
      <c r="B25" s="26">
        <v>213</v>
      </c>
      <c r="G25" s="51" t="s">
        <v>1</v>
      </c>
      <c r="H25" s="7">
        <v>222</v>
      </c>
      <c r="I25" s="7" t="s">
        <v>80</v>
      </c>
    </row>
    <row r="26" spans="1:10">
      <c r="A26" s="26">
        <f t="shared" si="6"/>
        <v>52.057258498329375</v>
      </c>
      <c r="B26" s="26">
        <v>214</v>
      </c>
      <c r="G26" s="51" t="s">
        <v>85</v>
      </c>
      <c r="H26" s="7">
        <v>8</v>
      </c>
      <c r="I26" s="7" t="s">
        <v>6</v>
      </c>
    </row>
    <row r="27" spans="1:10">
      <c r="A27" s="26">
        <f t="shared" si="6"/>
        <v>52.544911653534704</v>
      </c>
      <c r="B27" s="26">
        <v>215</v>
      </c>
      <c r="G27" s="51" t="s">
        <v>86</v>
      </c>
      <c r="H27" s="7">
        <f>H26*(I19/H25)^0.5</f>
        <v>7.8066730522127123</v>
      </c>
      <c r="I27" s="7" t="s">
        <v>6</v>
      </c>
    </row>
    <row r="28" spans="1:10">
      <c r="A28" s="26">
        <f t="shared" si="6"/>
        <v>53.034838250023043</v>
      </c>
      <c r="B28" s="26">
        <v>216</v>
      </c>
      <c r="G28" s="6" t="s">
        <v>87</v>
      </c>
      <c r="H28" s="7">
        <f>H26-H27</f>
        <v>0.19332694778728765</v>
      </c>
      <c r="I28" s="7" t="s">
        <v>6</v>
      </c>
    </row>
    <row r="29" spans="1:10">
      <c r="A29" s="26">
        <f t="shared" si="6"/>
        <v>53.52703828779439</v>
      </c>
      <c r="B29" s="26">
        <v>217</v>
      </c>
      <c r="H29" s="4">
        <f>25.4*H28</f>
        <v>4.910504473797106</v>
      </c>
      <c r="I29" s="4" t="s">
        <v>125</v>
      </c>
    </row>
    <row r="30" spans="1:10">
      <c r="A30" s="26">
        <f t="shared" si="6"/>
        <v>54.021511766848747</v>
      </c>
      <c r="B30" s="26">
        <v>218</v>
      </c>
    </row>
    <row r="31" spans="1:10">
      <c r="A31" s="26">
        <f t="shared" si="6"/>
        <v>54.518258687186112</v>
      </c>
      <c r="B31" s="26">
        <v>219</v>
      </c>
    </row>
    <row r="32" spans="1:10">
      <c r="A32" s="26">
        <f t="shared" si="6"/>
        <v>55.017279048806486</v>
      </c>
      <c r="B32" s="26">
        <v>220</v>
      </c>
    </row>
    <row r="33" spans="1:2">
      <c r="A33" s="26">
        <f t="shared" si="6"/>
        <v>55.51857285170987</v>
      </c>
      <c r="B33" s="26">
        <v>221</v>
      </c>
    </row>
    <row r="34" spans="1:2">
      <c r="A34" s="26">
        <f t="shared" si="6"/>
        <v>56.022140095896255</v>
      </c>
      <c r="B34" s="26">
        <v>222</v>
      </c>
    </row>
    <row r="35" spans="1:2">
      <c r="A35" s="26">
        <f t="shared" si="6"/>
        <v>56.527980781365656</v>
      </c>
      <c r="B35" s="26">
        <v>223</v>
      </c>
    </row>
    <row r="36" spans="1:2">
      <c r="A36" s="26">
        <f t="shared" si="6"/>
        <v>57.036094908118059</v>
      </c>
      <c r="B36" s="26">
        <v>224</v>
      </c>
    </row>
    <row r="37" spans="1:2">
      <c r="A37" s="26">
        <f t="shared" si="6"/>
        <v>57.546482476153479</v>
      </c>
      <c r="B37" s="26">
        <v>225</v>
      </c>
    </row>
    <row r="38" spans="1:2">
      <c r="A38" s="26">
        <f t="shared" si="6"/>
        <v>58.0591434854719</v>
      </c>
      <c r="B38" s="26">
        <v>226</v>
      </c>
    </row>
    <row r="39" spans="1:2">
      <c r="A39" s="26">
        <f t="shared" si="6"/>
        <v>58.574077936073337</v>
      </c>
      <c r="B39" s="26">
        <v>227</v>
      </c>
    </row>
    <row r="40" spans="1:2">
      <c r="A40" s="46"/>
      <c r="B40" s="46"/>
    </row>
    <row r="41" spans="1:2">
      <c r="A41" s="46"/>
      <c r="B41" s="46"/>
    </row>
    <row r="42" spans="1:2">
      <c r="A42" s="46"/>
      <c r="B42" s="46"/>
    </row>
    <row r="43" spans="1:2">
      <c r="A43" s="46"/>
      <c r="B43" s="46"/>
    </row>
    <row r="44" spans="1:2">
      <c r="A44" s="46"/>
      <c r="B44" s="46"/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A35CD-32BF-49A9-939A-76786393ADC9}">
  <sheetPr codeName="Planilha12"/>
  <dimension ref="L10:R18"/>
  <sheetViews>
    <sheetView topLeftCell="G12" zoomScale="160" zoomScaleNormal="160" workbookViewId="0">
      <selection activeCell="K23" sqref="K23"/>
    </sheetView>
  </sheetViews>
  <sheetFormatPr defaultColWidth="8.7109375" defaultRowHeight="15"/>
  <cols>
    <col min="1" max="16384" width="8.7109375" style="4"/>
  </cols>
  <sheetData>
    <row r="10" spans="12:18" ht="18">
      <c r="L10" s="6" t="s">
        <v>89</v>
      </c>
      <c r="M10" s="7">
        <v>0.22600000000000001</v>
      </c>
      <c r="N10" s="7" t="s">
        <v>6</v>
      </c>
      <c r="P10" s="21" t="s">
        <v>95</v>
      </c>
      <c r="Q10" s="7">
        <v>14</v>
      </c>
      <c r="R10" s="7" t="s">
        <v>2</v>
      </c>
    </row>
    <row r="11" spans="12:18" ht="18.75">
      <c r="L11" s="6" t="s">
        <v>90</v>
      </c>
      <c r="M11" s="7">
        <v>3.548</v>
      </c>
      <c r="N11" s="7" t="s">
        <v>6</v>
      </c>
      <c r="P11" s="6" t="s">
        <v>27</v>
      </c>
      <c r="Q11" s="43">
        <f>2.09^2/(2*M14)</f>
        <v>0.22263506625891941</v>
      </c>
      <c r="R11" s="7" t="s">
        <v>2</v>
      </c>
    </row>
    <row r="12" spans="12:18">
      <c r="L12" s="6" t="s">
        <v>26</v>
      </c>
      <c r="M12" s="7">
        <v>0.5</v>
      </c>
      <c r="N12" s="7"/>
      <c r="P12" s="21" t="s">
        <v>69</v>
      </c>
      <c r="Q12" s="19">
        <v>600</v>
      </c>
      <c r="R12" s="7" t="s">
        <v>70</v>
      </c>
    </row>
    <row r="13" spans="12:18" ht="18">
      <c r="L13" s="6" t="s">
        <v>91</v>
      </c>
      <c r="M13" s="7">
        <f>9900/(48.3+M12*(M11/M10))^0.5</f>
        <v>1321.1801057457346</v>
      </c>
      <c r="N13" s="7" t="s">
        <v>33</v>
      </c>
      <c r="P13" s="6" t="s">
        <v>31</v>
      </c>
      <c r="Q13" s="43">
        <f>(10.33-(Q12/900))*1000/998.23</f>
        <v>9.6804677612707835</v>
      </c>
      <c r="R13" s="7" t="s">
        <v>70</v>
      </c>
    </row>
    <row r="14" spans="12:18" ht="18.75">
      <c r="L14" s="6" t="s">
        <v>3</v>
      </c>
      <c r="M14" s="7">
        <v>9.81</v>
      </c>
      <c r="N14" s="7" t="s">
        <v>82</v>
      </c>
      <c r="P14" s="17" t="s">
        <v>45</v>
      </c>
      <c r="Q14" s="43">
        <v>2.13</v>
      </c>
      <c r="R14" s="7" t="s">
        <v>70</v>
      </c>
    </row>
    <row r="15" spans="12:18" ht="18">
      <c r="L15" s="6" t="s">
        <v>93</v>
      </c>
      <c r="M15" s="7">
        <v>2.5</v>
      </c>
      <c r="N15" s="7"/>
      <c r="P15" s="6" t="s">
        <v>94</v>
      </c>
      <c r="Q15" s="18">
        <f>Q11+Q13+Q10+Q14</f>
        <v>26.033102827529699</v>
      </c>
      <c r="R15" s="7" t="s">
        <v>2</v>
      </c>
    </row>
    <row r="16" spans="12:18" ht="18">
      <c r="L16" s="6" t="s">
        <v>92</v>
      </c>
      <c r="M16" s="7">
        <v>0.5</v>
      </c>
      <c r="N16" s="7"/>
    </row>
    <row r="17" spans="12:14" ht="17.25">
      <c r="L17" s="6" t="s">
        <v>1</v>
      </c>
      <c r="M17" s="52">
        <v>1.333E-2</v>
      </c>
      <c r="N17" s="7" t="s">
        <v>83</v>
      </c>
    </row>
    <row r="18" spans="12:14">
      <c r="L18" s="6" t="s">
        <v>85</v>
      </c>
      <c r="M18" s="43">
        <f>(((1+M15+M16)/((M17^2/(M11*0.0254)^4)+(M14*PI()^2/8)*Q15))^0.25*(M17-0.1*PI()*(M11*0.0254)^2*M14*Q15/(4*M13))^0.5)/0.0254</f>
        <v>1.515489346388889</v>
      </c>
      <c r="N18" s="7" t="s">
        <v>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599CF-E1AE-4FD6-8FB2-E3490EBDC570}">
  <sheetPr codeName="Planilha2"/>
  <dimension ref="A1"/>
  <sheetViews>
    <sheetView zoomScale="140" zoomScaleNormal="140" workbookViewId="0">
      <selection activeCell="N13" sqref="N13"/>
    </sheetView>
  </sheetViews>
  <sheetFormatPr defaultColWidth="8.7109375" defaultRowHeight="15"/>
  <cols>
    <col min="1" max="16384" width="8.7109375" style="4"/>
  </cols>
  <sheetData/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67919-9892-4B81-8D46-9BA21712716F}">
  <sheetPr codeName="Planilha4"/>
  <dimension ref="A1"/>
  <sheetViews>
    <sheetView workbookViewId="0">
      <selection activeCell="N13" sqref="N13"/>
    </sheetView>
  </sheetViews>
  <sheetFormatPr defaultColWidth="8.7109375" defaultRowHeight="15"/>
  <cols>
    <col min="1" max="16384" width="8.7109375" style="4"/>
  </cols>
  <sheetData/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77FB6-5DDC-481A-BD69-C04A7FB36CD1}">
  <sheetPr codeName="Planilha10"/>
  <dimension ref="A1:D16"/>
  <sheetViews>
    <sheetView workbookViewId="0">
      <selection activeCell="A8" sqref="A8:XFD8"/>
    </sheetView>
  </sheetViews>
  <sheetFormatPr defaultColWidth="8.7109375" defaultRowHeight="15"/>
  <cols>
    <col min="1" max="1" width="8.7109375" style="4"/>
    <col min="2" max="2" width="15.140625" style="4" customWidth="1"/>
    <col min="3" max="3" width="17.140625" style="4" customWidth="1"/>
    <col min="4" max="4" width="18" style="4" customWidth="1"/>
    <col min="5" max="16384" width="8.7109375" style="4"/>
  </cols>
  <sheetData>
    <row r="1" spans="1:4" ht="24" thickBot="1">
      <c r="A1" s="37" t="s">
        <v>72</v>
      </c>
      <c r="B1" s="38" t="s">
        <v>73</v>
      </c>
      <c r="C1" s="39" t="s">
        <v>71</v>
      </c>
      <c r="D1" s="40" t="s">
        <v>74</v>
      </c>
    </row>
    <row r="2" spans="1:4" ht="19.5" thickBot="1">
      <c r="A2" s="41">
        <v>0</v>
      </c>
      <c r="B2" s="42">
        <v>999.87</v>
      </c>
      <c r="C2" s="42">
        <v>1.8280000000000001</v>
      </c>
      <c r="D2" s="42">
        <v>8.6599999999999996E-2</v>
      </c>
    </row>
    <row r="3" spans="1:4" ht="19.5" thickBot="1">
      <c r="A3" s="41">
        <v>2</v>
      </c>
      <c r="B3" s="42">
        <v>999.87</v>
      </c>
      <c r="C3" s="42">
        <v>1.7070000000000001</v>
      </c>
      <c r="D3" s="42">
        <v>0.10249999999999999</v>
      </c>
    </row>
    <row r="4" spans="1:4" ht="19.5" thickBot="1">
      <c r="A4" s="41">
        <v>4</v>
      </c>
      <c r="B4" s="42">
        <v>1000</v>
      </c>
      <c r="C4" s="42">
        <v>1.5980000000000001</v>
      </c>
      <c r="D4" s="42">
        <v>0.1181</v>
      </c>
    </row>
    <row r="5" spans="1:4" ht="19.5" thickBot="1">
      <c r="A5" s="41">
        <v>5</v>
      </c>
      <c r="B5" s="42">
        <v>999.99</v>
      </c>
      <c r="C5" s="42">
        <v>1.548</v>
      </c>
      <c r="D5" s="42">
        <v>0.12670000000000001</v>
      </c>
    </row>
    <row r="6" spans="1:4" ht="19.5" thickBot="1">
      <c r="A6" s="41">
        <v>10</v>
      </c>
      <c r="B6" s="42">
        <v>999.73</v>
      </c>
      <c r="C6" s="42">
        <v>1.335</v>
      </c>
      <c r="D6" s="42">
        <v>0.16520000000000001</v>
      </c>
    </row>
    <row r="7" spans="1:4" ht="19.5" thickBot="1">
      <c r="A7" s="41">
        <v>15</v>
      </c>
      <c r="B7" s="42">
        <v>999.13</v>
      </c>
      <c r="C7" s="42">
        <v>1.167</v>
      </c>
      <c r="D7" s="42">
        <v>0.2475</v>
      </c>
    </row>
    <row r="8" spans="1:4" ht="19.5" thickBot="1">
      <c r="A8" s="41">
        <v>20</v>
      </c>
      <c r="B8" s="42">
        <v>998.23</v>
      </c>
      <c r="C8" s="42">
        <v>1.0289999999999999</v>
      </c>
      <c r="D8" s="42">
        <v>0.31619999999999998</v>
      </c>
    </row>
    <row r="9" spans="1:4" ht="19.5" thickBot="1">
      <c r="A9" s="41">
        <v>30</v>
      </c>
      <c r="B9" s="42">
        <v>995.67</v>
      </c>
      <c r="C9" s="42">
        <v>0.81499999999999995</v>
      </c>
      <c r="D9" s="42">
        <v>0.57720000000000005</v>
      </c>
    </row>
    <row r="10" spans="1:4" ht="19.5" thickBot="1">
      <c r="A10" s="41">
        <v>40</v>
      </c>
      <c r="B10" s="42">
        <v>992.24</v>
      </c>
      <c r="C10" s="42">
        <v>0.66600000000000004</v>
      </c>
      <c r="D10" s="42">
        <v>1.0072000000000001</v>
      </c>
    </row>
    <row r="11" spans="1:4" ht="19.5" thickBot="1">
      <c r="A11" s="41">
        <v>50</v>
      </c>
      <c r="B11" s="42">
        <v>988</v>
      </c>
      <c r="C11" s="42">
        <v>0.56000000000000005</v>
      </c>
      <c r="D11" s="42">
        <v>1.6919999999999999</v>
      </c>
    </row>
    <row r="12" spans="1:4" ht="19.5" thickBot="1">
      <c r="A12" s="41">
        <v>60</v>
      </c>
      <c r="B12" s="42">
        <v>983</v>
      </c>
      <c r="C12" s="42">
        <v>0.47899999999999998</v>
      </c>
      <c r="D12" s="42">
        <v>2.742</v>
      </c>
    </row>
    <row r="13" spans="1:4" ht="19.5" thickBot="1">
      <c r="A13" s="41">
        <v>70</v>
      </c>
      <c r="B13" s="42">
        <v>978</v>
      </c>
      <c r="C13" s="42">
        <v>0.41499999999999998</v>
      </c>
      <c r="D13" s="42">
        <v>4.3049999999999997</v>
      </c>
    </row>
    <row r="14" spans="1:4" ht="19.5" thickBot="1">
      <c r="A14" s="41">
        <v>80</v>
      </c>
      <c r="B14" s="42">
        <v>972</v>
      </c>
      <c r="C14" s="42">
        <v>0.36399999999999999</v>
      </c>
      <c r="D14" s="42">
        <v>6.5650000000000004</v>
      </c>
    </row>
    <row r="15" spans="1:4" ht="19.5" thickBot="1">
      <c r="A15" s="41">
        <v>90</v>
      </c>
      <c r="B15" s="42">
        <v>965</v>
      </c>
      <c r="C15" s="42">
        <v>0.32300000000000001</v>
      </c>
      <c r="D15" s="42">
        <v>9.7439999999999998</v>
      </c>
    </row>
    <row r="16" spans="1:4" ht="19.5" thickBot="1">
      <c r="A16" s="41">
        <v>100</v>
      </c>
      <c r="B16" s="42">
        <v>958</v>
      </c>
      <c r="C16" s="42">
        <v>0.28999999999999998</v>
      </c>
      <c r="D16" s="42">
        <v>14.696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DDD69-E7C6-4718-94B3-48D42B730B39}">
  <sheetPr codeName="Planilha13"/>
  <dimension ref="A1"/>
  <sheetViews>
    <sheetView workbookViewId="0">
      <selection activeCell="D16" sqref="D16"/>
    </sheetView>
  </sheetViews>
  <sheetFormatPr defaultColWidth="8.7109375" defaultRowHeight="15"/>
  <cols>
    <col min="1" max="16384" width="8.7109375" style="4"/>
  </cols>
  <sheetData/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F59D4-C73D-4FDE-9D43-106581F7E1DC}">
  <sheetPr codeName="Planilha14"/>
  <dimension ref="D22"/>
  <sheetViews>
    <sheetView topLeftCell="A2" workbookViewId="0">
      <selection activeCell="O12" sqref="O12"/>
    </sheetView>
  </sheetViews>
  <sheetFormatPr defaultColWidth="8.7109375" defaultRowHeight="15"/>
  <cols>
    <col min="1" max="16384" width="8.7109375" style="4"/>
  </cols>
  <sheetData>
    <row r="22" spans="4:4" ht="18.75">
      <c r="D22" s="61" t="s">
        <v>106</v>
      </c>
    </row>
  </sheetData>
  <pageMargins left="0.511811024" right="0.511811024" top="0.78740157499999996" bottom="0.78740157499999996" header="0.31496062000000002" footer="0.31496062000000002"/>
  <pageSetup paperSize="9" orientation="portrait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0764C-07D1-451D-A61D-244CC8237906}">
  <sheetPr codeName="Planilha15"/>
  <dimension ref="M7:O12"/>
  <sheetViews>
    <sheetView zoomScale="110" zoomScaleNormal="110" workbookViewId="0">
      <selection activeCell="P14" sqref="P14"/>
    </sheetView>
  </sheetViews>
  <sheetFormatPr defaultColWidth="8.7109375" defaultRowHeight="15"/>
  <cols>
    <col min="1" max="16384" width="8.7109375" style="4"/>
  </cols>
  <sheetData>
    <row r="7" spans="13:15" ht="18.75">
      <c r="M7" s="1" t="s">
        <v>99</v>
      </c>
      <c r="N7" s="24">
        <f>800*0.001*(1/0.3048^3)/60</f>
        <v>0.4708622229531812</v>
      </c>
      <c r="O7" s="24" t="s">
        <v>109</v>
      </c>
    </row>
    <row r="8" spans="13:15" ht="18">
      <c r="M8" s="1" t="s">
        <v>30</v>
      </c>
      <c r="N8" s="44">
        <v>50.8</v>
      </c>
      <c r="O8" s="24" t="s">
        <v>49</v>
      </c>
    </row>
    <row r="9" spans="13:15">
      <c r="M9" s="62" t="s">
        <v>105</v>
      </c>
      <c r="N9" s="44">
        <f>8/12</f>
        <v>0.66666666666666663</v>
      </c>
      <c r="O9" s="24" t="s">
        <v>107</v>
      </c>
    </row>
    <row r="10" spans="13:15">
      <c r="M10" s="62" t="s">
        <v>18</v>
      </c>
      <c r="N10" s="44">
        <v>1750</v>
      </c>
      <c r="O10" s="24" t="s">
        <v>19</v>
      </c>
    </row>
    <row r="11" spans="13:15">
      <c r="M11" s="62" t="s">
        <v>110</v>
      </c>
      <c r="N11" s="44">
        <f>N10*N7^0.5/N8^0.75</f>
        <v>63.108402792534378</v>
      </c>
      <c r="O11" s="24" t="s">
        <v>19</v>
      </c>
    </row>
    <row r="12" spans="13:15">
      <c r="M12" s="62" t="s">
        <v>108</v>
      </c>
      <c r="N12" s="44">
        <f>N9*N8^0.25/N7^0.5</f>
        <v>2.5937477941585958</v>
      </c>
      <c r="O12" s="24" t="s">
        <v>17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56E05-B9FF-4C4C-BACF-0F2028B5470A}">
  <sheetPr codeName="Planilha16"/>
  <dimension ref="A1"/>
  <sheetViews>
    <sheetView topLeftCell="A4" zoomScale="120" zoomScaleNormal="120" workbookViewId="0">
      <selection activeCell="L11" sqref="L11"/>
    </sheetView>
  </sheetViews>
  <sheetFormatPr defaultColWidth="8.7109375" defaultRowHeight="15"/>
  <cols>
    <col min="1" max="16384" width="8.7109375" style="4"/>
  </cols>
  <sheetData/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0F7DA-1763-490B-A76A-82E416B808E1}">
  <sheetPr codeName="Planilha17"/>
  <dimension ref="A1"/>
  <sheetViews>
    <sheetView topLeftCell="A4" workbookViewId="0">
      <selection activeCell="O19" sqref="O19"/>
    </sheetView>
  </sheetViews>
  <sheetFormatPr defaultColWidth="8.7109375" defaultRowHeight="15"/>
  <cols>
    <col min="1" max="16384" width="8.7109375" style="4"/>
  </cols>
  <sheetData/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963D8-137A-4E5B-B4EB-86F895FB1C12}">
  <sheetPr codeName="Planilha5"/>
  <dimension ref="C1:F4"/>
  <sheetViews>
    <sheetView zoomScale="150" zoomScaleNormal="150" workbookViewId="0">
      <selection activeCell="E1" sqref="E1"/>
    </sheetView>
  </sheetViews>
  <sheetFormatPr defaultColWidth="8.7109375" defaultRowHeight="15"/>
  <cols>
    <col min="1" max="1" width="22.7109375" style="4" customWidth="1"/>
    <col min="2" max="2" width="32.28515625" style="4" customWidth="1"/>
    <col min="3" max="3" width="20.42578125" style="4" customWidth="1"/>
    <col min="4" max="4" width="18.5703125" style="4" customWidth="1"/>
    <col min="5" max="5" width="15.85546875" style="4" customWidth="1"/>
    <col min="6" max="16384" width="8.7109375" style="4"/>
  </cols>
  <sheetData>
    <row r="1" spans="3:6" ht="15" customHeight="1" thickBot="1">
      <c r="C1" s="10" t="s">
        <v>12</v>
      </c>
      <c r="D1" s="11" t="s">
        <v>16</v>
      </c>
      <c r="E1" s="11">
        <v>1.4999999999999999E-4</v>
      </c>
      <c r="F1" s="11" t="s">
        <v>17</v>
      </c>
    </row>
    <row r="2" spans="3:6" ht="15" customHeight="1" thickBot="1">
      <c r="C2" s="12" t="s">
        <v>13</v>
      </c>
      <c r="D2" s="13" t="s">
        <v>16</v>
      </c>
      <c r="E2" s="13">
        <v>8.4999999999999995E-4</v>
      </c>
      <c r="F2" s="13" t="s">
        <v>17</v>
      </c>
    </row>
    <row r="3" spans="3:6" ht="15" customHeight="1" thickBot="1">
      <c r="C3" s="12" t="s">
        <v>14</v>
      </c>
      <c r="D3" s="13" t="s">
        <v>16</v>
      </c>
      <c r="E3" s="13">
        <v>5.0000000000000001E-4</v>
      </c>
      <c r="F3" s="13" t="s">
        <v>17</v>
      </c>
    </row>
    <row r="4" spans="3:6" ht="15" customHeight="1" thickBot="1">
      <c r="C4" s="12" t="s">
        <v>15</v>
      </c>
      <c r="D4" s="13" t="s">
        <v>16</v>
      </c>
      <c r="E4" s="14">
        <v>5.0000000000000004E-6</v>
      </c>
      <c r="F4" s="13" t="s">
        <v>17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9DFC3-8266-4E5B-AA35-64D2C314B797}">
  <sheetPr codeName="Planilha3"/>
  <dimension ref="A1"/>
  <sheetViews>
    <sheetView topLeftCell="A3" workbookViewId="0">
      <selection activeCell="N13" sqref="N13"/>
    </sheetView>
  </sheetViews>
  <sheetFormatPr defaultColWidth="8.7109375" defaultRowHeight="15"/>
  <cols>
    <col min="1" max="16384" width="8.7109375" style="4"/>
  </cols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17</vt:i4>
      </vt:variant>
    </vt:vector>
  </HeadingPairs>
  <TitlesOfParts>
    <vt:vector size="17" baseType="lpstr">
      <vt:lpstr>Enunciado</vt:lpstr>
      <vt:lpstr>Schedule</vt:lpstr>
      <vt:lpstr>Letra a</vt:lpstr>
      <vt:lpstr>Letra b-e</vt:lpstr>
      <vt:lpstr>Cavitação</vt:lpstr>
      <vt:lpstr>Raspagem</vt:lpstr>
      <vt:lpstr>Válvula de alívio</vt:lpstr>
      <vt:lpstr>Perdas</vt:lpstr>
      <vt:lpstr>Velocidade específica</vt:lpstr>
      <vt:lpstr>Propriedades da água</vt:lpstr>
      <vt:lpstr>Potência</vt:lpstr>
      <vt:lpstr>Mapa</vt:lpstr>
      <vt:lpstr>Mapa geral</vt:lpstr>
      <vt:lpstr>1750</vt:lpstr>
      <vt:lpstr>3550</vt:lpstr>
      <vt:lpstr>Rugosidade relativa</vt:lpstr>
      <vt:lpstr>Moody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Moreira</dc:creator>
  <cp:lastModifiedBy>Marcos Moreira</cp:lastModifiedBy>
  <dcterms:created xsi:type="dcterms:W3CDTF">2018-02-09T10:16:24Z</dcterms:created>
  <dcterms:modified xsi:type="dcterms:W3CDTF">2026-08-18T18:17:57Z</dcterms:modified>
</cp:coreProperties>
</file>