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ev\Desktop\Practicum\MS_CONV\MS_final_results\For_Github\"/>
    </mc:Choice>
  </mc:AlternateContent>
  <xr:revisionPtr revIDLastSave="0" documentId="13_ncr:1_{D07D42BF-0C63-4908-AA3C-9F5E8C92898B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total_time_patch_cam" sheetId="1" state="hidden" r:id="rId1"/>
    <sheet name="MSvsSingle" sheetId="2" state="hidden" r:id="rId2"/>
    <sheet name="Method2_FullPred" sheetId="3" r:id="rId3"/>
    <sheet name="Model_Structure" sheetId="4" r:id="rId4"/>
    <sheet name="Sheet2" sheetId="7" r:id="rId5"/>
    <sheet name="Different_run_times" sheetId="5" r:id="rId6"/>
  </sheets>
  <definedNames>
    <definedName name="_xlnm._FilterDatabase" localSheetId="5" hidden="1">Different_run_times!$B$4:$H$81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3" l="1"/>
  <c r="T5" i="3" s="1"/>
  <c r="AR109" i="5" l="1"/>
  <c r="AV97" i="5"/>
  <c r="AR97" i="5"/>
  <c r="AK97" i="5"/>
  <c r="AK96" i="5"/>
  <c r="AK93" i="5"/>
  <c r="AK91" i="5"/>
  <c r="AK85" i="5"/>
  <c r="AK84" i="5"/>
  <c r="AK80" i="5"/>
  <c r="AM85" i="5"/>
  <c r="AM82" i="5"/>
  <c r="AM78" i="5"/>
  <c r="AW80" i="5" l="1"/>
  <c r="AS83" i="5"/>
  <c r="AP87" i="5"/>
  <c r="AP83" i="5"/>
  <c r="AW74" i="5"/>
  <c r="AS75" i="5"/>
  <c r="AQ75" i="5"/>
  <c r="AO68" i="5"/>
  <c r="AH56" i="5"/>
  <c r="AD37" i="5"/>
  <c r="AK48" i="5"/>
  <c r="AK49" i="5" s="1"/>
  <c r="AO49" i="5"/>
  <c r="AO42" i="5"/>
  <c r="AO45" i="5" s="1"/>
  <c r="AQ38" i="5"/>
  <c r="AK40" i="5" l="1"/>
  <c r="AD49" i="5"/>
  <c r="AD47" i="5"/>
  <c r="AD46" i="5"/>
  <c r="AD45" i="5"/>
  <c r="AD44" i="5"/>
  <c r="AD43" i="5"/>
  <c r="AB24" i="5"/>
  <c r="AB22" i="5"/>
  <c r="AQ20" i="5" l="1"/>
  <c r="AM20" i="5"/>
  <c r="AO20" i="5"/>
  <c r="AO19" i="5"/>
  <c r="AO18" i="5"/>
  <c r="AD32" i="5"/>
  <c r="AD29" i="5"/>
  <c r="AD27" i="5"/>
  <c r="AL24" i="5"/>
  <c r="AE23" i="5" l="1"/>
  <c r="AJ20" i="5"/>
  <c r="AN24" i="5"/>
  <c r="AH28" i="5"/>
  <c r="AL26" i="5"/>
  <c r="X18" i="5"/>
  <c r="X17" i="5"/>
  <c r="R15" i="5"/>
  <c r="T16" i="5"/>
  <c r="AB14" i="5"/>
  <c r="AB11" i="5"/>
  <c r="Z15" i="5"/>
  <c r="W12" i="5"/>
  <c r="W11" i="5"/>
  <c r="W10" i="5"/>
  <c r="W9" i="5"/>
  <c r="W8" i="5"/>
  <c r="W7" i="5"/>
  <c r="W6" i="5"/>
  <c r="AL28" i="5" l="1"/>
  <c r="AL30" i="5" s="1"/>
  <c r="AN30" i="5" s="1"/>
  <c r="S9" i="3" l="1"/>
  <c r="S8" i="3"/>
  <c r="S7" i="3"/>
  <c r="S6" i="3"/>
  <c r="F7" i="7"/>
  <c r="F6" i="7"/>
  <c r="F5" i="7"/>
  <c r="G8" i="7"/>
  <c r="K19" i="4"/>
  <c r="N6" i="3" l="1"/>
  <c r="N5" i="3"/>
  <c r="C13" i="3"/>
  <c r="C12" i="3"/>
  <c r="T9" i="3"/>
  <c r="T8" i="3"/>
  <c r="T7" i="3"/>
  <c r="T6" i="3"/>
  <c r="N9" i="3"/>
  <c r="K19" i="3"/>
  <c r="K21" i="3"/>
  <c r="O6" i="3" l="1"/>
  <c r="U6" i="3" s="1"/>
  <c r="W6" i="3" s="1"/>
  <c r="O7" i="3"/>
  <c r="O8" i="3"/>
  <c r="U8" i="3" s="1"/>
  <c r="W8" i="3" s="1"/>
  <c r="O9" i="3"/>
  <c r="O5" i="3"/>
  <c r="U5" i="3" s="1"/>
  <c r="N7" i="3"/>
  <c r="N8" i="3"/>
  <c r="F7" i="1"/>
  <c r="F12" i="1"/>
  <c r="F17" i="1"/>
  <c r="F22" i="1"/>
  <c r="F27" i="1"/>
  <c r="F32" i="1"/>
  <c r="F2" i="1"/>
  <c r="W5" i="3" l="1"/>
  <c r="U7" i="3"/>
  <c r="W7" i="3" s="1"/>
  <c r="P19" i="3"/>
  <c r="Q20" i="3" s="1"/>
  <c r="U9" i="3"/>
  <c r="W9" i="3" s="1"/>
  <c r="P9" i="3"/>
  <c r="R9" i="3" s="1"/>
  <c r="P8" i="3"/>
  <c r="R8" i="3" s="1"/>
  <c r="P7" i="3"/>
  <c r="R7" i="3" s="1"/>
  <c r="P6" i="3"/>
  <c r="R6" i="3" s="1"/>
  <c r="P5" i="3"/>
  <c r="R5" i="3" s="1"/>
  <c r="W23" i="3" l="1"/>
</calcChain>
</file>

<file path=xl/sharedStrings.xml><?xml version="1.0" encoding="utf-8"?>
<sst xmlns="http://schemas.openxmlformats.org/spreadsheetml/2006/main" count="177" uniqueCount="103">
  <si>
    <t>epoch_no</t>
  </si>
  <si>
    <t>time_run</t>
  </si>
  <si>
    <t>optimizer</t>
  </si>
  <si>
    <t>Adam</t>
  </si>
  <si>
    <t>Total_time</t>
  </si>
  <si>
    <t>batch per rep</t>
  </si>
  <si>
    <t>single GPU run</t>
  </si>
  <si>
    <t>MS run</t>
  </si>
  <si>
    <t>epoch avg</t>
  </si>
  <si>
    <t>conv1</t>
  </si>
  <si>
    <t>conv2</t>
  </si>
  <si>
    <t>conv3</t>
  </si>
  <si>
    <t>conv4</t>
  </si>
  <si>
    <t>conv5</t>
  </si>
  <si>
    <t>conv6</t>
  </si>
  <si>
    <t>fc1</t>
  </si>
  <si>
    <t>fc2</t>
  </si>
  <si>
    <t>fc3</t>
  </si>
  <si>
    <t>lastlayer</t>
  </si>
  <si>
    <t>num_batches</t>
  </si>
  <si>
    <t>batchsize per rep</t>
  </si>
  <si>
    <t>MS prediction (ms)</t>
  </si>
  <si>
    <t>total (ms)</t>
  </si>
  <si>
    <t>batch_size_global</t>
  </si>
  <si>
    <t xml:space="preserve">optimizer: </t>
  </si>
  <si>
    <t>numGPUs:</t>
  </si>
  <si>
    <t>% diff</t>
  </si>
  <si>
    <t>Model: "sequential_18"</t>
  </si>
  <si>
    <t>_________________________________________________________________</t>
  </si>
  <si>
    <t xml:space="preserve">Layer (type)                 Output Shape              Param #   </t>
  </si>
  <si>
    <t>=================================================================</t>
  </si>
  <si>
    <t xml:space="preserve">conv2d_34 (Conv2D)           (None, 96, 96, 256)       7168      </t>
  </si>
  <si>
    <t xml:space="preserve">max_pooling2d_29 (MaxPooling (None, 48, 48, 256)       0         </t>
  </si>
  <si>
    <t xml:space="preserve">conv2d_35 (Conv2D)           (None, 48, 48, 256)       590080    </t>
  </si>
  <si>
    <t xml:space="preserve">max_pooling2d_30 (MaxPooling (None, 24, 24, 256)       0         </t>
  </si>
  <si>
    <t xml:space="preserve">conv2d_36 (Conv2D)           (None, 24, 24, 512)       1180160   </t>
  </si>
  <si>
    <t xml:space="preserve">max_pooling2d_31 (MaxPooling (None, 12, 12, 512)       0         </t>
  </si>
  <si>
    <t xml:space="preserve">conv2d_37 (Conv2D)           (None, 12, 12, 512)       2359808   </t>
  </si>
  <si>
    <t xml:space="preserve">max_pooling2d_32 (MaxPooling (None, 6, 6, 512)         0         </t>
  </si>
  <si>
    <t xml:space="preserve">conv2d_38 (Conv2D)           (None, 6, 6, 1024)        4719616   </t>
  </si>
  <si>
    <t xml:space="preserve">max_pooling2d_33 (MaxPooling (None, 3, 3, 1024)        0         </t>
  </si>
  <si>
    <t xml:space="preserve">conv2d_39 (Conv2D)           (None, 3, 3, 1024)        9438208   </t>
  </si>
  <si>
    <t xml:space="preserve">max_pooling2d_34 (MaxPooling (None, 1, 1, 1024)        0         </t>
  </si>
  <si>
    <t xml:space="preserve">flatten_6 (Flatten)          (None, 1024)              0         </t>
  </si>
  <si>
    <t xml:space="preserve">dense_19 (Dense)             (None, 1028)              1053700   </t>
  </si>
  <si>
    <t xml:space="preserve">dense_20 (Dense)             (None, 512)               526848    </t>
  </si>
  <si>
    <t xml:space="preserve">dense_21 (Dense)             (None, 128)               65664     </t>
  </si>
  <si>
    <t xml:space="preserve">dense_22 (Dense)             (None, 1)                 129       </t>
  </si>
  <si>
    <t>Total params: 19,941,381</t>
  </si>
  <si>
    <t>Trainable params: 19,941,381</t>
  </si>
  <si>
    <t>Non-trainable params: 0</t>
  </si>
  <si>
    <t>Total Predicted Run Time</t>
  </si>
  <si>
    <t>Total Actual Run Time</t>
  </si>
  <si>
    <t>Lease 1 - P100 GPU</t>
  </si>
  <si>
    <t>Lease 2 - P100 GPU</t>
  </si>
  <si>
    <t>Total run time for model of differnet batch sizes on the same GPU</t>
  </si>
  <si>
    <t>batch_size_per_replica</t>
  </si>
  <si>
    <t>data_size</t>
  </si>
  <si>
    <t>batch_size_model</t>
  </si>
  <si>
    <t>num_epochs</t>
  </si>
  <si>
    <t>time_run(sec)</t>
  </si>
  <si>
    <t>Lease 1- P100 GPU</t>
  </si>
  <si>
    <t>Lease 2- P100 GPU</t>
  </si>
  <si>
    <t>predictions from singleGPU model (ms) for each layer</t>
  </si>
  <si>
    <t>Different Run times for the same model on type of P100 GPU</t>
  </si>
  <si>
    <t>Model Structure used for the Patch_Camelyon dataset model</t>
  </si>
  <si>
    <t>MirroredStrategy - patch_camelyon model: Actual vs Predicted run times</t>
  </si>
  <si>
    <t>Epic</t>
  </si>
  <si>
    <t>Understanding &amp; replicating results of original paper</t>
  </si>
  <si>
    <t>Using TF MirrorStrategy &amp; applying same approach</t>
  </si>
  <si>
    <t>Modifying TF Mirrored Strategy</t>
  </si>
  <si>
    <t>Story</t>
  </si>
  <si>
    <t>Model</t>
  </si>
  <si>
    <t># Layers</t>
  </si>
  <si>
    <t># Parameters</t>
  </si>
  <si>
    <t>Training Time</t>
  </si>
  <si>
    <t>VGG16</t>
  </si>
  <si>
    <t>AlexNet</t>
  </si>
  <si>
    <t>GoogleNet</t>
  </si>
  <si>
    <t>MNIST data CNN model</t>
  </si>
  <si>
    <t>A new model</t>
  </si>
  <si>
    <t>X</t>
  </si>
  <si>
    <t>140 M</t>
  </si>
  <si>
    <t>62 M</t>
  </si>
  <si>
    <t>7 M</t>
  </si>
  <si>
    <t>24 k</t>
  </si>
  <si>
    <t>Y</t>
  </si>
  <si>
    <t>3 weeks</t>
  </si>
  <si>
    <t>6 days</t>
  </si>
  <si>
    <t>1 week</t>
  </si>
  <si>
    <t>20-30 minutes</t>
  </si>
  <si>
    <t>??</t>
  </si>
  <si>
    <t>Predicted_Total_time(sec)</t>
  </si>
  <si>
    <t>Actual_Total_time(sec)</t>
  </si>
  <si>
    <t>% error</t>
  </si>
  <si>
    <t>General Professionalism &amp; Attitude</t>
  </si>
  <si>
    <t>Problem Solving Skills</t>
  </si>
  <si>
    <t>Overall Execution</t>
  </si>
  <si>
    <t>Technical Performance</t>
  </si>
  <si>
    <t>Communication</t>
  </si>
  <si>
    <t xml:space="preserve">Correction Factor: </t>
  </si>
  <si>
    <t>Run_time_with_correction</t>
  </si>
  <si>
    <t>Overall_run_time_with_correction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</si>
</sst>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ourier New"/>
      <family val="3"/>
    </font>
    <font>
      <b/>
      <i/>
      <u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4" fontId="18" fillId="0" borderId="10" xfId="0" applyNumberFormat="1" applyFon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0" xfId="0" applyFont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9" fontId="0" fillId="0" borderId="30" xfId="42" applyFont="1" applyBorder="1" applyAlignment="1">
      <alignment horizontal="center"/>
    </xf>
    <xf numFmtId="4" fontId="18" fillId="0" borderId="21" xfId="0" applyNumberFormat="1" applyFont="1" applyBorder="1" applyAlignment="1">
      <alignment horizontal="center" vertical="center"/>
    </xf>
    <xf numFmtId="9" fontId="0" fillId="0" borderId="34" xfId="42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Fill="1" applyBorder="1"/>
    <xf numFmtId="0" fontId="0" fillId="0" borderId="35" xfId="0" applyBorder="1" applyAlignment="1">
      <alignment horizontal="center"/>
    </xf>
    <xf numFmtId="4" fontId="18" fillId="0" borderId="36" xfId="0" applyNumberFormat="1" applyFont="1" applyBorder="1" applyAlignment="1">
      <alignment horizontal="center" vertical="center"/>
    </xf>
    <xf numFmtId="4" fontId="18" fillId="0" borderId="2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4" fontId="18" fillId="0" borderId="43" xfId="0" applyNumberFormat="1" applyFont="1" applyBorder="1" applyAlignment="1">
      <alignment horizontal="center" vertical="center"/>
    </xf>
    <xf numFmtId="4" fontId="18" fillId="0" borderId="44" xfId="0" applyNumberFormat="1" applyFont="1" applyBorder="1" applyAlignment="1">
      <alignment horizontal="center" vertical="center"/>
    </xf>
    <xf numFmtId="0" fontId="0" fillId="0" borderId="35" xfId="0" applyBorder="1"/>
    <xf numFmtId="4" fontId="0" fillId="0" borderId="36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4" fontId="18" fillId="0" borderId="38" xfId="0" applyNumberFormat="1" applyFont="1" applyBorder="1" applyAlignment="1">
      <alignment horizontal="center" vertical="center"/>
    </xf>
    <xf numFmtId="4" fontId="18" fillId="0" borderId="3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46" xfId="0" applyBorder="1"/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0" fillId="0" borderId="4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29" xfId="0" applyBorder="1" applyAlignment="1">
      <alignment horizontal="center"/>
    </xf>
    <xf numFmtId="4" fontId="0" fillId="0" borderId="29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4" fontId="0" fillId="0" borderId="40" xfId="0" applyNumberForma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0" fillId="33" borderId="40" xfId="0" applyFill="1" applyBorder="1" applyAlignment="1">
      <alignment horizontal="center"/>
    </xf>
    <xf numFmtId="4" fontId="18" fillId="33" borderId="37" xfId="0" applyNumberFormat="1" applyFont="1" applyFill="1" applyBorder="1" applyAlignment="1">
      <alignment horizontal="center" vertical="center"/>
    </xf>
    <xf numFmtId="4" fontId="18" fillId="33" borderId="32" xfId="0" applyNumberFormat="1" applyFont="1" applyFill="1" applyBorder="1" applyAlignment="1">
      <alignment horizontal="center" vertical="center"/>
    </xf>
    <xf numFmtId="4" fontId="18" fillId="33" borderId="45" xfId="0" applyNumberFormat="1" applyFont="1" applyFill="1" applyBorder="1" applyAlignment="1">
      <alignment horizontal="center" vertical="center"/>
    </xf>
    <xf numFmtId="4" fontId="18" fillId="33" borderId="40" xfId="0" applyNumberFormat="1" applyFont="1" applyFill="1" applyBorder="1" applyAlignment="1">
      <alignment horizontal="center" vertical="center"/>
    </xf>
    <xf numFmtId="4" fontId="0" fillId="33" borderId="37" xfId="0" applyNumberFormat="1" applyFill="1" applyBorder="1" applyAlignment="1">
      <alignment horizontal="center"/>
    </xf>
    <xf numFmtId="0" fontId="0" fillId="33" borderId="32" xfId="0" applyNumberFormat="1" applyFill="1" applyBorder="1" applyAlignment="1">
      <alignment horizontal="center"/>
    </xf>
    <xf numFmtId="3" fontId="0" fillId="33" borderId="32" xfId="0" applyNumberFormat="1" applyFill="1" applyBorder="1" applyAlignment="1">
      <alignment horizontal="center"/>
    </xf>
    <xf numFmtId="9" fontId="0" fillId="33" borderId="33" xfId="4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4" fontId="18" fillId="33" borderId="0" xfId="0" applyNumberFormat="1" applyFont="1" applyFill="1" applyBorder="1" applyAlignment="1">
      <alignment horizontal="center" vertical="center"/>
    </xf>
    <xf numFmtId="4" fontId="0" fillId="33" borderId="0" xfId="0" applyNumberFormat="1" applyFill="1" applyBorder="1" applyAlignment="1">
      <alignment horizontal="center"/>
    </xf>
    <xf numFmtId="0" fontId="0" fillId="33" borderId="0" xfId="0" applyNumberFormat="1" applyFill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9" fontId="0" fillId="0" borderId="0" xfId="42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8" xfId="0" applyBorder="1" applyAlignment="1">
      <alignment horizontal="center"/>
    </xf>
    <xf numFmtId="4" fontId="18" fillId="0" borderId="49" xfId="0" applyNumberFormat="1" applyFont="1" applyBorder="1" applyAlignment="1">
      <alignment horizontal="center" vertical="center"/>
    </xf>
    <xf numFmtId="4" fontId="18" fillId="0" borderId="50" xfId="0" applyNumberFormat="1" applyFont="1" applyBorder="1" applyAlignment="1">
      <alignment horizontal="center" vertical="center"/>
    </xf>
    <xf numFmtId="4" fontId="18" fillId="33" borderId="51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16" fillId="0" borderId="10" xfId="0" applyFont="1" applyBorder="1" applyAlignment="1">
      <alignment horizontal="center"/>
    </xf>
    <xf numFmtId="10" fontId="0" fillId="0" borderId="0" xfId="42" applyNumberFormat="1" applyFont="1"/>
    <xf numFmtId="10" fontId="0" fillId="0" borderId="0" xfId="0" applyNumberFormat="1" applyFill="1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5" xfId="0" applyBorder="1"/>
    <xf numFmtId="0" fontId="0" fillId="0" borderId="52" xfId="0" applyFill="1" applyBorder="1"/>
    <xf numFmtId="0" fontId="0" fillId="0" borderId="53" xfId="0" applyBorder="1" applyAlignment="1">
      <alignment horizontal="left"/>
    </xf>
    <xf numFmtId="0" fontId="0" fillId="0" borderId="11" xfId="0" applyFill="1" applyBorder="1"/>
    <xf numFmtId="0" fontId="0" fillId="0" borderId="12" xfId="0" applyFill="1" applyBorder="1"/>
    <xf numFmtId="3" fontId="0" fillId="0" borderId="32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0" fontId="0" fillId="0" borderId="30" xfId="42" applyNumberFormat="1" applyFont="1" applyBorder="1" applyAlignment="1">
      <alignment horizontal="center"/>
    </xf>
    <xf numFmtId="10" fontId="0" fillId="0" borderId="33" xfId="42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MSvsSingle!$C$3</c:f>
              <c:strCache>
                <c:ptCount val="1"/>
                <c:pt idx="0">
                  <c:v>single GPU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MSvsSingle!$B$4:$B$8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MSvsSingle!$C$4:$C$8</c:f>
              <c:numCache>
                <c:formatCode>General</c:formatCode>
                <c:ptCount val="5"/>
                <c:pt idx="0">
                  <c:v>783.13891706666664</c:v>
                </c:pt>
                <c:pt idx="1">
                  <c:v>524.19328236666672</c:v>
                </c:pt>
                <c:pt idx="2">
                  <c:v>411.29268583333334</c:v>
                </c:pt>
                <c:pt idx="3">
                  <c:v>384.30254250000002</c:v>
                </c:pt>
                <c:pt idx="4">
                  <c:v>360.50750556666662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B-46AD-AEEE-7D73A6C11C39}"/>
            </c:ext>
          </c:extLst>
        </c:ser>
        <c:ser>
          <c:idx val="1"/>
          <c:order val="1"/>
          <c:tx>
            <c:strRef>
              <c:f>MSvsSingle!$D$3</c:f>
              <c:strCache>
                <c:ptCount val="1"/>
                <c:pt idx="0">
                  <c:v>MS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MSvsSingle!$B$4:$B$8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MSvsSingle!$D$4:$D$8</c:f>
              <c:numCache>
                <c:formatCode>General</c:formatCode>
                <c:ptCount val="5"/>
                <c:pt idx="0">
                  <c:v>619.67472489674822</c:v>
                </c:pt>
                <c:pt idx="1">
                  <c:v>377.7578815619147</c:v>
                </c:pt>
                <c:pt idx="2">
                  <c:v>265.86673625310232</c:v>
                </c:pt>
                <c:pt idx="3">
                  <c:v>233.81842788060467</c:v>
                </c:pt>
                <c:pt idx="4">
                  <c:v>213.18303187688136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B-46AD-AEEE-7D73A6C1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289648"/>
        <c:axId val="1660294544"/>
      </c:barChart>
      <c:catAx>
        <c:axId val="16602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94544"/>
        <c:crosses val="autoZero"/>
        <c:auto val="1"/>
        <c:lblAlgn val="ctr"/>
        <c:lblOffset val="100"/>
        <c:noMultiLvlLbl val="0"/>
      </c:catAx>
      <c:valAx>
        <c:axId val="16602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Method2_FullPred!$R$4</c:f>
              <c:strCache>
                <c:ptCount val="1"/>
                <c:pt idx="0">
                  <c:v>% diff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Method2_FullPred!$R$5:$R$9</c:f>
              <c:numCache>
                <c:formatCode>0%</c:formatCode>
                <c:ptCount val="5"/>
                <c:pt idx="0">
                  <c:v>0.10677895557782689</c:v>
                </c:pt>
                <c:pt idx="1">
                  <c:v>0.3387776326533366</c:v>
                </c:pt>
                <c:pt idx="2">
                  <c:v>0.33852568752586093</c:v>
                </c:pt>
                <c:pt idx="3">
                  <c:v>0.36832937508228253</c:v>
                </c:pt>
                <c:pt idx="4">
                  <c:v>0.42639491391386053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2-4EFB-B88F-55832D890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0295088"/>
        <c:axId val="1660296176"/>
      </c:barChart>
      <c:catAx>
        <c:axId val="1660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96176"/>
        <c:crosses val="autoZero"/>
        <c:auto val="1"/>
        <c:lblAlgn val="ctr"/>
        <c:lblOffset val="100"/>
        <c:noMultiLvlLbl val="0"/>
      </c:catAx>
      <c:valAx>
        <c:axId val="166029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Actual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Method2_FullPred!$P$4</c:f>
              <c:strCache>
                <c:ptCount val="1"/>
                <c:pt idx="0">
                  <c:v>Predicted_Total_time(sec)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Method2_FullPred!$P$5:$P$9</c:f>
              <c:numCache>
                <c:formatCode>#,##0</c:formatCode>
                <c:ptCount val="5"/>
                <c:pt idx="0">
                  <c:v>685.84294481919994</c:v>
                </c:pt>
                <c:pt idx="1">
                  <c:v>505.73380239360006</c:v>
                </c:pt>
                <c:pt idx="2">
                  <c:v>355.86945593344007</c:v>
                </c:pt>
                <c:pt idx="3">
                  <c:v>319.94062330458996</c:v>
                </c:pt>
                <c:pt idx="4">
                  <c:v>304.08319240191997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F-4518-87A4-08258A092BA4}"/>
            </c:ext>
          </c:extLst>
        </c:ser>
        <c:ser>
          <c:idx val="1"/>
          <c:order val="1"/>
          <c:tx>
            <c:strRef>
              <c:f>Method2_FullPred!$Q$4</c:f>
              <c:strCache>
                <c:ptCount val="1"/>
                <c:pt idx="0">
                  <c:v>Actual_Total_time(sec)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Method2_FullPred!$Q$5:$Q$9</c:f>
              <c:numCache>
                <c:formatCode>#,##0</c:formatCode>
                <c:ptCount val="5"/>
                <c:pt idx="0">
                  <c:v>619.67472489674799</c:v>
                </c:pt>
                <c:pt idx="1">
                  <c:v>377.75788156191499</c:v>
                </c:pt>
                <c:pt idx="2">
                  <c:v>265.86673625310198</c:v>
                </c:pt>
                <c:pt idx="3">
                  <c:v>233.81842788060499</c:v>
                </c:pt>
                <c:pt idx="4">
                  <c:v>213.18303187688136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F-4518-87A4-08258A092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231928"/>
        <c:axId val="1011232248"/>
      </c:barChart>
      <c:lineChart>
        <c:grouping val="standard"/>
        <c:varyColors val="0"/>
        <c:ser>
          <c:idx val="2"/>
          <c:order val="2"/>
          <c:tx>
            <c:strRef>
              <c:f>Method2_FullPred!$R$4</c:f>
              <c:strCache>
                <c:ptCount val="1"/>
                <c:pt idx="0">
                  <c:v>%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Method2_FullPred!$R$5:$R$9</c:f>
              <c:numCache>
                <c:formatCode>0%</c:formatCode>
                <c:ptCount val="5"/>
                <c:pt idx="0">
                  <c:v>0.10677895557782689</c:v>
                </c:pt>
                <c:pt idx="1">
                  <c:v>0.3387776326533366</c:v>
                </c:pt>
                <c:pt idx="2">
                  <c:v>0.33852568752586093</c:v>
                </c:pt>
                <c:pt idx="3">
                  <c:v>0.36832937508228253</c:v>
                </c:pt>
                <c:pt idx="4">
                  <c:v>0.42639491391386053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D-4343-9653-52E6422F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72400"/>
        <c:axId val="537469136"/>
      </c:lineChart>
      <c:catAx>
        <c:axId val="101123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32248"/>
        <c:crosses val="autoZero"/>
        <c:auto val="1"/>
        <c:lblAlgn val="ctr"/>
        <c:lblOffset val="100"/>
        <c:noMultiLvlLbl val="0"/>
      </c:catAx>
      <c:valAx>
        <c:axId val="10112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per epoch(seconds)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31928"/>
        <c:crosses val="autoZero"/>
        <c:crossBetween val="between"/>
      </c:valAx>
      <c:valAx>
        <c:axId val="5374691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2400"/>
        <c:crosses val="max"/>
        <c:crossBetween val="between"/>
      </c:valAx>
      <c:catAx>
        <c:axId val="53727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46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Actual run time- with correction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Method2_FullPred!$U$4</c:f>
              <c:strCache>
                <c:ptCount val="1"/>
                <c:pt idx="0">
                  <c:v>Predicted_Total_time(sec)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Method2_FullPred!$U$5:$U$9</c:f>
              <c:numCache>
                <c:formatCode>#,##0</c:formatCode>
                <c:ptCount val="5"/>
                <c:pt idx="0">
                  <c:v>483.38716590079991</c:v>
                </c:pt>
                <c:pt idx="1">
                  <c:v>350.28543324160006</c:v>
                </c:pt>
                <c:pt idx="2">
                  <c:v>243.86145591296003</c:v>
                </c:pt>
                <c:pt idx="3">
                  <c:v>217.73718354849328</c:v>
                </c:pt>
                <c:pt idx="4">
                  <c:v>206.07456609621332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368-A5F9-38E307F6F65C}"/>
            </c:ext>
          </c:extLst>
        </c:ser>
        <c:ser>
          <c:idx val="1"/>
          <c:order val="1"/>
          <c:tx>
            <c:strRef>
              <c:f>Method2_FullPred!$V$4</c:f>
              <c:strCache>
                <c:ptCount val="1"/>
                <c:pt idx="0">
                  <c:v>Actual_Total_time(sec)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Method2_FullPred!$V$5:$V$9</c:f>
              <c:numCache>
                <c:formatCode>#,##0</c:formatCode>
                <c:ptCount val="5"/>
                <c:pt idx="0">
                  <c:v>619.67472489674799</c:v>
                </c:pt>
                <c:pt idx="1">
                  <c:v>377.75788156191499</c:v>
                </c:pt>
                <c:pt idx="2">
                  <c:v>265.86673625310198</c:v>
                </c:pt>
                <c:pt idx="3">
                  <c:v>233.81842788060499</c:v>
                </c:pt>
                <c:pt idx="4">
                  <c:v>213.18303187688136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7-4368-A5F9-38E307F6F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231928"/>
        <c:axId val="1011232248"/>
      </c:barChart>
      <c:lineChart>
        <c:grouping val="standard"/>
        <c:varyColors val="0"/>
        <c:ser>
          <c:idx val="2"/>
          <c:order val="2"/>
          <c:tx>
            <c:strRef>
              <c:f>Method2_FullPred!$W$4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Method2_FullPred!$B$5:$B$9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</c:numCache>
            </c:numRef>
          </c:cat>
          <c:val>
            <c:numRef>
              <c:f>Method2_FullPred!$W$5:$W$9</c:f>
              <c:numCache>
                <c:formatCode>0.00%</c:formatCode>
                <c:ptCount val="5"/>
                <c:pt idx="0">
                  <c:v>0.21993402912900265</c:v>
                </c:pt>
                <c:pt idx="1">
                  <c:v>7.2725016898984696E-2</c:v>
                </c:pt>
                <c:pt idx="2">
                  <c:v>8.2768083929059807E-2</c:v>
                </c:pt>
                <c:pt idx="3">
                  <c:v>6.8776633552267721E-2</c:v>
                </c:pt>
                <c:pt idx="4">
                  <c:v>3.3344425764492182E-2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7-4368-A5F9-38E307F6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72400"/>
        <c:axId val="537469136"/>
      </c:lineChart>
      <c:catAx>
        <c:axId val="101123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32248"/>
        <c:crosses val="autoZero"/>
        <c:auto val="1"/>
        <c:lblAlgn val="ctr"/>
        <c:lblOffset val="100"/>
        <c:noMultiLvlLbl val="0"/>
      </c:catAx>
      <c:valAx>
        <c:axId val="10112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per epoch(seconds)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31928"/>
        <c:crosses val="autoZero"/>
        <c:crossBetween val="between"/>
      </c:valAx>
      <c:valAx>
        <c:axId val="537469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2400"/>
        <c:crosses val="max"/>
        <c:crossBetween val="between"/>
      </c:valAx>
      <c:catAx>
        <c:axId val="53727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46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run times for the same model on the same type of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Different_run_times!$O$4</c:f>
              <c:strCache>
                <c:ptCount val="1"/>
                <c:pt idx="0">
                  <c:v>Lease 1- P100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Different_run_times!$N$5:$N$11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192</c:v>
                </c:pt>
                <c:pt idx="6">
                  <c:v>256</c:v>
                </c:pt>
              </c:numCache>
            </c:numRef>
          </c:cat>
          <c:val>
            <c:numRef>
              <c:f>Different_run_times!$O$5:$O$11</c:f>
              <c:numCache>
                <c:formatCode>#,##0</c:formatCode>
                <c:ptCount val="7"/>
                <c:pt idx="0">
                  <c:v>157.44491505622801</c:v>
                </c:pt>
                <c:pt idx="1">
                  <c:v>98.857864379882798</c:v>
                </c:pt>
                <c:pt idx="2">
                  <c:v>74.582271337509098</c:v>
                </c:pt>
                <c:pt idx="3">
                  <c:v>69.947777271270695</c:v>
                </c:pt>
                <c:pt idx="4">
                  <c:v>62.036416053771902</c:v>
                </c:pt>
                <c:pt idx="5">
                  <c:v>58.563427209854098</c:v>
                </c:pt>
                <c:pt idx="6">
                  <c:v>55.837321043014498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E-427E-9FE5-A7450BA22227}"/>
            </c:ext>
          </c:extLst>
        </c:ser>
        <c:ser>
          <c:idx val="1"/>
          <c:order val="1"/>
          <c:tx>
            <c:strRef>
              <c:f>Different_run_times!$P$4</c:f>
              <c:strCache>
                <c:ptCount val="1"/>
                <c:pt idx="0">
                  <c:v>Lease 2- P100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Different_run_times!$N$5:$N$11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192</c:v>
                </c:pt>
                <c:pt idx="6">
                  <c:v>256</c:v>
                </c:pt>
              </c:numCache>
            </c:numRef>
          </c:cat>
          <c:val>
            <c:numRef>
              <c:f>Different_run_times!$P$5:$P$11</c:f>
              <c:numCache>
                <c:formatCode>#,##0</c:formatCode>
                <c:ptCount val="7"/>
                <c:pt idx="0">
                  <c:v>206.065306901931</c:v>
                </c:pt>
                <c:pt idx="1">
                  <c:v>123.381994485855</c:v>
                </c:pt>
                <c:pt idx="2">
                  <c:v>88.099725484847994</c:v>
                </c:pt>
                <c:pt idx="3">
                  <c:v>78.207457780837998</c:v>
                </c:pt>
                <c:pt idx="4">
                  <c:v>70.6000173091888</c:v>
                </c:pt>
                <c:pt idx="5">
                  <c:v>66.060154199600206</c:v>
                </c:pt>
                <c:pt idx="6">
                  <c:v>61.713508844375603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E-427E-9FE5-A7450BA22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464888"/>
        <c:axId val="586473528"/>
      </c:barChart>
      <c:catAx>
        <c:axId val="58646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3528"/>
        <c:crosses val="autoZero"/>
        <c:auto val="1"/>
        <c:lblAlgn val="ctr"/>
        <c:lblOffset val="100"/>
        <c:noMultiLvlLbl val="0"/>
      </c:catAx>
      <c:valAx>
        <c:axId val="5864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 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49530</xdr:rowOff>
    </xdr:from>
    <xdr:to>
      <xdr:col>11</xdr:col>
      <xdr:colOff>403860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505690</xdr:colOff>
      <xdr:row>23</xdr:row>
      <xdr:rowOff>0</xdr:rowOff>
    </xdr:from>
    <xdr:to>
      <xdr:col>17</xdr:col>
      <xdr:colOff>540326</xdr:colOff>
      <xdr:row>38</xdr:row>
      <xdr:rowOff>41564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340592</xdr:colOff>
      <xdr:row>22</xdr:row>
      <xdr:rowOff>172604</xdr:rowOff>
    </xdr:from>
    <xdr:to>
      <xdr:col>12</xdr:col>
      <xdr:colOff>17319</xdr:colOff>
      <xdr:row>37</xdr:row>
      <xdr:rowOff>144895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04E22-62C9-4F8B-ADE6-D6829CEA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317500</xdr:colOff>
      <xdr:row>2</xdr:row>
      <xdr:rowOff>121226</xdr:rowOff>
    </xdr:from>
    <xdr:to>
      <xdr:col>32</xdr:col>
      <xdr:colOff>606136</xdr:colOff>
      <xdr:row>29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630931-FC87-49A2-932C-CB4889E99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12</xdr:row>
      <xdr:rowOff>9525</xdr:rowOff>
    </xdr:from>
    <xdr:to>
      <xdr:col>15</xdr:col>
      <xdr:colOff>244475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004-68CE-4A4A-A16A-D310B17FE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/>
  </sheetViews>
  <sheetFormatPr defaultRowHeight="14.5" x14ac:dyDescent="0.35"/>
  <cols>
    <col min="3" max="3" width="15.90625" customWidth="1"/>
  </cols>
  <sheetData>
    <row r="1" spans="1:6" x14ac:dyDescent="0.35">
      <c r="A1" t="s">
        <v>0</v>
      </c>
      <c r="B1" t="s">
        <v>1</v>
      </c>
      <c r="C1" t="s">
        <v>23</v>
      </c>
      <c r="D1" t="s">
        <v>2</v>
      </c>
      <c r="F1" t="s">
        <v>8</v>
      </c>
    </row>
    <row r="2" spans="1:6" x14ac:dyDescent="0.35">
      <c r="A2">
        <v>1</v>
      </c>
      <c r="B2">
        <v>626.95625901222195</v>
      </c>
      <c r="C2">
        <v>16</v>
      </c>
      <c r="D2" t="s">
        <v>3</v>
      </c>
      <c r="F2">
        <f>AVERAGE(B3:B5)</f>
        <v>619.67472489674822</v>
      </c>
    </row>
    <row r="3" spans="1:6" x14ac:dyDescent="0.35">
      <c r="A3">
        <v>2</v>
      </c>
      <c r="B3">
        <v>619.81326317787102</v>
      </c>
      <c r="C3">
        <v>16</v>
      </c>
      <c r="D3" t="s">
        <v>3</v>
      </c>
    </row>
    <row r="4" spans="1:6" x14ac:dyDescent="0.35">
      <c r="A4">
        <v>3</v>
      </c>
      <c r="B4">
        <v>619.27980494499195</v>
      </c>
      <c r="C4">
        <v>16</v>
      </c>
      <c r="D4" t="s">
        <v>3</v>
      </c>
    </row>
    <row r="5" spans="1:6" x14ac:dyDescent="0.35">
      <c r="A5">
        <v>4</v>
      </c>
      <c r="B5">
        <v>619.93110656738202</v>
      </c>
      <c r="C5">
        <v>16</v>
      </c>
      <c r="D5" t="s">
        <v>3</v>
      </c>
    </row>
    <row r="6" spans="1:6" x14ac:dyDescent="0.35">
      <c r="A6" t="s">
        <v>4</v>
      </c>
      <c r="B6">
        <v>2550.8790321350002</v>
      </c>
      <c r="C6">
        <v>16</v>
      </c>
      <c r="D6" t="s">
        <v>3</v>
      </c>
    </row>
    <row r="7" spans="1:6" x14ac:dyDescent="0.35">
      <c r="A7">
        <v>1</v>
      </c>
      <c r="B7">
        <v>381.73154187202402</v>
      </c>
      <c r="C7">
        <v>32</v>
      </c>
      <c r="D7" t="s">
        <v>3</v>
      </c>
      <c r="F7">
        <f>AVERAGE(B8:B10)</f>
        <v>377.7578815619147</v>
      </c>
    </row>
    <row r="8" spans="1:6" x14ac:dyDescent="0.35">
      <c r="A8">
        <v>2</v>
      </c>
      <c r="B8">
        <v>376.528517246246</v>
      </c>
      <c r="C8">
        <v>32</v>
      </c>
      <c r="D8" t="s">
        <v>3</v>
      </c>
    </row>
    <row r="9" spans="1:6" x14ac:dyDescent="0.35">
      <c r="A9">
        <v>3</v>
      </c>
      <c r="B9">
        <v>378.28363680839499</v>
      </c>
      <c r="C9">
        <v>32</v>
      </c>
      <c r="D9" t="s">
        <v>3</v>
      </c>
    </row>
    <row r="10" spans="1:6" x14ac:dyDescent="0.35">
      <c r="A10">
        <v>4</v>
      </c>
      <c r="B10">
        <v>378.461490631103</v>
      </c>
      <c r="C10">
        <v>32</v>
      </c>
      <c r="D10" t="s">
        <v>3</v>
      </c>
    </row>
    <row r="11" spans="1:6" x14ac:dyDescent="0.35">
      <c r="A11" t="s">
        <v>4</v>
      </c>
      <c r="B11">
        <v>1562.2437067031799</v>
      </c>
      <c r="C11">
        <v>32</v>
      </c>
      <c r="D11" t="s">
        <v>3</v>
      </c>
    </row>
    <row r="12" spans="1:6" x14ac:dyDescent="0.35">
      <c r="A12">
        <v>1</v>
      </c>
      <c r="B12">
        <v>269.54208612442</v>
      </c>
      <c r="C12">
        <v>64</v>
      </c>
      <c r="D12" t="s">
        <v>3</v>
      </c>
      <c r="F12">
        <f>AVERAGE(B13:B15)</f>
        <v>265.86673625310232</v>
      </c>
    </row>
    <row r="13" spans="1:6" x14ac:dyDescent="0.35">
      <c r="A13">
        <v>2</v>
      </c>
      <c r="B13">
        <v>266.33161091804499</v>
      </c>
      <c r="C13">
        <v>64</v>
      </c>
      <c r="D13" t="s">
        <v>3</v>
      </c>
    </row>
    <row r="14" spans="1:6" x14ac:dyDescent="0.35">
      <c r="A14">
        <v>3</v>
      </c>
      <c r="B14">
        <v>266.05022931098898</v>
      </c>
      <c r="C14">
        <v>64</v>
      </c>
      <c r="D14" t="s">
        <v>3</v>
      </c>
    </row>
    <row r="15" spans="1:6" x14ac:dyDescent="0.35">
      <c r="A15">
        <v>4</v>
      </c>
      <c r="B15">
        <v>265.21836853027298</v>
      </c>
      <c r="C15">
        <v>64</v>
      </c>
      <c r="D15" t="s">
        <v>3</v>
      </c>
    </row>
    <row r="16" spans="1:6" x14ac:dyDescent="0.35">
      <c r="A16" t="s">
        <v>4</v>
      </c>
      <c r="B16">
        <v>1125.0372509956301</v>
      </c>
      <c r="C16">
        <v>64</v>
      </c>
      <c r="D16" t="s">
        <v>3</v>
      </c>
    </row>
    <row r="17" spans="1:6" x14ac:dyDescent="0.35">
      <c r="A17">
        <v>1</v>
      </c>
      <c r="B17">
        <v>264.58972835540698</v>
      </c>
      <c r="C17">
        <v>80</v>
      </c>
      <c r="D17" t="s">
        <v>3</v>
      </c>
      <c r="F17">
        <f>AVERAGE(B18:B20)</f>
        <v>258.56355794270803</v>
      </c>
    </row>
    <row r="18" spans="1:6" x14ac:dyDescent="0.35">
      <c r="A18">
        <v>2</v>
      </c>
      <c r="B18">
        <v>258.81870937347401</v>
      </c>
      <c r="C18">
        <v>80</v>
      </c>
      <c r="D18" t="s">
        <v>3</v>
      </c>
    </row>
    <row r="19" spans="1:6" x14ac:dyDescent="0.35">
      <c r="A19">
        <v>3</v>
      </c>
      <c r="B19">
        <v>258.35522508621199</v>
      </c>
      <c r="C19">
        <v>80</v>
      </c>
      <c r="D19" t="s">
        <v>3</v>
      </c>
    </row>
    <row r="20" spans="1:6" x14ac:dyDescent="0.35">
      <c r="A20">
        <v>4</v>
      </c>
      <c r="B20">
        <v>258.51673936843798</v>
      </c>
      <c r="C20">
        <v>80</v>
      </c>
      <c r="D20" t="s">
        <v>3</v>
      </c>
    </row>
    <row r="21" spans="1:6" x14ac:dyDescent="0.35">
      <c r="A21" t="s">
        <v>4</v>
      </c>
      <c r="B21">
        <v>1091.258831501</v>
      </c>
      <c r="C21">
        <v>80</v>
      </c>
      <c r="D21" t="s">
        <v>3</v>
      </c>
    </row>
    <row r="22" spans="1:6" x14ac:dyDescent="0.35">
      <c r="A22">
        <v>1</v>
      </c>
      <c r="B22">
        <v>238.21263980865399</v>
      </c>
      <c r="C22">
        <v>96</v>
      </c>
      <c r="D22" t="s">
        <v>3</v>
      </c>
      <c r="F22">
        <f>AVERAGE(B23:B25)</f>
        <v>233.81842788060467</v>
      </c>
    </row>
    <row r="23" spans="1:6" x14ac:dyDescent="0.35">
      <c r="A23">
        <v>2</v>
      </c>
      <c r="B23">
        <v>233.833204746246</v>
      </c>
      <c r="C23">
        <v>96</v>
      </c>
      <c r="D23" t="s">
        <v>3</v>
      </c>
    </row>
    <row r="24" spans="1:6" x14ac:dyDescent="0.35">
      <c r="A24">
        <v>3</v>
      </c>
      <c r="B24">
        <v>233.94089674949601</v>
      </c>
      <c r="C24">
        <v>96</v>
      </c>
      <c r="D24" t="s">
        <v>3</v>
      </c>
    </row>
    <row r="25" spans="1:6" x14ac:dyDescent="0.35">
      <c r="A25">
        <v>4</v>
      </c>
      <c r="B25">
        <v>233.68118214607199</v>
      </c>
      <c r="C25">
        <v>96</v>
      </c>
      <c r="D25" t="s">
        <v>3</v>
      </c>
    </row>
    <row r="26" spans="1:6" x14ac:dyDescent="0.35">
      <c r="A26" t="s">
        <v>4</v>
      </c>
      <c r="B26">
        <v>995.55959391593899</v>
      </c>
      <c r="C26">
        <v>96</v>
      </c>
      <c r="D26" t="s">
        <v>3</v>
      </c>
    </row>
    <row r="27" spans="1:6" x14ac:dyDescent="0.35">
      <c r="A27">
        <v>1</v>
      </c>
      <c r="B27">
        <v>219.326349496841</v>
      </c>
      <c r="C27">
        <v>128</v>
      </c>
      <c r="D27" t="s">
        <v>3</v>
      </c>
      <c r="F27">
        <f>AVERAGE(B28:B30)</f>
        <v>213.18303187688136</v>
      </c>
    </row>
    <row r="28" spans="1:6" x14ac:dyDescent="0.35">
      <c r="A28">
        <v>2</v>
      </c>
      <c r="B28">
        <v>213.61373162269501</v>
      </c>
      <c r="C28">
        <v>128</v>
      </c>
      <c r="D28" t="s">
        <v>3</v>
      </c>
    </row>
    <row r="29" spans="1:6" x14ac:dyDescent="0.35">
      <c r="A29">
        <v>3</v>
      </c>
      <c r="B29">
        <v>212.826511859893</v>
      </c>
      <c r="C29">
        <v>128</v>
      </c>
      <c r="D29" t="s">
        <v>3</v>
      </c>
    </row>
    <row r="30" spans="1:6" x14ac:dyDescent="0.35">
      <c r="A30">
        <v>4</v>
      </c>
      <c r="B30">
        <v>213.108852148056</v>
      </c>
      <c r="C30">
        <v>128</v>
      </c>
      <c r="D30" t="s">
        <v>3</v>
      </c>
    </row>
    <row r="31" spans="1:6" x14ac:dyDescent="0.35">
      <c r="A31" t="s">
        <v>4</v>
      </c>
      <c r="B31">
        <v>911.13546061515797</v>
      </c>
      <c r="C31">
        <v>128</v>
      </c>
      <c r="D31" t="s">
        <v>3</v>
      </c>
    </row>
    <row r="32" spans="1:6" x14ac:dyDescent="0.35">
      <c r="A32">
        <v>1</v>
      </c>
      <c r="B32">
        <v>204.98683810233999</v>
      </c>
      <c r="C32">
        <v>160</v>
      </c>
      <c r="D32" t="s">
        <v>3</v>
      </c>
      <c r="F32">
        <f>AVERAGE(B33:B35)</f>
        <v>200.11518208185768</v>
      </c>
    </row>
    <row r="33" spans="1:4" x14ac:dyDescent="0.35">
      <c r="A33">
        <v>2</v>
      </c>
      <c r="B33">
        <v>200.407049894332</v>
      </c>
      <c r="C33">
        <v>160</v>
      </c>
      <c r="D33" t="s">
        <v>3</v>
      </c>
    </row>
    <row r="34" spans="1:4" x14ac:dyDescent="0.35">
      <c r="A34">
        <v>3</v>
      </c>
      <c r="B34">
        <v>199.99495315551701</v>
      </c>
      <c r="C34">
        <v>160</v>
      </c>
      <c r="D34" t="s">
        <v>3</v>
      </c>
    </row>
    <row r="35" spans="1:4" x14ac:dyDescent="0.35">
      <c r="A35">
        <v>4</v>
      </c>
      <c r="B35">
        <v>199.943543195724</v>
      </c>
      <c r="C35">
        <v>160</v>
      </c>
      <c r="D35" t="s">
        <v>3</v>
      </c>
    </row>
    <row r="36" spans="1:4" x14ac:dyDescent="0.35">
      <c r="A36" t="s">
        <v>4</v>
      </c>
      <c r="B36">
        <v>856.00519108772198</v>
      </c>
      <c r="C36">
        <v>160</v>
      </c>
      <c r="D3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8"/>
  <sheetViews>
    <sheetView zoomScale="120" zoomScaleNormal="120" workbookViewId="0">
      <selection activeCell="E19" sqref="E19"/>
    </sheetView>
  </sheetViews>
  <sheetFormatPr defaultRowHeight="14.5" x14ac:dyDescent="0.35"/>
  <cols>
    <col min="2" max="2" width="12.453125" customWidth="1"/>
    <col min="3" max="3" width="12.6328125" customWidth="1"/>
  </cols>
  <sheetData>
    <row r="3" spans="2:4" x14ac:dyDescent="0.35">
      <c r="B3" s="1" t="s">
        <v>5</v>
      </c>
      <c r="C3" s="1" t="s">
        <v>6</v>
      </c>
      <c r="D3" s="1" t="s">
        <v>7</v>
      </c>
    </row>
    <row r="4" spans="2:4" x14ac:dyDescent="0.35">
      <c r="B4" s="1">
        <v>8</v>
      </c>
      <c r="C4" s="1">
        <v>783.13891706666664</v>
      </c>
      <c r="D4" s="1">
        <v>619.67472489674822</v>
      </c>
    </row>
    <row r="5" spans="2:4" x14ac:dyDescent="0.35">
      <c r="B5" s="1">
        <v>16</v>
      </c>
      <c r="C5" s="1">
        <v>524.19328236666672</v>
      </c>
      <c r="D5" s="1">
        <v>377.7578815619147</v>
      </c>
    </row>
    <row r="6" spans="2:4" x14ac:dyDescent="0.35">
      <c r="B6" s="1">
        <v>32</v>
      </c>
      <c r="C6" s="1">
        <v>411.29268583333334</v>
      </c>
      <c r="D6" s="1">
        <v>265.86673625310232</v>
      </c>
    </row>
    <row r="7" spans="2:4" x14ac:dyDescent="0.35">
      <c r="B7" s="1">
        <v>48</v>
      </c>
      <c r="C7" s="1">
        <v>384.30254250000002</v>
      </c>
      <c r="D7" s="1">
        <v>233.81842788060467</v>
      </c>
    </row>
    <row r="8" spans="2:4" x14ac:dyDescent="0.35">
      <c r="B8" s="1">
        <v>64</v>
      </c>
      <c r="C8" s="1">
        <v>360.50750556666662</v>
      </c>
      <c r="D8" s="1">
        <v>213.18303187688136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showGridLines="0" tabSelected="1" zoomScale="110" zoomScaleNormal="110" workbookViewId="0"/>
  </sheetViews>
  <sheetFormatPr defaultRowHeight="14.5" x14ac:dyDescent="0.35"/>
  <cols>
    <col min="1" max="1" width="4.6328125" customWidth="1"/>
    <col min="2" max="2" width="15" customWidth="1"/>
    <col min="13" max="13" width="17.36328125" customWidth="1"/>
    <col min="14" max="14" width="9.1796875" customWidth="1"/>
    <col min="15" max="15" width="12.453125" customWidth="1"/>
    <col min="16" max="16" width="23.54296875" bestFit="1" customWidth="1"/>
    <col min="17" max="17" width="19.08984375" bestFit="1" customWidth="1"/>
    <col min="19" max="19" width="23.1796875" bestFit="1" customWidth="1"/>
    <col min="20" max="20" width="29.90625" bestFit="1" customWidth="1"/>
    <col min="21" max="21" width="22.7265625" bestFit="1" customWidth="1"/>
    <col min="22" max="22" width="20" bestFit="1" customWidth="1"/>
  </cols>
  <sheetData>
    <row r="1" spans="1:23" ht="16" thickBot="1" x14ac:dyDescent="0.4">
      <c r="A1" s="62" t="s">
        <v>66</v>
      </c>
      <c r="U1" s="44" t="s">
        <v>100</v>
      </c>
      <c r="V1" s="100">
        <v>1.5</v>
      </c>
    </row>
    <row r="2" spans="1:23" ht="15" thickBot="1" x14ac:dyDescent="0.4"/>
    <row r="3" spans="1:23" ht="15" thickBot="1" x14ac:dyDescent="0.4">
      <c r="B3" s="16"/>
      <c r="C3" s="108" t="s">
        <v>63</v>
      </c>
      <c r="D3" s="109"/>
      <c r="E3" s="109"/>
      <c r="F3" s="109"/>
      <c r="G3" s="109"/>
      <c r="H3" s="109"/>
      <c r="I3" s="109"/>
      <c r="J3" s="109"/>
      <c r="K3" s="110"/>
      <c r="L3" s="86"/>
      <c r="M3" s="18" t="s">
        <v>21</v>
      </c>
      <c r="N3" s="16"/>
      <c r="O3" s="16"/>
      <c r="P3" s="37" t="s">
        <v>51</v>
      </c>
      <c r="Q3" s="37" t="s">
        <v>52</v>
      </c>
      <c r="R3" s="16"/>
    </row>
    <row r="4" spans="1:23" ht="15" thickBot="1" x14ac:dyDescent="0.4">
      <c r="B4" s="17" t="s">
        <v>20</v>
      </c>
      <c r="C4" s="26" t="s">
        <v>9</v>
      </c>
      <c r="D4" s="23" t="s">
        <v>10</v>
      </c>
      <c r="E4" s="23" t="s">
        <v>11</v>
      </c>
      <c r="F4" s="23" t="s">
        <v>12</v>
      </c>
      <c r="G4" s="23" t="s">
        <v>13</v>
      </c>
      <c r="H4" s="23" t="s">
        <v>14</v>
      </c>
      <c r="I4" s="23" t="s">
        <v>15</v>
      </c>
      <c r="J4" s="23" t="s">
        <v>16</v>
      </c>
      <c r="K4" s="31" t="s">
        <v>17</v>
      </c>
      <c r="L4" s="87"/>
      <c r="M4" s="37" t="s">
        <v>18</v>
      </c>
      <c r="N4" s="34" t="s">
        <v>22</v>
      </c>
      <c r="O4" s="24" t="s">
        <v>19</v>
      </c>
      <c r="P4" s="24" t="s">
        <v>92</v>
      </c>
      <c r="Q4" s="24" t="s">
        <v>93</v>
      </c>
      <c r="R4" s="25" t="s">
        <v>26</v>
      </c>
      <c r="S4" s="101" t="s">
        <v>101</v>
      </c>
      <c r="T4" s="102" t="s">
        <v>102</v>
      </c>
      <c r="U4" s="98" t="s">
        <v>92</v>
      </c>
      <c r="V4" s="98" t="s">
        <v>93</v>
      </c>
      <c r="W4" s="99" t="s">
        <v>94</v>
      </c>
    </row>
    <row r="5" spans="1:23" x14ac:dyDescent="0.35">
      <c r="B5" s="29">
        <v>8</v>
      </c>
      <c r="C5" s="27">
        <v>6.1963024100000004</v>
      </c>
      <c r="D5" s="21">
        <v>9.6206998800000001</v>
      </c>
      <c r="E5" s="21">
        <v>2.7111782999999998</v>
      </c>
      <c r="F5" s="21">
        <v>3.8318099999999999</v>
      </c>
      <c r="G5" s="21">
        <v>4.4895100599999997</v>
      </c>
      <c r="H5" s="21">
        <v>7.5978965799999996</v>
      </c>
      <c r="I5" s="21">
        <v>1.08941829</v>
      </c>
      <c r="J5" s="21">
        <v>0.90005499</v>
      </c>
      <c r="K5" s="32">
        <v>0.63388979000000001</v>
      </c>
      <c r="L5" s="88"/>
      <c r="M5" s="38">
        <v>4.789771</v>
      </c>
      <c r="N5" s="35">
        <f>SUM(C5:M5)</f>
        <v>41.860531299999998</v>
      </c>
      <c r="O5" s="40">
        <f>ROUNDUP(262144/(Method2_FullPred!B5*2), 0)</f>
        <v>16384</v>
      </c>
      <c r="P5" s="42">
        <f>N5*O5 /1000</f>
        <v>685.84294481919994</v>
      </c>
      <c r="Q5" s="42">
        <v>619.67472489674799</v>
      </c>
      <c r="R5" s="22">
        <f>(P5-Q5)/Q5</f>
        <v>0.10677895557782689</v>
      </c>
      <c r="S5" s="58">
        <f>SUM(C5:K5)/$V$1</f>
        <v>24.713840199999996</v>
      </c>
      <c r="T5" s="104">
        <f>SUM(S5,M5)</f>
        <v>29.503611199999995</v>
      </c>
      <c r="U5" s="43">
        <f>T5*O5/1000</f>
        <v>483.38716590079991</v>
      </c>
      <c r="V5" s="43">
        <v>619.67472489674799</v>
      </c>
      <c r="W5" s="106">
        <f>ABS(Q5-U5)/Q5</f>
        <v>0.21993402912900265</v>
      </c>
    </row>
    <row r="6" spans="1:23" x14ac:dyDescent="0.35">
      <c r="B6" s="30">
        <v>16</v>
      </c>
      <c r="C6" s="28">
        <v>11.44213295</v>
      </c>
      <c r="D6" s="5">
        <v>15.699222560000001</v>
      </c>
      <c r="E6" s="5">
        <v>4.61041451</v>
      </c>
      <c r="F6" s="5">
        <v>4.55853033</v>
      </c>
      <c r="G6" s="5">
        <v>6.3726425200000003</v>
      </c>
      <c r="H6" s="5">
        <v>10.70612717</v>
      </c>
      <c r="I6" s="5">
        <v>1.5228579</v>
      </c>
      <c r="J6" s="5">
        <v>1.12173605</v>
      </c>
      <c r="K6" s="33">
        <v>0.89322900999999999</v>
      </c>
      <c r="L6" s="89"/>
      <c r="M6" s="39">
        <v>4.8081902999999997</v>
      </c>
      <c r="N6" s="36">
        <f>SUM(C6:M6)</f>
        <v>61.735083300000007</v>
      </c>
      <c r="O6" s="41">
        <f>ROUNDUP(262144/(Method2_FullPred!B6*2), 0)</f>
        <v>8192</v>
      </c>
      <c r="P6" s="43">
        <f>N6*O6 /1000</f>
        <v>505.73380239360006</v>
      </c>
      <c r="Q6" s="43">
        <v>377.75788156191499</v>
      </c>
      <c r="R6" s="20">
        <f>(P6-Q6)/Q6</f>
        <v>0.3387776326533366</v>
      </c>
      <c r="S6" s="58">
        <f>SUM(C6:K6)/$V$1</f>
        <v>37.951262000000007</v>
      </c>
      <c r="T6" s="104">
        <f>SUM(S6,M6)</f>
        <v>42.759452300000007</v>
      </c>
      <c r="U6" s="43">
        <f>T6*O6/1000</f>
        <v>350.28543324160006</v>
      </c>
      <c r="V6" s="43">
        <v>377.75788156191499</v>
      </c>
      <c r="W6" s="106">
        <f>ABS(Q6-U6)/Q6</f>
        <v>7.2725016898984696E-2</v>
      </c>
    </row>
    <row r="7" spans="1:23" x14ac:dyDescent="0.35">
      <c r="B7" s="30">
        <v>32</v>
      </c>
      <c r="C7" s="28">
        <v>18.031166079999998</v>
      </c>
      <c r="D7" s="5">
        <v>21.4498806</v>
      </c>
      <c r="E7" s="5">
        <v>6.4578428299999997</v>
      </c>
      <c r="F7" s="5">
        <v>7.5971860900000001</v>
      </c>
      <c r="G7" s="5">
        <v>9.7345790900000004</v>
      </c>
      <c r="H7" s="5">
        <v>13.47604179</v>
      </c>
      <c r="I7" s="5">
        <v>2.1888892700000002</v>
      </c>
      <c r="J7" s="5">
        <v>1.43244386</v>
      </c>
      <c r="K7" s="33">
        <v>1.6690797799999999</v>
      </c>
      <c r="L7" s="89"/>
      <c r="M7" s="39">
        <v>4.8450819999999997</v>
      </c>
      <c r="N7" s="36">
        <f>SUM(C7:M7)</f>
        <v>86.882191390000017</v>
      </c>
      <c r="O7" s="41">
        <f>ROUNDUP(262144/(Method2_FullPred!B7*2), 0)</f>
        <v>4096</v>
      </c>
      <c r="P7" s="43">
        <f>N7*O7 /1000</f>
        <v>355.86945593344007</v>
      </c>
      <c r="Q7" s="43">
        <v>265.86673625310198</v>
      </c>
      <c r="R7" s="20">
        <f>(P7-Q7)/Q7</f>
        <v>0.33852568752586093</v>
      </c>
      <c r="S7" s="58">
        <f>SUM(C7:K7)/$V$1</f>
        <v>54.691406260000008</v>
      </c>
      <c r="T7" s="104">
        <f>SUM(S7,M7)</f>
        <v>59.536488260000006</v>
      </c>
      <c r="U7" s="43">
        <f>T7*O7/1000</f>
        <v>243.86145591296003</v>
      </c>
      <c r="V7" s="43">
        <v>265.86673625310198</v>
      </c>
      <c r="W7" s="106">
        <f>ABS(Q7-U7)/Q7</f>
        <v>8.2768083929059807E-2</v>
      </c>
    </row>
    <row r="8" spans="1:23" x14ac:dyDescent="0.35">
      <c r="B8" s="30">
        <v>48</v>
      </c>
      <c r="C8" s="28">
        <v>28.67986488</v>
      </c>
      <c r="D8" s="5">
        <v>24.032861709999999</v>
      </c>
      <c r="E8" s="5">
        <v>9.0126304600000005</v>
      </c>
      <c r="F8" s="5">
        <v>10.60586071</v>
      </c>
      <c r="G8" s="5">
        <v>13.2177124</v>
      </c>
      <c r="H8" s="5">
        <v>18.4958992</v>
      </c>
      <c r="I8" s="5">
        <v>3.2606406200000002</v>
      </c>
      <c r="J8" s="5">
        <v>1.9608669299999999</v>
      </c>
      <c r="K8" s="33">
        <v>3.0040106799999999</v>
      </c>
      <c r="L8" s="89"/>
      <c r="M8" s="39">
        <v>4.8811073</v>
      </c>
      <c r="N8" s="36">
        <f>SUM(C8:M8)</f>
        <v>117.15145488999998</v>
      </c>
      <c r="O8" s="41">
        <f>ROUNDUP(262144/(Method2_FullPred!B8*2), 0)</f>
        <v>2731</v>
      </c>
      <c r="P8" s="43">
        <f>N8*O8 /1000</f>
        <v>319.94062330458996</v>
      </c>
      <c r="Q8" s="43">
        <v>233.81842788060499</v>
      </c>
      <c r="R8" s="20">
        <f>(P8-Q8)/Q8</f>
        <v>0.36832937508228253</v>
      </c>
      <c r="S8" s="58">
        <f>SUM(C8:K8)/$V$1</f>
        <v>74.846898393333319</v>
      </c>
      <c r="T8" s="104">
        <f>SUM(S8,M8)</f>
        <v>79.728005693333316</v>
      </c>
      <c r="U8" s="43">
        <f>T8*O8/1000</f>
        <v>217.73718354849328</v>
      </c>
      <c r="V8" s="43">
        <v>233.81842788060499</v>
      </c>
      <c r="W8" s="106">
        <f>ABS(Q8-U8)/Q8</f>
        <v>6.8776633552267721E-2</v>
      </c>
    </row>
    <row r="9" spans="1:23" ht="15" thickBot="1" x14ac:dyDescent="0.4">
      <c r="B9" s="64">
        <v>64</v>
      </c>
      <c r="C9" s="65">
        <v>40.097816469999998</v>
      </c>
      <c r="D9" s="66">
        <v>26.629417419999999</v>
      </c>
      <c r="E9" s="66">
        <v>12.7602396</v>
      </c>
      <c r="F9" s="66">
        <v>13.68830109</v>
      </c>
      <c r="G9" s="66">
        <v>16.05852509</v>
      </c>
      <c r="H9" s="66">
        <v>20.278926850000001</v>
      </c>
      <c r="I9" s="66">
        <v>6.8749389599999997</v>
      </c>
      <c r="J9" s="66">
        <v>3.3929181100000001</v>
      </c>
      <c r="K9" s="67">
        <v>3.7862401000000001</v>
      </c>
      <c r="L9" s="90"/>
      <c r="M9" s="68">
        <v>4.9107976000000004</v>
      </c>
      <c r="N9" s="69">
        <f>SUM(C9:M9)</f>
        <v>148.47812128999999</v>
      </c>
      <c r="O9" s="70">
        <f>ROUNDUP(262144/(Method2_FullPred!B9*2), 0)</f>
        <v>2048</v>
      </c>
      <c r="P9" s="71">
        <f>N9*O9 /1000</f>
        <v>304.08319240191997</v>
      </c>
      <c r="Q9" s="71">
        <v>213.18303187688136</v>
      </c>
      <c r="R9" s="72">
        <f>(P9-Q9)/Q9</f>
        <v>0.42639491391386053</v>
      </c>
      <c r="S9" s="60">
        <f>SUM(C9:K9)/$V$1</f>
        <v>95.711549126666668</v>
      </c>
      <c r="T9" s="105">
        <f>SUM(S9,M9)</f>
        <v>100.62234672666666</v>
      </c>
      <c r="U9" s="103">
        <f>T9*O9/1000</f>
        <v>206.07456609621332</v>
      </c>
      <c r="V9" s="71">
        <v>213.18303187688136</v>
      </c>
      <c r="W9" s="107">
        <f>ABS(Q9-U9)/Q9</f>
        <v>3.3344425764492182E-2</v>
      </c>
    </row>
    <row r="10" spans="1:23" hidden="1" x14ac:dyDescent="0.35">
      <c r="B10" s="73">
        <v>96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5"/>
      <c r="O10" s="76"/>
      <c r="P10" s="77"/>
      <c r="Q10" s="77"/>
      <c r="R10" s="78"/>
      <c r="T10" s="91"/>
      <c r="W10" s="93"/>
    </row>
    <row r="11" spans="1:23" hidden="1" x14ac:dyDescent="0.35">
      <c r="B11" s="73">
        <v>128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5"/>
      <c r="O11" s="76"/>
      <c r="P11" s="77"/>
      <c r="Q11" s="77"/>
      <c r="R11" s="78"/>
      <c r="T11" s="91"/>
      <c r="W11" s="93"/>
    </row>
    <row r="12" spans="1:23" hidden="1" x14ac:dyDescent="0.35">
      <c r="B12" s="73">
        <v>192</v>
      </c>
      <c r="C12" s="74">
        <f>AVERAGE(B10,B9)</f>
        <v>80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5"/>
      <c r="O12" s="76"/>
      <c r="P12" s="77"/>
      <c r="Q12" s="77"/>
      <c r="R12" s="78"/>
      <c r="T12" s="91"/>
      <c r="W12" s="93"/>
    </row>
    <row r="13" spans="1:23" hidden="1" x14ac:dyDescent="0.35">
      <c r="B13" s="73">
        <v>256</v>
      </c>
      <c r="C13" s="74">
        <f>AVERAGE(B11,B10)</f>
        <v>112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5"/>
      <c r="O13" s="76"/>
      <c r="P13" s="77"/>
      <c r="Q13" s="77"/>
      <c r="R13" s="78"/>
      <c r="T13" s="91"/>
      <c r="W13" s="93"/>
    </row>
    <row r="14" spans="1:23" hidden="1" x14ac:dyDescent="0.35">
      <c r="B14" s="73">
        <v>24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5"/>
      <c r="O14" s="76"/>
      <c r="P14" s="77"/>
      <c r="Q14" s="77"/>
      <c r="R14" s="78"/>
      <c r="T14" s="91"/>
      <c r="W14" s="93"/>
    </row>
    <row r="15" spans="1:23" hidden="1" x14ac:dyDescent="0.35">
      <c r="B15" s="80">
        <v>80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O15" s="76"/>
      <c r="P15" s="77"/>
      <c r="Q15" s="77"/>
      <c r="R15" s="78"/>
      <c r="T15" s="91"/>
      <c r="W15" s="93"/>
    </row>
    <row r="16" spans="1:23" hidden="1" x14ac:dyDescent="0.35">
      <c r="B16" s="80">
        <v>112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5"/>
      <c r="O16" s="76"/>
      <c r="P16" s="77"/>
      <c r="Q16" s="77"/>
      <c r="R16" s="78"/>
      <c r="T16" s="91"/>
      <c r="W16" s="93"/>
    </row>
    <row r="17" spans="2:23" hidden="1" x14ac:dyDescent="0.35"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  <c r="O17" s="76"/>
      <c r="P17" s="77"/>
      <c r="Q17" s="77"/>
      <c r="R17" s="78"/>
      <c r="T17" s="91"/>
      <c r="W17" s="93"/>
    </row>
    <row r="18" spans="2:23" hidden="1" x14ac:dyDescent="0.35"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5"/>
      <c r="O18" s="76"/>
      <c r="P18" s="77"/>
      <c r="Q18" s="77"/>
      <c r="R18" s="78"/>
      <c r="T18" s="91"/>
      <c r="W18" s="93"/>
    </row>
    <row r="19" spans="2:23" s="79" customFormat="1" hidden="1" x14ac:dyDescent="0.35">
      <c r="B19" s="80">
        <v>80</v>
      </c>
      <c r="C19" s="81"/>
      <c r="D19" s="81"/>
      <c r="E19" s="81"/>
      <c r="F19" s="81"/>
      <c r="G19" s="81"/>
      <c r="H19" s="81"/>
      <c r="I19" s="81"/>
      <c r="J19" s="81"/>
      <c r="K19" s="81">
        <f>SUM(C9:K9)</f>
        <v>143.56732368999999</v>
      </c>
      <c r="L19" s="81"/>
      <c r="M19" s="81"/>
      <c r="N19" s="82"/>
      <c r="O19" s="83"/>
      <c r="P19" s="84">
        <f>90*O9/1000</f>
        <v>184.32</v>
      </c>
      <c r="Q19" s="84"/>
      <c r="R19" s="85"/>
      <c r="W19" s="94"/>
    </row>
    <row r="20" spans="2:23" s="79" customFormat="1" hidden="1" x14ac:dyDescent="0.35">
      <c r="B20" s="80">
        <v>112</v>
      </c>
      <c r="C20" s="81">
        <v>55.0558471679687</v>
      </c>
      <c r="D20" s="81">
        <v>36.471204757690401</v>
      </c>
      <c r="E20" s="81">
        <v>16.375026702880799</v>
      </c>
      <c r="F20" s="81">
        <v>7.6726484298706001</v>
      </c>
      <c r="G20" s="81">
        <v>6.7908143997192303</v>
      </c>
      <c r="H20" s="81">
        <v>8.2262611389160103</v>
      </c>
      <c r="I20" s="81">
        <v>1.00491046905517</v>
      </c>
      <c r="J20" s="81">
        <v>0.71075916290283203</v>
      </c>
      <c r="K20" s="81">
        <v>0.49818515777587802</v>
      </c>
      <c r="L20" s="81"/>
      <c r="M20" s="81"/>
      <c r="N20" s="82"/>
      <c r="O20" s="83"/>
      <c r="P20" s="84"/>
      <c r="Q20" s="85">
        <f>ABS(Q9-P19)/Q9</f>
        <v>0.13539084993195191</v>
      </c>
      <c r="R20" s="85"/>
      <c r="W20" s="94"/>
    </row>
    <row r="21" spans="2:23" s="79" customFormat="1" hidden="1" x14ac:dyDescent="0.35">
      <c r="B21" s="80"/>
      <c r="C21" s="81"/>
      <c r="D21" s="81"/>
      <c r="E21" s="81"/>
      <c r="F21" s="81"/>
      <c r="G21" s="81"/>
      <c r="H21" s="81"/>
      <c r="I21" s="81"/>
      <c r="J21" s="81"/>
      <c r="K21" s="81">
        <f>SUM(C20:K20)</f>
        <v>132.80565738677961</v>
      </c>
      <c r="L21" s="81"/>
      <c r="M21" s="81">
        <v>4.91</v>
      </c>
      <c r="N21" s="82"/>
      <c r="O21" s="83"/>
      <c r="P21" s="84"/>
      <c r="Q21" s="84"/>
      <c r="R21" s="85"/>
      <c r="W21" s="94"/>
    </row>
    <row r="22" spans="2:23" s="79" customFormat="1" x14ac:dyDescent="0.3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2"/>
      <c r="O22" s="83"/>
      <c r="P22" s="84"/>
      <c r="Q22" s="84"/>
      <c r="R22" s="85"/>
      <c r="W22" s="94"/>
    </row>
    <row r="23" spans="2:23" x14ac:dyDescent="0.35">
      <c r="W23" s="95">
        <f>AVERAGE(W5:W9)</f>
        <v>9.5509637854761409E-2</v>
      </c>
    </row>
    <row r="25" spans="2:23" x14ac:dyDescent="0.35">
      <c r="B25" s="4" t="s">
        <v>25</v>
      </c>
      <c r="C25" s="3">
        <v>2</v>
      </c>
    </row>
    <row r="26" spans="2:23" x14ac:dyDescent="0.35">
      <c r="B26" s="4" t="s">
        <v>24</v>
      </c>
      <c r="C26" t="s">
        <v>3</v>
      </c>
    </row>
  </sheetData>
  <mergeCells count="1">
    <mergeCell ref="C3:K3"/>
  </mergeCells>
  <pageMargins left="0.7" right="0.7" top="0.75" bottom="0.75" header="0.3" footer="0.3"/>
  <pageSetup paperSize="9" orientation="portrait" r:id="rId1"/>
  <ignoredErrors>
    <ignoredError sqref="N7:N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D5B1-459D-4B49-9AF5-E191F85DD4EA}">
  <dimension ref="A1:U47"/>
  <sheetViews>
    <sheetView showGridLines="0" workbookViewId="0"/>
  </sheetViews>
  <sheetFormatPr defaultRowHeight="14.5" x14ac:dyDescent="0.35"/>
  <sheetData>
    <row r="1" spans="1:21" ht="18.5" x14ac:dyDescent="0.45">
      <c r="A1" s="63" t="s">
        <v>65</v>
      </c>
    </row>
    <row r="2" spans="1:21" ht="18.5" x14ac:dyDescent="0.45">
      <c r="A2" s="63"/>
    </row>
    <row r="3" spans="1:21" ht="15" thickBot="1" x14ac:dyDescent="0.4"/>
    <row r="4" spans="1:21" x14ac:dyDescent="0.35">
      <c r="C4" s="6"/>
      <c r="D4" s="7" t="s">
        <v>27</v>
      </c>
      <c r="E4" s="8"/>
      <c r="F4" s="8"/>
      <c r="G4" s="8"/>
      <c r="H4" s="8"/>
      <c r="I4" s="9"/>
    </row>
    <row r="5" spans="1:21" x14ac:dyDescent="0.35">
      <c r="C5" s="10"/>
      <c r="D5" s="11" t="s">
        <v>28</v>
      </c>
      <c r="I5" s="12"/>
      <c r="P5" t="s">
        <v>67</v>
      </c>
      <c r="U5" t="s">
        <v>71</v>
      </c>
    </row>
    <row r="6" spans="1:21" x14ac:dyDescent="0.35">
      <c r="C6" s="10"/>
      <c r="D6" s="11" t="s">
        <v>29</v>
      </c>
      <c r="I6" s="12"/>
      <c r="P6" t="s">
        <v>68</v>
      </c>
    </row>
    <row r="7" spans="1:21" x14ac:dyDescent="0.35">
      <c r="C7" s="10"/>
      <c r="D7" s="11" t="s">
        <v>30</v>
      </c>
      <c r="I7" s="12"/>
    </row>
    <row r="8" spans="1:21" x14ac:dyDescent="0.35">
      <c r="C8" s="10"/>
      <c r="D8" s="11" t="s">
        <v>31</v>
      </c>
      <c r="I8" s="12"/>
      <c r="P8" t="s">
        <v>69</v>
      </c>
    </row>
    <row r="9" spans="1:21" x14ac:dyDescent="0.35">
      <c r="C9" s="10"/>
      <c r="D9" s="11" t="s">
        <v>28</v>
      </c>
      <c r="I9" s="12"/>
    </row>
    <row r="10" spans="1:21" x14ac:dyDescent="0.35">
      <c r="C10" s="10"/>
      <c r="D10" s="11" t="s">
        <v>32</v>
      </c>
      <c r="I10" s="12"/>
      <c r="P10" t="s">
        <v>70</v>
      </c>
    </row>
    <row r="11" spans="1:21" x14ac:dyDescent="0.35">
      <c r="C11" s="10"/>
      <c r="D11" s="11" t="s">
        <v>28</v>
      </c>
      <c r="I11" s="12"/>
    </row>
    <row r="12" spans="1:21" x14ac:dyDescent="0.35">
      <c r="C12" s="10"/>
      <c r="D12" s="11" t="s">
        <v>33</v>
      </c>
      <c r="I12" s="12"/>
    </row>
    <row r="13" spans="1:21" x14ac:dyDescent="0.35">
      <c r="C13" s="10"/>
      <c r="D13" s="11" t="s">
        <v>28</v>
      </c>
      <c r="I13" s="12"/>
    </row>
    <row r="14" spans="1:21" x14ac:dyDescent="0.35">
      <c r="C14" s="10"/>
      <c r="D14" s="11" t="s">
        <v>34</v>
      </c>
      <c r="I14" s="12"/>
    </row>
    <row r="15" spans="1:21" x14ac:dyDescent="0.35">
      <c r="C15" s="10"/>
      <c r="D15" s="11" t="s">
        <v>28</v>
      </c>
      <c r="I15" s="12"/>
    </row>
    <row r="16" spans="1:21" x14ac:dyDescent="0.35">
      <c r="C16" s="10"/>
      <c r="D16" s="11" t="s">
        <v>35</v>
      </c>
      <c r="I16" s="12"/>
    </row>
    <row r="17" spans="3:11" x14ac:dyDescent="0.35">
      <c r="C17" s="10"/>
      <c r="D17" s="11" t="s">
        <v>28</v>
      </c>
      <c r="I17" s="12"/>
      <c r="K17">
        <v>150000</v>
      </c>
    </row>
    <row r="18" spans="3:11" x14ac:dyDescent="0.35">
      <c r="C18" s="10"/>
      <c r="D18" s="11" t="s">
        <v>36</v>
      </c>
      <c r="I18" s="12"/>
    </row>
    <row r="19" spans="3:11" x14ac:dyDescent="0.35">
      <c r="C19" s="10"/>
      <c r="D19" s="11" t="s">
        <v>28</v>
      </c>
      <c r="I19" s="12"/>
      <c r="K19">
        <f>K17*75</f>
        <v>11250000</v>
      </c>
    </row>
    <row r="20" spans="3:11" x14ac:dyDescent="0.35">
      <c r="C20" s="10"/>
      <c r="D20" s="11" t="s">
        <v>37</v>
      </c>
      <c r="I20" s="12"/>
    </row>
    <row r="21" spans="3:11" x14ac:dyDescent="0.35">
      <c r="C21" s="10"/>
      <c r="D21" s="11" t="s">
        <v>28</v>
      </c>
      <c r="I21" s="12"/>
    </row>
    <row r="22" spans="3:11" x14ac:dyDescent="0.35">
      <c r="C22" s="10"/>
      <c r="D22" s="11" t="s">
        <v>38</v>
      </c>
      <c r="I22" s="12"/>
    </row>
    <row r="23" spans="3:11" x14ac:dyDescent="0.35">
      <c r="C23" s="10"/>
      <c r="D23" s="11" t="s">
        <v>28</v>
      </c>
      <c r="I23" s="12"/>
    </row>
    <row r="24" spans="3:11" x14ac:dyDescent="0.35">
      <c r="C24" s="10"/>
      <c r="D24" s="11" t="s">
        <v>39</v>
      </c>
      <c r="I24" s="12"/>
    </row>
    <row r="25" spans="3:11" x14ac:dyDescent="0.35">
      <c r="C25" s="10"/>
      <c r="D25" s="11" t="s">
        <v>28</v>
      </c>
      <c r="I25" s="12"/>
    </row>
    <row r="26" spans="3:11" x14ac:dyDescent="0.35">
      <c r="C26" s="10"/>
      <c r="D26" s="11" t="s">
        <v>40</v>
      </c>
      <c r="I26" s="12"/>
    </row>
    <row r="27" spans="3:11" x14ac:dyDescent="0.35">
      <c r="C27" s="10"/>
      <c r="D27" s="11" t="s">
        <v>28</v>
      </c>
      <c r="I27" s="12"/>
    </row>
    <row r="28" spans="3:11" x14ac:dyDescent="0.35">
      <c r="C28" s="10"/>
      <c r="D28" s="11" t="s">
        <v>41</v>
      </c>
      <c r="I28" s="12"/>
    </row>
    <row r="29" spans="3:11" x14ac:dyDescent="0.35">
      <c r="C29" s="10"/>
      <c r="D29" s="11" t="s">
        <v>28</v>
      </c>
      <c r="I29" s="12"/>
    </row>
    <row r="30" spans="3:11" x14ac:dyDescent="0.35">
      <c r="C30" s="10"/>
      <c r="D30" s="11" t="s">
        <v>42</v>
      </c>
      <c r="I30" s="12"/>
    </row>
    <row r="31" spans="3:11" x14ac:dyDescent="0.35">
      <c r="C31" s="10"/>
      <c r="D31" s="11" t="s">
        <v>28</v>
      </c>
      <c r="I31" s="12"/>
    </row>
    <row r="32" spans="3:11" x14ac:dyDescent="0.35">
      <c r="C32" s="10"/>
      <c r="D32" s="11" t="s">
        <v>43</v>
      </c>
      <c r="I32" s="12"/>
    </row>
    <row r="33" spans="3:9" x14ac:dyDescent="0.35">
      <c r="C33" s="10"/>
      <c r="D33" s="11" t="s">
        <v>28</v>
      </c>
      <c r="I33" s="12"/>
    </row>
    <row r="34" spans="3:9" x14ac:dyDescent="0.35">
      <c r="C34" s="10"/>
      <c r="D34" s="11" t="s">
        <v>44</v>
      </c>
      <c r="I34" s="12"/>
    </row>
    <row r="35" spans="3:9" x14ac:dyDescent="0.35">
      <c r="C35" s="10"/>
      <c r="D35" s="11" t="s">
        <v>28</v>
      </c>
      <c r="I35" s="12"/>
    </row>
    <row r="36" spans="3:9" x14ac:dyDescent="0.35">
      <c r="C36" s="10"/>
      <c r="D36" s="11" t="s">
        <v>45</v>
      </c>
      <c r="I36" s="12"/>
    </row>
    <row r="37" spans="3:9" x14ac:dyDescent="0.35">
      <c r="C37" s="10"/>
      <c r="D37" s="11" t="s">
        <v>28</v>
      </c>
      <c r="I37" s="12"/>
    </row>
    <row r="38" spans="3:9" x14ac:dyDescent="0.35">
      <c r="C38" s="10"/>
      <c r="D38" s="11" t="s">
        <v>46</v>
      </c>
      <c r="I38" s="12"/>
    </row>
    <row r="39" spans="3:9" x14ac:dyDescent="0.35">
      <c r="C39" s="10"/>
      <c r="D39" s="11" t="s">
        <v>28</v>
      </c>
      <c r="I39" s="12"/>
    </row>
    <row r="40" spans="3:9" x14ac:dyDescent="0.35">
      <c r="C40" s="10"/>
      <c r="D40" s="11" t="s">
        <v>47</v>
      </c>
      <c r="I40" s="12"/>
    </row>
    <row r="41" spans="3:9" x14ac:dyDescent="0.35">
      <c r="C41" s="10"/>
      <c r="D41" s="11" t="s">
        <v>30</v>
      </c>
      <c r="I41" s="12"/>
    </row>
    <row r="42" spans="3:9" x14ac:dyDescent="0.35">
      <c r="C42" s="10"/>
      <c r="D42" s="11" t="s">
        <v>48</v>
      </c>
      <c r="I42" s="12"/>
    </row>
    <row r="43" spans="3:9" x14ac:dyDescent="0.35">
      <c r="C43" s="10"/>
      <c r="D43" s="11" t="s">
        <v>49</v>
      </c>
      <c r="I43" s="12"/>
    </row>
    <row r="44" spans="3:9" x14ac:dyDescent="0.35">
      <c r="C44" s="10"/>
      <c r="D44" s="11" t="s">
        <v>50</v>
      </c>
      <c r="I44" s="12"/>
    </row>
    <row r="45" spans="3:9" x14ac:dyDescent="0.35">
      <c r="C45" s="10"/>
      <c r="D45" s="11" t="s">
        <v>28</v>
      </c>
      <c r="I45" s="12"/>
    </row>
    <row r="46" spans="3:9" x14ac:dyDescent="0.35">
      <c r="C46" s="10"/>
      <c r="D46" s="11"/>
      <c r="I46" s="12"/>
    </row>
    <row r="47" spans="3:9" ht="15" thickBot="1" x14ac:dyDescent="0.4">
      <c r="C47" s="13"/>
      <c r="D47" s="14"/>
      <c r="E47" s="14"/>
      <c r="F47" s="14"/>
      <c r="G47" s="14"/>
      <c r="H47" s="14"/>
      <c r="I4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D612-AEA1-48F5-B230-E675AC5DEF8B}">
  <dimension ref="F5:L10"/>
  <sheetViews>
    <sheetView showGridLines="0" workbookViewId="0">
      <selection activeCell="F8" sqref="F8"/>
    </sheetView>
  </sheetViews>
  <sheetFormatPr defaultRowHeight="14.5" x14ac:dyDescent="0.35"/>
  <cols>
    <col min="9" max="9" width="20.453125" bestFit="1" customWidth="1"/>
    <col min="11" max="11" width="11.81640625" bestFit="1" customWidth="1"/>
    <col min="12" max="12" width="12.08984375" bestFit="1" customWidth="1"/>
  </cols>
  <sheetData>
    <row r="5" spans="6:12" x14ac:dyDescent="0.35">
      <c r="F5">
        <f>G5/G8</f>
        <v>0.8</v>
      </c>
      <c r="G5">
        <v>262144</v>
      </c>
      <c r="I5" s="92" t="s">
        <v>72</v>
      </c>
      <c r="J5" s="92" t="s">
        <v>73</v>
      </c>
      <c r="K5" s="92" t="s">
        <v>74</v>
      </c>
      <c r="L5" s="92" t="s">
        <v>75</v>
      </c>
    </row>
    <row r="6" spans="6:12" x14ac:dyDescent="0.35">
      <c r="F6">
        <f>G6/G8</f>
        <v>0.1</v>
      </c>
      <c r="G6">
        <v>32768</v>
      </c>
      <c r="I6" s="2" t="s">
        <v>76</v>
      </c>
      <c r="J6" s="2">
        <v>16</v>
      </c>
      <c r="K6" s="2" t="s">
        <v>82</v>
      </c>
      <c r="L6" s="2" t="s">
        <v>87</v>
      </c>
    </row>
    <row r="7" spans="6:12" x14ac:dyDescent="0.35">
      <c r="F7">
        <f>G7/G8</f>
        <v>0.1</v>
      </c>
      <c r="G7">
        <v>32768</v>
      </c>
      <c r="I7" s="2" t="s">
        <v>77</v>
      </c>
      <c r="J7" s="2">
        <v>8</v>
      </c>
      <c r="K7" s="2" t="s">
        <v>83</v>
      </c>
      <c r="L7" s="2" t="s">
        <v>88</v>
      </c>
    </row>
    <row r="8" spans="6:12" x14ac:dyDescent="0.35">
      <c r="G8">
        <f>SUM(G5:G7)</f>
        <v>327680</v>
      </c>
      <c r="I8" s="2" t="s">
        <v>78</v>
      </c>
      <c r="J8" s="2">
        <v>7</v>
      </c>
      <c r="K8" s="2" t="s">
        <v>84</v>
      </c>
      <c r="L8" s="2" t="s">
        <v>89</v>
      </c>
    </row>
    <row r="9" spans="6:12" x14ac:dyDescent="0.35">
      <c r="I9" s="2" t="s">
        <v>79</v>
      </c>
      <c r="J9" s="2">
        <v>4</v>
      </c>
      <c r="K9" s="2" t="s">
        <v>85</v>
      </c>
      <c r="L9" s="2" t="s">
        <v>90</v>
      </c>
    </row>
    <row r="10" spans="6:12" x14ac:dyDescent="0.35">
      <c r="I10" s="2" t="s">
        <v>80</v>
      </c>
      <c r="J10" s="2" t="s">
        <v>81</v>
      </c>
      <c r="K10" s="2" t="s">
        <v>86</v>
      </c>
      <c r="L10" s="2" t="s">
        <v>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5B72-0848-4D14-841B-5DFBA4A81CAB}">
  <dimension ref="A1:AW109"/>
  <sheetViews>
    <sheetView showGridLines="0" workbookViewId="0">
      <selection activeCell="C21" sqref="C21"/>
    </sheetView>
  </sheetViews>
  <sheetFormatPr defaultRowHeight="14.5" x14ac:dyDescent="0.35"/>
  <cols>
    <col min="2" max="2" width="9.7265625" bestFit="1" customWidth="1"/>
    <col min="3" max="3" width="20.08984375" bestFit="1" customWidth="1"/>
    <col min="5" max="5" width="15.90625" bestFit="1" customWidth="1"/>
    <col min="6" max="6" width="11.54296875" bestFit="1" customWidth="1"/>
    <col min="7" max="8" width="16.54296875" bestFit="1" customWidth="1"/>
    <col min="11" max="11" width="20.08984375" bestFit="1" customWidth="1"/>
    <col min="13" max="13" width="11.54296875" bestFit="1" customWidth="1"/>
    <col min="14" max="15" width="15.90625" bestFit="1" customWidth="1"/>
    <col min="16" max="16" width="16.08984375" bestFit="1" customWidth="1"/>
    <col min="17" max="17" width="12.08984375" bestFit="1" customWidth="1"/>
    <col min="18" max="18" width="17.6328125" bestFit="1" customWidth="1"/>
    <col min="26" max="26" width="11.26953125" bestFit="1" customWidth="1"/>
    <col min="37" max="37" width="11.26953125" bestFit="1" customWidth="1"/>
    <col min="39" max="39" width="11.26953125" bestFit="1" customWidth="1"/>
    <col min="44" max="44" width="12.26953125" bestFit="1" customWidth="1"/>
    <col min="45" max="45" width="11.26953125" bestFit="1" customWidth="1"/>
    <col min="48" max="48" width="9.453125" bestFit="1" customWidth="1"/>
  </cols>
  <sheetData>
    <row r="1" spans="1:28" ht="18.5" x14ac:dyDescent="0.45">
      <c r="A1" s="63" t="s">
        <v>64</v>
      </c>
    </row>
    <row r="2" spans="1:28" ht="15" thickBot="1" x14ac:dyDescent="0.4"/>
    <row r="3" spans="1:28" ht="15" thickBot="1" x14ac:dyDescent="0.4">
      <c r="G3" s="44" t="s">
        <v>53</v>
      </c>
      <c r="H3" s="18" t="s">
        <v>54</v>
      </c>
      <c r="K3" t="s">
        <v>55</v>
      </c>
      <c r="O3" s="45"/>
      <c r="P3" s="45"/>
    </row>
    <row r="4" spans="1:28" ht="15" thickBot="1" x14ac:dyDescent="0.4">
      <c r="B4" s="46" t="s">
        <v>0</v>
      </c>
      <c r="C4" s="47" t="s">
        <v>56</v>
      </c>
      <c r="D4" s="47" t="s">
        <v>57</v>
      </c>
      <c r="E4" s="47" t="s">
        <v>58</v>
      </c>
      <c r="F4" s="47" t="s">
        <v>59</v>
      </c>
      <c r="G4" s="46" t="s">
        <v>60</v>
      </c>
      <c r="H4" s="48" t="s">
        <v>60</v>
      </c>
      <c r="K4" s="46" t="s">
        <v>56</v>
      </c>
      <c r="L4" s="47" t="s">
        <v>57</v>
      </c>
      <c r="M4" s="47" t="s">
        <v>59</v>
      </c>
      <c r="N4" s="47" t="s">
        <v>58</v>
      </c>
      <c r="O4" s="46" t="s">
        <v>61</v>
      </c>
      <c r="P4" s="48" t="s">
        <v>62</v>
      </c>
      <c r="Q4" s="45"/>
      <c r="R4" s="45"/>
    </row>
    <row r="5" spans="1:28" ht="15" thickBot="1" x14ac:dyDescent="0.4">
      <c r="B5" s="49">
        <v>1</v>
      </c>
      <c r="C5" s="19">
        <v>16</v>
      </c>
      <c r="D5" s="19">
        <v>8192</v>
      </c>
      <c r="E5" s="19">
        <v>16</v>
      </c>
      <c r="F5" s="19">
        <v>10</v>
      </c>
      <c r="G5" s="50">
        <v>20.2256631851196</v>
      </c>
      <c r="H5" s="51">
        <v>27.077206611633301</v>
      </c>
      <c r="K5" s="52">
        <v>16</v>
      </c>
      <c r="L5" s="53">
        <v>8192</v>
      </c>
      <c r="M5" s="53">
        <v>10</v>
      </c>
      <c r="N5" s="53">
        <v>16</v>
      </c>
      <c r="O5" s="54">
        <v>157.44491505622801</v>
      </c>
      <c r="P5" s="55">
        <v>206.065306901931</v>
      </c>
      <c r="Q5" s="45"/>
      <c r="R5" s="56"/>
      <c r="W5">
        <v>1953</v>
      </c>
    </row>
    <row r="6" spans="1:28" ht="15" thickBot="1" x14ac:dyDescent="0.4">
      <c r="B6" s="57">
        <v>2</v>
      </c>
      <c r="C6" s="2">
        <v>16</v>
      </c>
      <c r="D6" s="2">
        <v>8192</v>
      </c>
      <c r="E6" s="2">
        <v>16</v>
      </c>
      <c r="F6" s="2">
        <v>10</v>
      </c>
      <c r="G6" s="58">
        <v>15.2447080612182</v>
      </c>
      <c r="H6" s="59">
        <v>19.829084634780799</v>
      </c>
      <c r="K6" s="52">
        <v>32</v>
      </c>
      <c r="L6" s="53">
        <v>8192</v>
      </c>
      <c r="M6" s="53">
        <v>10</v>
      </c>
      <c r="N6" s="53">
        <v>32</v>
      </c>
      <c r="O6" s="54">
        <v>98.857864379882798</v>
      </c>
      <c r="P6" s="55">
        <v>123.381994485855</v>
      </c>
      <c r="Q6" s="45"/>
      <c r="R6" s="56"/>
      <c r="V6">
        <v>1</v>
      </c>
      <c r="W6">
        <f t="shared" ref="W6:W12" si="0">W5-30</f>
        <v>1923</v>
      </c>
    </row>
    <row r="7" spans="1:28" ht="15" thickBot="1" x14ac:dyDescent="0.4">
      <c r="B7" s="57">
        <v>3</v>
      </c>
      <c r="C7" s="2">
        <v>16</v>
      </c>
      <c r="D7" s="2">
        <v>8192</v>
      </c>
      <c r="E7" s="2">
        <v>16</v>
      </c>
      <c r="F7" s="2">
        <v>10</v>
      </c>
      <c r="G7" s="58">
        <v>15.223648309707601</v>
      </c>
      <c r="H7" s="59">
        <v>19.763915538787799</v>
      </c>
      <c r="K7" s="52">
        <v>64</v>
      </c>
      <c r="L7" s="53">
        <v>8192</v>
      </c>
      <c r="M7" s="53">
        <v>10</v>
      </c>
      <c r="N7" s="53">
        <v>64</v>
      </c>
      <c r="O7" s="54">
        <v>74.582271337509098</v>
      </c>
      <c r="P7" s="55">
        <v>88.099725484847994</v>
      </c>
      <c r="Q7" s="45"/>
      <c r="R7" s="56"/>
      <c r="W7">
        <f t="shared" si="0"/>
        <v>1893</v>
      </c>
    </row>
    <row r="8" spans="1:28" ht="15" thickBot="1" x14ac:dyDescent="0.4">
      <c r="B8" s="57">
        <v>4</v>
      </c>
      <c r="C8" s="2">
        <v>16</v>
      </c>
      <c r="D8" s="2">
        <v>8192</v>
      </c>
      <c r="E8" s="2">
        <v>16</v>
      </c>
      <c r="F8" s="2">
        <v>10</v>
      </c>
      <c r="G8" s="58">
        <v>15.191387176513601</v>
      </c>
      <c r="H8" s="59">
        <v>19.783289909362701</v>
      </c>
      <c r="K8" s="52">
        <v>96</v>
      </c>
      <c r="L8" s="53">
        <v>8192</v>
      </c>
      <c r="M8" s="53">
        <v>10</v>
      </c>
      <c r="N8" s="53">
        <v>96</v>
      </c>
      <c r="O8" s="54">
        <v>69.947777271270695</v>
      </c>
      <c r="P8" s="55">
        <v>78.207457780837998</v>
      </c>
      <c r="Q8" s="45"/>
      <c r="R8" s="56">
        <v>1200</v>
      </c>
      <c r="V8">
        <v>2</v>
      </c>
      <c r="W8">
        <f t="shared" si="0"/>
        <v>1863</v>
      </c>
    </row>
    <row r="9" spans="1:28" ht="15" thickBot="1" x14ac:dyDescent="0.4">
      <c r="B9" s="57">
        <v>5</v>
      </c>
      <c r="C9" s="2">
        <v>16</v>
      </c>
      <c r="D9" s="2">
        <v>8192</v>
      </c>
      <c r="E9" s="2">
        <v>16</v>
      </c>
      <c r="F9" s="2">
        <v>10</v>
      </c>
      <c r="G9" s="58">
        <v>15.166576385498001</v>
      </c>
      <c r="H9" s="59">
        <v>19.7806859016418</v>
      </c>
      <c r="K9" s="52">
        <v>128</v>
      </c>
      <c r="L9" s="53">
        <v>8192</v>
      </c>
      <c r="M9" s="53">
        <v>10</v>
      </c>
      <c r="N9" s="53">
        <v>128</v>
      </c>
      <c r="O9" s="54">
        <v>62.036416053771902</v>
      </c>
      <c r="P9" s="55">
        <v>70.6000173091888</v>
      </c>
      <c r="Q9" s="45"/>
      <c r="R9" s="56"/>
      <c r="W9">
        <f t="shared" si="0"/>
        <v>1833</v>
      </c>
      <c r="AB9">
        <v>125000</v>
      </c>
    </row>
    <row r="10" spans="1:28" ht="15" thickBot="1" x14ac:dyDescent="0.4">
      <c r="B10" s="57">
        <v>6</v>
      </c>
      <c r="C10" s="2">
        <v>16</v>
      </c>
      <c r="D10" s="2">
        <v>8192</v>
      </c>
      <c r="E10" s="2">
        <v>16</v>
      </c>
      <c r="F10" s="2">
        <v>10</v>
      </c>
      <c r="G10" s="58">
        <v>15.135231018066399</v>
      </c>
      <c r="H10" s="59">
        <v>19.723318099975501</v>
      </c>
      <c r="K10" s="52">
        <v>192</v>
      </c>
      <c r="L10" s="53">
        <v>8192</v>
      </c>
      <c r="M10" s="53">
        <v>10</v>
      </c>
      <c r="N10" s="53">
        <v>192</v>
      </c>
      <c r="O10" s="54">
        <v>58.563427209854098</v>
      </c>
      <c r="P10" s="55">
        <v>66.060154199600206</v>
      </c>
      <c r="Q10" s="45"/>
      <c r="R10" s="56">
        <v>1500</v>
      </c>
      <c r="V10">
        <v>3</v>
      </c>
      <c r="W10">
        <f t="shared" si="0"/>
        <v>1803</v>
      </c>
    </row>
    <row r="11" spans="1:28" ht="15" thickBot="1" x14ac:dyDescent="0.4">
      <c r="B11" s="57">
        <v>7</v>
      </c>
      <c r="C11" s="2">
        <v>16</v>
      </c>
      <c r="D11" s="2">
        <v>8192</v>
      </c>
      <c r="E11" s="2">
        <v>16</v>
      </c>
      <c r="F11" s="2">
        <v>10</v>
      </c>
      <c r="G11" s="58">
        <v>15.146043777465801</v>
      </c>
      <c r="H11" s="59">
        <v>19.817587137222201</v>
      </c>
      <c r="K11" s="52">
        <v>256</v>
      </c>
      <c r="L11" s="53">
        <v>8192</v>
      </c>
      <c r="M11" s="53">
        <v>10</v>
      </c>
      <c r="N11" s="53">
        <v>256</v>
      </c>
      <c r="O11" s="54">
        <v>55.837321043014498</v>
      </c>
      <c r="P11" s="55">
        <v>61.713508844375603</v>
      </c>
      <c r="Q11" s="45"/>
      <c r="R11" s="56"/>
      <c r="W11">
        <f t="shared" si="0"/>
        <v>1773</v>
      </c>
      <c r="AB11">
        <f>AB9*75</f>
        <v>9375000</v>
      </c>
    </row>
    <row r="12" spans="1:28" x14ac:dyDescent="0.35">
      <c r="B12" s="57">
        <v>8</v>
      </c>
      <c r="C12" s="2">
        <v>16</v>
      </c>
      <c r="D12" s="2">
        <v>8192</v>
      </c>
      <c r="E12" s="2">
        <v>16</v>
      </c>
      <c r="F12" s="2">
        <v>10</v>
      </c>
      <c r="G12" s="58">
        <v>15.183148145675601</v>
      </c>
      <c r="H12" s="59">
        <v>19.836474180221501</v>
      </c>
      <c r="K12" s="45"/>
      <c r="L12" s="56"/>
      <c r="M12" s="56"/>
      <c r="N12" s="45"/>
      <c r="O12" s="45"/>
      <c r="P12" s="45"/>
      <c r="Q12" s="45"/>
      <c r="R12" s="56"/>
      <c r="V12">
        <v>4</v>
      </c>
      <c r="W12">
        <f t="shared" si="0"/>
        <v>1743</v>
      </c>
    </row>
    <row r="13" spans="1:28" x14ac:dyDescent="0.35">
      <c r="B13" s="57">
        <v>9</v>
      </c>
      <c r="C13" s="2">
        <v>16</v>
      </c>
      <c r="D13" s="2">
        <v>8192</v>
      </c>
      <c r="E13" s="2">
        <v>16</v>
      </c>
      <c r="F13" s="2">
        <v>10</v>
      </c>
      <c r="G13" s="58">
        <v>15.1657030582427</v>
      </c>
      <c r="H13" s="59">
        <v>19.830033540725701</v>
      </c>
      <c r="K13" s="45"/>
      <c r="L13" s="56"/>
      <c r="M13" s="56"/>
      <c r="N13" s="45"/>
      <c r="O13" s="45"/>
      <c r="P13" s="45"/>
      <c r="Q13" s="45"/>
      <c r="R13" s="56">
        <v>105000</v>
      </c>
      <c r="Z13">
        <v>78000</v>
      </c>
    </row>
    <row r="14" spans="1:28" x14ac:dyDescent="0.35">
      <c r="B14" s="57">
        <v>10</v>
      </c>
      <c r="C14" s="2">
        <v>16</v>
      </c>
      <c r="D14" s="2">
        <v>8192</v>
      </c>
      <c r="E14" s="2">
        <v>16</v>
      </c>
      <c r="F14" s="2">
        <v>10</v>
      </c>
      <c r="G14" s="58">
        <v>15.163327932357699</v>
      </c>
      <c r="H14" s="59">
        <v>19.8281619548797</v>
      </c>
      <c r="K14" s="45"/>
      <c r="L14" s="56"/>
      <c r="M14" s="56"/>
      <c r="N14" s="45"/>
      <c r="O14" s="45"/>
      <c r="P14" s="45"/>
      <c r="Q14" s="45"/>
      <c r="R14" s="56"/>
      <c r="T14">
        <v>788</v>
      </c>
      <c r="AB14">
        <f>AB11/12</f>
        <v>781250</v>
      </c>
    </row>
    <row r="15" spans="1:28" ht="15" thickBot="1" x14ac:dyDescent="0.4">
      <c r="B15" s="52" t="s">
        <v>4</v>
      </c>
      <c r="C15" s="53">
        <v>16</v>
      </c>
      <c r="D15" s="53">
        <v>8192</v>
      </c>
      <c r="E15" s="53">
        <v>16</v>
      </c>
      <c r="F15" s="53">
        <v>10</v>
      </c>
      <c r="G15" s="60">
        <v>157.44491505622801</v>
      </c>
      <c r="H15" s="61">
        <v>206.065306901931</v>
      </c>
      <c r="K15" s="45"/>
      <c r="L15" s="56"/>
      <c r="M15" s="56"/>
      <c r="N15" s="45"/>
      <c r="O15" s="45"/>
      <c r="P15" s="45"/>
      <c r="Q15" s="45"/>
      <c r="R15" s="56">
        <f>R13*75</f>
        <v>7875000</v>
      </c>
      <c r="Z15" s="91">
        <f>Z13*75</f>
        <v>5850000</v>
      </c>
    </row>
    <row r="16" spans="1:28" x14ac:dyDescent="0.35">
      <c r="B16" s="49">
        <v>1</v>
      </c>
      <c r="C16" s="19">
        <v>32</v>
      </c>
      <c r="D16" s="19">
        <v>8192</v>
      </c>
      <c r="E16" s="19">
        <v>32</v>
      </c>
      <c r="F16" s="19">
        <v>10</v>
      </c>
      <c r="G16" s="50">
        <v>13.0704586505889</v>
      </c>
      <c r="H16" s="51">
        <v>15.6417508125305</v>
      </c>
      <c r="K16" s="45"/>
      <c r="L16" s="56"/>
      <c r="M16" s="56"/>
      <c r="N16" s="45"/>
      <c r="O16" s="45"/>
      <c r="P16" s="45"/>
      <c r="Q16" s="45"/>
      <c r="R16" s="56"/>
      <c r="T16">
        <f>T14*75</f>
        <v>59100</v>
      </c>
      <c r="X16">
        <v>13.78</v>
      </c>
    </row>
    <row r="17" spans="2:43" x14ac:dyDescent="0.35">
      <c r="B17" s="57">
        <v>2</v>
      </c>
      <c r="C17" s="2">
        <v>32</v>
      </c>
      <c r="D17" s="2">
        <v>8192</v>
      </c>
      <c r="E17" s="2">
        <v>32</v>
      </c>
      <c r="F17" s="2">
        <v>10</v>
      </c>
      <c r="G17" s="58">
        <v>9.4672060012817294</v>
      </c>
      <c r="H17" s="59">
        <v>11.9368348121643</v>
      </c>
      <c r="K17" s="45"/>
      <c r="L17" s="56"/>
      <c r="M17" s="56"/>
      <c r="N17" s="45"/>
      <c r="O17" s="45"/>
      <c r="P17" s="45"/>
      <c r="Q17" s="45"/>
      <c r="R17" s="56"/>
      <c r="X17">
        <f>X16*1.12</f>
        <v>15.4336</v>
      </c>
    </row>
    <row r="18" spans="2:43" x14ac:dyDescent="0.35">
      <c r="B18" s="57">
        <v>3</v>
      </c>
      <c r="C18" s="2">
        <v>32</v>
      </c>
      <c r="D18" s="2">
        <v>8192</v>
      </c>
      <c r="E18" s="2">
        <v>32</v>
      </c>
      <c r="F18" s="2">
        <v>10</v>
      </c>
      <c r="G18" s="58">
        <v>9.4773626327514595</v>
      </c>
      <c r="H18" s="59">
        <v>11.9359548091888</v>
      </c>
      <c r="K18" s="45"/>
      <c r="L18" s="56"/>
      <c r="M18" s="56"/>
      <c r="N18" s="45"/>
      <c r="O18" s="45"/>
      <c r="P18" s="45"/>
      <c r="Q18" s="45"/>
      <c r="R18" s="56"/>
      <c r="X18">
        <f>X17*1.3</f>
        <v>20.063680000000002</v>
      </c>
      <c r="AM18">
        <v>6</v>
      </c>
      <c r="AN18">
        <v>3</v>
      </c>
      <c r="AO18">
        <f>AN18*AM18</f>
        <v>18</v>
      </c>
    </row>
    <row r="19" spans="2:43" x14ac:dyDescent="0.35">
      <c r="B19" s="57">
        <v>4</v>
      </c>
      <c r="C19" s="2">
        <v>32</v>
      </c>
      <c r="D19" s="2">
        <v>8192</v>
      </c>
      <c r="E19" s="2">
        <v>32</v>
      </c>
      <c r="F19" s="2">
        <v>10</v>
      </c>
      <c r="G19" s="58">
        <v>9.4780433177947998</v>
      </c>
      <c r="H19" s="59">
        <v>11.8912417888641</v>
      </c>
      <c r="K19" s="45"/>
      <c r="L19" s="56"/>
      <c r="M19" s="56"/>
      <c r="N19" s="45"/>
      <c r="O19" s="45"/>
      <c r="P19" s="45"/>
      <c r="Q19" s="45"/>
      <c r="R19" s="56"/>
      <c r="AM19">
        <v>12</v>
      </c>
      <c r="AN19">
        <v>4</v>
      </c>
      <c r="AO19">
        <f>AN19*AM19</f>
        <v>48</v>
      </c>
    </row>
    <row r="20" spans="2:43" x14ac:dyDescent="0.35">
      <c r="B20" s="57">
        <v>5</v>
      </c>
      <c r="C20" s="2">
        <v>32</v>
      </c>
      <c r="D20" s="2">
        <v>8192</v>
      </c>
      <c r="E20" s="2">
        <v>32</v>
      </c>
      <c r="F20" s="2">
        <v>10</v>
      </c>
      <c r="G20" s="58">
        <v>9.4508354663848806</v>
      </c>
      <c r="H20" s="59">
        <v>11.873846292495699</v>
      </c>
      <c r="K20" s="45"/>
      <c r="L20" s="56"/>
      <c r="M20" s="56"/>
      <c r="N20" s="45"/>
      <c r="O20" s="45"/>
      <c r="P20" s="45"/>
      <c r="Q20" s="45"/>
      <c r="R20" s="56"/>
      <c r="AJ20">
        <f>4/7</f>
        <v>0.5714285714285714</v>
      </c>
      <c r="AM20">
        <f>SUM(AM18:AM19)</f>
        <v>18</v>
      </c>
      <c r="AO20">
        <f>SUM(AO18:AO19)</f>
        <v>66</v>
      </c>
      <c r="AQ20">
        <f>AO20/AM20</f>
        <v>3.6666666666666665</v>
      </c>
    </row>
    <row r="21" spans="2:43" x14ac:dyDescent="0.35">
      <c r="B21" s="57">
        <v>6</v>
      </c>
      <c r="C21" s="2">
        <v>32</v>
      </c>
      <c r="D21" s="2">
        <v>8192</v>
      </c>
      <c r="E21" s="2">
        <v>32</v>
      </c>
      <c r="F21" s="2">
        <v>10</v>
      </c>
      <c r="G21" s="58">
        <v>9.4561862945556605</v>
      </c>
      <c r="H21" s="59">
        <v>11.8813376426696</v>
      </c>
      <c r="K21" s="45"/>
      <c r="L21" s="56"/>
      <c r="M21" s="56"/>
      <c r="N21" s="45"/>
      <c r="O21" s="45"/>
      <c r="P21" s="45"/>
      <c r="Q21" s="45"/>
      <c r="R21" s="56"/>
    </row>
    <row r="22" spans="2:43" x14ac:dyDescent="0.35">
      <c r="B22" s="57">
        <v>7</v>
      </c>
      <c r="C22" s="2">
        <v>32</v>
      </c>
      <c r="D22" s="2">
        <v>8192</v>
      </c>
      <c r="E22" s="2">
        <v>32</v>
      </c>
      <c r="F22" s="2">
        <v>10</v>
      </c>
      <c r="G22" s="58">
        <v>9.4659914970397896</v>
      </c>
      <c r="H22" s="59">
        <v>11.895672559738101</v>
      </c>
      <c r="K22" s="45"/>
      <c r="L22" s="56"/>
      <c r="M22" s="56"/>
      <c r="N22" s="45"/>
      <c r="O22" s="45"/>
      <c r="P22" s="45"/>
      <c r="Q22" s="45"/>
      <c r="R22" s="56"/>
      <c r="AB22">
        <f>LOG(4.8)</f>
        <v>0.68124123737558717</v>
      </c>
    </row>
    <row r="23" spans="2:43" x14ac:dyDescent="0.35">
      <c r="B23" s="57">
        <v>8</v>
      </c>
      <c r="C23" s="2">
        <v>32</v>
      </c>
      <c r="D23" s="2">
        <v>8192</v>
      </c>
      <c r="E23" s="2">
        <v>32</v>
      </c>
      <c r="F23" s="2">
        <v>10</v>
      </c>
      <c r="G23" s="58">
        <v>9.4660151004791206</v>
      </c>
      <c r="H23" s="59">
        <v>11.8641846179962</v>
      </c>
      <c r="K23" s="45"/>
      <c r="L23" s="56"/>
      <c r="M23" s="56"/>
      <c r="N23" s="45"/>
      <c r="O23" s="45"/>
      <c r="P23" s="45"/>
      <c r="Q23" s="45"/>
      <c r="R23" s="56"/>
      <c r="AE23">
        <f>5/6</f>
        <v>0.83333333333333337</v>
      </c>
    </row>
    <row r="24" spans="2:43" x14ac:dyDescent="0.35">
      <c r="B24" s="57">
        <v>9</v>
      </c>
      <c r="C24" s="2">
        <v>32</v>
      </c>
      <c r="D24" s="2">
        <v>8192</v>
      </c>
      <c r="E24" s="2">
        <v>32</v>
      </c>
      <c r="F24" s="2">
        <v>10</v>
      </c>
      <c r="G24" s="58">
        <v>9.4627547264099103</v>
      </c>
      <c r="H24" s="59">
        <v>11.883351564407301</v>
      </c>
      <c r="K24" s="45"/>
      <c r="L24" s="56"/>
      <c r="M24" s="56"/>
      <c r="N24" s="45"/>
      <c r="O24" s="45"/>
      <c r="P24" s="45"/>
      <c r="Q24" s="45"/>
      <c r="R24" s="56"/>
      <c r="AB24">
        <f>LN(4.8)</f>
        <v>1.5686159179138452</v>
      </c>
      <c r="AH24">
        <v>18</v>
      </c>
      <c r="AJ24">
        <v>3.6666666666666665</v>
      </c>
      <c r="AL24">
        <f>AJ24*AH24</f>
        <v>66</v>
      </c>
      <c r="AN24">
        <f>4/7</f>
        <v>0.5714285714285714</v>
      </c>
    </row>
    <row r="25" spans="2:43" x14ac:dyDescent="0.35">
      <c r="B25" s="57">
        <v>10</v>
      </c>
      <c r="C25" s="2">
        <v>32</v>
      </c>
      <c r="D25" s="2">
        <v>8192</v>
      </c>
      <c r="E25" s="2">
        <v>32</v>
      </c>
      <c r="F25" s="2">
        <v>10</v>
      </c>
      <c r="G25" s="58">
        <v>9.46300816535949</v>
      </c>
      <c r="H25" s="59">
        <v>11.865380287170399</v>
      </c>
      <c r="K25" s="45"/>
      <c r="L25" s="56"/>
      <c r="M25" s="56"/>
      <c r="N25" s="45"/>
      <c r="O25" s="45"/>
      <c r="P25" s="45"/>
      <c r="Q25" s="45"/>
      <c r="R25" s="56"/>
    </row>
    <row r="26" spans="2:43" ht="15" thickBot="1" x14ac:dyDescent="0.4">
      <c r="B26" s="52" t="s">
        <v>4</v>
      </c>
      <c r="C26" s="53">
        <v>32</v>
      </c>
      <c r="D26" s="53">
        <v>8192</v>
      </c>
      <c r="E26" s="53">
        <v>32</v>
      </c>
      <c r="F26" s="53">
        <v>10</v>
      </c>
      <c r="G26" s="60">
        <v>98.857864379882798</v>
      </c>
      <c r="H26" s="61">
        <v>123.381994485855</v>
      </c>
      <c r="K26" s="45"/>
      <c r="L26" s="56"/>
      <c r="M26" s="56"/>
      <c r="N26" s="45"/>
      <c r="O26" s="45"/>
      <c r="P26" s="45"/>
      <c r="Q26" s="45"/>
      <c r="R26" s="56"/>
      <c r="AH26">
        <v>15</v>
      </c>
      <c r="AJ26">
        <v>4</v>
      </c>
      <c r="AL26">
        <f>AJ26*AH26</f>
        <v>60</v>
      </c>
    </row>
    <row r="27" spans="2:43" x14ac:dyDescent="0.35">
      <c r="B27" s="49">
        <v>1</v>
      </c>
      <c r="C27" s="19">
        <v>64</v>
      </c>
      <c r="D27" s="19">
        <v>8192</v>
      </c>
      <c r="E27" s="19">
        <v>64</v>
      </c>
      <c r="F27" s="19">
        <v>10</v>
      </c>
      <c r="G27" s="50">
        <v>10.7758119106292</v>
      </c>
      <c r="H27" s="51">
        <v>11.473510265350299</v>
      </c>
      <c r="K27" s="45"/>
      <c r="L27" s="56"/>
      <c r="M27" s="56"/>
      <c r="N27" s="45"/>
      <c r="O27" s="45"/>
      <c r="P27" s="45"/>
      <c r="Q27" s="45"/>
      <c r="R27" s="56"/>
      <c r="AD27">
        <f>1/SQRT(0.546)</f>
        <v>1.353329904901917</v>
      </c>
    </row>
    <row r="28" spans="2:43" x14ac:dyDescent="0.35">
      <c r="B28" s="57">
        <v>2</v>
      </c>
      <c r="C28" s="2">
        <v>64</v>
      </c>
      <c r="D28" s="2">
        <v>8192</v>
      </c>
      <c r="E28" s="2">
        <v>64</v>
      </c>
      <c r="F28" s="2">
        <v>10</v>
      </c>
      <c r="G28" s="58">
        <v>7.0313329696655202</v>
      </c>
      <c r="H28" s="59">
        <v>8.4712152481079102</v>
      </c>
      <c r="K28" s="45"/>
      <c r="L28" s="56"/>
      <c r="M28" s="56"/>
      <c r="N28" s="45"/>
      <c r="O28" s="45"/>
      <c r="P28" s="45"/>
      <c r="Q28" s="45"/>
      <c r="R28" s="56"/>
      <c r="AH28">
        <f>SUM(AH24:AH26)</f>
        <v>33</v>
      </c>
      <c r="AL28">
        <f>SUM(AL24:AL26)</f>
        <v>126</v>
      </c>
    </row>
    <row r="29" spans="2:43" x14ac:dyDescent="0.35">
      <c r="B29" s="57">
        <v>3</v>
      </c>
      <c r="C29" s="2">
        <v>64</v>
      </c>
      <c r="D29" s="2">
        <v>8192</v>
      </c>
      <c r="E29" s="2">
        <v>64</v>
      </c>
      <c r="F29" s="2">
        <v>10</v>
      </c>
      <c r="G29" s="58">
        <v>7.0480389595031703</v>
      </c>
      <c r="H29" s="59">
        <v>8.4413332939147896</v>
      </c>
      <c r="K29" s="45"/>
      <c r="L29" s="56"/>
      <c r="M29" s="56"/>
      <c r="N29" s="45"/>
      <c r="O29" s="45"/>
      <c r="P29" s="45"/>
      <c r="Q29" s="45"/>
      <c r="R29" s="56"/>
      <c r="AD29">
        <f>0.4026/AD27</f>
        <v>0.29748843836357741</v>
      </c>
    </row>
    <row r="30" spans="2:43" x14ac:dyDescent="0.35">
      <c r="B30" s="57">
        <v>4</v>
      </c>
      <c r="C30" s="2">
        <v>64</v>
      </c>
      <c r="D30" s="2">
        <v>8192</v>
      </c>
      <c r="E30" s="2">
        <v>64</v>
      </c>
      <c r="F30" s="2">
        <v>10</v>
      </c>
      <c r="G30" s="58">
        <v>7.0887718200683496</v>
      </c>
      <c r="H30" s="59">
        <v>8.4356031417846609</v>
      </c>
      <c r="K30" s="45"/>
      <c r="L30" s="56"/>
      <c r="M30" s="56"/>
      <c r="N30" s="45"/>
      <c r="O30" s="45"/>
      <c r="P30" s="45"/>
      <c r="Q30" s="45"/>
      <c r="R30" s="56"/>
      <c r="AL30">
        <f>AL28/AH28</f>
        <v>3.8181818181818183</v>
      </c>
      <c r="AN30">
        <f>AL30*2.5</f>
        <v>9.5454545454545467</v>
      </c>
    </row>
    <row r="31" spans="2:43" x14ac:dyDescent="0.35">
      <c r="B31" s="57">
        <v>5</v>
      </c>
      <c r="C31" s="2">
        <v>64</v>
      </c>
      <c r="D31" s="2">
        <v>8192</v>
      </c>
      <c r="E31" s="2">
        <v>64</v>
      </c>
      <c r="F31" s="2">
        <v>10</v>
      </c>
      <c r="G31" s="58">
        <v>7.0598616600036603</v>
      </c>
      <c r="H31" s="59">
        <v>8.4810051918029696</v>
      </c>
      <c r="K31" s="45"/>
      <c r="L31" s="56"/>
      <c r="M31" s="56"/>
      <c r="N31" s="45"/>
      <c r="O31" s="45"/>
      <c r="P31" s="45"/>
      <c r="Q31" s="45"/>
      <c r="R31" s="56"/>
    </row>
    <row r="32" spans="2:43" x14ac:dyDescent="0.35">
      <c r="B32" s="57">
        <v>6</v>
      </c>
      <c r="C32" s="2">
        <v>64</v>
      </c>
      <c r="D32" s="2">
        <v>8192</v>
      </c>
      <c r="E32" s="2">
        <v>64</v>
      </c>
      <c r="F32" s="2">
        <v>10</v>
      </c>
      <c r="G32" s="58">
        <v>7.0001976490020699</v>
      </c>
      <c r="H32" s="59">
        <v>8.3698697090148908</v>
      </c>
      <c r="K32" s="45"/>
      <c r="L32" s="56"/>
      <c r="M32" s="56"/>
      <c r="N32" s="45"/>
      <c r="O32" s="45"/>
      <c r="P32" s="45"/>
      <c r="Q32" s="45"/>
      <c r="R32" s="56"/>
      <c r="AD32">
        <f>0.5443/AD27</f>
        <v>0.40219313711200988</v>
      </c>
    </row>
    <row r="33" spans="2:43" x14ac:dyDescent="0.35">
      <c r="B33" s="57">
        <v>7</v>
      </c>
      <c r="C33" s="2">
        <v>64</v>
      </c>
      <c r="D33" s="2">
        <v>8192</v>
      </c>
      <c r="E33" s="2">
        <v>64</v>
      </c>
      <c r="F33" s="2">
        <v>10</v>
      </c>
      <c r="G33" s="58">
        <v>6.9989342689514098</v>
      </c>
      <c r="H33" s="59">
        <v>8.4331541061401296</v>
      </c>
      <c r="K33" s="45"/>
      <c r="L33" s="56"/>
      <c r="M33" s="56"/>
      <c r="N33" s="45"/>
      <c r="O33" s="45"/>
      <c r="P33" s="45"/>
      <c r="Q33" s="45"/>
      <c r="R33" s="56"/>
    </row>
    <row r="34" spans="2:43" x14ac:dyDescent="0.35">
      <c r="B34" s="57">
        <v>8</v>
      </c>
      <c r="C34" s="2">
        <v>64</v>
      </c>
      <c r="D34" s="2">
        <v>8192</v>
      </c>
      <c r="E34" s="2">
        <v>64</v>
      </c>
      <c r="F34" s="2">
        <v>10</v>
      </c>
      <c r="G34" s="58">
        <v>6.9657514095306396</v>
      </c>
      <c r="H34" s="59">
        <v>8.4080944061279297</v>
      </c>
      <c r="K34" s="45"/>
      <c r="L34" s="56"/>
      <c r="M34" s="56"/>
      <c r="N34" s="45"/>
      <c r="O34" s="45"/>
      <c r="P34" s="45"/>
      <c r="Q34" s="45"/>
      <c r="R34" s="56"/>
    </row>
    <row r="35" spans="2:43" x14ac:dyDescent="0.35">
      <c r="B35" s="57">
        <v>9</v>
      </c>
      <c r="C35" s="2">
        <v>64</v>
      </c>
      <c r="D35" s="2">
        <v>8192</v>
      </c>
      <c r="E35" s="2">
        <v>64</v>
      </c>
      <c r="F35" s="2">
        <v>10</v>
      </c>
      <c r="G35" s="58">
        <v>7.0131993293762198</v>
      </c>
      <c r="H35" s="59">
        <v>8.4435670375823904</v>
      </c>
      <c r="K35" s="45"/>
      <c r="L35" s="56"/>
      <c r="M35" s="56"/>
      <c r="N35" s="45"/>
      <c r="O35" s="45"/>
      <c r="P35" s="45"/>
      <c r="Q35" s="45"/>
      <c r="R35" s="56"/>
    </row>
    <row r="36" spans="2:43" x14ac:dyDescent="0.35">
      <c r="B36" s="57">
        <v>10</v>
      </c>
      <c r="C36" s="2">
        <v>64</v>
      </c>
      <c r="D36" s="2">
        <v>8192</v>
      </c>
      <c r="E36" s="2">
        <v>64</v>
      </c>
      <c r="F36" s="2">
        <v>10</v>
      </c>
      <c r="G36" s="58">
        <v>7.0029547214508003</v>
      </c>
      <c r="H36" s="59">
        <v>8.4315469264984095</v>
      </c>
      <c r="K36" s="45"/>
      <c r="L36" s="56"/>
      <c r="M36" s="56"/>
      <c r="N36" s="45"/>
      <c r="O36" s="45"/>
      <c r="P36" s="45"/>
      <c r="Q36" s="45"/>
      <c r="R36" s="56"/>
      <c r="AO36">
        <v>9025</v>
      </c>
      <c r="AQ36">
        <v>22971</v>
      </c>
    </row>
    <row r="37" spans="2:43" ht="15" thickBot="1" x14ac:dyDescent="0.4">
      <c r="B37" s="52" t="s">
        <v>4</v>
      </c>
      <c r="C37" s="53">
        <v>64</v>
      </c>
      <c r="D37" s="53">
        <v>8192</v>
      </c>
      <c r="E37" s="53">
        <v>64</v>
      </c>
      <c r="F37" s="53">
        <v>10</v>
      </c>
      <c r="G37" s="60">
        <v>74.582271337509098</v>
      </c>
      <c r="H37" s="61">
        <v>88.099725484847994</v>
      </c>
      <c r="K37" s="45"/>
      <c r="L37" s="56"/>
      <c r="M37" s="56"/>
      <c r="N37" s="45"/>
      <c r="O37" s="45"/>
      <c r="P37" s="45"/>
      <c r="Q37" s="45"/>
      <c r="R37" s="56"/>
      <c r="AD37">
        <f>4000*75</f>
        <v>300000</v>
      </c>
      <c r="AO37">
        <v>4500</v>
      </c>
      <c r="AQ37">
        <v>22971</v>
      </c>
    </row>
    <row r="38" spans="2:43" x14ac:dyDescent="0.35">
      <c r="B38" s="49">
        <v>1</v>
      </c>
      <c r="C38" s="19">
        <v>96</v>
      </c>
      <c r="D38" s="19">
        <v>8192</v>
      </c>
      <c r="E38" s="19">
        <v>96</v>
      </c>
      <c r="F38" s="19">
        <v>10</v>
      </c>
      <c r="G38" s="50">
        <v>11.8018066883087</v>
      </c>
      <c r="H38" s="51">
        <v>10.766119956970201</v>
      </c>
      <c r="K38" s="45"/>
      <c r="L38" s="56"/>
      <c r="M38" s="56"/>
      <c r="N38" s="45"/>
      <c r="O38" s="45"/>
      <c r="P38" s="45"/>
      <c r="Q38" s="45"/>
      <c r="R38" s="56"/>
      <c r="AK38">
        <v>23198</v>
      </c>
      <c r="AO38">
        <v>4500</v>
      </c>
      <c r="AQ38">
        <f>SUM(AQ36:AQ37)</f>
        <v>45942</v>
      </c>
    </row>
    <row r="39" spans="2:43" x14ac:dyDescent="0.35">
      <c r="B39" s="57">
        <v>2</v>
      </c>
      <c r="C39" s="2">
        <v>96</v>
      </c>
      <c r="D39" s="2">
        <v>8192</v>
      </c>
      <c r="E39" s="2">
        <v>96</v>
      </c>
      <c r="F39" s="2">
        <v>10</v>
      </c>
      <c r="G39" s="58">
        <v>6.35835409164428</v>
      </c>
      <c r="H39" s="59">
        <v>7.4581353664398096</v>
      </c>
      <c r="K39" s="45"/>
      <c r="L39" s="56"/>
      <c r="M39" s="56"/>
      <c r="N39" s="45"/>
      <c r="O39" s="45"/>
      <c r="P39" s="45"/>
      <c r="Q39" s="45"/>
      <c r="R39" s="56"/>
      <c r="AO39">
        <v>4500</v>
      </c>
    </row>
    <row r="40" spans="2:43" x14ac:dyDescent="0.35">
      <c r="B40" s="57">
        <v>3</v>
      </c>
      <c r="C40" s="2">
        <v>96</v>
      </c>
      <c r="D40" s="2">
        <v>8192</v>
      </c>
      <c r="E40" s="2">
        <v>96</v>
      </c>
      <c r="F40" s="2">
        <v>10</v>
      </c>
      <c r="G40" s="58">
        <v>6.4376928806304896</v>
      </c>
      <c r="H40" s="59">
        <v>7.40574049949646</v>
      </c>
      <c r="K40" s="45"/>
      <c r="L40" s="56"/>
      <c r="M40" s="56"/>
      <c r="N40" s="45"/>
      <c r="O40" s="45"/>
      <c r="P40" s="45"/>
      <c r="Q40" s="45"/>
      <c r="R40" s="56"/>
      <c r="AK40">
        <f>AK38/75</f>
        <v>309.30666666666667</v>
      </c>
      <c r="AO40">
        <v>4500</v>
      </c>
      <c r="AQ40">
        <v>44000</v>
      </c>
    </row>
    <row r="41" spans="2:43" x14ac:dyDescent="0.35">
      <c r="B41" s="57">
        <v>4</v>
      </c>
      <c r="C41" s="2">
        <v>96</v>
      </c>
      <c r="D41" s="2">
        <v>8192</v>
      </c>
      <c r="E41" s="2">
        <v>96</v>
      </c>
      <c r="F41" s="2">
        <v>10</v>
      </c>
      <c r="G41" s="58">
        <v>6.4240446090698198</v>
      </c>
      <c r="H41" s="59">
        <v>7.4246063232421804</v>
      </c>
      <c r="K41" s="45"/>
      <c r="L41" s="56"/>
      <c r="M41" s="56"/>
      <c r="N41" s="45"/>
      <c r="O41" s="45"/>
      <c r="P41" s="45"/>
      <c r="Q41" s="45"/>
      <c r="R41" s="56"/>
    </row>
    <row r="42" spans="2:43" x14ac:dyDescent="0.35">
      <c r="B42" s="57">
        <v>5</v>
      </c>
      <c r="C42" s="2">
        <v>96</v>
      </c>
      <c r="D42" s="2">
        <v>8192</v>
      </c>
      <c r="E42" s="2">
        <v>96</v>
      </c>
      <c r="F42" s="2">
        <v>10</v>
      </c>
      <c r="G42" s="58">
        <v>6.4046885967254603</v>
      </c>
      <c r="H42" s="59">
        <v>7.4214599132537797</v>
      </c>
      <c r="K42" s="45"/>
      <c r="L42" s="56"/>
      <c r="M42" s="56"/>
      <c r="N42" s="45"/>
      <c r="O42" s="45"/>
      <c r="P42" s="45"/>
      <c r="Q42" s="45"/>
      <c r="R42" s="56"/>
      <c r="AO42">
        <f>SUM(AO36:AO41)</f>
        <v>27025</v>
      </c>
    </row>
    <row r="43" spans="2:43" x14ac:dyDescent="0.35">
      <c r="B43" s="57">
        <v>6</v>
      </c>
      <c r="C43" s="2">
        <v>96</v>
      </c>
      <c r="D43" s="2">
        <v>8192</v>
      </c>
      <c r="E43" s="2">
        <v>96</v>
      </c>
      <c r="F43" s="2">
        <v>10</v>
      </c>
      <c r="G43" s="58">
        <v>6.3840732574462802</v>
      </c>
      <c r="H43" s="59">
        <v>7.4464957714080802</v>
      </c>
      <c r="K43" s="45"/>
      <c r="L43" s="56"/>
      <c r="M43" s="56"/>
      <c r="N43" s="45"/>
      <c r="O43" s="45"/>
      <c r="P43" s="45"/>
      <c r="Q43" s="45"/>
      <c r="R43" s="56"/>
      <c r="AB43">
        <v>1</v>
      </c>
      <c r="AD43">
        <f>POWER(AB43,2)</f>
        <v>1</v>
      </c>
    </row>
    <row r="44" spans="2:43" x14ac:dyDescent="0.35">
      <c r="B44" s="57">
        <v>7</v>
      </c>
      <c r="C44" s="2">
        <v>96</v>
      </c>
      <c r="D44" s="2">
        <v>8192</v>
      </c>
      <c r="E44" s="2">
        <v>96</v>
      </c>
      <c r="F44" s="2">
        <v>10</v>
      </c>
      <c r="G44" s="58">
        <v>6.4269509315490696</v>
      </c>
      <c r="H44" s="59">
        <v>7.4128611087799001</v>
      </c>
      <c r="K44" s="45"/>
      <c r="L44" s="56"/>
      <c r="M44" s="56"/>
      <c r="N44" s="45"/>
      <c r="O44" s="45"/>
      <c r="P44" s="45"/>
      <c r="Q44" s="45"/>
      <c r="R44" s="56"/>
      <c r="AB44">
        <v>2</v>
      </c>
      <c r="AD44">
        <f>POWER(AB44,2)</f>
        <v>4</v>
      </c>
    </row>
    <row r="45" spans="2:43" x14ac:dyDescent="0.35">
      <c r="B45" s="57">
        <v>8</v>
      </c>
      <c r="C45" s="2">
        <v>96</v>
      </c>
      <c r="D45" s="2">
        <v>8192</v>
      </c>
      <c r="E45" s="2">
        <v>96</v>
      </c>
      <c r="F45" s="2">
        <v>10</v>
      </c>
      <c r="G45" s="58">
        <v>6.3643622398376403</v>
      </c>
      <c r="H45" s="59">
        <v>7.4212937355041504</v>
      </c>
      <c r="K45" s="45"/>
      <c r="L45" s="56"/>
      <c r="M45" s="56"/>
      <c r="N45" s="45"/>
      <c r="O45" s="45"/>
      <c r="P45" s="45"/>
      <c r="Q45" s="45"/>
      <c r="R45" s="56"/>
      <c r="AB45">
        <v>3</v>
      </c>
      <c r="AD45">
        <f>POWER(AB45,2)</f>
        <v>9</v>
      </c>
      <c r="AO45">
        <f>AQ40-AO42</f>
        <v>16975</v>
      </c>
    </row>
    <row r="46" spans="2:43" x14ac:dyDescent="0.35">
      <c r="B46" s="57">
        <v>9</v>
      </c>
      <c r="C46" s="2">
        <v>96</v>
      </c>
      <c r="D46" s="2">
        <v>8192</v>
      </c>
      <c r="E46" s="2">
        <v>96</v>
      </c>
      <c r="F46" s="2">
        <v>10</v>
      </c>
      <c r="G46" s="58">
        <v>6.3877317905425999</v>
      </c>
      <c r="H46" s="59">
        <v>7.3879840373992902</v>
      </c>
      <c r="K46" s="45"/>
      <c r="L46" s="56"/>
      <c r="M46" s="56"/>
      <c r="N46" s="45"/>
      <c r="O46" s="45"/>
      <c r="P46" s="45"/>
      <c r="Q46" s="45"/>
      <c r="R46" s="56"/>
      <c r="AB46">
        <v>4</v>
      </c>
      <c r="AD46">
        <f>POWER(AB46,2)</f>
        <v>16</v>
      </c>
    </row>
    <row r="47" spans="2:43" x14ac:dyDescent="0.35">
      <c r="B47" s="57">
        <v>10</v>
      </c>
      <c r="C47" s="2">
        <v>96</v>
      </c>
      <c r="D47" s="2">
        <v>8192</v>
      </c>
      <c r="E47" s="2">
        <v>96</v>
      </c>
      <c r="F47" s="2">
        <v>10</v>
      </c>
      <c r="G47" s="58">
        <v>6.3164675235748202</v>
      </c>
      <c r="H47" s="59">
        <v>7.35235142707824</v>
      </c>
      <c r="K47" s="45"/>
      <c r="L47" s="56"/>
      <c r="M47" s="56"/>
      <c r="N47" s="45"/>
      <c r="O47" s="45"/>
      <c r="P47" s="45"/>
      <c r="Q47" s="45"/>
      <c r="R47" s="56"/>
      <c r="AD47">
        <f>SUM(AD43:AD46)</f>
        <v>30</v>
      </c>
      <c r="AJ47">
        <v>9</v>
      </c>
      <c r="AK47">
        <v>900</v>
      </c>
      <c r="AO47">
        <v>11000</v>
      </c>
    </row>
    <row r="48" spans="2:43" ht="15" thickBot="1" x14ac:dyDescent="0.4">
      <c r="B48" s="52" t="s">
        <v>4</v>
      </c>
      <c r="C48" s="53">
        <v>96</v>
      </c>
      <c r="D48" s="53">
        <v>8192</v>
      </c>
      <c r="E48" s="53">
        <v>96</v>
      </c>
      <c r="F48" s="53">
        <v>10</v>
      </c>
      <c r="G48" s="60">
        <v>69.947777271270695</v>
      </c>
      <c r="H48" s="61">
        <v>78.207457780837998</v>
      </c>
      <c r="K48" s="45"/>
      <c r="L48" s="56"/>
      <c r="M48" s="56"/>
      <c r="N48" s="45"/>
      <c r="O48" s="45"/>
      <c r="P48" s="45"/>
      <c r="Q48" s="45"/>
      <c r="R48" s="56"/>
      <c r="AK48">
        <f>AK47*AJ47</f>
        <v>8100</v>
      </c>
    </row>
    <row r="49" spans="2:41" x14ac:dyDescent="0.35">
      <c r="B49" s="49">
        <v>1</v>
      </c>
      <c r="C49" s="19">
        <v>128</v>
      </c>
      <c r="D49" s="19">
        <v>8192</v>
      </c>
      <c r="E49" s="19">
        <v>128</v>
      </c>
      <c r="F49" s="19">
        <v>10</v>
      </c>
      <c r="G49" s="50">
        <v>8.9034314155578596</v>
      </c>
      <c r="H49" s="51">
        <v>9.9965872764587402</v>
      </c>
      <c r="K49" s="45"/>
      <c r="L49" s="56"/>
      <c r="M49" s="56"/>
      <c r="N49" s="45"/>
      <c r="O49" s="45"/>
      <c r="P49" s="45"/>
      <c r="Q49" s="45"/>
      <c r="R49" s="56"/>
      <c r="AD49">
        <f>SQRT(AD47)</f>
        <v>5.4772255750516612</v>
      </c>
      <c r="AK49">
        <f>AK48*75</f>
        <v>607500</v>
      </c>
      <c r="AO49">
        <f>AO47*75</f>
        <v>825000</v>
      </c>
    </row>
    <row r="50" spans="2:41" x14ac:dyDescent="0.35">
      <c r="B50" s="57">
        <v>2</v>
      </c>
      <c r="C50" s="2">
        <v>128</v>
      </c>
      <c r="D50" s="2">
        <v>8192</v>
      </c>
      <c r="E50" s="2">
        <v>128</v>
      </c>
      <c r="F50" s="2">
        <v>10</v>
      </c>
      <c r="G50" s="58">
        <v>5.8320240974426198</v>
      </c>
      <c r="H50" s="59">
        <v>6.8099107742309499</v>
      </c>
      <c r="K50" s="45"/>
      <c r="L50" s="56"/>
      <c r="M50" s="56"/>
      <c r="N50" s="45"/>
      <c r="O50" s="45"/>
      <c r="P50" s="45"/>
      <c r="Q50" s="45"/>
      <c r="R50" s="56"/>
    </row>
    <row r="51" spans="2:41" x14ac:dyDescent="0.35">
      <c r="B51" s="57">
        <v>3</v>
      </c>
      <c r="C51" s="2">
        <v>128</v>
      </c>
      <c r="D51" s="2">
        <v>8192</v>
      </c>
      <c r="E51" s="2">
        <v>128</v>
      </c>
      <c r="F51" s="2">
        <v>10</v>
      </c>
      <c r="G51" s="58">
        <v>5.9251034259796098</v>
      </c>
      <c r="H51" s="59">
        <v>6.7117218971252397</v>
      </c>
      <c r="K51" s="45"/>
      <c r="L51" s="56"/>
      <c r="M51" s="56"/>
      <c r="N51" s="45"/>
      <c r="O51" s="45"/>
      <c r="P51" s="45"/>
      <c r="Q51" s="45"/>
      <c r="R51" s="56"/>
    </row>
    <row r="52" spans="2:41" x14ac:dyDescent="0.35">
      <c r="B52" s="57">
        <v>4</v>
      </c>
      <c r="C52" s="2">
        <v>128</v>
      </c>
      <c r="D52" s="2">
        <v>8192</v>
      </c>
      <c r="E52" s="2">
        <v>128</v>
      </c>
      <c r="F52" s="2">
        <v>10</v>
      </c>
      <c r="G52" s="58">
        <v>5.8268005847930899</v>
      </c>
      <c r="H52" s="59">
        <v>6.6438601016998202</v>
      </c>
      <c r="K52" s="45"/>
      <c r="L52" s="56"/>
      <c r="M52" s="56"/>
      <c r="N52" s="45"/>
      <c r="O52" s="45"/>
      <c r="P52" s="45"/>
      <c r="Q52" s="45"/>
      <c r="R52" s="56"/>
    </row>
    <row r="53" spans="2:41" x14ac:dyDescent="0.35">
      <c r="B53" s="57">
        <v>5</v>
      </c>
      <c r="C53" s="2">
        <v>128</v>
      </c>
      <c r="D53" s="2">
        <v>8192</v>
      </c>
      <c r="E53" s="2">
        <v>128</v>
      </c>
      <c r="F53" s="2">
        <v>10</v>
      </c>
      <c r="G53" s="58">
        <v>5.8466918468475297</v>
      </c>
      <c r="H53" s="59">
        <v>6.6220235824584899</v>
      </c>
      <c r="K53" s="45"/>
      <c r="L53" s="56"/>
      <c r="M53" s="56"/>
      <c r="N53" s="45"/>
      <c r="O53" s="45"/>
      <c r="P53" s="45"/>
      <c r="Q53" s="45"/>
      <c r="R53" s="56"/>
    </row>
    <row r="54" spans="2:41" x14ac:dyDescent="0.35">
      <c r="B54" s="57">
        <v>6</v>
      </c>
      <c r="C54" s="2">
        <v>128</v>
      </c>
      <c r="D54" s="2">
        <v>8192</v>
      </c>
      <c r="E54" s="2">
        <v>128</v>
      </c>
      <c r="F54" s="2">
        <v>10</v>
      </c>
      <c r="G54" s="58">
        <v>5.8165693283081001</v>
      </c>
      <c r="H54" s="59">
        <v>6.6524841785430899</v>
      </c>
      <c r="K54" s="45"/>
      <c r="L54" s="56"/>
      <c r="M54" s="56"/>
      <c r="N54" s="45"/>
      <c r="O54" s="45"/>
      <c r="P54" s="45"/>
      <c r="Q54" s="45"/>
      <c r="R54" s="56"/>
      <c r="AH54">
        <v>140000</v>
      </c>
    </row>
    <row r="55" spans="2:41" x14ac:dyDescent="0.35">
      <c r="B55" s="57">
        <v>7</v>
      </c>
      <c r="C55" s="2">
        <v>128</v>
      </c>
      <c r="D55" s="2">
        <v>8192</v>
      </c>
      <c r="E55" s="2">
        <v>128</v>
      </c>
      <c r="F55" s="2">
        <v>10</v>
      </c>
      <c r="G55" s="58">
        <v>5.8366608619689897</v>
      </c>
      <c r="H55" s="59">
        <v>6.6022598743438703</v>
      </c>
      <c r="K55" s="45"/>
      <c r="L55" s="56"/>
      <c r="M55" s="56"/>
      <c r="N55" s="45"/>
      <c r="O55" s="45"/>
      <c r="P55" s="45"/>
      <c r="Q55" s="45"/>
      <c r="R55" s="56"/>
    </row>
    <row r="56" spans="2:41" x14ac:dyDescent="0.35">
      <c r="B56" s="57">
        <v>8</v>
      </c>
      <c r="C56" s="2">
        <v>128</v>
      </c>
      <c r="D56" s="2">
        <v>8192</v>
      </c>
      <c r="E56" s="2">
        <v>128</v>
      </c>
      <c r="F56" s="2">
        <v>10</v>
      </c>
      <c r="G56" s="58">
        <v>5.8452723026275599</v>
      </c>
      <c r="H56" s="59">
        <v>6.6410949230194003</v>
      </c>
      <c r="K56" s="45"/>
      <c r="L56" s="56"/>
      <c r="M56" s="56"/>
      <c r="N56" s="45"/>
      <c r="O56" s="45"/>
      <c r="P56" s="45"/>
      <c r="Q56" s="45"/>
      <c r="R56" s="56"/>
      <c r="AH56">
        <f>AH54*75</f>
        <v>10500000</v>
      </c>
    </row>
    <row r="57" spans="2:41" x14ac:dyDescent="0.35">
      <c r="B57" s="57">
        <v>9</v>
      </c>
      <c r="C57" s="2">
        <v>128</v>
      </c>
      <c r="D57" s="2">
        <v>8192</v>
      </c>
      <c r="E57" s="2">
        <v>128</v>
      </c>
      <c r="F57" s="2">
        <v>10</v>
      </c>
      <c r="G57" s="58">
        <v>5.82319784164428</v>
      </c>
      <c r="H57" s="59">
        <v>6.6128473281860298</v>
      </c>
      <c r="K57" s="45"/>
      <c r="L57" s="56"/>
      <c r="M57" s="56"/>
      <c r="N57" s="45"/>
      <c r="O57" s="45"/>
      <c r="P57" s="45"/>
      <c r="Q57" s="45"/>
      <c r="R57" s="56"/>
    </row>
    <row r="58" spans="2:41" x14ac:dyDescent="0.35">
      <c r="B58" s="57">
        <v>10</v>
      </c>
      <c r="C58" s="2">
        <v>128</v>
      </c>
      <c r="D58" s="2">
        <v>8192</v>
      </c>
      <c r="E58" s="2">
        <v>128</v>
      </c>
      <c r="F58" s="2">
        <v>10</v>
      </c>
      <c r="G58" s="58">
        <v>5.7848646640777499</v>
      </c>
      <c r="H58" s="59">
        <v>6.6015307903289697</v>
      </c>
      <c r="K58" s="45"/>
      <c r="L58" s="56"/>
      <c r="M58" s="56"/>
      <c r="N58" s="45"/>
      <c r="O58" s="45"/>
      <c r="P58" s="45"/>
      <c r="Q58" s="45"/>
      <c r="R58" s="56"/>
    </row>
    <row r="59" spans="2:41" ht="15" thickBot="1" x14ac:dyDescent="0.4">
      <c r="B59" s="52" t="s">
        <v>4</v>
      </c>
      <c r="C59" s="53">
        <v>128</v>
      </c>
      <c r="D59" s="53">
        <v>8192</v>
      </c>
      <c r="E59" s="53">
        <v>128</v>
      </c>
      <c r="F59" s="53">
        <v>10</v>
      </c>
      <c r="G59" s="60">
        <v>62.036416053771902</v>
      </c>
      <c r="H59" s="61">
        <v>70.6000173091888</v>
      </c>
      <c r="K59" s="45"/>
      <c r="L59" s="56"/>
      <c r="M59" s="56"/>
      <c r="N59" s="45"/>
      <c r="O59" s="45"/>
      <c r="P59" s="45"/>
      <c r="Q59" s="45"/>
      <c r="R59" s="56"/>
    </row>
    <row r="60" spans="2:41" x14ac:dyDescent="0.35">
      <c r="B60" s="49">
        <v>1</v>
      </c>
      <c r="C60" s="19">
        <v>192</v>
      </c>
      <c r="D60" s="19">
        <v>8192</v>
      </c>
      <c r="E60" s="19">
        <v>192</v>
      </c>
      <c r="F60" s="19">
        <v>10</v>
      </c>
      <c r="G60" s="50">
        <v>9.3592710494995099</v>
      </c>
      <c r="H60" s="51">
        <v>11.001363992690999</v>
      </c>
      <c r="K60" s="45"/>
      <c r="L60" s="56"/>
      <c r="M60" s="56"/>
      <c r="N60" s="45"/>
      <c r="O60" s="45"/>
      <c r="P60" s="45"/>
      <c r="Q60" s="45"/>
      <c r="R60" s="56"/>
    </row>
    <row r="61" spans="2:41" x14ac:dyDescent="0.35">
      <c r="B61" s="57">
        <v>2</v>
      </c>
      <c r="C61" s="2">
        <v>192</v>
      </c>
      <c r="D61" s="2">
        <v>8192</v>
      </c>
      <c r="E61" s="2">
        <v>192</v>
      </c>
      <c r="F61" s="2">
        <v>10</v>
      </c>
      <c r="G61" s="58">
        <v>5.4760537147521902</v>
      </c>
      <c r="H61" s="59">
        <v>6.0559053421020499</v>
      </c>
      <c r="K61" s="45"/>
      <c r="L61" s="56"/>
      <c r="M61" s="56"/>
      <c r="N61" s="45"/>
      <c r="O61" s="45"/>
      <c r="P61" s="45"/>
      <c r="Q61" s="45"/>
      <c r="R61" s="56"/>
    </row>
    <row r="62" spans="2:41" x14ac:dyDescent="0.35">
      <c r="B62" s="57">
        <v>3</v>
      </c>
      <c r="C62" s="2">
        <v>192</v>
      </c>
      <c r="D62" s="2">
        <v>8192</v>
      </c>
      <c r="E62" s="2">
        <v>192</v>
      </c>
      <c r="F62" s="2">
        <v>10</v>
      </c>
      <c r="G62" s="58">
        <v>5.4201991558074898</v>
      </c>
      <c r="H62" s="59">
        <v>6.0841519832611004</v>
      </c>
      <c r="K62" s="45"/>
      <c r="L62" s="56"/>
      <c r="M62" s="56"/>
      <c r="N62" s="45"/>
      <c r="O62" s="45"/>
      <c r="P62" s="45"/>
      <c r="Q62" s="45"/>
      <c r="R62" s="56"/>
      <c r="AH62" t="s">
        <v>95</v>
      </c>
    </row>
    <row r="63" spans="2:41" x14ac:dyDescent="0.35">
      <c r="B63" s="57">
        <v>4</v>
      </c>
      <c r="C63" s="2">
        <v>192</v>
      </c>
      <c r="D63" s="2">
        <v>8192</v>
      </c>
      <c r="E63" s="2">
        <v>192</v>
      </c>
      <c r="F63" s="2">
        <v>10</v>
      </c>
      <c r="G63" s="58">
        <v>5.3975377082824698</v>
      </c>
      <c r="H63" s="59">
        <v>6.0223617553710902</v>
      </c>
      <c r="K63" s="45"/>
      <c r="L63" s="56"/>
      <c r="M63" s="56"/>
      <c r="N63" s="45"/>
      <c r="O63" s="45"/>
      <c r="P63" s="45"/>
      <c r="Q63" s="45"/>
      <c r="R63" s="56"/>
      <c r="AH63" t="s">
        <v>96</v>
      </c>
    </row>
    <row r="64" spans="2:41" x14ac:dyDescent="0.35">
      <c r="B64" s="57">
        <v>5</v>
      </c>
      <c r="C64" s="2">
        <v>192</v>
      </c>
      <c r="D64" s="2">
        <v>8192</v>
      </c>
      <c r="E64" s="2">
        <v>192</v>
      </c>
      <c r="F64" s="2">
        <v>10</v>
      </c>
      <c r="G64" s="58">
        <v>5.4116735458373997</v>
      </c>
      <c r="H64" s="59">
        <v>6.0445852279662997</v>
      </c>
      <c r="K64" s="45"/>
      <c r="L64" s="56"/>
      <c r="M64" s="56"/>
      <c r="N64" s="45"/>
      <c r="O64" s="45"/>
      <c r="P64" s="45"/>
      <c r="Q64" s="45"/>
      <c r="R64" s="56"/>
      <c r="AH64" t="s">
        <v>98</v>
      </c>
    </row>
    <row r="65" spans="2:49" x14ac:dyDescent="0.35">
      <c r="B65" s="57">
        <v>6</v>
      </c>
      <c r="C65" s="2">
        <v>192</v>
      </c>
      <c r="D65" s="2">
        <v>8192</v>
      </c>
      <c r="E65" s="2">
        <v>192</v>
      </c>
      <c r="F65" s="2">
        <v>10</v>
      </c>
      <c r="G65" s="58">
        <v>5.39066433906555</v>
      </c>
      <c r="H65" s="59">
        <v>6.0541388988494802</v>
      </c>
      <c r="K65" s="45"/>
      <c r="L65" s="56"/>
      <c r="M65" s="56"/>
      <c r="N65" s="45"/>
      <c r="O65" s="45"/>
      <c r="P65" s="45"/>
      <c r="Q65" s="45"/>
      <c r="R65" s="56"/>
      <c r="AH65" t="s">
        <v>99</v>
      </c>
    </row>
    <row r="66" spans="2:49" x14ac:dyDescent="0.35">
      <c r="B66" s="57">
        <v>7</v>
      </c>
      <c r="C66" s="2">
        <v>192</v>
      </c>
      <c r="D66" s="2">
        <v>8192</v>
      </c>
      <c r="E66" s="2">
        <v>192</v>
      </c>
      <c r="F66" s="2">
        <v>10</v>
      </c>
      <c r="G66" s="58">
        <v>5.39910840988159</v>
      </c>
      <c r="H66" s="59">
        <v>6.0478787422180096</v>
      </c>
      <c r="K66" s="45"/>
      <c r="L66" s="56"/>
      <c r="M66" s="56"/>
      <c r="N66" s="45"/>
      <c r="O66" s="45"/>
      <c r="P66" s="45"/>
      <c r="Q66" s="45"/>
      <c r="R66" s="56"/>
      <c r="AH66" t="s">
        <v>97</v>
      </c>
      <c r="AO66">
        <v>169</v>
      </c>
    </row>
    <row r="67" spans="2:49" x14ac:dyDescent="0.35">
      <c r="B67" s="57">
        <v>8</v>
      </c>
      <c r="C67" s="2">
        <v>192</v>
      </c>
      <c r="D67" s="2">
        <v>8192</v>
      </c>
      <c r="E67" s="2">
        <v>192</v>
      </c>
      <c r="F67" s="2">
        <v>10</v>
      </c>
      <c r="G67" s="58">
        <v>5.4108185768127397</v>
      </c>
      <c r="H67" s="59">
        <v>6.0586273670196498</v>
      </c>
      <c r="K67" s="45"/>
      <c r="L67" s="56"/>
      <c r="M67" s="56"/>
      <c r="N67" s="45"/>
      <c r="O67" s="45"/>
      <c r="P67" s="45"/>
      <c r="Q67" s="45"/>
      <c r="R67" s="56"/>
    </row>
    <row r="68" spans="2:49" x14ac:dyDescent="0.35">
      <c r="B68" s="57">
        <v>9</v>
      </c>
      <c r="C68" s="2">
        <v>192</v>
      </c>
      <c r="D68" s="2">
        <v>8192</v>
      </c>
      <c r="E68" s="2">
        <v>192</v>
      </c>
      <c r="F68" s="2">
        <v>10</v>
      </c>
      <c r="G68" s="58">
        <v>5.35933113098144</v>
      </c>
      <c r="H68" s="59">
        <v>6.0237736701965297</v>
      </c>
      <c r="K68" s="45"/>
      <c r="L68" s="56"/>
      <c r="M68" s="56"/>
      <c r="N68" s="45"/>
      <c r="O68" s="45"/>
      <c r="P68" s="45"/>
      <c r="Q68" s="45"/>
      <c r="R68" s="56"/>
      <c r="AO68">
        <f>AO66*75</f>
        <v>12675</v>
      </c>
    </row>
    <row r="69" spans="2:49" x14ac:dyDescent="0.35">
      <c r="B69" s="57">
        <v>10</v>
      </c>
      <c r="C69" s="2">
        <v>192</v>
      </c>
      <c r="D69" s="2">
        <v>8192</v>
      </c>
      <c r="E69" s="2">
        <v>192</v>
      </c>
      <c r="F69" s="2">
        <v>10</v>
      </c>
      <c r="G69" s="58">
        <v>5.3199055194854701</v>
      </c>
      <c r="H69" s="59">
        <v>5.9556343555450404</v>
      </c>
      <c r="K69" s="45"/>
      <c r="L69" s="56"/>
      <c r="M69" s="56"/>
      <c r="N69" s="45"/>
      <c r="O69" s="45"/>
      <c r="P69" s="45"/>
      <c r="Q69" s="45"/>
      <c r="R69" s="56"/>
    </row>
    <row r="70" spans="2:49" ht="15" thickBot="1" x14ac:dyDescent="0.4">
      <c r="B70" s="52" t="s">
        <v>4</v>
      </c>
      <c r="C70" s="53">
        <v>192</v>
      </c>
      <c r="D70" s="53">
        <v>8192</v>
      </c>
      <c r="E70" s="53">
        <v>192</v>
      </c>
      <c r="F70" s="53">
        <v>10</v>
      </c>
      <c r="G70" s="60">
        <v>58.563427209854098</v>
      </c>
      <c r="H70" s="61">
        <v>66.060154199600206</v>
      </c>
      <c r="K70" s="45"/>
      <c r="L70" s="56"/>
      <c r="M70" s="56"/>
      <c r="N70" s="45"/>
      <c r="O70" s="45"/>
      <c r="P70" s="45"/>
      <c r="Q70" s="45"/>
      <c r="R70" s="56"/>
    </row>
    <row r="71" spans="2:49" x14ac:dyDescent="0.35">
      <c r="B71" s="49">
        <v>1</v>
      </c>
      <c r="C71" s="19">
        <v>256</v>
      </c>
      <c r="D71" s="19">
        <v>8192</v>
      </c>
      <c r="E71" s="19">
        <v>256</v>
      </c>
      <c r="F71" s="19">
        <v>10</v>
      </c>
      <c r="G71" s="50">
        <v>8.9923398494720406</v>
      </c>
      <c r="H71" s="51">
        <v>9.7107138633727992</v>
      </c>
      <c r="K71" s="45"/>
      <c r="L71" s="56"/>
      <c r="M71" s="56"/>
      <c r="N71" s="45"/>
      <c r="O71" s="45"/>
      <c r="P71" s="45"/>
      <c r="Q71" s="45"/>
      <c r="R71" s="56"/>
    </row>
    <row r="72" spans="2:49" x14ac:dyDescent="0.35">
      <c r="B72" s="57">
        <v>2</v>
      </c>
      <c r="C72" s="2">
        <v>256</v>
      </c>
      <c r="D72" s="2">
        <v>8192</v>
      </c>
      <c r="E72" s="2">
        <v>256</v>
      </c>
      <c r="F72" s="2">
        <v>10</v>
      </c>
      <c r="G72" s="58">
        <v>5.2280251979827801</v>
      </c>
      <c r="H72" s="59">
        <v>5.7525923252105704</v>
      </c>
      <c r="K72" s="45"/>
      <c r="L72" s="56"/>
      <c r="M72" s="56"/>
      <c r="N72" s="45"/>
      <c r="O72" s="45"/>
      <c r="P72" s="45"/>
      <c r="Q72" s="45"/>
      <c r="R72" s="56"/>
    </row>
    <row r="73" spans="2:49" x14ac:dyDescent="0.35">
      <c r="B73" s="57">
        <v>3</v>
      </c>
      <c r="C73" s="2">
        <v>256</v>
      </c>
      <c r="D73" s="2">
        <v>8192</v>
      </c>
      <c r="E73" s="2">
        <v>256</v>
      </c>
      <c r="F73" s="2">
        <v>10</v>
      </c>
      <c r="G73" s="58">
        <v>5.2022604942321697</v>
      </c>
      <c r="H73" s="59">
        <v>5.6752653121948198</v>
      </c>
      <c r="K73" s="45"/>
      <c r="L73" s="56"/>
      <c r="M73" s="56"/>
      <c r="N73" s="45"/>
      <c r="O73" s="45"/>
      <c r="P73" s="45"/>
      <c r="Q73" s="45"/>
      <c r="R73" s="56"/>
    </row>
    <row r="74" spans="2:49" x14ac:dyDescent="0.35">
      <c r="B74" s="57">
        <v>4</v>
      </c>
      <c r="C74" s="2">
        <v>256</v>
      </c>
      <c r="D74" s="2">
        <v>8192</v>
      </c>
      <c r="E74" s="2">
        <v>256</v>
      </c>
      <c r="F74" s="2">
        <v>10</v>
      </c>
      <c r="G74" s="58">
        <v>5.1119306087493896</v>
      </c>
      <c r="H74" s="59">
        <v>5.6480441093444798</v>
      </c>
      <c r="K74" s="45"/>
      <c r="L74" s="56"/>
      <c r="M74" s="56"/>
      <c r="N74" s="45"/>
      <c r="O74" s="45"/>
      <c r="P74" s="45"/>
      <c r="Q74" s="45"/>
      <c r="R74" s="56"/>
      <c r="AW74">
        <f>30*75</f>
        <v>2250</v>
      </c>
    </row>
    <row r="75" spans="2:49" x14ac:dyDescent="0.35">
      <c r="B75" s="57">
        <v>5</v>
      </c>
      <c r="C75" s="2">
        <v>256</v>
      </c>
      <c r="D75" s="2">
        <v>8192</v>
      </c>
      <c r="E75" s="2">
        <v>256</v>
      </c>
      <c r="F75" s="2">
        <v>10</v>
      </c>
      <c r="G75" s="58">
        <v>5.1630046367645201</v>
      </c>
      <c r="H75" s="59">
        <v>5.6522767543792698</v>
      </c>
      <c r="K75" s="45"/>
      <c r="L75" s="56"/>
      <c r="M75" s="56"/>
      <c r="N75" s="45"/>
      <c r="O75" s="45"/>
      <c r="P75" s="45"/>
      <c r="Q75" s="45"/>
      <c r="R75" s="56"/>
      <c r="AO75">
        <v>100</v>
      </c>
      <c r="AQ75">
        <f>AO75*0.7</f>
        <v>70</v>
      </c>
      <c r="AS75">
        <f>AQ75*1.3</f>
        <v>91</v>
      </c>
    </row>
    <row r="76" spans="2:49" x14ac:dyDescent="0.35">
      <c r="B76" s="57">
        <v>6</v>
      </c>
      <c r="C76" s="2">
        <v>256</v>
      </c>
      <c r="D76" s="2">
        <v>8192</v>
      </c>
      <c r="E76" s="2">
        <v>256</v>
      </c>
      <c r="F76" s="2">
        <v>10</v>
      </c>
      <c r="G76" s="58">
        <v>5.09067511558532</v>
      </c>
      <c r="H76" s="59">
        <v>5.7608671188354403</v>
      </c>
      <c r="K76" s="45"/>
      <c r="L76" s="56"/>
      <c r="M76" s="56"/>
      <c r="N76" s="45"/>
      <c r="O76" s="45"/>
      <c r="P76" s="45"/>
      <c r="Q76" s="45"/>
      <c r="R76" s="56"/>
      <c r="AM76">
        <v>22971</v>
      </c>
    </row>
    <row r="77" spans="2:49" x14ac:dyDescent="0.35">
      <c r="B77" s="57">
        <v>7</v>
      </c>
      <c r="C77" s="2">
        <v>256</v>
      </c>
      <c r="D77" s="2">
        <v>8192</v>
      </c>
      <c r="E77" s="2">
        <v>256</v>
      </c>
      <c r="F77" s="2">
        <v>10</v>
      </c>
      <c r="G77" s="58">
        <v>5.0749149322509703</v>
      </c>
      <c r="H77" s="59">
        <v>5.7169835567474303</v>
      </c>
      <c r="K77" s="45"/>
      <c r="L77" s="56"/>
      <c r="M77" s="56"/>
      <c r="N77" s="45"/>
      <c r="O77" s="45"/>
      <c r="P77" s="45"/>
      <c r="Q77" s="45"/>
      <c r="R77" s="56"/>
      <c r="AM77">
        <v>22971</v>
      </c>
    </row>
    <row r="78" spans="2:49" x14ac:dyDescent="0.35">
      <c r="B78" s="57">
        <v>8</v>
      </c>
      <c r="C78" s="2">
        <v>256</v>
      </c>
      <c r="D78" s="2">
        <v>8192</v>
      </c>
      <c r="E78" s="2">
        <v>256</v>
      </c>
      <c r="F78" s="2">
        <v>10</v>
      </c>
      <c r="G78" s="58">
        <v>5.1876745223998997</v>
      </c>
      <c r="H78" s="59">
        <v>5.6998362541198704</v>
      </c>
      <c r="K78" s="45"/>
      <c r="L78" s="56"/>
      <c r="M78" s="56"/>
      <c r="N78" s="45"/>
      <c r="O78" s="45"/>
      <c r="P78" s="45"/>
      <c r="Q78" s="45"/>
      <c r="R78" s="56"/>
      <c r="AM78">
        <f>SUM(AM76:AM77)</f>
        <v>45942</v>
      </c>
    </row>
    <row r="79" spans="2:49" x14ac:dyDescent="0.35">
      <c r="B79" s="57">
        <v>9</v>
      </c>
      <c r="C79" s="2">
        <v>256</v>
      </c>
      <c r="D79" s="2">
        <v>8192</v>
      </c>
      <c r="E79" s="2">
        <v>256</v>
      </c>
      <c r="F79" s="2">
        <v>10</v>
      </c>
      <c r="G79" s="58">
        <v>5.0687761306762598</v>
      </c>
      <c r="H79" s="59">
        <v>5.6887640953063903</v>
      </c>
      <c r="K79" s="45"/>
      <c r="L79" s="56"/>
      <c r="M79" s="56"/>
      <c r="N79" s="45"/>
      <c r="O79" s="45"/>
      <c r="P79" s="45"/>
      <c r="Q79" s="45"/>
      <c r="R79" s="56"/>
    </row>
    <row r="80" spans="2:49" x14ac:dyDescent="0.35">
      <c r="B80" s="57">
        <v>10</v>
      </c>
      <c r="C80" s="2">
        <v>256</v>
      </c>
      <c r="D80" s="2">
        <v>8192</v>
      </c>
      <c r="E80" s="2">
        <v>256</v>
      </c>
      <c r="F80" s="2">
        <v>10</v>
      </c>
      <c r="G80" s="58">
        <v>5.1155419349670401</v>
      </c>
      <c r="H80" s="59">
        <v>5.6955461502075098</v>
      </c>
      <c r="K80" s="45"/>
      <c r="L80" s="56"/>
      <c r="M80" s="56"/>
      <c r="N80" s="45"/>
      <c r="O80" s="45"/>
      <c r="P80" s="45"/>
      <c r="Q80" s="45"/>
      <c r="R80" s="56"/>
      <c r="AK80" s="96">
        <f>AM80*75</f>
        <v>1998525</v>
      </c>
      <c r="AM80">
        <v>26647</v>
      </c>
      <c r="AW80">
        <f>LN(0.7)</f>
        <v>-0.35667494393873245</v>
      </c>
    </row>
    <row r="81" spans="2:48" ht="15" thickBot="1" x14ac:dyDescent="0.4">
      <c r="B81" s="52" t="s">
        <v>4</v>
      </c>
      <c r="C81" s="53">
        <v>256</v>
      </c>
      <c r="D81" s="53">
        <v>8192</v>
      </c>
      <c r="E81" s="53">
        <v>256</v>
      </c>
      <c r="F81" s="53">
        <v>10</v>
      </c>
      <c r="G81" s="60">
        <v>55.837321043014498</v>
      </c>
      <c r="H81" s="61">
        <v>61.713508844375603</v>
      </c>
      <c r="K81" s="45"/>
      <c r="L81" s="56"/>
      <c r="M81" s="56"/>
      <c r="N81" s="45"/>
      <c r="O81" s="45"/>
      <c r="P81" s="45"/>
      <c r="Q81" s="45"/>
      <c r="R81" s="56"/>
      <c r="AP81">
        <v>125000</v>
      </c>
      <c r="AS81">
        <v>32000</v>
      </c>
    </row>
    <row r="82" spans="2:48" x14ac:dyDescent="0.35">
      <c r="AK82">
        <v>26647</v>
      </c>
      <c r="AM82">
        <f>AM78-AM80</f>
        <v>19295</v>
      </c>
    </row>
    <row r="83" spans="2:48" x14ac:dyDescent="0.35">
      <c r="AP83">
        <f>AP81*75</f>
        <v>9375000</v>
      </c>
      <c r="AS83" s="96">
        <f>AS81*75</f>
        <v>2400000</v>
      </c>
    </row>
    <row r="84" spans="2:48" x14ac:dyDescent="0.35">
      <c r="AK84">
        <f>AK82-AM77</f>
        <v>3676</v>
      </c>
    </row>
    <row r="85" spans="2:48" x14ac:dyDescent="0.35">
      <c r="AK85" s="96">
        <f>AK84*75</f>
        <v>275700</v>
      </c>
      <c r="AM85" s="96">
        <f>AM82*75</f>
        <v>1447125</v>
      </c>
    </row>
    <row r="87" spans="2:48" x14ac:dyDescent="0.35">
      <c r="AP87">
        <f>LN(0.05)</f>
        <v>-2.9957322735539909</v>
      </c>
    </row>
    <row r="89" spans="2:48" x14ac:dyDescent="0.35">
      <c r="AK89">
        <v>14526</v>
      </c>
    </row>
    <row r="91" spans="2:48" x14ac:dyDescent="0.35">
      <c r="AK91">
        <f>AK89/3</f>
        <v>4842</v>
      </c>
      <c r="AV91" s="97">
        <v>48243</v>
      </c>
    </row>
    <row r="93" spans="2:48" x14ac:dyDescent="0.35">
      <c r="AK93">
        <f>AK91+AK82</f>
        <v>31489</v>
      </c>
      <c r="AM93">
        <v>45943</v>
      </c>
    </row>
    <row r="94" spans="2:48" x14ac:dyDescent="0.35">
      <c r="AV94" s="97">
        <v>44067</v>
      </c>
    </row>
    <row r="96" spans="2:48" x14ac:dyDescent="0.35">
      <c r="AK96">
        <f>AM93-AK93</f>
        <v>14454</v>
      </c>
      <c r="AM96">
        <v>22971</v>
      </c>
      <c r="AR96">
        <v>133000</v>
      </c>
    </row>
    <row r="97" spans="37:48" x14ac:dyDescent="0.35">
      <c r="AK97" s="91">
        <f>AK96*75</f>
        <v>1084050</v>
      </c>
      <c r="AR97">
        <f>AR96*75</f>
        <v>9975000</v>
      </c>
      <c r="AV97">
        <f>AV91-AV94</f>
        <v>4176</v>
      </c>
    </row>
    <row r="107" spans="37:48" x14ac:dyDescent="0.35">
      <c r="AR107">
        <v>210000</v>
      </c>
    </row>
    <row r="109" spans="37:48" x14ac:dyDescent="0.35">
      <c r="AR109" s="96">
        <f>AR107*75</f>
        <v>15750000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total_time_patch_cam</vt:lpstr>
      <vt:lpstr>MSvsSingle</vt:lpstr>
      <vt:lpstr>Method2_FullPred</vt:lpstr>
      <vt:lpstr>Model_Structure</vt:lpstr>
      <vt:lpstr>Sheet2</vt:lpstr>
      <vt:lpstr>Different_run_times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</dc:creator>
  <cp:lastModifiedBy>Hardev</cp:lastModifiedBy>
  <dcterms:created xsi:type="dcterms:W3CDTF">2020-08-03T03:31:42Z</dcterms:created>
  <dcterms:modified xsi:type="dcterms:W3CDTF">2020-09-02T01:28:51Z</dcterms:modified>
</cp:coreProperties>
</file>