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hidePivotFieldList="1" defaultThemeVersion="124226"/>
  <bookViews>
    <workbookView xWindow="0" yWindow="0" windowWidth="24000" windowHeight="9735" firstSheet="4" activeTab="5"/>
  </bookViews>
  <sheets>
    <sheet name="Диаграмма1" sheetId="14" r:id="rId1"/>
    <sheet name="Бюджет" sheetId="1" r:id="rId2"/>
    <sheet name="Диаграмма 1" sheetId="8" r:id="rId3"/>
    <sheet name="Ведомость сотрудников" sheetId="2" r:id="rId4"/>
    <sheet name="Ассортимент" sheetId="3" r:id="rId5"/>
    <sheet name="ЗП сотрудников" sheetId="5" r:id="rId6"/>
    <sheet name="Учёба" sheetId="6" r:id="rId7"/>
    <sheet name="Сводные таблицы" sheetId="7" r:id="rId8"/>
    <sheet name="Дата-Время" sheetId="10" r:id="rId9"/>
    <sheet name="2019 год" sheetId="11" r:id="rId10"/>
    <sheet name="Расчёт" sheetId="12" r:id="rId11"/>
  </sheets>
  <definedNames>
    <definedName name="_xlnm._FilterDatabase" localSheetId="4" hidden="1">Ассортимент!$A$1:$G$18</definedName>
    <definedName name="_xlnm._FilterDatabase" localSheetId="7" hidden="1">'Сводные таблицы'!$A$1:$D$16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H10" i="5" l="1"/>
  <c r="G10" i="5"/>
  <c r="G6" i="5"/>
  <c r="H9" i="5"/>
  <c r="G9" i="5"/>
  <c r="D13" i="6"/>
  <c r="D14" i="6"/>
  <c r="D15" i="6"/>
  <c r="D16" i="6"/>
  <c r="D12" i="6"/>
  <c r="C4" i="12"/>
  <c r="C3" i="12"/>
  <c r="C3" i="11"/>
  <c r="C4" i="11"/>
  <c r="C5" i="11"/>
  <c r="C6" i="11"/>
  <c r="C7" i="11"/>
  <c r="C8" i="11"/>
  <c r="C9" i="11"/>
  <c r="C10" i="11"/>
  <c r="C11" i="11"/>
  <c r="C12" i="11"/>
  <c r="C13" i="11"/>
  <c r="C2" i="12" l="1"/>
  <c r="B10" i="12"/>
  <c r="C2" i="11"/>
  <c r="B4" i="10"/>
  <c r="E3" i="10"/>
  <c r="B3" i="10"/>
  <c r="B2" i="10"/>
  <c r="B1" i="10"/>
  <c r="B9" i="10" l="1"/>
  <c r="B5" i="10"/>
  <c r="E1" i="10"/>
  <c r="B7" i="10"/>
  <c r="B8" i="10"/>
  <c r="E2" i="10"/>
  <c r="E4" i="10"/>
  <c r="C8" i="10"/>
  <c r="G3" i="5" l="1"/>
  <c r="G4" i="5"/>
  <c r="G5" i="5"/>
  <c r="E5" i="3" l="1"/>
  <c r="G5" i="3" s="1"/>
  <c r="E6" i="3"/>
  <c r="G6" i="3" s="1"/>
  <c r="E11" i="3"/>
  <c r="G11" i="3" s="1"/>
  <c r="E7" i="3"/>
  <c r="G7" i="3" s="1"/>
  <c r="E2" i="3"/>
  <c r="E3" i="3"/>
  <c r="G3" i="3" s="1"/>
  <c r="E10" i="3"/>
  <c r="E9" i="3"/>
  <c r="G9" i="3" s="1"/>
  <c r="E8" i="3"/>
  <c r="G8" i="3" s="1"/>
  <c r="E13" i="3"/>
  <c r="E14" i="3"/>
  <c r="G14" i="3" s="1"/>
  <c r="E12" i="3"/>
  <c r="E15" i="3"/>
  <c r="G15" i="3" s="1"/>
  <c r="E16" i="3"/>
  <c r="G16" i="3" s="1"/>
  <c r="E17" i="3"/>
  <c r="E18" i="3"/>
  <c r="E4" i="3"/>
  <c r="G10" i="2"/>
  <c r="F8" i="2"/>
  <c r="G8" i="2" s="1"/>
  <c r="F9" i="2"/>
  <c r="G9" i="2" s="1"/>
  <c r="F10" i="2"/>
  <c r="H10" i="2" s="1"/>
  <c r="F11" i="2"/>
  <c r="G11" i="2" s="1"/>
  <c r="F12" i="2"/>
  <c r="F7" i="2"/>
  <c r="G7" i="2" s="1"/>
  <c r="D8" i="2"/>
  <c r="D9" i="2"/>
  <c r="D10" i="2"/>
  <c r="D11" i="2"/>
  <c r="D12" i="2"/>
  <c r="D7" i="2"/>
  <c r="G12" i="3" l="1"/>
  <c r="G2" i="3"/>
  <c r="G10" i="3"/>
  <c r="G18" i="3"/>
  <c r="G17" i="3"/>
  <c r="G4" i="3"/>
  <c r="G13" i="3"/>
  <c r="H9" i="2"/>
  <c r="H8" i="2"/>
  <c r="G12" i="2"/>
  <c r="H12" i="2" s="1"/>
  <c r="H11" i="2"/>
  <c r="H7" i="2"/>
  <c r="K12" i="1"/>
  <c r="D19" i="1"/>
  <c r="E19" i="1"/>
  <c r="F19" i="1"/>
  <c r="G19" i="1"/>
  <c r="H19" i="1"/>
  <c r="C19" i="1"/>
  <c r="I15" i="1"/>
  <c r="I16" i="1"/>
  <c r="I17" i="1"/>
  <c r="I18" i="1"/>
  <c r="I11" i="1"/>
  <c r="I12" i="1"/>
  <c r="B4" i="1"/>
  <c r="D13" i="1"/>
  <c r="E13" i="1"/>
  <c r="F13" i="1"/>
  <c r="F20" i="1" s="1"/>
  <c r="G13" i="1"/>
  <c r="H13" i="1"/>
  <c r="C13" i="1"/>
  <c r="H20" i="1" l="1"/>
  <c r="D20" i="1"/>
  <c r="C20" i="1"/>
  <c r="G20" i="1"/>
  <c r="K14" i="1" s="1"/>
  <c r="E20" i="1"/>
  <c r="I13" i="1"/>
  <c r="I19" i="1"/>
  <c r="K13" i="1"/>
  <c r="I20" i="1" l="1"/>
</calcChain>
</file>

<file path=xl/sharedStrings.xml><?xml version="1.0" encoding="utf-8"?>
<sst xmlns="http://schemas.openxmlformats.org/spreadsheetml/2006/main" count="460" uniqueCount="150">
  <si>
    <t>Составил</t>
  </si>
  <si>
    <t>Дата</t>
  </si>
  <si>
    <t>Исходные данные</t>
  </si>
  <si>
    <t>Темпы роста</t>
  </si>
  <si>
    <t xml:space="preserve">Рост объема продаж </t>
  </si>
  <si>
    <t>Удорожание товаров</t>
  </si>
  <si>
    <t>Отчёт</t>
  </si>
  <si>
    <t>Всего</t>
  </si>
  <si>
    <t>Март</t>
  </si>
  <si>
    <t>Апрель</t>
  </si>
  <si>
    <t>Май</t>
  </si>
  <si>
    <t>Июнь</t>
  </si>
  <si>
    <t>Июль</t>
  </si>
  <si>
    <t>Август</t>
  </si>
  <si>
    <t>Приход</t>
  </si>
  <si>
    <t>Затраты на товары</t>
  </si>
  <si>
    <t>Полная выручка</t>
  </si>
  <si>
    <t>Статья расходов</t>
  </si>
  <si>
    <t>Реклама</t>
  </si>
  <si>
    <t>Аренда помещения</t>
  </si>
  <si>
    <t>Налоги и выплаты</t>
  </si>
  <si>
    <t>Проценты по кредитам</t>
  </si>
  <si>
    <t>Расходы Всего</t>
  </si>
  <si>
    <t>Прибыль</t>
  </si>
  <si>
    <t>Фирма Запад</t>
  </si>
  <si>
    <t>№</t>
  </si>
  <si>
    <t>Воронцова Л.А.</t>
  </si>
  <si>
    <t>Симонов Т.К.</t>
  </si>
  <si>
    <t>Петров Г.А.</t>
  </si>
  <si>
    <t>Иванов П.С.</t>
  </si>
  <si>
    <t>Красиков М.П.</t>
  </si>
  <si>
    <t>Коновалов И.Р.</t>
  </si>
  <si>
    <t>Ф.И.О.</t>
  </si>
  <si>
    <t>Год рождения</t>
  </si>
  <si>
    <t>Возраст</t>
  </si>
  <si>
    <t>Оклад</t>
  </si>
  <si>
    <t>Премия</t>
  </si>
  <si>
    <t>Налог</t>
  </si>
  <si>
    <t>К выдаче</t>
  </si>
  <si>
    <t>Процент премии</t>
  </si>
  <si>
    <t>Процент налогоа</t>
  </si>
  <si>
    <t>Текущий код</t>
  </si>
  <si>
    <t>Товар</t>
  </si>
  <si>
    <t>Модель</t>
  </si>
  <si>
    <t>Название</t>
  </si>
  <si>
    <t>Стоимость</t>
  </si>
  <si>
    <t>Цена</t>
  </si>
  <si>
    <t>Количество</t>
  </si>
  <si>
    <t>Сумма</t>
  </si>
  <si>
    <t xml:space="preserve">Ксероскс </t>
  </si>
  <si>
    <t>Факс</t>
  </si>
  <si>
    <t>С100 GLS</t>
  </si>
  <si>
    <t>C200 GLS</t>
  </si>
  <si>
    <t>C210 GLS</t>
  </si>
  <si>
    <t>C300 GLS</t>
  </si>
  <si>
    <t>C310 GLS</t>
  </si>
  <si>
    <t>C400 GLS</t>
  </si>
  <si>
    <t>C410 GLS</t>
  </si>
  <si>
    <t>C420 GLS</t>
  </si>
  <si>
    <t>C500 GLS</t>
  </si>
  <si>
    <t>F100G</t>
  </si>
  <si>
    <t>F150G</t>
  </si>
  <si>
    <t>F350G</t>
  </si>
  <si>
    <t>F400G</t>
  </si>
  <si>
    <t>F450G</t>
  </si>
  <si>
    <t>F500G</t>
  </si>
  <si>
    <t>F550G</t>
  </si>
  <si>
    <t>Персональный</t>
  </si>
  <si>
    <t>Персональный Плюс</t>
  </si>
  <si>
    <t>Профессиональный Плюс</t>
  </si>
  <si>
    <t>Деловой</t>
  </si>
  <si>
    <t xml:space="preserve">Профессиональный </t>
  </si>
  <si>
    <t>Профессиональный</t>
  </si>
  <si>
    <t xml:space="preserve">Короленко </t>
  </si>
  <si>
    <t>Торговый Бюджет: 2009 финансовый год.</t>
  </si>
  <si>
    <t>Месяц</t>
  </si>
  <si>
    <t>Отдел</t>
  </si>
  <si>
    <t>ФИО</t>
  </si>
  <si>
    <t>Первый</t>
  </si>
  <si>
    <t>Второй</t>
  </si>
  <si>
    <t>Иванов</t>
  </si>
  <si>
    <t>Петров</t>
  </si>
  <si>
    <t>Сидоров</t>
  </si>
  <si>
    <t>Яковлев</t>
  </si>
  <si>
    <t>Александров</t>
  </si>
  <si>
    <t>Сергеев</t>
  </si>
  <si>
    <t>Ильин</t>
  </si>
  <si>
    <t>Павлов</t>
  </si>
  <si>
    <t>Николаев</t>
  </si>
  <si>
    <t>Максимальеый оклад</t>
  </si>
  <si>
    <t>Минимальный оклад</t>
  </si>
  <si>
    <t>Колличество выданных премий</t>
  </si>
  <si>
    <t>Средний оклад</t>
  </si>
  <si>
    <t>Колличество сотрудников</t>
  </si>
  <si>
    <t>Фонд заработной премии по отделам</t>
  </si>
  <si>
    <t>№ п/п</t>
  </si>
  <si>
    <t>Фамилия</t>
  </si>
  <si>
    <t>№ зачётной книжки</t>
  </si>
  <si>
    <t>Оценка</t>
  </si>
  <si>
    <t>Подпись экзаменатора</t>
  </si>
  <si>
    <t>отлично</t>
  </si>
  <si>
    <t>хорошо</t>
  </si>
  <si>
    <t>удвол</t>
  </si>
  <si>
    <t>неявка</t>
  </si>
  <si>
    <t>неудвол</t>
  </si>
  <si>
    <t>Названия строк</t>
  </si>
  <si>
    <t>Общий итог</t>
  </si>
  <si>
    <t>Сумма по полю Сумма</t>
  </si>
  <si>
    <t>Названия столбцов</t>
  </si>
  <si>
    <t xml:space="preserve">Дата </t>
  </si>
  <si>
    <t xml:space="preserve">На что потрачено </t>
  </si>
  <si>
    <t>Категория</t>
  </si>
  <si>
    <t>Авто</t>
  </si>
  <si>
    <t>Квартира</t>
  </si>
  <si>
    <t>Отдых</t>
  </si>
  <si>
    <t>Прочее</t>
  </si>
  <si>
    <t>Связь</t>
  </si>
  <si>
    <t>Январь</t>
  </si>
  <si>
    <t>Февраль</t>
  </si>
  <si>
    <t>ОСАГО</t>
  </si>
  <si>
    <t>Техосмотр</t>
  </si>
  <si>
    <t>Электричество</t>
  </si>
  <si>
    <t>Кино</t>
  </si>
  <si>
    <t>Театр</t>
  </si>
  <si>
    <t>Офромление ЗП</t>
  </si>
  <si>
    <t>Интернет</t>
  </si>
  <si>
    <t>Январь Итог</t>
  </si>
  <si>
    <t>Февраль Итог</t>
  </si>
  <si>
    <t>Март Итог</t>
  </si>
  <si>
    <t>Текущая дата</t>
  </si>
  <si>
    <t>Порядковый номер дня с начала года :</t>
  </si>
  <si>
    <t>День</t>
  </si>
  <si>
    <t>Сколько осталось дней до конца года :</t>
  </si>
  <si>
    <t>Сколько осталось дней до конца месяца :</t>
  </si>
  <si>
    <t>Год</t>
  </si>
  <si>
    <t>Сколько осталось дней до конца недели :</t>
  </si>
  <si>
    <t>День недели</t>
  </si>
  <si>
    <t>Дата Рождения</t>
  </si>
  <si>
    <t>Возраст(В годах)</t>
  </si>
  <si>
    <t>Возраст(в днях)</t>
  </si>
  <si>
    <t>Возраст(В неделях)</t>
  </si>
  <si>
    <t>2019 год</t>
  </si>
  <si>
    <t>Ксероскс  Среднее</t>
  </si>
  <si>
    <t>Факс Среднее</t>
  </si>
  <si>
    <t>Общее среднее</t>
  </si>
  <si>
    <t>Деловой Итог</t>
  </si>
  <si>
    <t>Персональный Итог</t>
  </si>
  <si>
    <t>Персональный Плюс Итог</t>
  </si>
  <si>
    <t>Профессиональный Итог</t>
  </si>
  <si>
    <t>Профессиональный Плюс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</si>
</sst>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%"/>
    <numFmt numFmtId="165" formatCode="_-* #,##0\ [$₽-419]_-;\-* #,##0\ [$₽-419]_-;_-* &quot;-&quot;\ [$₽-419]_-;_-@_-"/>
    <numFmt numFmtId="166" formatCode="#"/>
    <numFmt numFmtId="167" formatCode="0.0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0"/>
      <color theme="1"/>
      <name val="MS Serif"/>
      <charset val="204"/>
    </font>
    <font>
      <b/>
      <sz val="10"/>
      <color theme="1"/>
      <name val="MS Serif"/>
      <charset val="204"/>
    </font>
    <font>
      <sz val="10"/>
      <color theme="1"/>
      <name val="MS Serif"/>
      <charset val="204"/>
    </font>
    <font>
      <b/>
      <i/>
      <sz val="10"/>
      <color theme="0"/>
      <name val="MS Serif"/>
      <charset val="204"/>
    </font>
    <font>
      <sz val="10"/>
      <color rgb="FF2403E7"/>
      <name val="MS Serif"/>
      <charset val="204"/>
    </font>
    <font>
      <sz val="10"/>
      <color theme="0"/>
      <name val="MS Serif"/>
      <charset val="204"/>
    </font>
    <font>
      <b/>
      <i/>
      <sz val="10"/>
      <color rgb="FF2403E7"/>
      <name val="MS Serif"/>
      <charset val="204"/>
    </font>
    <font>
      <b/>
      <i/>
      <sz val="18"/>
      <color theme="1"/>
      <name val="MS Serif"/>
      <charset val="204"/>
    </font>
    <font>
      <sz val="18"/>
      <color theme="1"/>
      <name val="MS Serif"/>
      <charset val="204"/>
    </font>
    <font>
      <sz val="11"/>
      <color rgb="FFFFFFFF"/>
      <name val="Calibri"/>
      <family val="2"/>
      <scheme val="minor"/>
    </font>
    <font>
      <sz val="11"/>
      <color rgb="FF2403E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2403E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theme="4"/>
      </patternFill>
    </fill>
    <fill>
      <patternFill patternType="solid">
        <fgColor rgb="FF1C0892"/>
        <bgColor indexed="64"/>
      </patternFill>
    </fill>
    <fill>
      <patternFill patternType="solid">
        <fgColor rgb="FFE6E66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7E6F9"/>
        <bgColor indexed="64"/>
      </patternFill>
    </fill>
  </fills>
  <borders count="2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 style="thick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8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9" fontId="4" fillId="0" borderId="0" xfId="0" applyNumberFormat="1" applyFont="1"/>
    <xf numFmtId="9" fontId="4" fillId="0" borderId="0" xfId="1" applyNumberFormat="1" applyFont="1"/>
    <xf numFmtId="0" fontId="4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2" fontId="4" fillId="0" borderId="0" xfId="0" applyNumberFormat="1" applyFont="1"/>
    <xf numFmtId="42" fontId="4" fillId="0" borderId="0" xfId="2" applyNumberFormat="1" applyFont="1"/>
    <xf numFmtId="165" fontId="4" fillId="0" borderId="0" xfId="0" applyNumberFormat="1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/>
    <xf numFmtId="42" fontId="10" fillId="5" borderId="0" xfId="3" applyNumberFormat="1" applyFont="1" applyFill="1" applyBorder="1"/>
    <xf numFmtId="164" fontId="8" fillId="6" borderId="10" xfId="1" applyNumberFormat="1" applyFont="1" applyFill="1" applyBorder="1"/>
    <xf numFmtId="164" fontId="8" fillId="6" borderId="11" xfId="1" applyNumberFormat="1" applyFont="1" applyFill="1" applyBorder="1"/>
    <xf numFmtId="0" fontId="11" fillId="4" borderId="2" xfId="3" applyFont="1" applyFill="1" applyBorder="1"/>
    <xf numFmtId="0" fontId="9" fillId="4" borderId="3" xfId="3" applyFont="1" applyFill="1" applyBorder="1"/>
    <xf numFmtId="0" fontId="9" fillId="4" borderId="4" xfId="3" applyFont="1" applyFill="1" applyBorder="1"/>
    <xf numFmtId="0" fontId="7" fillId="5" borderId="5" xfId="3" applyFont="1" applyFill="1" applyBorder="1"/>
    <xf numFmtId="42" fontId="10" fillId="5" borderId="6" xfId="3" applyNumberFormat="1" applyFont="1" applyFill="1" applyBorder="1"/>
    <xf numFmtId="0" fontId="7" fillId="3" borderId="7" xfId="3" applyFont="1" applyFill="1" applyBorder="1"/>
    <xf numFmtId="42" fontId="10" fillId="3" borderId="8" xfId="3" applyNumberFormat="1" applyFont="1" applyFill="1" applyBorder="1"/>
    <xf numFmtId="42" fontId="10" fillId="3" borderId="9" xfId="3" applyNumberFormat="1" applyFont="1" applyFill="1" applyBorder="1"/>
    <xf numFmtId="0" fontId="12" fillId="5" borderId="5" xfId="3" applyFont="1" applyFill="1" applyBorder="1"/>
    <xf numFmtId="0" fontId="6" fillId="3" borderId="7" xfId="3" applyFont="1" applyFill="1" applyBorder="1"/>
    <xf numFmtId="4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7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 wrapText="1"/>
    </xf>
    <xf numFmtId="0" fontId="15" fillId="7" borderId="12" xfId="0" applyFont="1" applyFill="1" applyBorder="1" applyAlignment="1">
      <alignment horizontal="left" vertical="center" wrapText="1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left" vertical="center"/>
    </xf>
    <xf numFmtId="0" fontId="16" fillId="9" borderId="14" xfId="0" applyFont="1" applyFill="1" applyBorder="1" applyAlignment="1">
      <alignment horizontal="left" vertical="center"/>
    </xf>
    <xf numFmtId="42" fontId="16" fillId="9" borderId="12" xfId="0" applyNumberFormat="1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/>
    <xf numFmtId="42" fontId="0" fillId="8" borderId="12" xfId="0" applyNumberForma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left" vertical="center"/>
    </xf>
    <xf numFmtId="0" fontId="0" fillId="8" borderId="12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0" fontId="0" fillId="9" borderId="12" xfId="0" applyFill="1" applyBorder="1" applyAlignment="1"/>
    <xf numFmtId="0" fontId="0" fillId="9" borderId="20" xfId="0" applyFill="1" applyBorder="1" applyAlignment="1"/>
    <xf numFmtId="0" fontId="0" fillId="9" borderId="21" xfId="0" applyFill="1" applyBorder="1" applyAlignment="1"/>
    <xf numFmtId="0" fontId="0" fillId="9" borderId="22" xfId="0" applyFill="1" applyBorder="1" applyAlignment="1"/>
    <xf numFmtId="0" fontId="0" fillId="9" borderId="23" xfId="0" applyFill="1" applyBorder="1" applyAlignment="1"/>
    <xf numFmtId="0" fontId="17" fillId="9" borderId="19" xfId="0" applyFont="1" applyFill="1" applyBorder="1" applyAlignment="1"/>
    <xf numFmtId="14" fontId="0" fillId="0" borderId="0" xfId="0" applyNumberFormat="1" applyAlignment="1">
      <alignment horizontal="left" vertical="top"/>
    </xf>
    <xf numFmtId="0" fontId="19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8" fillId="0" borderId="0" xfId="0" applyFont="1" applyAlignment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42" fontId="5" fillId="0" borderId="0" xfId="0" applyNumberFormat="1" applyFont="1"/>
    <xf numFmtId="0" fontId="0" fillId="9" borderId="0" xfId="0" applyFill="1" applyBorder="1" applyAlignment="1"/>
    <xf numFmtId="0" fontId="17" fillId="9" borderId="0" xfId="0" applyFont="1" applyFill="1" applyBorder="1" applyAlignment="1"/>
  </cellXfs>
  <cellStyles count="4">
    <cellStyle name="20% — акцент1" xfId="3" builtinId="30"/>
    <cellStyle name="Денежный" xfId="2" builtinId="4"/>
    <cellStyle name="Обычный" xfId="0" builtinId="0"/>
    <cellStyle name="Процентный" xfId="1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2009A7"/>
      <color rgb="FFFFFFFF"/>
      <color rgb="FF87E6F9"/>
      <color rgb="FF2403E7"/>
      <color rgb="FFE6E66C"/>
      <color rgb="FF1C08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chartUserShapes" Target="../drawings/drawing2.xml"/><Relationship Id="rId4" Type="http://schemas.openxmlformats.org/officeDocument/2006/relationships/image" Target="../media/image2.jp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Бюджет!$C$10</c:f>
              <c:strCache>
                <c:ptCount val="1"/>
                <c:pt idx="0">
                  <c:v>Март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pattFill prst="lgCheck">
                <a:fgClr>
                  <a:srgbClr val="FFFF00"/>
                </a:fgClr>
                <a:bgClr>
                  <a:srgbClr val="2009A7"/>
                </a:bgClr>
              </a:patt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0">
                    <a:schemeClr val="tx2"/>
                  </a:gs>
                  <a:gs pos="32000">
                    <a:srgbClr val="FF0000"/>
                  </a:gs>
                  <a:gs pos="100000">
                    <a:srgbClr val="00B050"/>
                  </a:gs>
                </a:gsLst>
                <a:path path="circle">
                  <a:fillToRect l="50000" t="-80000" r="50000" b="180000"/>
                </a:path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Бюджет!$B$15:$B$18</c:f>
              <c:strCache>
                <c:ptCount val="4"/>
                <c:pt idx="0">
                  <c:v>Реклама</c:v>
                </c:pt>
                <c:pt idx="1">
                  <c:v>Аренда помещения</c:v>
                </c:pt>
                <c:pt idx="2">
                  <c:v>Налоги и выплаты</c:v>
                </c:pt>
                <c:pt idx="3">
                  <c:v>Проценты по кредитам</c:v>
                </c:pt>
              </c:strCache>
            </c:strRef>
          </c:cat>
          <c:val>
            <c:numRef>
              <c:f>Бюджет!$C$15:$C$18</c:f>
              <c:numCache>
                <c:formatCode>_("₽"* #,##0_);_("₽"* \(#,##0\);_("₽"* "-"_);_(@_)</c:formatCode>
                <c:ptCount val="4"/>
                <c:pt idx="0">
                  <c:v>4000</c:v>
                </c:pt>
                <c:pt idx="1">
                  <c:v>500</c:v>
                </c:pt>
                <c:pt idx="2">
                  <c:v>240</c:v>
                </c:pt>
                <c:pt idx="3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4">
            <a:lumMod val="40000"/>
            <a:lumOff val="60000"/>
          </a:schemeClr>
        </a:gs>
        <a:gs pos="46000">
          <a:schemeClr val="accent4">
            <a:lumMod val="95000"/>
            <a:lumOff val="5000"/>
          </a:schemeClr>
        </a:gs>
        <a:gs pos="100000">
          <a:schemeClr val="accent4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5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Бюджетный</a:t>
            </a:r>
            <a:r>
              <a:rPr lang="ru-RU" baseline="0"/>
              <a:t> отчёт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Бюджет!$B$11</c:f>
              <c:strCache>
                <c:ptCount val="1"/>
                <c:pt idx="0">
                  <c:v>Приход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Бюджет!$C$10:$H$10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Бюджет!$C$11:$H$11</c:f>
              <c:numCache>
                <c:formatCode>_("₽"* #,##0_);_("₽"* \(#,##0\);_("₽"* "-"_);_(@_)</c:formatCode>
                <c:ptCount val="6"/>
                <c:pt idx="0">
                  <c:v>32550</c:v>
                </c:pt>
                <c:pt idx="1">
                  <c:v>33038</c:v>
                </c:pt>
                <c:pt idx="2">
                  <c:v>33534</c:v>
                </c:pt>
                <c:pt idx="3">
                  <c:v>34037</c:v>
                </c:pt>
                <c:pt idx="4">
                  <c:v>34547</c:v>
                </c:pt>
                <c:pt idx="5">
                  <c:v>35066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F3-4517-BC15-016DD6FD092E}"/>
            </c:ext>
          </c:extLst>
        </c:ser>
        <c:ser>
          <c:idx val="2"/>
          <c:order val="1"/>
          <c:tx>
            <c:strRef>
              <c:f>Бюджет!$B$19</c:f>
              <c:strCache>
                <c:ptCount val="1"/>
                <c:pt idx="0">
                  <c:v>Расходы Всего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Бюджет!$C$10:$H$10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Бюджет!$C$19:$H$19</c:f>
              <c:numCache>
                <c:formatCode>_("₽"* #,##0_);_("₽"* \(#,##0\);_("₽"* "-"_);_(@_)</c:formatCode>
                <c:ptCount val="6"/>
                <c:pt idx="0">
                  <c:v>5540</c:v>
                </c:pt>
                <c:pt idx="1">
                  <c:v>5548</c:v>
                </c:pt>
                <c:pt idx="2">
                  <c:v>5556</c:v>
                </c:pt>
                <c:pt idx="3">
                  <c:v>5564</c:v>
                </c:pt>
                <c:pt idx="4">
                  <c:v>5572</c:v>
                </c:pt>
                <c:pt idx="5">
                  <c:v>5580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F3-4517-BC15-016DD6FD092E}"/>
            </c:ext>
          </c:extLst>
        </c:ser>
        <c:ser>
          <c:idx val="4"/>
          <c:order val="2"/>
          <c:tx>
            <c:strRef>
              <c:f>Бюджет!$B$20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Бюджет!$C$20:$H$20</c:f>
              <c:numCache>
                <c:formatCode>_("₽"* #,##0_);_("₽"* \(#,##0\);_("₽"* "-"_);_(@_)</c:formatCode>
                <c:ptCount val="6"/>
                <c:pt idx="0">
                  <c:v>7694</c:v>
                </c:pt>
                <c:pt idx="1">
                  <c:v>8000</c:v>
                </c:pt>
                <c:pt idx="2">
                  <c:v>8313</c:v>
                </c:pt>
                <c:pt idx="3">
                  <c:v>8631</c:v>
                </c:pt>
                <c:pt idx="4">
                  <c:v>8954</c:v>
                </c:pt>
                <c:pt idx="5">
                  <c:v>9285</c:v>
                </c:pt>
              </c:numCache>
            </c:numRef>
          </c:val>
        </c:ser>
        <c:ser>
          <c:idx val="3"/>
          <c:order val="3"/>
          <c:tx>
            <c:strRef>
              <c:f>Бюджет!$B$13</c:f>
              <c:strCache>
                <c:ptCount val="1"/>
                <c:pt idx="0">
                  <c:v>Полная выручка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Бюджет!$C$10:$H$10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Бюджет!$C$13:$H$13</c:f>
              <c:numCache>
                <c:formatCode>_("₽"* #,##0_);_("₽"* \(#,##0\);_("₽"* "-"_);_(@_)</c:formatCode>
                <c:ptCount val="6"/>
                <c:pt idx="0">
                  <c:v>13234</c:v>
                </c:pt>
                <c:pt idx="1">
                  <c:v>13548</c:v>
                </c:pt>
                <c:pt idx="2">
                  <c:v>13869</c:v>
                </c:pt>
                <c:pt idx="3">
                  <c:v>14195</c:v>
                </c:pt>
                <c:pt idx="4">
                  <c:v>14526</c:v>
                </c:pt>
                <c:pt idx="5">
                  <c:v>14865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F3-4517-BC15-016DD6FD092E}"/>
            </c:ext>
          </c:extLst>
        </c:ser>
        <c:ser>
          <c:idx val="1"/>
          <c:order val="4"/>
          <c:tx>
            <c:strRef>
              <c:f>Бюджет!$B$12</c:f>
              <c:strCache>
                <c:ptCount val="1"/>
                <c:pt idx="0">
                  <c:v>Затраты на товары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Бюджет!$C$10:$H$10</c:f>
              <c:strCache>
                <c:ptCount val="6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  <c:pt idx="3">
                  <c:v>Июнь</c:v>
                </c:pt>
                <c:pt idx="4">
                  <c:v>Июль</c:v>
                </c:pt>
                <c:pt idx="5">
                  <c:v>Август</c:v>
                </c:pt>
              </c:strCache>
            </c:strRef>
          </c:cat>
          <c:val>
            <c:numRef>
              <c:f>Бюджет!$C$12:$H$12</c:f>
              <c:numCache>
                <c:formatCode>_("₽"* #,##0_);_("₽"* \(#,##0\);_("₽"* "-"_);_(@_)</c:formatCode>
                <c:ptCount val="6"/>
                <c:pt idx="0">
                  <c:v>19316</c:v>
                </c:pt>
                <c:pt idx="1">
                  <c:v>19490</c:v>
                </c:pt>
                <c:pt idx="2">
                  <c:v>19665</c:v>
                </c:pt>
                <c:pt idx="3">
                  <c:v>19842</c:v>
                </c:pt>
                <c:pt idx="4">
                  <c:v>20021</c:v>
                </c:pt>
                <c:pt idx="5">
                  <c:v>20201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F3-4517-BC15-016DD6FD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26672"/>
        <c:axId val="129727792"/>
      </c:barChart>
      <c:catAx>
        <c:axId val="12972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2019</a:t>
                </a:r>
                <a:endParaRPr lang="ru-RU" baseline="0"/>
              </a:p>
            </c:rich>
          </c:tx>
          <c:layout>
            <c:manualLayout>
              <c:xMode val="edge"/>
              <c:yMode val="edge"/>
              <c:x val="0.43748504159703872"/>
              <c:y val="0.8927984273354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27792"/>
        <c:crosses val="autoZero"/>
        <c:auto val="1"/>
        <c:lblAlgn val="ctr"/>
        <c:lblOffset val="100"/>
        <c:noMultiLvlLbl val="0"/>
      </c:catAx>
      <c:valAx>
        <c:axId val="12972779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26672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29658253541845"/>
          <c:y val="0.79577023897743149"/>
          <c:w val="0.71970341746458166"/>
          <c:h val="7.512572132456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</a:t>
            </a:r>
            <a:r>
              <a:rPr lang="ru-RU" baseline="0"/>
              <a:t> за Март.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78A-4D89-9D35-111F84E1754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78A-4D89-9D35-111F84E1754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78A-4D89-9D35-111F84E17545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778A-4D89-9D35-111F84E17545}"/>
              </c:ext>
            </c:extLst>
          </c:dPt>
          <c:dLbls>
            <c:dLbl>
              <c:idx val="0"/>
              <c:layout>
                <c:manualLayout>
                  <c:x val="-0.14995448803081357"/>
                  <c:y val="-0.212273674124067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78A-4D89-9D35-111F84E1754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868704662945935"/>
                  <c:y val="0.127133483314585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1920000" spcFirstLastPara="1" vertOverflow="ellipsis" vert="horz" wrap="square" lIns="0" tIns="19050" rIns="0" bIns="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78A-4D89-9D35-111F84E17545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Бюджет!$B$15:$B$18</c:f>
              <c:strCache>
                <c:ptCount val="4"/>
                <c:pt idx="0">
                  <c:v>Реклама</c:v>
                </c:pt>
                <c:pt idx="1">
                  <c:v>Аренда помещения</c:v>
                </c:pt>
                <c:pt idx="2">
                  <c:v>Налоги и выплаты</c:v>
                </c:pt>
                <c:pt idx="3">
                  <c:v>Проценты по кредитам</c:v>
                </c:pt>
              </c:strCache>
            </c:strRef>
          </c:cat>
          <c:val>
            <c:numRef>
              <c:f>Бюджет!$C$15:$C$18</c:f>
              <c:numCache>
                <c:formatCode>_("₽"* #,##0_);_("₽"* \(#,##0\);_("₽"* "-"_);_(@_)</c:formatCode>
                <c:ptCount val="4"/>
                <c:pt idx="0">
                  <c:v>4000</c:v>
                </c:pt>
                <c:pt idx="1">
                  <c:v>500</c:v>
                </c:pt>
                <c:pt idx="2">
                  <c:v>240</c:v>
                </c:pt>
                <c:pt idx="3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78A-4D89-9D35-111F84E1754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таблицы'!$A$35</c:f>
              <c:strCache>
                <c:ptCount val="1"/>
                <c:pt idx="0">
                  <c:v>Январь 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таблицы'!$B$34</c:f>
              <c:strCache>
                <c:ptCount val="1"/>
                <c:pt idx="0">
                  <c:v>Сумма</c:v>
                </c:pt>
              </c:strCache>
            </c:strRef>
          </c:cat>
          <c:val>
            <c:numRef>
              <c:f>'Сводные таблицы'!$B$35</c:f>
              <c:numCache>
                <c:formatCode>General</c:formatCode>
                <c:ptCount val="1"/>
                <c:pt idx="0">
                  <c:v>6729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20-41BF-ACB2-57C99B41FF97}"/>
            </c:ext>
          </c:extLst>
        </c:ser>
        <c:ser>
          <c:idx val="1"/>
          <c:order val="1"/>
          <c:tx>
            <c:strRef>
              <c:f>'Сводные таблицы'!$A$36</c:f>
              <c:strCache>
                <c:ptCount val="1"/>
                <c:pt idx="0">
                  <c:v>Февраль 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'Сводные таблицы'!$B$34</c:f>
              <c:strCache>
                <c:ptCount val="1"/>
                <c:pt idx="0">
                  <c:v>Сумма</c:v>
                </c:pt>
              </c:strCache>
            </c:strRef>
          </c:cat>
          <c:val>
            <c:numRef>
              <c:f>'Сводные таблицы'!$B$36</c:f>
              <c:numCache>
                <c:formatCode>General</c:formatCode>
                <c:ptCount val="1"/>
                <c:pt idx="0">
                  <c:v>3250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20-41BF-ACB2-57C99B41FF97}"/>
            </c:ext>
          </c:extLst>
        </c:ser>
        <c:ser>
          <c:idx val="2"/>
          <c:order val="2"/>
          <c:tx>
            <c:strRef>
              <c:f>'Сводные таблицы'!$A$37</c:f>
              <c:strCache>
                <c:ptCount val="1"/>
                <c:pt idx="0">
                  <c:v>Март 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'Сводные таблицы'!$B$34</c:f>
              <c:strCache>
                <c:ptCount val="1"/>
                <c:pt idx="0">
                  <c:v>Сумма</c:v>
                </c:pt>
              </c:strCache>
            </c:strRef>
          </c:cat>
          <c:val>
            <c:numRef>
              <c:f>'Сводные таблицы'!$B$37</c:f>
              <c:numCache>
                <c:formatCode>General</c:formatCode>
                <c:ptCount val="1"/>
                <c:pt idx="0">
                  <c:v>8080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20-41BF-ACB2-57C99B41FF97}"/>
            </c:ext>
          </c:extLst>
        </c:ser>
        <c:ser>
          <c:idx val="3"/>
          <c:order val="3"/>
          <c:tx>
            <c:strRef>
              <c:f>'Сводные таблицы'!$A$38</c:f>
              <c:strCache>
                <c:ptCount val="1"/>
                <c:pt idx="0">
                  <c:v>Общий итог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'Сводные таблицы'!$B$34</c:f>
              <c:strCache>
                <c:ptCount val="1"/>
                <c:pt idx="0">
                  <c:v>Сумма</c:v>
                </c:pt>
              </c:strCache>
            </c:strRef>
          </c:cat>
          <c:val>
            <c:numRef>
              <c:f>'Сводные таблицы'!$B$38</c:f>
              <c:numCache>
                <c:formatCode>General</c:formatCode>
                <c:ptCount val="1"/>
                <c:pt idx="0">
                  <c:v>18059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20-41BF-ACB2-57C99B41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33952"/>
        <c:axId val="129682208"/>
      </c:barChart>
      <c:catAx>
        <c:axId val="129733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682208"/>
        <c:crosses val="autoZero"/>
        <c:auto val="1"/>
        <c:lblAlgn val="ctr"/>
        <c:lblOffset val="100"/>
        <c:noMultiLvlLbl val="0"/>
      </c:catAx>
      <c:valAx>
        <c:axId val="129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[Бизнес.xlsx]Сводные таблицы!Сводная таблица2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'Сводные таблицы'!$H$1:$H$2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таблицы'!$G$3:$G$8</c:f>
              <c:strCache>
                <c:ptCount val="5"/>
                <c:pt idx="0">
                  <c:v>Авто</c:v>
                </c:pt>
                <c:pt idx="1">
                  <c:v>Квартира</c:v>
                </c:pt>
                <c:pt idx="2">
                  <c:v>Отдых</c:v>
                </c:pt>
                <c:pt idx="3">
                  <c:v>Прочее</c:v>
                </c:pt>
                <c:pt idx="4">
                  <c:v>Связь</c:v>
                </c:pt>
              </c:strCache>
            </c:strRef>
          </c:cat>
          <c:val>
            <c:numRef>
              <c:f>'Сводные таблицы'!$H$3:$H$8</c:f>
              <c:numCache>
                <c:formatCode>General</c:formatCode>
                <c:ptCount val="5"/>
                <c:pt idx="0">
                  <c:v>1100</c:v>
                </c:pt>
                <c:pt idx="1">
                  <c:v>2500</c:v>
                </c:pt>
                <c:pt idx="2">
                  <c:v>830</c:v>
                </c:pt>
                <c:pt idx="3">
                  <c:v>2900</c:v>
                </c:pt>
                <c:pt idx="4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F20-9CCE-B1AE6851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7168"/>
        <c:axId val="236007728"/>
      </c:barChart>
      <c:catAx>
        <c:axId val="2360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007728"/>
        <c:crosses val="autoZero"/>
        <c:auto val="1"/>
        <c:lblAlgn val="ctr"/>
        <c:lblOffset val="100"/>
        <c:noMultiLvlLbl val="0"/>
      </c:catAx>
      <c:valAx>
        <c:axId val="2360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0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0.35554</cdr:x>
      <cdr:y>0</cdr:y>
    </cdr:from>
    <cdr:to>
      <cdr:x>0.65101</cdr:x>
      <cdr:y>0.11813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3305403" y="0"/>
          <a:ext cx="2746941" cy="71846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ru-RU" sz="40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Март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23</xdr:row>
      <xdr:rowOff>14287</xdr:rowOff>
    </xdr:from>
    <xdr:to>
      <xdr:col>7</xdr:col>
      <xdr:colOff>695325</xdr:colOff>
      <xdr:row>38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75C01095-345E-405B-B991-36AF0011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523874</xdr:colOff>
      <xdr:row>25</xdr:row>
      <xdr:rowOff>38100</xdr:rowOff>
    </xdr:to>
    <xdr:graphicFrame macro="">
      <xdr:nvGraphicFramePr>
        <xdr:cNvPr id="3" name="Диаграмма 4">
          <a:extLst>
            <a:ext uri="{FF2B5EF4-FFF2-40B4-BE49-F238E27FC236}">
              <a16:creationId xmlns:a16="http://schemas.microsoft.com/office/drawing/2014/main" xmlns="" id="{DF738B01-1CCE-4C16-A019-A9CD0CC92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185737</xdr:rowOff>
    </xdr:from>
    <xdr:to>
      <xdr:col>5</xdr:col>
      <xdr:colOff>238125</xdr:colOff>
      <xdr:row>31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CEC1A8A-7428-4494-B90F-BF18B1D2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14287</xdr:rowOff>
    </xdr:from>
    <xdr:to>
      <xdr:col>10</xdr:col>
      <xdr:colOff>180975</xdr:colOff>
      <xdr:row>21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440B3084-5F9A-4AED-8D0A-EEF3A02E1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757.618790624998" createdVersion="6" refreshedVersion="6" minRefreshableVersion="3" recordCount="17">
  <cacheSource type="worksheet">
    <worksheetSource ref="A1:D16" sheet="Свободные таблицы"/>
  </cacheSource>
  <cacheFields count="4">
    <cacheField name="Дата " numFmtId="0">
      <sharedItems count="5">
        <s v="Январь"/>
        <s v="Январь Итог"/>
        <s v="Февраль"/>
        <s v="Февраль Итог"/>
        <s v="Март"/>
      </sharedItems>
    </cacheField>
    <cacheField name="Сумма" numFmtId="0">
      <sharedItems containsSemiMixedTypes="0" containsString="0" containsNumber="1" containsInteger="1" minValue="180" maxValue="6729" count="11">
        <n v="3029"/>
        <n v="1950"/>
        <n v="550"/>
        <n v="450"/>
        <n v="750"/>
        <n v="6729"/>
        <n v="3250"/>
        <n v="1100"/>
        <n v="180"/>
        <n v="650"/>
        <n v="2900"/>
      </sharedItems>
    </cacheField>
    <cacheField name="На что потрачено " numFmtId="0">
      <sharedItems containsBlank="1"/>
    </cacheField>
    <cacheField name="Категория" numFmtId="0">
      <sharedItems containsBlank="1" count="6">
        <s v="Авто"/>
        <s v="Квартира"/>
        <s v="Отдых"/>
        <s v="Связь"/>
        <m/>
        <s v="Проче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s v="ОСАГО"/>
    <x v="0"/>
  </r>
  <r>
    <x v="0"/>
    <x v="1"/>
    <s v="Квартира"/>
    <x v="1"/>
  </r>
  <r>
    <x v="0"/>
    <x v="2"/>
    <s v="Электричество"/>
    <x v="1"/>
  </r>
  <r>
    <x v="0"/>
    <x v="3"/>
    <s v="Кино"/>
    <x v="2"/>
  </r>
  <r>
    <x v="0"/>
    <x v="4"/>
    <s v="Интернет"/>
    <x v="3"/>
  </r>
  <r>
    <x v="1"/>
    <x v="5"/>
    <m/>
    <x v="4"/>
  </r>
  <r>
    <x v="2"/>
    <x v="1"/>
    <s v="Квартира"/>
    <x v="1"/>
  </r>
  <r>
    <x v="2"/>
    <x v="2"/>
    <s v="Электричество"/>
    <x v="1"/>
  </r>
  <r>
    <x v="2"/>
    <x v="4"/>
    <s v="Интернет"/>
    <x v="3"/>
  </r>
  <r>
    <x v="3"/>
    <x v="6"/>
    <m/>
    <x v="4"/>
  </r>
  <r>
    <x v="4"/>
    <x v="7"/>
    <s v="Техосмотр"/>
    <x v="0"/>
  </r>
  <r>
    <x v="4"/>
    <x v="1"/>
    <s v="Квартира"/>
    <x v="1"/>
  </r>
  <r>
    <x v="4"/>
    <x v="2"/>
    <s v="Электричество"/>
    <x v="1"/>
  </r>
  <r>
    <x v="4"/>
    <x v="8"/>
    <s v="Кино"/>
    <x v="2"/>
  </r>
  <r>
    <x v="4"/>
    <x v="9"/>
    <s v="Театр"/>
    <x v="2"/>
  </r>
  <r>
    <x v="4"/>
    <x v="10"/>
    <s v="Офромление ЗП"/>
    <x v="5"/>
  </r>
  <r>
    <x v="4"/>
    <x v="4"/>
    <s v="Интернет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6" indent="0" outline="1" outlineData="1" multipleFieldFilters="0" chartFormat="1">
  <location ref="G1:I8" firstHeaderRow="1" firstDataRow="2" firstDataCol="1"/>
  <pivotFields count="4">
    <pivotField axis="axisCol" showAll="0">
      <items count="6">
        <item h="1" x="0"/>
        <item h="1" x="2"/>
        <item x="4"/>
        <item h="1" x="3"/>
        <item h="1" x="1"/>
        <item t="default"/>
      </items>
    </pivotField>
    <pivotField dataField="1" showAll="0">
      <items count="12">
        <item x="8"/>
        <item x="3"/>
        <item x="2"/>
        <item x="9"/>
        <item x="4"/>
        <item x="7"/>
        <item x="1"/>
        <item x="10"/>
        <item x="0"/>
        <item x="6"/>
        <item x="5"/>
        <item t="default"/>
      </items>
    </pivotField>
    <pivotField showAll="0"/>
    <pivotField axis="axisRow" showAll="0">
      <items count="7">
        <item x="0"/>
        <item x="1"/>
        <item x="2"/>
        <item x="5"/>
        <item x="3"/>
        <item sd="0"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 v="2"/>
    </i>
    <i t="grand">
      <x/>
    </i>
  </colItems>
  <dataFields count="1">
    <dataField name="Сумма по полю Сумма" fld="1" baseField="0" baseItem="0"/>
  </dataFields>
  <chartFormats count="1"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20"/>
  <sheetViews>
    <sheetView topLeftCell="A13" workbookViewId="0">
      <selection activeCell="I36" sqref="I36"/>
    </sheetView>
  </sheetViews>
  <sheetFormatPr defaultRowHeight="15" x14ac:dyDescent="0.25"/>
  <cols>
    <col min="1" max="1" width="13.7109375" customWidth="1"/>
    <col min="2" max="2" width="21.140625" customWidth="1"/>
    <col min="3" max="8" width="10.5703125" bestFit="1" customWidth="1"/>
    <col min="9" max="9" width="11.5703125" bestFit="1" customWidth="1"/>
  </cols>
  <sheetData>
    <row r="1" spans="1:11" x14ac:dyDescent="0.25">
      <c r="A1" s="11" t="s">
        <v>24</v>
      </c>
      <c r="B1" s="78" t="s">
        <v>74</v>
      </c>
      <c r="C1" s="78"/>
      <c r="D1" s="78"/>
      <c r="E1" s="78"/>
      <c r="F1" s="78"/>
      <c r="G1" s="78"/>
      <c r="H1" s="78"/>
      <c r="I1" s="78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1" t="s">
        <v>0</v>
      </c>
      <c r="B3" s="13" t="s">
        <v>73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1" t="s">
        <v>1</v>
      </c>
      <c r="B4" s="14">
        <f ca="1">TODAY()</f>
        <v>43760</v>
      </c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26.25" thickBot="1" x14ac:dyDescent="0.3">
      <c r="A6" s="15" t="s">
        <v>2</v>
      </c>
      <c r="B6" s="15" t="s">
        <v>3</v>
      </c>
      <c r="C6" s="16"/>
      <c r="D6" s="12"/>
      <c r="E6" s="12"/>
      <c r="F6" s="12"/>
      <c r="G6" s="12"/>
      <c r="H6" s="12"/>
      <c r="I6" s="12"/>
      <c r="J6" s="12"/>
      <c r="K6" s="12"/>
    </row>
    <row r="7" spans="1:11" ht="15.75" thickTop="1" x14ac:dyDescent="0.25">
      <c r="A7" s="17"/>
      <c r="B7" s="18" t="s">
        <v>4</v>
      </c>
      <c r="C7" s="19">
        <v>1.4999999999999999E-2</v>
      </c>
      <c r="D7" s="12"/>
      <c r="E7" s="12"/>
      <c r="F7" s="12"/>
      <c r="G7" s="12"/>
      <c r="H7" s="12"/>
      <c r="I7" s="12"/>
      <c r="J7" s="12"/>
      <c r="K7" s="12"/>
    </row>
    <row r="8" spans="1:11" ht="15.75" thickBot="1" x14ac:dyDescent="0.3">
      <c r="A8" s="17"/>
      <c r="B8" s="18" t="s">
        <v>5</v>
      </c>
      <c r="C8" s="20">
        <v>8.9999999999999993E-3</v>
      </c>
      <c r="D8" s="12"/>
      <c r="E8" s="12"/>
      <c r="F8" s="12"/>
      <c r="G8" s="12"/>
      <c r="H8" s="12"/>
      <c r="I8" s="12"/>
      <c r="J8" s="12"/>
      <c r="K8" s="12"/>
    </row>
    <row r="9" spans="1:11" ht="16.5" thickTop="1" thickBo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79" t="s">
        <v>6</v>
      </c>
      <c r="B10" s="21"/>
      <c r="C10" s="22" t="s">
        <v>8</v>
      </c>
      <c r="D10" s="22" t="s">
        <v>9</v>
      </c>
      <c r="E10" s="22" t="s">
        <v>10</v>
      </c>
      <c r="F10" s="22" t="s">
        <v>11</v>
      </c>
      <c r="G10" s="22" t="s">
        <v>12</v>
      </c>
      <c r="H10" s="22" t="s">
        <v>13</v>
      </c>
      <c r="I10" s="23" t="s">
        <v>7</v>
      </c>
      <c r="J10" s="12"/>
      <c r="K10" s="12"/>
    </row>
    <row r="11" spans="1:11" x14ac:dyDescent="0.25">
      <c r="A11" s="80"/>
      <c r="B11" s="24" t="s">
        <v>14</v>
      </c>
      <c r="C11" s="18">
        <v>32550</v>
      </c>
      <c r="D11" s="18">
        <v>33038</v>
      </c>
      <c r="E11" s="18">
        <v>33534</v>
      </c>
      <c r="F11" s="18">
        <v>34037</v>
      </c>
      <c r="G11" s="18">
        <v>34547</v>
      </c>
      <c r="H11" s="18">
        <v>35066</v>
      </c>
      <c r="I11" s="25">
        <f t="shared" ref="I11:I18" si="0">SUM(C11:H11)</f>
        <v>202772</v>
      </c>
      <c r="J11" s="12"/>
      <c r="K11" s="12"/>
    </row>
    <row r="12" spans="1:11" ht="15.75" thickBot="1" x14ac:dyDescent="0.3">
      <c r="A12" s="80"/>
      <c r="B12" s="24" t="s">
        <v>15</v>
      </c>
      <c r="C12" s="18">
        <v>19316</v>
      </c>
      <c r="D12" s="18">
        <v>19490</v>
      </c>
      <c r="E12" s="18">
        <v>19665</v>
      </c>
      <c r="F12" s="18">
        <v>19842</v>
      </c>
      <c r="G12" s="18">
        <v>20021</v>
      </c>
      <c r="H12" s="18">
        <v>20201</v>
      </c>
      <c r="I12" s="25">
        <f t="shared" si="0"/>
        <v>118535</v>
      </c>
      <c r="J12" s="12"/>
      <c r="K12" s="12">
        <f>AVERAGE(C12:H12)</f>
        <v>19755.833333333332</v>
      </c>
    </row>
    <row r="13" spans="1:11" ht="15.75" thickBot="1" x14ac:dyDescent="0.3">
      <c r="A13" s="80"/>
      <c r="B13" s="26" t="s">
        <v>16</v>
      </c>
      <c r="C13" s="27">
        <f>C11-C12</f>
        <v>13234</v>
      </c>
      <c r="D13" s="27">
        <f>D11-D12</f>
        <v>13548</v>
      </c>
      <c r="E13" s="27">
        <f>E11-E12</f>
        <v>13869</v>
      </c>
      <c r="F13" s="27">
        <f>F11-F12</f>
        <v>14195</v>
      </c>
      <c r="G13" s="27">
        <f>G11-G12</f>
        <v>14526</v>
      </c>
      <c r="H13" s="27">
        <f t="shared" ref="H13" si="1">H11-H12</f>
        <v>14865</v>
      </c>
      <c r="I13" s="28">
        <f>SUM(C13:H13)</f>
        <v>84237</v>
      </c>
      <c r="J13" s="12"/>
      <c r="K13" s="12">
        <f>MAX(C20:H20)</f>
        <v>9285</v>
      </c>
    </row>
    <row r="14" spans="1:11" x14ac:dyDescent="0.25">
      <c r="A14" s="80"/>
      <c r="B14" s="29" t="s">
        <v>17</v>
      </c>
      <c r="C14" s="18"/>
      <c r="D14" s="18"/>
      <c r="E14" s="18"/>
      <c r="F14" s="18"/>
      <c r="G14" s="18"/>
      <c r="H14" s="18"/>
      <c r="I14" s="25"/>
      <c r="J14" s="12"/>
      <c r="K14" s="12">
        <f>MIN(C20:H20)</f>
        <v>7694</v>
      </c>
    </row>
    <row r="15" spans="1:11" x14ac:dyDescent="0.25">
      <c r="A15" s="80"/>
      <c r="B15" s="24" t="s">
        <v>18</v>
      </c>
      <c r="C15" s="18">
        <v>4000</v>
      </c>
      <c r="D15" s="18">
        <v>4000</v>
      </c>
      <c r="E15" s="18">
        <v>4000</v>
      </c>
      <c r="F15" s="18">
        <v>4000</v>
      </c>
      <c r="G15" s="18">
        <v>4000</v>
      </c>
      <c r="H15" s="18">
        <v>4000</v>
      </c>
      <c r="I15" s="25">
        <f t="shared" si="0"/>
        <v>24000</v>
      </c>
      <c r="J15" s="12"/>
      <c r="K15" s="12"/>
    </row>
    <row r="16" spans="1:11" x14ac:dyDescent="0.25">
      <c r="A16" s="80"/>
      <c r="B16" s="24" t="s">
        <v>19</v>
      </c>
      <c r="C16" s="18">
        <v>500</v>
      </c>
      <c r="D16" s="18">
        <v>500</v>
      </c>
      <c r="E16" s="18">
        <v>500</v>
      </c>
      <c r="F16" s="18">
        <v>500</v>
      </c>
      <c r="G16" s="18">
        <v>500</v>
      </c>
      <c r="H16" s="18">
        <v>500</v>
      </c>
      <c r="I16" s="25">
        <f t="shared" si="0"/>
        <v>3000</v>
      </c>
      <c r="J16" s="12"/>
      <c r="K16" s="12"/>
    </row>
    <row r="17" spans="1:11" x14ac:dyDescent="0.25">
      <c r="A17" s="80"/>
      <c r="B17" s="24" t="s">
        <v>20</v>
      </c>
      <c r="C17" s="18">
        <v>240</v>
      </c>
      <c r="D17" s="18">
        <v>241</v>
      </c>
      <c r="E17" s="18">
        <v>242</v>
      </c>
      <c r="F17" s="18">
        <v>243</v>
      </c>
      <c r="G17" s="18">
        <v>244</v>
      </c>
      <c r="H17" s="18">
        <v>245</v>
      </c>
      <c r="I17" s="25">
        <f t="shared" si="0"/>
        <v>1455</v>
      </c>
      <c r="J17" s="12"/>
      <c r="K17" s="12"/>
    </row>
    <row r="18" spans="1:11" ht="15.75" thickBot="1" x14ac:dyDescent="0.3">
      <c r="A18" s="80"/>
      <c r="B18" s="24" t="s">
        <v>21</v>
      </c>
      <c r="C18" s="18">
        <v>800</v>
      </c>
      <c r="D18" s="18">
        <v>807</v>
      </c>
      <c r="E18" s="18">
        <v>814</v>
      </c>
      <c r="F18" s="18">
        <v>821</v>
      </c>
      <c r="G18" s="18">
        <v>828</v>
      </c>
      <c r="H18" s="18">
        <v>835</v>
      </c>
      <c r="I18" s="25">
        <f t="shared" si="0"/>
        <v>4905</v>
      </c>
      <c r="J18" s="12"/>
      <c r="K18" s="12"/>
    </row>
    <row r="19" spans="1:11" ht="15.75" thickBot="1" x14ac:dyDescent="0.3">
      <c r="A19" s="80"/>
      <c r="B19" s="26" t="s">
        <v>22</v>
      </c>
      <c r="C19" s="27">
        <f>SUM(C15:C18)</f>
        <v>5540</v>
      </c>
      <c r="D19" s="27">
        <f>SUM(D15:D18)</f>
        <v>5548</v>
      </c>
      <c r="E19" s="27">
        <f>SUM(E15:E18)</f>
        <v>5556</v>
      </c>
      <c r="F19" s="27">
        <f>SUM(F15:F18)</f>
        <v>5564</v>
      </c>
      <c r="G19" s="27">
        <f>SUM(G15:G18)</f>
        <v>5572</v>
      </c>
      <c r="H19" s="27">
        <f t="shared" ref="H19:I19" si="2">SUM(H15:H18)</f>
        <v>5580</v>
      </c>
      <c r="I19" s="28">
        <f t="shared" si="2"/>
        <v>33360</v>
      </c>
      <c r="J19" s="12"/>
      <c r="K19" s="12"/>
    </row>
    <row r="20" spans="1:11" ht="15.75" thickBot="1" x14ac:dyDescent="0.3">
      <c r="A20" s="80"/>
      <c r="B20" s="30" t="s">
        <v>23</v>
      </c>
      <c r="C20" s="27">
        <f>C13-C19</f>
        <v>7694</v>
      </c>
      <c r="D20" s="27">
        <f>D13-D19</f>
        <v>8000</v>
      </c>
      <c r="E20" s="27">
        <f>E13-E19</f>
        <v>8313</v>
      </c>
      <c r="F20" s="27">
        <f>F13-F19</f>
        <v>8631</v>
      </c>
      <c r="G20" s="27">
        <f>G13-G19</f>
        <v>8954</v>
      </c>
      <c r="H20" s="27">
        <f t="shared" ref="H20:I20" si="3">H13-H19</f>
        <v>9285</v>
      </c>
      <c r="I20" s="28">
        <f t="shared" si="3"/>
        <v>50877</v>
      </c>
      <c r="J20" s="12"/>
      <c r="K20" s="12"/>
    </row>
  </sheetData>
  <mergeCells count="2">
    <mergeCell ref="B1:I1"/>
    <mergeCell ref="A10:A20"/>
  </mergeCells>
  <conditionalFormatting sqref="C20:H20">
    <cfRule type="cellIs" dxfId="0" priority="1" operator="greaterThan">
      <formula>8500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RowHeight="15" x14ac:dyDescent="0.25"/>
  <cols>
    <col min="1" max="1" width="17.42578125" bestFit="1" customWidth="1"/>
    <col min="2" max="2" width="14.7109375" customWidth="1"/>
    <col min="3" max="3" width="4.85546875" customWidth="1"/>
  </cols>
  <sheetData>
    <row r="1" spans="1:3" x14ac:dyDescent="0.25">
      <c r="A1" s="65">
        <v>43708</v>
      </c>
      <c r="B1" s="65">
        <v>43674</v>
      </c>
      <c r="C1" s="32"/>
    </row>
    <row r="2" spans="1:3" x14ac:dyDescent="0.25">
      <c r="A2" s="64"/>
      <c r="B2" s="32"/>
      <c r="C2" s="66">
        <f>DATEDIF(B1,A1,"yd")</f>
        <v>34</v>
      </c>
    </row>
    <row r="3" spans="1:3" x14ac:dyDescent="0.25">
      <c r="A3" s="32"/>
      <c r="B3" s="32"/>
      <c r="C3" s="32">
        <f>DAYS360(B1,A1,FALSE)</f>
        <v>33</v>
      </c>
    </row>
    <row r="4" spans="1:3" x14ac:dyDescent="0.25">
      <c r="A4" s="32"/>
      <c r="B4" s="32"/>
      <c r="C4" s="66">
        <f>DAYS360(B1,A1,TRUE)</f>
        <v>32</v>
      </c>
    </row>
    <row r="5" spans="1:3" x14ac:dyDescent="0.25">
      <c r="A5" s="32"/>
      <c r="B5" s="32"/>
      <c r="C5" s="32"/>
    </row>
    <row r="6" spans="1:3" x14ac:dyDescent="0.25">
      <c r="A6" s="32"/>
      <c r="B6" s="32"/>
      <c r="C6" s="32"/>
    </row>
    <row r="7" spans="1:3" x14ac:dyDescent="0.25">
      <c r="A7" s="32"/>
      <c r="B7" s="32"/>
      <c r="C7" s="32"/>
    </row>
    <row r="8" spans="1:3" x14ac:dyDescent="0.25">
      <c r="A8" s="32"/>
      <c r="B8" s="32"/>
      <c r="C8" s="32"/>
    </row>
    <row r="9" spans="1:3" x14ac:dyDescent="0.25">
      <c r="A9" s="32"/>
      <c r="B9" s="32"/>
      <c r="C9" s="32"/>
    </row>
    <row r="10" spans="1:3" x14ac:dyDescent="0.25">
      <c r="A10" s="65">
        <v>37241</v>
      </c>
      <c r="B10" s="67">
        <f ca="1">YEARFRAC(A10,TRUNC(TODAY(),0))</f>
        <v>17.850000000000001</v>
      </c>
      <c r="C1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R4" sqref="R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12"/>
  <sheetViews>
    <sheetView workbookViewId="0">
      <selection activeCell="I16" sqref="I16"/>
    </sheetView>
  </sheetViews>
  <sheetFormatPr defaultRowHeight="15" x14ac:dyDescent="0.25"/>
  <cols>
    <col min="1" max="1" width="5.7109375" customWidth="1"/>
    <col min="2" max="2" width="18.140625" customWidth="1"/>
    <col min="3" max="3" width="13.85546875" customWidth="1"/>
    <col min="8" max="8" width="11.140625" bestFit="1" customWidth="1"/>
  </cols>
  <sheetData>
    <row r="1" spans="1:8" ht="13.5" customHeight="1" x14ac:dyDescent="0.25">
      <c r="A1" s="2" t="s">
        <v>39</v>
      </c>
      <c r="B1" s="2"/>
      <c r="C1" s="3">
        <v>0.1</v>
      </c>
      <c r="D1" s="2"/>
      <c r="E1" s="2"/>
      <c r="F1" s="2"/>
      <c r="G1" s="2"/>
      <c r="H1" s="2"/>
    </row>
    <row r="2" spans="1:8" x14ac:dyDescent="0.25">
      <c r="A2" s="2" t="s">
        <v>40</v>
      </c>
      <c r="B2" s="2"/>
      <c r="C2" s="4">
        <v>0.13</v>
      </c>
      <c r="D2" s="2"/>
      <c r="E2" s="2"/>
      <c r="F2" s="2"/>
      <c r="G2" s="2"/>
      <c r="H2" s="2"/>
    </row>
    <row r="3" spans="1:8" x14ac:dyDescent="0.25">
      <c r="A3" s="2" t="s">
        <v>41</v>
      </c>
      <c r="B3" s="2"/>
      <c r="C3" s="5">
        <v>2019</v>
      </c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6" t="s">
        <v>25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</row>
    <row r="7" spans="1:8" x14ac:dyDescent="0.25">
      <c r="A7" s="7">
        <v>1</v>
      </c>
      <c r="B7" s="2" t="s">
        <v>26</v>
      </c>
      <c r="C7" s="7">
        <v>1960</v>
      </c>
      <c r="D7" s="2">
        <f>$C$3-C7</f>
        <v>59</v>
      </c>
      <c r="E7" s="8">
        <v>4000</v>
      </c>
      <c r="F7" s="8">
        <f>$C$1*E7</f>
        <v>400</v>
      </c>
      <c r="G7" s="8">
        <f>$C$2*(E7+F7)</f>
        <v>572</v>
      </c>
      <c r="H7" s="9">
        <f>(E7+F7)-G7</f>
        <v>3828</v>
      </c>
    </row>
    <row r="8" spans="1:8" x14ac:dyDescent="0.25">
      <c r="A8" s="7">
        <v>2</v>
      </c>
      <c r="B8" s="2" t="s">
        <v>27</v>
      </c>
      <c r="C8" s="7">
        <v>1988</v>
      </c>
      <c r="D8" s="2">
        <f t="shared" ref="D8:D12" si="0">$C$3-C8</f>
        <v>31</v>
      </c>
      <c r="E8" s="8">
        <v>2800</v>
      </c>
      <c r="F8" s="8">
        <f t="shared" ref="F8:F12" si="1">$C$1*E8</f>
        <v>280</v>
      </c>
      <c r="G8" s="8">
        <f t="shared" ref="G8:G12" si="2">$C$2*(E8+F8)</f>
        <v>400.40000000000003</v>
      </c>
      <c r="H8" s="9">
        <f t="shared" ref="H8:H12" si="3">(E8+F8)-G8</f>
        <v>2679.6</v>
      </c>
    </row>
    <row r="9" spans="1:8" x14ac:dyDescent="0.25">
      <c r="A9" s="7">
        <v>3</v>
      </c>
      <c r="B9" s="2" t="s">
        <v>28</v>
      </c>
      <c r="C9" s="7">
        <v>1975</v>
      </c>
      <c r="D9" s="2">
        <f t="shared" si="0"/>
        <v>44</v>
      </c>
      <c r="E9" s="8">
        <v>3400</v>
      </c>
      <c r="F9" s="8">
        <f t="shared" si="1"/>
        <v>340</v>
      </c>
      <c r="G9" s="8">
        <f t="shared" si="2"/>
        <v>486.2</v>
      </c>
      <c r="H9" s="9">
        <f t="shared" si="3"/>
        <v>3253.8</v>
      </c>
    </row>
    <row r="10" spans="1:8" x14ac:dyDescent="0.25">
      <c r="A10" s="7">
        <v>4</v>
      </c>
      <c r="B10" s="2" t="s">
        <v>29</v>
      </c>
      <c r="C10" s="7">
        <v>1980</v>
      </c>
      <c r="D10" s="2">
        <f t="shared" si="0"/>
        <v>39</v>
      </c>
      <c r="E10" s="8">
        <v>4000</v>
      </c>
      <c r="F10" s="8">
        <f t="shared" si="1"/>
        <v>400</v>
      </c>
      <c r="G10" s="8">
        <f t="shared" si="2"/>
        <v>572</v>
      </c>
      <c r="H10" s="9">
        <f t="shared" si="3"/>
        <v>3828</v>
      </c>
    </row>
    <row r="11" spans="1:8" x14ac:dyDescent="0.25">
      <c r="A11" s="7">
        <v>5</v>
      </c>
      <c r="B11" s="2" t="s">
        <v>30</v>
      </c>
      <c r="C11" s="7">
        <v>1957</v>
      </c>
      <c r="D11" s="2">
        <f t="shared" si="0"/>
        <v>62</v>
      </c>
      <c r="E11" s="8">
        <v>6000</v>
      </c>
      <c r="F11" s="8">
        <f t="shared" si="1"/>
        <v>600</v>
      </c>
      <c r="G11" s="8">
        <f t="shared" si="2"/>
        <v>858</v>
      </c>
      <c r="H11" s="9">
        <f t="shared" si="3"/>
        <v>5742</v>
      </c>
    </row>
    <row r="12" spans="1:8" x14ac:dyDescent="0.25">
      <c r="A12" s="7">
        <v>6</v>
      </c>
      <c r="B12" s="2" t="s">
        <v>31</v>
      </c>
      <c r="C12" s="7">
        <v>1965</v>
      </c>
      <c r="D12" s="2">
        <f t="shared" si="0"/>
        <v>54</v>
      </c>
      <c r="E12" s="8">
        <v>4500</v>
      </c>
      <c r="F12" s="8">
        <f t="shared" si="1"/>
        <v>450</v>
      </c>
      <c r="G12" s="8">
        <f t="shared" si="2"/>
        <v>643.5</v>
      </c>
      <c r="H12" s="9">
        <f t="shared" si="3"/>
        <v>4306.5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I99"/>
  <sheetViews>
    <sheetView workbookViewId="0">
      <selection activeCell="A21" sqref="A21"/>
    </sheetView>
  </sheetViews>
  <sheetFormatPr defaultRowHeight="15" x14ac:dyDescent="0.25"/>
  <cols>
    <col min="1" max="1" width="13.28515625" customWidth="1"/>
    <col min="3" max="3" width="24.7109375" customWidth="1"/>
    <col min="4" max="4" width="12.7109375" customWidth="1"/>
    <col min="5" max="5" width="13.42578125" customWidth="1"/>
    <col min="6" max="6" width="12.7109375" customWidth="1"/>
    <col min="7" max="7" width="14.85546875" bestFit="1" customWidth="1"/>
  </cols>
  <sheetData>
    <row r="1" spans="1:9" ht="16.5" thickTop="1" thickBot="1" x14ac:dyDescent="0.3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I1">
        <v>1.3</v>
      </c>
    </row>
    <row r="2" spans="1:9" ht="15.75" thickTop="1" x14ac:dyDescent="0.25">
      <c r="A2" s="2" t="s">
        <v>49</v>
      </c>
      <c r="B2" s="2" t="s">
        <v>55</v>
      </c>
      <c r="C2" s="2" t="s">
        <v>70</v>
      </c>
      <c r="D2" s="10">
        <v>2470</v>
      </c>
      <c r="E2" s="8">
        <f>D2*$I$1</f>
        <v>3211</v>
      </c>
      <c r="F2" s="2">
        <v>437</v>
      </c>
      <c r="G2" s="8">
        <f>F2*E2</f>
        <v>1403207</v>
      </c>
    </row>
    <row r="3" spans="1:9" x14ac:dyDescent="0.25">
      <c r="A3" s="2" t="s">
        <v>49</v>
      </c>
      <c r="B3" s="2" t="s">
        <v>56</v>
      </c>
      <c r="C3" s="2" t="s">
        <v>70</v>
      </c>
      <c r="D3" s="10">
        <v>2470</v>
      </c>
      <c r="E3" s="8">
        <f>D3*$I$1</f>
        <v>3211</v>
      </c>
      <c r="F3" s="2">
        <v>534</v>
      </c>
      <c r="G3" s="8">
        <f>F3*E3</f>
        <v>1714674</v>
      </c>
    </row>
    <row r="4" spans="1:9" x14ac:dyDescent="0.25">
      <c r="A4" s="2" t="s">
        <v>49</v>
      </c>
      <c r="B4" s="2" t="s">
        <v>51</v>
      </c>
      <c r="C4" s="2" t="s">
        <v>67</v>
      </c>
      <c r="D4" s="10">
        <v>827</v>
      </c>
      <c r="E4" s="8">
        <f>D4*$I$1</f>
        <v>1075.1000000000001</v>
      </c>
      <c r="F4" s="2">
        <v>564</v>
      </c>
      <c r="G4" s="8">
        <f>F4*E4</f>
        <v>606356.4</v>
      </c>
    </row>
    <row r="5" spans="1:9" ht="15" customHeight="1" x14ac:dyDescent="0.25">
      <c r="A5" s="2" t="s">
        <v>49</v>
      </c>
      <c r="B5" s="2" t="s">
        <v>52</v>
      </c>
      <c r="C5" s="2" t="s">
        <v>67</v>
      </c>
      <c r="D5" s="10">
        <v>993</v>
      </c>
      <c r="E5" s="8">
        <f>D5*$I$1</f>
        <v>1290.9000000000001</v>
      </c>
      <c r="F5" s="2">
        <v>632</v>
      </c>
      <c r="G5" s="8">
        <f>F5*E5</f>
        <v>815848.8</v>
      </c>
    </row>
    <row r="6" spans="1:9" x14ac:dyDescent="0.25">
      <c r="A6" s="2" t="s">
        <v>49</v>
      </c>
      <c r="B6" s="2" t="s">
        <v>53</v>
      </c>
      <c r="C6" s="2" t="s">
        <v>68</v>
      </c>
      <c r="D6" s="10">
        <v>1430</v>
      </c>
      <c r="E6" s="8">
        <f>D6*$I$1</f>
        <v>1859</v>
      </c>
      <c r="F6" s="2">
        <v>438</v>
      </c>
      <c r="G6" s="8">
        <f>F6*E6</f>
        <v>814242</v>
      </c>
    </row>
    <row r="7" spans="1:9" ht="15" customHeight="1" x14ac:dyDescent="0.25">
      <c r="A7" s="2" t="s">
        <v>49</v>
      </c>
      <c r="B7" s="2" t="s">
        <v>54</v>
      </c>
      <c r="C7" s="2" t="s">
        <v>68</v>
      </c>
      <c r="D7" s="10">
        <v>1716</v>
      </c>
      <c r="E7" s="8">
        <f>D7*$I$1</f>
        <v>2230.8000000000002</v>
      </c>
      <c r="F7" s="2">
        <v>645</v>
      </c>
      <c r="G7" s="8">
        <f>F7*E7</f>
        <v>1438866.0000000002</v>
      </c>
    </row>
    <row r="8" spans="1:9" ht="15" customHeight="1" x14ac:dyDescent="0.25">
      <c r="A8" s="2" t="s">
        <v>49</v>
      </c>
      <c r="B8" s="2" t="s">
        <v>59</v>
      </c>
      <c r="C8" s="2" t="s">
        <v>72</v>
      </c>
      <c r="D8" s="10">
        <v>6415</v>
      </c>
      <c r="E8" s="8">
        <f>D8*$I$1</f>
        <v>8339.5</v>
      </c>
      <c r="F8" s="2">
        <v>298</v>
      </c>
      <c r="G8" s="8">
        <f>F8*E8</f>
        <v>2485171</v>
      </c>
    </row>
    <row r="9" spans="1:9" ht="15" customHeight="1" x14ac:dyDescent="0.25">
      <c r="A9" s="2" t="s">
        <v>49</v>
      </c>
      <c r="B9" s="2" t="s">
        <v>58</v>
      </c>
      <c r="C9" s="2" t="s">
        <v>71</v>
      </c>
      <c r="D9" s="10">
        <v>5124</v>
      </c>
      <c r="E9" s="8">
        <f>D9*$I$1</f>
        <v>6661.2</v>
      </c>
      <c r="F9" s="2">
        <v>395</v>
      </c>
      <c r="G9" s="8">
        <f>F9*E9</f>
        <v>2631174</v>
      </c>
    </row>
    <row r="10" spans="1:9" ht="15" customHeight="1" x14ac:dyDescent="0.25">
      <c r="A10" s="2" t="s">
        <v>49</v>
      </c>
      <c r="B10" s="2" t="s">
        <v>57</v>
      </c>
      <c r="C10" s="2" t="s">
        <v>69</v>
      </c>
      <c r="D10" s="10">
        <v>4270</v>
      </c>
      <c r="E10" s="8">
        <f>D10*$I$1</f>
        <v>5551</v>
      </c>
      <c r="F10" s="2">
        <v>409</v>
      </c>
      <c r="G10" s="8">
        <f>F10*E10</f>
        <v>2270359</v>
      </c>
    </row>
    <row r="11" spans="1:9" ht="15" customHeight="1" x14ac:dyDescent="0.25">
      <c r="A11" s="2" t="s">
        <v>49</v>
      </c>
      <c r="B11" s="2" t="s">
        <v>53</v>
      </c>
      <c r="C11" s="2" t="s">
        <v>69</v>
      </c>
      <c r="D11" s="10">
        <v>7378</v>
      </c>
      <c r="E11" s="8">
        <f>D11*$I$1</f>
        <v>9591.4</v>
      </c>
      <c r="F11" s="2">
        <v>328</v>
      </c>
      <c r="G11" s="8">
        <f>F11*E11</f>
        <v>3145979.1999999997</v>
      </c>
    </row>
    <row r="12" spans="1:9" x14ac:dyDescent="0.25">
      <c r="A12" s="2" t="s">
        <v>50</v>
      </c>
      <c r="B12" s="2" t="s">
        <v>62</v>
      </c>
      <c r="C12" s="2" t="s">
        <v>70</v>
      </c>
      <c r="D12" s="10">
        <v>2761</v>
      </c>
      <c r="E12" s="8">
        <f>D12*$I$1</f>
        <v>3589.3</v>
      </c>
      <c r="F12" s="2">
        <v>437</v>
      </c>
      <c r="G12" s="8">
        <f>F12*E12</f>
        <v>1568524.1</v>
      </c>
    </row>
    <row r="13" spans="1:9" x14ac:dyDescent="0.25">
      <c r="A13" s="2" t="s">
        <v>50</v>
      </c>
      <c r="B13" s="2" t="s">
        <v>60</v>
      </c>
      <c r="C13" s="2" t="s">
        <v>67</v>
      </c>
      <c r="D13" s="10">
        <v>160</v>
      </c>
      <c r="E13" s="8">
        <f>D13*$I$1</f>
        <v>208</v>
      </c>
      <c r="F13" s="2">
        <v>567</v>
      </c>
      <c r="G13" s="8">
        <f>F13*E13</f>
        <v>117936</v>
      </c>
    </row>
    <row r="14" spans="1:9" ht="15" customHeight="1" x14ac:dyDescent="0.25">
      <c r="A14" s="2" t="s">
        <v>50</v>
      </c>
      <c r="B14" s="2" t="s">
        <v>61</v>
      </c>
      <c r="C14" s="2" t="s">
        <v>67</v>
      </c>
      <c r="D14" s="10">
        <v>1840</v>
      </c>
      <c r="E14" s="8">
        <f>D14*$I$1</f>
        <v>2392</v>
      </c>
      <c r="F14" s="2">
        <v>420</v>
      </c>
      <c r="G14" s="8">
        <f>F14*E14</f>
        <v>1004640</v>
      </c>
    </row>
    <row r="15" spans="1:9" ht="15" customHeight="1" x14ac:dyDescent="0.25">
      <c r="A15" s="2" t="s">
        <v>50</v>
      </c>
      <c r="B15" s="2" t="s">
        <v>63</v>
      </c>
      <c r="C15" s="2" t="s">
        <v>72</v>
      </c>
      <c r="D15" s="10">
        <v>3513</v>
      </c>
      <c r="E15" s="8">
        <f>D15*$I$1</f>
        <v>4566.9000000000005</v>
      </c>
      <c r="F15" s="2">
        <v>324</v>
      </c>
      <c r="G15" s="8">
        <f>F15*E15</f>
        <v>1479675.6</v>
      </c>
    </row>
    <row r="16" spans="1:9" ht="15" customHeight="1" x14ac:dyDescent="0.25">
      <c r="A16" s="2" t="s">
        <v>50</v>
      </c>
      <c r="B16" s="2" t="s">
        <v>64</v>
      </c>
      <c r="C16" s="2" t="s">
        <v>72</v>
      </c>
      <c r="D16" s="10">
        <v>3815</v>
      </c>
      <c r="E16" s="8">
        <f>D16*$I$1</f>
        <v>4959.5</v>
      </c>
      <c r="F16" s="2">
        <v>289</v>
      </c>
      <c r="G16" s="8">
        <f>F16*E16</f>
        <v>1433295.5</v>
      </c>
    </row>
    <row r="17" spans="1:7" ht="15" customHeight="1" x14ac:dyDescent="0.25">
      <c r="A17" s="2" t="s">
        <v>50</v>
      </c>
      <c r="B17" s="2" t="s">
        <v>65</v>
      </c>
      <c r="C17" s="2" t="s">
        <v>69</v>
      </c>
      <c r="D17" s="10">
        <v>478</v>
      </c>
      <c r="E17" s="8">
        <f>D17*$I$1</f>
        <v>621.4</v>
      </c>
      <c r="F17" s="2">
        <v>211</v>
      </c>
      <c r="G17" s="8">
        <f>F17*E17</f>
        <v>131115.4</v>
      </c>
    </row>
    <row r="18" spans="1:7" ht="15" customHeight="1" x14ac:dyDescent="0.25">
      <c r="A18" s="2" t="s">
        <v>50</v>
      </c>
      <c r="B18" s="2" t="s">
        <v>66</v>
      </c>
      <c r="C18" s="2" t="s">
        <v>69</v>
      </c>
      <c r="D18" s="10">
        <v>5614</v>
      </c>
      <c r="E18" s="8">
        <f>D18*$I$1</f>
        <v>7298.2</v>
      </c>
      <c r="F18" s="2">
        <v>108</v>
      </c>
      <c r="G18" s="8">
        <f>F18*E18</f>
        <v>788205.6</v>
      </c>
    </row>
    <row r="19" spans="1:7" ht="15.75" thickBot="1" x14ac:dyDescent="0.3"/>
    <row r="20" spans="1:7" ht="16.5" thickTop="1" thickBot="1" x14ac:dyDescent="0.3">
      <c r="A20" s="1" t="s">
        <v>42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47</v>
      </c>
      <c r="G20" s="1" t="s">
        <v>48</v>
      </c>
    </row>
    <row r="21" spans="1:7" ht="15.75" thickTop="1" x14ac:dyDescent="0.25">
      <c r="A21" s="2" t="s">
        <v>49</v>
      </c>
      <c r="B21" s="2" t="s">
        <v>51</v>
      </c>
      <c r="C21" s="2" t="s">
        <v>67</v>
      </c>
      <c r="D21" s="10">
        <v>827</v>
      </c>
      <c r="E21" s="8">
        <v>1075.1000000000001</v>
      </c>
      <c r="F21" s="2">
        <v>564</v>
      </c>
      <c r="G21" s="8">
        <v>606356.4</v>
      </c>
    </row>
    <row r="22" spans="1:7" x14ac:dyDescent="0.25">
      <c r="A22" s="2" t="s">
        <v>49</v>
      </c>
      <c r="B22" s="2" t="s">
        <v>52</v>
      </c>
      <c r="C22" s="2" t="s">
        <v>67</v>
      </c>
      <c r="D22" s="10">
        <v>993</v>
      </c>
      <c r="E22" s="8">
        <v>1290.9000000000001</v>
      </c>
      <c r="F22" s="2">
        <v>632</v>
      </c>
      <c r="G22" s="8">
        <v>815848.8</v>
      </c>
    </row>
    <row r="23" spans="1:7" x14ac:dyDescent="0.25">
      <c r="A23" s="2" t="s">
        <v>49</v>
      </c>
      <c r="B23" s="2" t="s">
        <v>53</v>
      </c>
      <c r="C23" s="2" t="s">
        <v>68</v>
      </c>
      <c r="D23" s="10">
        <v>1430</v>
      </c>
      <c r="E23" s="8">
        <v>1859</v>
      </c>
      <c r="F23" s="2">
        <v>438</v>
      </c>
      <c r="G23" s="8">
        <v>814242</v>
      </c>
    </row>
    <row r="24" spans="1:7" x14ac:dyDescent="0.25">
      <c r="A24" s="2" t="s">
        <v>49</v>
      </c>
      <c r="B24" s="2" t="s">
        <v>54</v>
      </c>
      <c r="C24" s="2" t="s">
        <v>68</v>
      </c>
      <c r="D24" s="10">
        <v>1716</v>
      </c>
      <c r="E24" s="8">
        <v>2230.8000000000002</v>
      </c>
      <c r="F24" s="2">
        <v>645</v>
      </c>
      <c r="G24" s="8">
        <v>1438866.0000000002</v>
      </c>
    </row>
    <row r="25" spans="1:7" x14ac:dyDescent="0.25">
      <c r="A25" s="2" t="s">
        <v>50</v>
      </c>
      <c r="B25" s="2" t="s">
        <v>60</v>
      </c>
      <c r="C25" s="2" t="s">
        <v>67</v>
      </c>
      <c r="D25" s="10">
        <v>160</v>
      </c>
      <c r="E25" s="8">
        <v>208</v>
      </c>
      <c r="F25" s="2">
        <v>567</v>
      </c>
      <c r="G25" s="8">
        <v>117936</v>
      </c>
    </row>
    <row r="26" spans="1:7" x14ac:dyDescent="0.25">
      <c r="A26" s="2" t="s">
        <v>50</v>
      </c>
      <c r="B26" s="2" t="s">
        <v>61</v>
      </c>
      <c r="C26" s="2" t="s">
        <v>67</v>
      </c>
      <c r="D26" s="10">
        <v>1840</v>
      </c>
      <c r="E26" s="8">
        <v>2392</v>
      </c>
      <c r="F26" s="2">
        <v>420</v>
      </c>
      <c r="G26" s="8">
        <v>1004640</v>
      </c>
    </row>
    <row r="27" spans="1:7" ht="15.75" thickBot="1" x14ac:dyDescent="0.3">
      <c r="A27" s="2"/>
      <c r="B27" s="2"/>
      <c r="C27" s="2"/>
      <c r="D27" s="10"/>
      <c r="E27" s="8"/>
      <c r="F27" s="2"/>
      <c r="G27" s="8"/>
    </row>
    <row r="28" spans="1:7" ht="16.5" thickTop="1" thickBot="1" x14ac:dyDescent="0.3">
      <c r="A28" s="1" t="s">
        <v>42</v>
      </c>
      <c r="B28" s="1" t="s">
        <v>43</v>
      </c>
      <c r="C28" s="1" t="s">
        <v>44</v>
      </c>
      <c r="D28" s="1" t="s">
        <v>45</v>
      </c>
      <c r="E28" s="1" t="s">
        <v>46</v>
      </c>
      <c r="F28" s="1" t="s">
        <v>47</v>
      </c>
      <c r="G28" s="1" t="s">
        <v>48</v>
      </c>
    </row>
    <row r="29" spans="1:7" ht="15.75" thickTop="1" x14ac:dyDescent="0.25">
      <c r="A29" s="2" t="s">
        <v>49</v>
      </c>
      <c r="B29" s="2" t="s">
        <v>53</v>
      </c>
      <c r="C29" s="2" t="s">
        <v>69</v>
      </c>
      <c r="D29" s="10">
        <v>7378</v>
      </c>
      <c r="E29" s="8">
        <v>9591.4</v>
      </c>
      <c r="F29" s="2">
        <v>328</v>
      </c>
      <c r="G29" s="8">
        <v>3145979.1999999997</v>
      </c>
    </row>
    <row r="30" spans="1:7" x14ac:dyDescent="0.25">
      <c r="A30" s="2" t="s">
        <v>49</v>
      </c>
      <c r="B30" s="2" t="s">
        <v>54</v>
      </c>
      <c r="C30" s="2" t="s">
        <v>68</v>
      </c>
      <c r="D30" s="10">
        <v>1716</v>
      </c>
      <c r="E30" s="8">
        <v>2230.8000000000002</v>
      </c>
      <c r="F30" s="2">
        <v>645</v>
      </c>
      <c r="G30" s="8">
        <v>1438866.0000000002</v>
      </c>
    </row>
    <row r="31" spans="1:7" x14ac:dyDescent="0.25">
      <c r="A31" s="2" t="s">
        <v>49</v>
      </c>
      <c r="B31" s="2" t="s">
        <v>55</v>
      </c>
      <c r="C31" s="2" t="s">
        <v>70</v>
      </c>
      <c r="D31" s="10">
        <v>2470</v>
      </c>
      <c r="E31" s="8">
        <v>3211</v>
      </c>
      <c r="F31" s="2">
        <v>437</v>
      </c>
      <c r="G31" s="8">
        <v>1403207</v>
      </c>
    </row>
    <row r="32" spans="1:7" x14ac:dyDescent="0.25">
      <c r="A32" s="2" t="s">
        <v>49</v>
      </c>
      <c r="B32" s="2" t="s">
        <v>56</v>
      </c>
      <c r="C32" s="2" t="s">
        <v>70</v>
      </c>
      <c r="D32" s="10">
        <v>2470</v>
      </c>
      <c r="E32" s="8">
        <v>3211</v>
      </c>
      <c r="F32" s="2">
        <v>534</v>
      </c>
      <c r="G32" s="8">
        <v>1714674</v>
      </c>
    </row>
    <row r="33" spans="1:7" x14ac:dyDescent="0.25">
      <c r="A33" s="2" t="s">
        <v>49</v>
      </c>
      <c r="B33" s="2" t="s">
        <v>57</v>
      </c>
      <c r="C33" s="2" t="s">
        <v>69</v>
      </c>
      <c r="D33" s="10">
        <v>4270</v>
      </c>
      <c r="E33" s="8">
        <v>5551</v>
      </c>
      <c r="F33" s="2">
        <v>409</v>
      </c>
      <c r="G33" s="8">
        <v>2270359</v>
      </c>
    </row>
    <row r="34" spans="1:7" x14ac:dyDescent="0.25">
      <c r="A34" s="2" t="s">
        <v>49</v>
      </c>
      <c r="B34" s="2" t="s">
        <v>58</v>
      </c>
      <c r="C34" s="2" t="s">
        <v>71</v>
      </c>
      <c r="D34" s="10">
        <v>5124</v>
      </c>
      <c r="E34" s="8">
        <v>6661.2</v>
      </c>
      <c r="F34" s="2">
        <v>395</v>
      </c>
      <c r="G34" s="8">
        <v>2631174</v>
      </c>
    </row>
    <row r="35" spans="1:7" x14ac:dyDescent="0.25">
      <c r="A35" s="2" t="s">
        <v>49</v>
      </c>
      <c r="B35" s="2" t="s">
        <v>59</v>
      </c>
      <c r="C35" s="2" t="s">
        <v>72</v>
      </c>
      <c r="D35" s="10">
        <v>6415</v>
      </c>
      <c r="E35" s="8">
        <v>8339.5</v>
      </c>
      <c r="F35" s="2">
        <v>298</v>
      </c>
      <c r="G35" s="8">
        <v>2485171</v>
      </c>
    </row>
    <row r="36" spans="1:7" x14ac:dyDescent="0.25">
      <c r="A36" s="2" t="s">
        <v>50</v>
      </c>
      <c r="B36" s="2" t="s">
        <v>62</v>
      </c>
      <c r="C36" s="2" t="s">
        <v>70</v>
      </c>
      <c r="D36" s="10">
        <v>2761</v>
      </c>
      <c r="E36" s="8">
        <v>3589.3</v>
      </c>
      <c r="F36" s="2">
        <v>437</v>
      </c>
      <c r="G36" s="8">
        <v>1568524.1</v>
      </c>
    </row>
    <row r="37" spans="1:7" x14ac:dyDescent="0.25">
      <c r="A37" s="2" t="s">
        <v>50</v>
      </c>
      <c r="B37" s="2" t="s">
        <v>63</v>
      </c>
      <c r="C37" s="2" t="s">
        <v>72</v>
      </c>
      <c r="D37" s="10">
        <v>3513</v>
      </c>
      <c r="E37" s="8">
        <v>4566.9000000000005</v>
      </c>
      <c r="F37" s="2">
        <v>324</v>
      </c>
      <c r="G37" s="8">
        <v>1479675.6</v>
      </c>
    </row>
    <row r="38" spans="1:7" x14ac:dyDescent="0.25">
      <c r="A38" s="2" t="s">
        <v>50</v>
      </c>
      <c r="B38" s="2" t="s">
        <v>64</v>
      </c>
      <c r="C38" s="2" t="s">
        <v>72</v>
      </c>
      <c r="D38" s="10">
        <v>3815</v>
      </c>
      <c r="E38" s="8">
        <v>4959.5</v>
      </c>
      <c r="F38" s="2">
        <v>289</v>
      </c>
      <c r="G38" s="8">
        <v>1433295.5</v>
      </c>
    </row>
    <row r="39" spans="1:7" ht="15.75" thickBot="1" x14ac:dyDescent="0.3"/>
    <row r="40" spans="1:7" ht="16.5" thickTop="1" thickBot="1" x14ac:dyDescent="0.3">
      <c r="A40" s="1" t="s">
        <v>42</v>
      </c>
      <c r="B40" s="1" t="s">
        <v>43</v>
      </c>
      <c r="C40" s="1" t="s">
        <v>44</v>
      </c>
      <c r="D40" s="1" t="s">
        <v>45</v>
      </c>
      <c r="E40" s="1" t="s">
        <v>46</v>
      </c>
      <c r="F40" s="1" t="s">
        <v>47</v>
      </c>
      <c r="G40" s="1" t="s">
        <v>48</v>
      </c>
    </row>
    <row r="41" spans="1:7" ht="15.75" thickTop="1" x14ac:dyDescent="0.25">
      <c r="A41" s="2" t="s">
        <v>49</v>
      </c>
      <c r="B41" s="2" t="s">
        <v>51</v>
      </c>
      <c r="C41" s="2" t="s">
        <v>67</v>
      </c>
      <c r="D41" s="10">
        <v>827</v>
      </c>
      <c r="E41" s="8">
        <v>1075.1000000000001</v>
      </c>
      <c r="F41" s="2">
        <v>564</v>
      </c>
      <c r="G41" s="8">
        <v>606356.4</v>
      </c>
    </row>
    <row r="42" spans="1:7" x14ac:dyDescent="0.25">
      <c r="A42" s="2" t="s">
        <v>49</v>
      </c>
      <c r="B42" s="2" t="s">
        <v>52</v>
      </c>
      <c r="C42" s="2" t="s">
        <v>67</v>
      </c>
      <c r="D42" s="10">
        <v>993</v>
      </c>
      <c r="E42" s="8">
        <v>1290.9000000000001</v>
      </c>
      <c r="F42" s="2">
        <v>632</v>
      </c>
      <c r="G42" s="8">
        <v>815848.8</v>
      </c>
    </row>
    <row r="43" spans="1:7" x14ac:dyDescent="0.25">
      <c r="A43" s="2" t="s">
        <v>49</v>
      </c>
      <c r="B43" s="2" t="s">
        <v>53</v>
      </c>
      <c r="C43" s="2" t="s">
        <v>68</v>
      </c>
      <c r="D43" s="10">
        <v>1430</v>
      </c>
      <c r="E43" s="8">
        <v>1859</v>
      </c>
      <c r="F43" s="2">
        <v>438</v>
      </c>
      <c r="G43" s="8">
        <v>814242</v>
      </c>
    </row>
    <row r="44" spans="1:7" x14ac:dyDescent="0.25">
      <c r="A44" s="2" t="s">
        <v>49</v>
      </c>
      <c r="B44" s="2" t="s">
        <v>54</v>
      </c>
      <c r="C44" s="2" t="s">
        <v>68</v>
      </c>
      <c r="D44" s="10">
        <v>1716</v>
      </c>
      <c r="E44" s="8">
        <v>2230.8000000000002</v>
      </c>
      <c r="F44" s="2">
        <v>645</v>
      </c>
      <c r="G44" s="8">
        <v>1438866.0000000002</v>
      </c>
    </row>
    <row r="45" spans="1:7" x14ac:dyDescent="0.25">
      <c r="A45" s="2" t="s">
        <v>50</v>
      </c>
      <c r="B45" s="2" t="s">
        <v>60</v>
      </c>
      <c r="C45" s="2" t="s">
        <v>67</v>
      </c>
      <c r="D45" s="10">
        <v>160</v>
      </c>
      <c r="E45" s="8">
        <v>208</v>
      </c>
      <c r="F45" s="2">
        <v>567</v>
      </c>
      <c r="G45" s="8">
        <v>117936</v>
      </c>
    </row>
    <row r="46" spans="1:7" x14ac:dyDescent="0.25">
      <c r="A46" s="2" t="s">
        <v>50</v>
      </c>
      <c r="B46" s="2" t="s">
        <v>61</v>
      </c>
      <c r="C46" s="2" t="s">
        <v>67</v>
      </c>
      <c r="D46" s="10">
        <v>1840</v>
      </c>
      <c r="E46" s="8">
        <v>2392</v>
      </c>
      <c r="F46" s="2">
        <v>420</v>
      </c>
      <c r="G46" s="8">
        <v>1004640</v>
      </c>
    </row>
    <row r="47" spans="1:7" x14ac:dyDescent="0.25">
      <c r="A47" s="2" t="s">
        <v>50</v>
      </c>
      <c r="B47" s="2" t="s">
        <v>65</v>
      </c>
      <c r="C47" s="2" t="s">
        <v>69</v>
      </c>
      <c r="D47" s="10">
        <v>478</v>
      </c>
      <c r="E47" s="8">
        <v>621.4</v>
      </c>
      <c r="F47" s="2">
        <v>211</v>
      </c>
      <c r="G47" s="8">
        <v>131115.4</v>
      </c>
    </row>
    <row r="48" spans="1:7" ht="15.75" thickBot="1" x14ac:dyDescent="0.3"/>
    <row r="49" spans="1:7" ht="16.5" thickTop="1" thickBot="1" x14ac:dyDescent="0.3">
      <c r="A49" s="1" t="s">
        <v>42</v>
      </c>
      <c r="B49" s="1" t="s">
        <v>43</v>
      </c>
      <c r="C49" s="1" t="s">
        <v>44</v>
      </c>
      <c r="D49" s="1" t="s">
        <v>45</v>
      </c>
      <c r="E49" s="1" t="s">
        <v>46</v>
      </c>
      <c r="F49" s="1" t="s">
        <v>47</v>
      </c>
      <c r="G49" s="1" t="s">
        <v>48</v>
      </c>
    </row>
    <row r="50" spans="1:7" ht="15.75" thickTop="1" x14ac:dyDescent="0.25">
      <c r="A50" s="2" t="s">
        <v>49</v>
      </c>
      <c r="B50" s="2" t="s">
        <v>55</v>
      </c>
      <c r="C50" s="2" t="s">
        <v>70</v>
      </c>
      <c r="D50" s="10">
        <v>2470</v>
      </c>
      <c r="E50" s="8">
        <v>3211</v>
      </c>
      <c r="F50" s="2">
        <v>437</v>
      </c>
      <c r="G50" s="8">
        <v>1403207</v>
      </c>
    </row>
    <row r="51" spans="1:7" x14ac:dyDescent="0.25">
      <c r="A51" s="2" t="s">
        <v>49</v>
      </c>
      <c r="B51" s="2" t="s">
        <v>56</v>
      </c>
      <c r="C51" s="2" t="s">
        <v>70</v>
      </c>
      <c r="D51" s="10">
        <v>2470</v>
      </c>
      <c r="E51" s="8">
        <v>3211</v>
      </c>
      <c r="F51" s="2">
        <v>534</v>
      </c>
      <c r="G51" s="8">
        <v>1714674</v>
      </c>
    </row>
    <row r="52" spans="1:7" x14ac:dyDescent="0.25">
      <c r="A52" s="2" t="s">
        <v>50</v>
      </c>
      <c r="B52" s="2" t="s">
        <v>62</v>
      </c>
      <c r="C52" s="2" t="s">
        <v>70</v>
      </c>
      <c r="D52" s="10">
        <v>2761</v>
      </c>
      <c r="E52" s="8">
        <v>3589.3</v>
      </c>
      <c r="F52" s="2">
        <v>437</v>
      </c>
      <c r="G52" s="8">
        <v>1568524.1</v>
      </c>
    </row>
    <row r="53" spans="1:7" x14ac:dyDescent="0.25">
      <c r="A53" s="2" t="s">
        <v>50</v>
      </c>
      <c r="B53" s="2" t="s">
        <v>63</v>
      </c>
      <c r="C53" s="2" t="s">
        <v>72</v>
      </c>
      <c r="D53" s="10">
        <v>3513</v>
      </c>
      <c r="E53" s="8">
        <v>4566.9000000000005</v>
      </c>
      <c r="F53" s="2">
        <v>324</v>
      </c>
      <c r="G53" s="8">
        <v>1479675.6</v>
      </c>
    </row>
    <row r="54" spans="1:7" x14ac:dyDescent="0.25">
      <c r="A54" s="2" t="s">
        <v>50</v>
      </c>
      <c r="B54" s="2" t="s">
        <v>64</v>
      </c>
      <c r="C54" s="2" t="s">
        <v>72</v>
      </c>
      <c r="D54" s="10">
        <v>3815</v>
      </c>
      <c r="E54" s="8">
        <v>4959.5</v>
      </c>
      <c r="F54" s="2">
        <v>289</v>
      </c>
      <c r="G54" s="8">
        <v>1433295.5</v>
      </c>
    </row>
    <row r="55" spans="1:7" ht="15.75" thickBot="1" x14ac:dyDescent="0.3"/>
    <row r="56" spans="1:7" ht="16.5" thickTop="1" thickBot="1" x14ac:dyDescent="0.3">
      <c r="A56" s="1" t="s">
        <v>42</v>
      </c>
      <c r="B56" s="1" t="s">
        <v>43</v>
      </c>
      <c r="C56" s="1" t="s">
        <v>44</v>
      </c>
      <c r="D56" s="1" t="s">
        <v>45</v>
      </c>
      <c r="E56" s="1" t="s">
        <v>46</v>
      </c>
      <c r="F56" s="1" t="s">
        <v>47</v>
      </c>
      <c r="G56" s="1" t="s">
        <v>48</v>
      </c>
    </row>
    <row r="57" spans="1:7" ht="15.75" thickTop="1" x14ac:dyDescent="0.25">
      <c r="A57" s="2" t="s">
        <v>49</v>
      </c>
      <c r="B57" s="2" t="s">
        <v>51</v>
      </c>
      <c r="C57" s="2" t="s">
        <v>67</v>
      </c>
      <c r="D57" s="10">
        <v>827</v>
      </c>
      <c r="E57" s="8">
        <v>1075.1000000000001</v>
      </c>
      <c r="F57" s="2">
        <v>564</v>
      </c>
      <c r="G57" s="8">
        <v>606356.4</v>
      </c>
    </row>
    <row r="58" spans="1:7" x14ac:dyDescent="0.25">
      <c r="A58" s="2" t="s">
        <v>49</v>
      </c>
      <c r="B58" s="2" t="s">
        <v>52</v>
      </c>
      <c r="C58" s="2" t="s">
        <v>67</v>
      </c>
      <c r="D58" s="10">
        <v>993</v>
      </c>
      <c r="E58" s="8">
        <v>1290.9000000000001</v>
      </c>
      <c r="F58" s="2">
        <v>632</v>
      </c>
      <c r="G58" s="8">
        <v>815848.8</v>
      </c>
    </row>
    <row r="59" spans="1:7" x14ac:dyDescent="0.25">
      <c r="A59" s="2" t="s">
        <v>49</v>
      </c>
      <c r="B59" s="2" t="s">
        <v>58</v>
      </c>
      <c r="C59" s="2" t="s">
        <v>71</v>
      </c>
      <c r="D59" s="10">
        <v>5124</v>
      </c>
      <c r="E59" s="8">
        <v>6661.2</v>
      </c>
      <c r="F59" s="2">
        <v>395</v>
      </c>
      <c r="G59" s="8">
        <v>2631174</v>
      </c>
    </row>
    <row r="60" spans="1:7" x14ac:dyDescent="0.25">
      <c r="A60" s="2" t="s">
        <v>49</v>
      </c>
      <c r="B60" s="2" t="s">
        <v>59</v>
      </c>
      <c r="C60" s="2" t="s">
        <v>72</v>
      </c>
      <c r="D60" s="10">
        <v>6415</v>
      </c>
      <c r="E60" s="8">
        <v>8339.5</v>
      </c>
      <c r="F60" s="2">
        <v>298</v>
      </c>
      <c r="G60" s="8">
        <v>2485171</v>
      </c>
    </row>
    <row r="61" spans="1:7" x14ac:dyDescent="0.25">
      <c r="A61" s="2" t="s">
        <v>50</v>
      </c>
      <c r="B61" s="2" t="s">
        <v>60</v>
      </c>
      <c r="C61" s="2" t="s">
        <v>67</v>
      </c>
      <c r="D61" s="10">
        <v>160</v>
      </c>
      <c r="E61" s="8">
        <v>208</v>
      </c>
      <c r="F61" s="2">
        <v>567</v>
      </c>
      <c r="G61" s="8">
        <v>117936</v>
      </c>
    </row>
    <row r="62" spans="1:7" x14ac:dyDescent="0.25">
      <c r="A62" s="2" t="s">
        <v>50</v>
      </c>
      <c r="B62" s="2" t="s">
        <v>61</v>
      </c>
      <c r="C62" s="2" t="s">
        <v>67</v>
      </c>
      <c r="D62" s="10">
        <v>1840</v>
      </c>
      <c r="E62" s="8">
        <v>2392</v>
      </c>
      <c r="F62" s="2">
        <v>420</v>
      </c>
      <c r="G62" s="8">
        <v>1004640</v>
      </c>
    </row>
    <row r="63" spans="1:7" x14ac:dyDescent="0.25">
      <c r="A63" s="2" t="s">
        <v>50</v>
      </c>
      <c r="B63" s="2" t="s">
        <v>63</v>
      </c>
      <c r="C63" s="2" t="s">
        <v>72</v>
      </c>
      <c r="D63" s="10">
        <v>3513</v>
      </c>
      <c r="E63" s="8">
        <v>4566.9000000000005</v>
      </c>
      <c r="F63" s="2">
        <v>324</v>
      </c>
      <c r="G63" s="8">
        <v>1479675.6</v>
      </c>
    </row>
    <row r="64" spans="1:7" x14ac:dyDescent="0.25">
      <c r="A64" s="2" t="s">
        <v>50</v>
      </c>
      <c r="B64" s="2" t="s">
        <v>64</v>
      </c>
      <c r="C64" s="2" t="s">
        <v>72</v>
      </c>
      <c r="D64" s="10">
        <v>3815</v>
      </c>
      <c r="E64" s="8">
        <v>4959.5</v>
      </c>
      <c r="F64" s="2">
        <v>289</v>
      </c>
      <c r="G64" s="8">
        <v>1433295.5</v>
      </c>
    </row>
    <row r="65" spans="1:7" ht="15.75" thickBot="1" x14ac:dyDescent="0.3"/>
    <row r="66" spans="1:7" ht="16.5" thickTop="1" thickBot="1" x14ac:dyDescent="0.3">
      <c r="A66" s="1" t="s">
        <v>42</v>
      </c>
      <c r="B66" s="1" t="s">
        <v>43</v>
      </c>
      <c r="C66" s="1" t="s">
        <v>44</v>
      </c>
      <c r="D66" s="1" t="s">
        <v>45</v>
      </c>
      <c r="E66" s="1" t="s">
        <v>46</v>
      </c>
      <c r="F66" s="1" t="s">
        <v>47</v>
      </c>
      <c r="G66" s="1" t="s">
        <v>48</v>
      </c>
    </row>
    <row r="67" spans="1:7" ht="15.75" thickTop="1" x14ac:dyDescent="0.25">
      <c r="A67" s="2" t="s">
        <v>49</v>
      </c>
      <c r="B67" s="2" t="s">
        <v>53</v>
      </c>
      <c r="C67" s="2" t="s">
        <v>69</v>
      </c>
      <c r="D67" s="10">
        <v>7378</v>
      </c>
      <c r="E67" s="8">
        <v>9591.4</v>
      </c>
      <c r="F67" s="2">
        <v>328</v>
      </c>
      <c r="G67" s="8">
        <v>3145979.1999999997</v>
      </c>
    </row>
    <row r="68" spans="1:7" x14ac:dyDescent="0.25">
      <c r="A68" s="2" t="s">
        <v>49</v>
      </c>
      <c r="B68" s="2" t="s">
        <v>57</v>
      </c>
      <c r="C68" s="2" t="s">
        <v>69</v>
      </c>
      <c r="D68" s="10">
        <v>4270</v>
      </c>
      <c r="E68" s="8">
        <v>5551</v>
      </c>
      <c r="F68" s="2">
        <v>409</v>
      </c>
      <c r="G68" s="8">
        <v>2270359</v>
      </c>
    </row>
    <row r="69" spans="1:7" x14ac:dyDescent="0.25">
      <c r="A69" s="2" t="s">
        <v>49</v>
      </c>
      <c r="B69" s="2" t="s">
        <v>58</v>
      </c>
      <c r="C69" s="2" t="s">
        <v>71</v>
      </c>
      <c r="D69" s="10">
        <v>5124</v>
      </c>
      <c r="E69" s="8">
        <v>6661.2</v>
      </c>
      <c r="F69" s="2">
        <v>395</v>
      </c>
      <c r="G69" s="8">
        <v>2631174</v>
      </c>
    </row>
    <row r="70" spans="1:7" x14ac:dyDescent="0.25">
      <c r="A70" s="2" t="s">
        <v>49</v>
      </c>
      <c r="B70" s="2" t="s">
        <v>59</v>
      </c>
      <c r="C70" s="2" t="s">
        <v>72</v>
      </c>
      <c r="D70" s="10">
        <v>6415</v>
      </c>
      <c r="E70" s="8">
        <v>8339.5</v>
      </c>
      <c r="F70" s="2">
        <v>298</v>
      </c>
      <c r="G70" s="8">
        <v>2485171</v>
      </c>
    </row>
    <row r="71" spans="1:7" x14ac:dyDescent="0.25">
      <c r="A71" s="2" t="s">
        <v>50</v>
      </c>
      <c r="B71" s="2" t="s">
        <v>63</v>
      </c>
      <c r="C71" s="2" t="s">
        <v>72</v>
      </c>
      <c r="D71" s="10">
        <v>3513</v>
      </c>
      <c r="E71" s="8">
        <v>4566.9000000000005</v>
      </c>
      <c r="F71" s="2">
        <v>324</v>
      </c>
      <c r="G71" s="8">
        <v>1479675.6</v>
      </c>
    </row>
    <row r="72" spans="1:7" x14ac:dyDescent="0.25">
      <c r="A72" s="2" t="s">
        <v>50</v>
      </c>
      <c r="B72" s="2" t="s">
        <v>64</v>
      </c>
      <c r="C72" s="2" t="s">
        <v>72</v>
      </c>
      <c r="D72" s="10">
        <v>3815</v>
      </c>
      <c r="E72" s="8">
        <v>4959.5</v>
      </c>
      <c r="F72" s="2">
        <v>289</v>
      </c>
      <c r="G72" s="8">
        <v>1433295.5</v>
      </c>
    </row>
    <row r="73" spans="1:7" x14ac:dyDescent="0.25">
      <c r="A73" s="2" t="s">
        <v>50</v>
      </c>
      <c r="B73" s="2" t="s">
        <v>65</v>
      </c>
      <c r="C73" s="2" t="s">
        <v>69</v>
      </c>
      <c r="D73" s="10">
        <v>478</v>
      </c>
      <c r="E73" s="8">
        <v>621.4</v>
      </c>
      <c r="F73" s="2">
        <v>211</v>
      </c>
      <c r="G73" s="8">
        <v>131115.4</v>
      </c>
    </row>
    <row r="74" spans="1:7" x14ac:dyDescent="0.25">
      <c r="A74" s="2" t="s">
        <v>50</v>
      </c>
      <c r="B74" s="2" t="s">
        <v>66</v>
      </c>
      <c r="C74" s="2" t="s">
        <v>69</v>
      </c>
      <c r="D74" s="10">
        <v>5614</v>
      </c>
      <c r="E74" s="8">
        <v>7298.2</v>
      </c>
      <c r="F74" s="2">
        <v>108</v>
      </c>
      <c r="G74" s="8">
        <v>788205.6</v>
      </c>
    </row>
    <row r="75" spans="1:7" ht="15.75" thickBot="1" x14ac:dyDescent="0.3"/>
    <row r="76" spans="1:7" ht="16.5" thickTop="1" thickBot="1" x14ac:dyDescent="0.3">
      <c r="A76" s="1" t="s">
        <v>42</v>
      </c>
      <c r="B76" s="1" t="s">
        <v>43</v>
      </c>
      <c r="C76" s="1" t="s">
        <v>44</v>
      </c>
      <c r="D76" s="1" t="s">
        <v>45</v>
      </c>
      <c r="E76" s="1" t="s">
        <v>46</v>
      </c>
      <c r="F76" s="1" t="s">
        <v>47</v>
      </c>
      <c r="G76" s="1" t="s">
        <v>48</v>
      </c>
    </row>
    <row r="77" spans="1:7" ht="15.75" thickTop="1" x14ac:dyDescent="0.25">
      <c r="A77" s="2" t="s">
        <v>49</v>
      </c>
      <c r="B77" s="2" t="s">
        <v>53</v>
      </c>
      <c r="C77" s="2" t="s">
        <v>68</v>
      </c>
      <c r="D77" s="10">
        <v>1430</v>
      </c>
      <c r="E77" s="8">
        <v>1859</v>
      </c>
      <c r="F77" s="2">
        <v>438</v>
      </c>
      <c r="G77" s="8">
        <v>814242</v>
      </c>
    </row>
    <row r="78" spans="1:7" x14ac:dyDescent="0.25">
      <c r="A78" s="2" t="s">
        <v>49</v>
      </c>
      <c r="B78" s="2" t="s">
        <v>53</v>
      </c>
      <c r="C78" s="2" t="s">
        <v>69</v>
      </c>
      <c r="D78" s="10">
        <v>7378</v>
      </c>
      <c r="E78" s="8">
        <v>9591.4</v>
      </c>
      <c r="F78" s="2">
        <v>328</v>
      </c>
      <c r="G78" s="8">
        <v>3145979.1999999997</v>
      </c>
    </row>
    <row r="79" spans="1:7" x14ac:dyDescent="0.25">
      <c r="A79" s="2" t="s">
        <v>49</v>
      </c>
      <c r="B79" s="2" t="s">
        <v>54</v>
      </c>
      <c r="C79" s="2" t="s">
        <v>68</v>
      </c>
      <c r="D79" s="10">
        <v>1716</v>
      </c>
      <c r="E79" s="8">
        <v>2230.8000000000002</v>
      </c>
      <c r="F79" s="2">
        <v>645</v>
      </c>
      <c r="G79" s="8">
        <v>1438866.0000000002</v>
      </c>
    </row>
    <row r="80" spans="1:7" x14ac:dyDescent="0.25">
      <c r="A80" s="2" t="s">
        <v>49</v>
      </c>
      <c r="B80" s="2" t="s">
        <v>57</v>
      </c>
      <c r="C80" s="2" t="s">
        <v>69</v>
      </c>
      <c r="D80" s="10">
        <v>4270</v>
      </c>
      <c r="E80" s="8">
        <v>5551</v>
      </c>
      <c r="F80" s="2">
        <v>409</v>
      </c>
      <c r="G80" s="8">
        <v>2270359</v>
      </c>
    </row>
    <row r="81" spans="1:7" x14ac:dyDescent="0.25">
      <c r="A81" s="2" t="s">
        <v>50</v>
      </c>
      <c r="B81" s="2" t="s">
        <v>65</v>
      </c>
      <c r="C81" s="2" t="s">
        <v>69</v>
      </c>
      <c r="D81" s="10">
        <v>478</v>
      </c>
      <c r="E81" s="8">
        <v>621.4</v>
      </c>
      <c r="F81" s="2">
        <v>211</v>
      </c>
      <c r="G81" s="8">
        <v>131115.4</v>
      </c>
    </row>
    <row r="82" spans="1:7" x14ac:dyDescent="0.25">
      <c r="A82" s="2" t="s">
        <v>50</v>
      </c>
      <c r="B82" s="2" t="s">
        <v>66</v>
      </c>
      <c r="C82" s="2" t="s">
        <v>69</v>
      </c>
      <c r="D82" s="10">
        <v>5614</v>
      </c>
      <c r="E82" s="8">
        <v>7298.2</v>
      </c>
      <c r="F82" s="2">
        <v>108</v>
      </c>
      <c r="G82" s="8">
        <v>788205.6</v>
      </c>
    </row>
    <row r="83" spans="1:7" ht="15.75" thickBot="1" x14ac:dyDescent="0.3"/>
    <row r="84" spans="1:7" ht="16.5" thickTop="1" thickBot="1" x14ac:dyDescent="0.3">
      <c r="C84" s="1" t="s">
        <v>44</v>
      </c>
      <c r="D84" s="1" t="s">
        <v>47</v>
      </c>
      <c r="E84" s="1" t="s">
        <v>48</v>
      </c>
    </row>
    <row r="85" spans="1:7" ht="15.75" thickTop="1" x14ac:dyDescent="0.25">
      <c r="C85" s="82" t="s">
        <v>145</v>
      </c>
      <c r="D85" s="2">
        <v>971</v>
      </c>
      <c r="E85" s="8">
        <v>3117881</v>
      </c>
    </row>
    <row r="86" spans="1:7" x14ac:dyDescent="0.25">
      <c r="C86" s="77" t="s">
        <v>146</v>
      </c>
      <c r="D86" s="2">
        <v>1196</v>
      </c>
      <c r="E86" s="8">
        <v>1422205.2000000002</v>
      </c>
    </row>
    <row r="87" spans="1:7" x14ac:dyDescent="0.25">
      <c r="C87" s="77" t="s">
        <v>147</v>
      </c>
      <c r="D87" s="2">
        <v>1083</v>
      </c>
      <c r="E87" s="8">
        <v>2253108</v>
      </c>
    </row>
    <row r="88" spans="1:7" x14ac:dyDescent="0.25">
      <c r="C88" s="77" t="s">
        <v>148</v>
      </c>
      <c r="D88" s="2">
        <v>693</v>
      </c>
      <c r="E88" s="8">
        <v>5116345</v>
      </c>
    </row>
    <row r="89" spans="1:7" x14ac:dyDescent="0.25">
      <c r="C89" s="77" t="s">
        <v>149</v>
      </c>
      <c r="D89" s="2">
        <v>737</v>
      </c>
      <c r="E89" s="8">
        <v>5416338.1999999993</v>
      </c>
    </row>
    <row r="90" spans="1:7" x14ac:dyDescent="0.25">
      <c r="C90" s="77" t="s">
        <v>145</v>
      </c>
      <c r="D90" s="2">
        <v>437</v>
      </c>
      <c r="E90" s="8">
        <v>1568524.1</v>
      </c>
    </row>
    <row r="91" spans="1:7" x14ac:dyDescent="0.25">
      <c r="C91" s="77" t="s">
        <v>146</v>
      </c>
      <c r="D91" s="2">
        <v>987</v>
      </c>
      <c r="E91" s="8">
        <v>1122576</v>
      </c>
    </row>
    <row r="92" spans="1:7" x14ac:dyDescent="0.25">
      <c r="C92" s="77" t="s">
        <v>148</v>
      </c>
      <c r="D92" s="2">
        <v>613</v>
      </c>
      <c r="E92" s="8">
        <v>2912971.1</v>
      </c>
    </row>
    <row r="93" spans="1:7" x14ac:dyDescent="0.25">
      <c r="C93" s="77" t="s">
        <v>149</v>
      </c>
      <c r="D93" s="2">
        <v>319</v>
      </c>
      <c r="E93" s="8">
        <v>919321</v>
      </c>
    </row>
    <row r="94" spans="1:7" x14ac:dyDescent="0.25">
      <c r="C94" s="77" t="s">
        <v>106</v>
      </c>
      <c r="D94" s="2">
        <v>7036</v>
      </c>
      <c r="E94" s="8">
        <v>23849269.600000001</v>
      </c>
    </row>
    <row r="95" spans="1:7" ht="15.75" thickBot="1" x14ac:dyDescent="0.3"/>
    <row r="96" spans="1:7" ht="16.5" thickTop="1" thickBot="1" x14ac:dyDescent="0.3">
      <c r="C96" s="1" t="s">
        <v>42</v>
      </c>
      <c r="D96" s="1" t="s">
        <v>45</v>
      </c>
      <c r="E96" s="1" t="s">
        <v>46</v>
      </c>
    </row>
    <row r="97" spans="3:5" ht="15.75" thickTop="1" x14ac:dyDescent="0.25">
      <c r="C97" s="77" t="s">
        <v>142</v>
      </c>
      <c r="D97" s="10">
        <v>3309.3</v>
      </c>
      <c r="E97" s="8">
        <v>4302.09</v>
      </c>
    </row>
    <row r="98" spans="3:5" x14ac:dyDescent="0.25">
      <c r="C98" s="77" t="s">
        <v>143</v>
      </c>
      <c r="D98" s="10">
        <v>2597.2857142857142</v>
      </c>
      <c r="E98" s="8">
        <v>3376.4714285714285</v>
      </c>
    </row>
    <row r="99" spans="3:5" x14ac:dyDescent="0.25">
      <c r="C99" s="77" t="s">
        <v>144</v>
      </c>
      <c r="D99" s="10">
        <v>3016.1176470588234</v>
      </c>
      <c r="E99" s="8">
        <v>3920.9529411764711</v>
      </c>
    </row>
  </sheetData>
  <sortState ref="A2:G18">
    <sortCondition ref="A2:A18"/>
    <sortCondition ref="C2:C18"/>
    <sortCondition ref="E2:E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3"/>
  <sheetViews>
    <sheetView tabSelected="1" workbookViewId="0">
      <selection activeCell="H10" sqref="H10"/>
    </sheetView>
  </sheetViews>
  <sheetFormatPr defaultRowHeight="15" x14ac:dyDescent="0.25"/>
  <cols>
    <col min="1" max="1" width="8.140625" bestFit="1" customWidth="1"/>
    <col min="2" max="2" width="13.140625" bestFit="1" customWidth="1"/>
    <col min="3" max="3" width="8.42578125" bestFit="1" customWidth="1"/>
    <col min="4" max="4" width="12.85546875" bestFit="1" customWidth="1"/>
    <col min="6" max="6" width="18.140625" bestFit="1" customWidth="1"/>
    <col min="7" max="7" width="9.42578125" customWidth="1"/>
    <col min="8" max="8" width="9.28515625" customWidth="1"/>
  </cols>
  <sheetData>
    <row r="1" spans="1:8" x14ac:dyDescent="0.25">
      <c r="A1" s="36" t="s">
        <v>75</v>
      </c>
      <c r="B1" s="42"/>
    </row>
    <row r="3" spans="1:8" x14ac:dyDescent="0.25">
      <c r="A3" s="36" t="s">
        <v>76</v>
      </c>
      <c r="B3" s="36" t="s">
        <v>77</v>
      </c>
      <c r="C3" s="36" t="s">
        <v>35</v>
      </c>
      <c r="D3" s="36" t="s">
        <v>36</v>
      </c>
      <c r="E3" s="32"/>
      <c r="F3" s="34" t="s">
        <v>92</v>
      </c>
      <c r="G3" s="43">
        <f>AVERAGE($C$4:$C$12)</f>
        <v>5271.5555555555557</v>
      </c>
    </row>
    <row r="4" spans="1:8" ht="30" x14ac:dyDescent="0.25">
      <c r="A4" s="37" t="s">
        <v>78</v>
      </c>
      <c r="B4" s="38" t="s">
        <v>80</v>
      </c>
      <c r="C4" s="40">
        <v>4000</v>
      </c>
      <c r="D4" s="40"/>
      <c r="E4" s="32"/>
      <c r="F4" s="35" t="s">
        <v>89</v>
      </c>
      <c r="G4" s="43">
        <f>MAX($C$4:$C$12)</f>
        <v>9000</v>
      </c>
    </row>
    <row r="5" spans="1:8" ht="30" x14ac:dyDescent="0.25">
      <c r="A5" s="37" t="s">
        <v>78</v>
      </c>
      <c r="B5" s="38" t="s">
        <v>81</v>
      </c>
      <c r="C5" s="40">
        <v>4000</v>
      </c>
      <c r="D5" s="40"/>
      <c r="E5" s="32"/>
      <c r="F5" s="35" t="s">
        <v>90</v>
      </c>
      <c r="G5" s="43">
        <f>MIN($C$4:$C$12)</f>
        <v>3000</v>
      </c>
    </row>
    <row r="6" spans="1:8" ht="30" x14ac:dyDescent="0.25">
      <c r="A6" s="37" t="s">
        <v>78</v>
      </c>
      <c r="B6" s="38" t="s">
        <v>82</v>
      </c>
      <c r="C6" s="40">
        <v>4000</v>
      </c>
      <c r="D6" s="40"/>
      <c r="E6" s="32"/>
      <c r="F6" s="35" t="s">
        <v>91</v>
      </c>
      <c r="G6" s="41">
        <f>COUNTA($D$4:$D$12)</f>
        <v>3</v>
      </c>
    </row>
    <row r="7" spans="1:8" x14ac:dyDescent="0.25">
      <c r="A7" s="37" t="s">
        <v>79</v>
      </c>
      <c r="B7" s="38" t="s">
        <v>83</v>
      </c>
      <c r="C7" s="40">
        <v>3000</v>
      </c>
      <c r="D7" s="40"/>
      <c r="E7" s="32"/>
      <c r="F7" s="32"/>
      <c r="G7" s="32"/>
    </row>
    <row r="8" spans="1:8" x14ac:dyDescent="0.25">
      <c r="A8" s="37" t="s">
        <v>79</v>
      </c>
      <c r="B8" s="38" t="s">
        <v>84</v>
      </c>
      <c r="C8" s="40">
        <v>4444</v>
      </c>
      <c r="D8" s="40"/>
      <c r="E8" s="32"/>
      <c r="F8" s="34" t="s">
        <v>76</v>
      </c>
      <c r="G8" s="35" t="s">
        <v>78</v>
      </c>
      <c r="H8" s="35" t="s">
        <v>79</v>
      </c>
    </row>
    <row r="9" spans="1:8" ht="30" x14ac:dyDescent="0.25">
      <c r="A9" s="37" t="s">
        <v>79</v>
      </c>
      <c r="B9" s="38" t="s">
        <v>85</v>
      </c>
      <c r="C9" s="40">
        <v>6000</v>
      </c>
      <c r="D9" s="40"/>
      <c r="E9" s="32"/>
      <c r="F9" s="35" t="s">
        <v>93</v>
      </c>
      <c r="G9" s="41">
        <f>COUNTIF($A$4:$A$12,G8)</f>
        <v>3</v>
      </c>
      <c r="H9" s="41">
        <f>COUNTIF($A$4:$A$12,H8)</f>
        <v>6</v>
      </c>
    </row>
    <row r="10" spans="1:8" ht="45" x14ac:dyDescent="0.25">
      <c r="A10" s="37" t="s">
        <v>79</v>
      </c>
      <c r="B10" s="38" t="s">
        <v>86</v>
      </c>
      <c r="C10" s="40">
        <v>8000</v>
      </c>
      <c r="D10" s="40">
        <v>1600</v>
      </c>
      <c r="E10" s="32"/>
      <c r="F10" s="35" t="s">
        <v>94</v>
      </c>
      <c r="G10" s="43">
        <f>SUMIF($A$4:$A$12,G8,$C$4:$D$12)</f>
        <v>12000</v>
      </c>
      <c r="H10" s="43">
        <f>SUMIF($A$4:$A$12,H8,$C$4:$D$12)</f>
        <v>35444</v>
      </c>
    </row>
    <row r="11" spans="1:8" x14ac:dyDescent="0.25">
      <c r="A11" s="37" t="s">
        <v>79</v>
      </c>
      <c r="B11" s="38" t="s">
        <v>87</v>
      </c>
      <c r="C11" s="40">
        <v>9000</v>
      </c>
      <c r="D11" s="40">
        <v>1800</v>
      </c>
      <c r="E11" s="32"/>
      <c r="F11" s="32"/>
      <c r="G11" s="32"/>
    </row>
    <row r="12" spans="1:8" x14ac:dyDescent="0.25">
      <c r="A12" s="37" t="s">
        <v>79</v>
      </c>
      <c r="B12" s="39" t="s">
        <v>88</v>
      </c>
      <c r="C12" s="40">
        <v>5000</v>
      </c>
      <c r="D12" s="40">
        <v>1000</v>
      </c>
      <c r="E12" s="32"/>
      <c r="F12" s="32"/>
      <c r="G12" s="32"/>
    </row>
    <row r="13" spans="1:8" x14ac:dyDescent="0.25">
      <c r="D13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16"/>
  <sheetViews>
    <sheetView workbookViewId="0">
      <selection activeCell="D12" sqref="D12"/>
    </sheetView>
  </sheetViews>
  <sheetFormatPr defaultRowHeight="15" x14ac:dyDescent="0.25"/>
  <cols>
    <col min="1" max="1" width="7.85546875" customWidth="1"/>
    <col min="2" max="3" width="9.28515625" customWidth="1"/>
    <col min="4" max="4" width="9.5703125" customWidth="1"/>
    <col min="5" max="5" width="14.28515625" customWidth="1"/>
  </cols>
  <sheetData>
    <row r="1" spans="1:7" ht="45" x14ac:dyDescent="0.25">
      <c r="A1" s="44" t="s">
        <v>95</v>
      </c>
      <c r="B1" s="44" t="s">
        <v>96</v>
      </c>
      <c r="C1" s="44" t="s">
        <v>97</v>
      </c>
      <c r="D1" s="44" t="s">
        <v>98</v>
      </c>
      <c r="E1" s="44" t="s">
        <v>99</v>
      </c>
      <c r="F1" s="33"/>
      <c r="G1" s="33"/>
    </row>
    <row r="2" spans="1:7" x14ac:dyDescent="0.25">
      <c r="A2" s="45">
        <v>1</v>
      </c>
      <c r="B2" s="46" t="s">
        <v>80</v>
      </c>
      <c r="C2" s="45">
        <v>123456</v>
      </c>
      <c r="D2" s="45" t="s">
        <v>100</v>
      </c>
      <c r="E2" s="42"/>
    </row>
    <row r="3" spans="1:7" x14ac:dyDescent="0.25">
      <c r="A3" s="45">
        <v>2</v>
      </c>
      <c r="B3" s="46" t="s">
        <v>81</v>
      </c>
      <c r="C3" s="45">
        <v>123478</v>
      </c>
      <c r="D3" s="45" t="s">
        <v>101</v>
      </c>
      <c r="E3" s="42"/>
    </row>
    <row r="4" spans="1:7" x14ac:dyDescent="0.25">
      <c r="A4" s="45">
        <v>3</v>
      </c>
      <c r="B4" s="46" t="s">
        <v>82</v>
      </c>
      <c r="C4" s="45">
        <v>123500</v>
      </c>
      <c r="D4" s="45" t="s">
        <v>102</v>
      </c>
      <c r="E4" s="42"/>
    </row>
    <row r="5" spans="1:7" x14ac:dyDescent="0.25">
      <c r="A5" s="45">
        <v>4</v>
      </c>
      <c r="B5" s="46" t="s">
        <v>83</v>
      </c>
      <c r="C5" s="45">
        <v>123522</v>
      </c>
      <c r="D5" s="45" t="s">
        <v>101</v>
      </c>
      <c r="E5" s="42"/>
    </row>
    <row r="6" spans="1:7" x14ac:dyDescent="0.25">
      <c r="A6" s="45">
        <v>5</v>
      </c>
      <c r="B6" s="46" t="s">
        <v>84</v>
      </c>
      <c r="C6" s="45">
        <v>123544</v>
      </c>
      <c r="D6" s="45" t="s">
        <v>100</v>
      </c>
      <c r="E6" s="42"/>
    </row>
    <row r="7" spans="1:7" x14ac:dyDescent="0.25">
      <c r="A7" s="45">
        <v>6</v>
      </c>
      <c r="B7" s="46" t="s">
        <v>85</v>
      </c>
      <c r="C7" s="45">
        <v>123566</v>
      </c>
      <c r="D7" s="45" t="s">
        <v>100</v>
      </c>
      <c r="E7" s="42"/>
    </row>
    <row r="8" spans="1:7" x14ac:dyDescent="0.25">
      <c r="A8" s="45">
        <v>7</v>
      </c>
      <c r="B8" s="46" t="s">
        <v>86</v>
      </c>
      <c r="C8" s="45">
        <v>123588</v>
      </c>
      <c r="D8" s="45" t="s">
        <v>102</v>
      </c>
      <c r="E8" s="42"/>
    </row>
    <row r="9" spans="1:7" x14ac:dyDescent="0.25">
      <c r="A9" s="45">
        <v>8</v>
      </c>
      <c r="B9" s="46" t="s">
        <v>87</v>
      </c>
      <c r="C9" s="45">
        <v>123610</v>
      </c>
      <c r="D9" s="45" t="s">
        <v>103</v>
      </c>
      <c r="E9" s="42"/>
    </row>
    <row r="10" spans="1:7" x14ac:dyDescent="0.25">
      <c r="A10" s="45">
        <v>9</v>
      </c>
      <c r="B10" s="46" t="s">
        <v>88</v>
      </c>
      <c r="C10" s="45">
        <v>123632</v>
      </c>
      <c r="D10" s="45" t="s">
        <v>100</v>
      </c>
      <c r="E10" s="42"/>
    </row>
    <row r="12" spans="1:7" x14ac:dyDescent="0.25">
      <c r="C12" s="42" t="s">
        <v>100</v>
      </c>
      <c r="D12" s="47">
        <f>COUNTIF($D$2:$D$10,C12)</f>
        <v>4</v>
      </c>
    </row>
    <row r="13" spans="1:7" x14ac:dyDescent="0.25">
      <c r="C13" s="42" t="s">
        <v>101</v>
      </c>
      <c r="D13" s="47">
        <f t="shared" ref="D13:D16" si="0">COUNTIF($D$2:$D$10,C13)</f>
        <v>2</v>
      </c>
    </row>
    <row r="14" spans="1:7" x14ac:dyDescent="0.25">
      <c r="C14" s="42" t="s">
        <v>102</v>
      </c>
      <c r="D14" s="47">
        <f t="shared" si="0"/>
        <v>2</v>
      </c>
    </row>
    <row r="15" spans="1:7" x14ac:dyDescent="0.25">
      <c r="C15" s="42" t="s">
        <v>104</v>
      </c>
      <c r="D15" s="47">
        <f t="shared" si="0"/>
        <v>0</v>
      </c>
    </row>
    <row r="16" spans="1:7" x14ac:dyDescent="0.25">
      <c r="C16" s="42" t="s">
        <v>103</v>
      </c>
      <c r="D16" s="47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applyStyles="1"/>
  </sheetPr>
  <dimension ref="A1:I38"/>
  <sheetViews>
    <sheetView workbookViewId="0">
      <selection activeCell="K6" sqref="K6"/>
    </sheetView>
  </sheetViews>
  <sheetFormatPr defaultRowHeight="15" x14ac:dyDescent="0.25"/>
  <cols>
    <col min="1" max="1" width="12.5703125" customWidth="1"/>
    <col min="2" max="2" width="13.7109375" bestFit="1" customWidth="1"/>
    <col min="3" max="3" width="20.7109375" customWidth="1"/>
    <col min="4" max="4" width="17.5703125" bestFit="1" customWidth="1"/>
    <col min="5" max="5" width="10.28515625" bestFit="1" customWidth="1"/>
    <col min="6" max="6" width="7.28515625" bestFit="1" customWidth="1"/>
    <col min="7" max="7" width="22.5703125" customWidth="1"/>
    <col min="8" max="8" width="20.85546875" customWidth="1"/>
    <col min="9" max="9" width="11.85546875" customWidth="1"/>
    <col min="10" max="10" width="27.28515625" bestFit="1" customWidth="1"/>
    <col min="11" max="11" width="28.28515625" bestFit="1" customWidth="1"/>
    <col min="12" max="14" width="11.85546875" bestFit="1" customWidth="1"/>
    <col min="15" max="15" width="8.5703125" bestFit="1" customWidth="1"/>
    <col min="16" max="16" width="6.85546875" bestFit="1" customWidth="1"/>
    <col min="17" max="17" width="9.5703125" bestFit="1" customWidth="1"/>
    <col min="18" max="18" width="6.85546875" bestFit="1" customWidth="1"/>
    <col min="19" max="19" width="9.5703125" bestFit="1" customWidth="1"/>
    <col min="20" max="20" width="11.85546875" bestFit="1" customWidth="1"/>
  </cols>
  <sheetData>
    <row r="1" spans="1:9" ht="16.5" thickTop="1" thickBot="1" x14ac:dyDescent="0.3">
      <c r="A1" s="52" t="s">
        <v>109</v>
      </c>
      <c r="B1" s="52" t="s">
        <v>48</v>
      </c>
      <c r="C1" s="52" t="s">
        <v>110</v>
      </c>
      <c r="D1" s="52" t="s">
        <v>111</v>
      </c>
      <c r="F1" s="33"/>
      <c r="G1" s="48" t="s">
        <v>107</v>
      </c>
      <c r="H1" s="48" t="s">
        <v>108</v>
      </c>
    </row>
    <row r="2" spans="1:9" ht="15.75" thickTop="1" x14ac:dyDescent="0.25">
      <c r="A2" s="53" t="s">
        <v>117</v>
      </c>
      <c r="B2" s="54">
        <v>3029</v>
      </c>
      <c r="C2" s="54" t="s">
        <v>119</v>
      </c>
      <c r="D2" s="55" t="s">
        <v>112</v>
      </c>
      <c r="G2" s="48" t="s">
        <v>105</v>
      </c>
      <c r="H2" t="s">
        <v>8</v>
      </c>
      <c r="I2" t="s">
        <v>106</v>
      </c>
    </row>
    <row r="3" spans="1:9" x14ac:dyDescent="0.25">
      <c r="A3" s="56" t="s">
        <v>117</v>
      </c>
      <c r="B3" s="57">
        <v>1950</v>
      </c>
      <c r="C3" s="57" t="s">
        <v>113</v>
      </c>
      <c r="D3" s="58" t="s">
        <v>113</v>
      </c>
      <c r="G3" s="49" t="s">
        <v>112</v>
      </c>
      <c r="H3" s="50">
        <v>1100</v>
      </c>
      <c r="I3" s="50">
        <v>1100</v>
      </c>
    </row>
    <row r="4" spans="1:9" x14ac:dyDescent="0.25">
      <c r="A4" s="56" t="s">
        <v>117</v>
      </c>
      <c r="B4" s="57">
        <v>550</v>
      </c>
      <c r="C4" s="57" t="s">
        <v>121</v>
      </c>
      <c r="D4" s="58" t="s">
        <v>113</v>
      </c>
      <c r="G4" s="49" t="s">
        <v>113</v>
      </c>
      <c r="H4" s="50">
        <v>2500</v>
      </c>
      <c r="I4" s="50">
        <v>2500</v>
      </c>
    </row>
    <row r="5" spans="1:9" x14ac:dyDescent="0.25">
      <c r="A5" s="56" t="s">
        <v>117</v>
      </c>
      <c r="B5" s="57">
        <v>450</v>
      </c>
      <c r="C5" s="57" t="s">
        <v>122</v>
      </c>
      <c r="D5" s="58" t="s">
        <v>114</v>
      </c>
      <c r="G5" s="49" t="s">
        <v>114</v>
      </c>
      <c r="H5" s="50">
        <v>830</v>
      </c>
      <c r="I5" s="50">
        <v>830</v>
      </c>
    </row>
    <row r="6" spans="1:9" x14ac:dyDescent="0.25">
      <c r="A6" s="56" t="s">
        <v>117</v>
      </c>
      <c r="B6" s="57">
        <v>750</v>
      </c>
      <c r="C6" s="57" t="s">
        <v>125</v>
      </c>
      <c r="D6" s="58" t="s">
        <v>116</v>
      </c>
      <c r="G6" s="49" t="s">
        <v>115</v>
      </c>
      <c r="H6" s="50">
        <v>2900</v>
      </c>
      <c r="I6" s="50">
        <v>2900</v>
      </c>
    </row>
    <row r="7" spans="1:9" x14ac:dyDescent="0.25">
      <c r="A7" s="56" t="s">
        <v>118</v>
      </c>
      <c r="B7" s="57">
        <v>1950</v>
      </c>
      <c r="C7" s="57" t="s">
        <v>113</v>
      </c>
      <c r="D7" s="58" t="s">
        <v>113</v>
      </c>
      <c r="G7" s="49" t="s">
        <v>116</v>
      </c>
      <c r="H7" s="50">
        <v>750</v>
      </c>
      <c r="I7" s="50">
        <v>750</v>
      </c>
    </row>
    <row r="8" spans="1:9" x14ac:dyDescent="0.25">
      <c r="A8" s="56" t="s">
        <v>118</v>
      </c>
      <c r="B8" s="57">
        <v>550</v>
      </c>
      <c r="C8" s="57" t="s">
        <v>121</v>
      </c>
      <c r="D8" s="58" t="s">
        <v>113</v>
      </c>
      <c r="G8" s="49" t="s">
        <v>106</v>
      </c>
      <c r="H8" s="50">
        <v>8080</v>
      </c>
      <c r="I8" s="50">
        <v>8080</v>
      </c>
    </row>
    <row r="9" spans="1:9" x14ac:dyDescent="0.25">
      <c r="A9" s="56" t="s">
        <v>118</v>
      </c>
      <c r="B9" s="57">
        <v>750</v>
      </c>
      <c r="C9" s="57" t="s">
        <v>125</v>
      </c>
      <c r="D9" s="58" t="s">
        <v>116</v>
      </c>
    </row>
    <row r="10" spans="1:9" x14ac:dyDescent="0.25">
      <c r="A10" s="56" t="s">
        <v>8</v>
      </c>
      <c r="B10" s="57">
        <v>1100</v>
      </c>
      <c r="C10" s="57" t="s">
        <v>120</v>
      </c>
      <c r="D10" s="58" t="s">
        <v>112</v>
      </c>
    </row>
    <row r="11" spans="1:9" x14ac:dyDescent="0.25">
      <c r="A11" s="56" t="s">
        <v>8</v>
      </c>
      <c r="B11" s="57">
        <v>1950</v>
      </c>
      <c r="C11" s="57" t="s">
        <v>113</v>
      </c>
      <c r="D11" s="58" t="s">
        <v>113</v>
      </c>
    </row>
    <row r="12" spans="1:9" x14ac:dyDescent="0.25">
      <c r="A12" s="56" t="s">
        <v>8</v>
      </c>
      <c r="B12" s="57">
        <v>550</v>
      </c>
      <c r="C12" s="57" t="s">
        <v>121</v>
      </c>
      <c r="D12" s="58" t="s">
        <v>113</v>
      </c>
    </row>
    <row r="13" spans="1:9" x14ac:dyDescent="0.25">
      <c r="A13" s="56" t="s">
        <v>8</v>
      </c>
      <c r="B13" s="57">
        <v>180</v>
      </c>
      <c r="C13" s="57" t="s">
        <v>122</v>
      </c>
      <c r="D13" s="58" t="s">
        <v>114</v>
      </c>
    </row>
    <row r="14" spans="1:9" x14ac:dyDescent="0.25">
      <c r="A14" s="56" t="s">
        <v>8</v>
      </c>
      <c r="B14" s="57">
        <v>650</v>
      </c>
      <c r="C14" s="57" t="s">
        <v>123</v>
      </c>
      <c r="D14" s="58" t="s">
        <v>114</v>
      </c>
    </row>
    <row r="15" spans="1:9" x14ac:dyDescent="0.25">
      <c r="A15" s="56" t="s">
        <v>8</v>
      </c>
      <c r="B15" s="57">
        <v>2900</v>
      </c>
      <c r="C15" s="57" t="s">
        <v>124</v>
      </c>
      <c r="D15" s="58" t="s">
        <v>115</v>
      </c>
    </row>
    <row r="16" spans="1:9" ht="15.75" thickBot="1" x14ac:dyDescent="0.3">
      <c r="A16" s="59" t="s">
        <v>8</v>
      </c>
      <c r="B16" s="60">
        <v>750</v>
      </c>
      <c r="C16" s="60" t="s">
        <v>125</v>
      </c>
      <c r="D16" s="61" t="s">
        <v>116</v>
      </c>
    </row>
    <row r="17" ht="15.75" thickTop="1" x14ac:dyDescent="0.25"/>
    <row r="33" spans="1:2" ht="15.75" thickBot="1" x14ac:dyDescent="0.3"/>
    <row r="34" spans="1:2" ht="16.5" thickTop="1" thickBot="1" x14ac:dyDescent="0.3">
      <c r="A34" s="52" t="s">
        <v>109</v>
      </c>
      <c r="B34" s="52" t="s">
        <v>48</v>
      </c>
    </row>
    <row r="35" spans="1:2" ht="15.75" thickTop="1" x14ac:dyDescent="0.25">
      <c r="A35" s="62" t="s">
        <v>126</v>
      </c>
      <c r="B35" s="57">
        <v>6729</v>
      </c>
    </row>
    <row r="36" spans="1:2" x14ac:dyDescent="0.25">
      <c r="A36" s="62" t="s">
        <v>127</v>
      </c>
      <c r="B36" s="57">
        <v>3250</v>
      </c>
    </row>
    <row r="37" spans="1:2" x14ac:dyDescent="0.25">
      <c r="A37" s="84" t="s">
        <v>128</v>
      </c>
      <c r="B37" s="83">
        <v>8080</v>
      </c>
    </row>
    <row r="38" spans="1:2" x14ac:dyDescent="0.25">
      <c r="A38" s="84" t="s">
        <v>106</v>
      </c>
      <c r="B38" s="83">
        <v>18059</v>
      </c>
    </row>
  </sheetData>
  <sortState ref="B3:E18">
    <sortCondition descending="1" ref="B2"/>
  </sortState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9"/>
  <sheetViews>
    <sheetView workbookViewId="0">
      <selection activeCell="E3" sqref="E3"/>
    </sheetView>
  </sheetViews>
  <sheetFormatPr defaultRowHeight="15" x14ac:dyDescent="0.25"/>
  <cols>
    <col min="1" max="1" width="19" bestFit="1" customWidth="1"/>
    <col min="2" max="2" width="10.140625" bestFit="1" customWidth="1"/>
    <col min="3" max="3" width="5" bestFit="1" customWidth="1"/>
    <col min="4" max="4" width="41.85546875" bestFit="1" customWidth="1"/>
    <col min="5" max="5" width="4" bestFit="1" customWidth="1"/>
    <col min="6" max="9" width="11.85546875" customWidth="1"/>
  </cols>
  <sheetData>
    <row r="1" spans="1:5" x14ac:dyDescent="0.25">
      <c r="A1" s="51" t="s">
        <v>129</v>
      </c>
      <c r="B1" s="73">
        <f ca="1">TODAY()</f>
        <v>43760</v>
      </c>
      <c r="C1" s="51"/>
      <c r="D1" s="51" t="s">
        <v>130</v>
      </c>
      <c r="E1" s="70">
        <f ca="1">B1-DATE(YEAR(TODAY()),1,1)+1</f>
        <v>295</v>
      </c>
    </row>
    <row r="2" spans="1:5" ht="15.75" x14ac:dyDescent="0.25">
      <c r="A2" s="51" t="s">
        <v>131</v>
      </c>
      <c r="B2" s="74">
        <f ca="1">DAY(TODAY())</f>
        <v>22</v>
      </c>
      <c r="C2" s="51"/>
      <c r="D2" s="72" t="s">
        <v>132</v>
      </c>
      <c r="E2" s="69">
        <f ca="1">DATE(YEAR(B1),12,31)-B1</f>
        <v>70</v>
      </c>
    </row>
    <row r="3" spans="1:5" x14ac:dyDescent="0.25">
      <c r="A3" s="51" t="s">
        <v>75</v>
      </c>
      <c r="B3" s="74">
        <f ca="1">MONTH(TODAY())</f>
        <v>10</v>
      </c>
      <c r="C3" s="51"/>
      <c r="D3" s="51" t="s">
        <v>133</v>
      </c>
      <c r="E3" s="70">
        <f ca="1">EOMONTH(TODAY(),0)-TODAY()</f>
        <v>9</v>
      </c>
    </row>
    <row r="4" spans="1:5" ht="15.75" x14ac:dyDescent="0.25">
      <c r="A4" s="51" t="s">
        <v>134</v>
      </c>
      <c r="B4" s="74">
        <f ca="1">YEAR(TODAY())</f>
        <v>2019</v>
      </c>
      <c r="C4" s="51"/>
      <c r="D4" s="72" t="s">
        <v>135</v>
      </c>
      <c r="E4" s="71">
        <f ca="1">7-WEEKDAY(B1,2)</f>
        <v>5</v>
      </c>
    </row>
    <row r="5" spans="1:5" x14ac:dyDescent="0.25">
      <c r="A5" s="51" t="s">
        <v>136</v>
      </c>
      <c r="B5" s="68" t="str">
        <f ca="1">TEXT(B1,"дддд")</f>
        <v>вторник</v>
      </c>
      <c r="C5" s="51"/>
      <c r="D5" s="51"/>
      <c r="E5" s="69"/>
    </row>
    <row r="6" spans="1:5" x14ac:dyDescent="0.25">
      <c r="A6" s="51" t="s">
        <v>137</v>
      </c>
      <c r="B6" s="73">
        <v>37241</v>
      </c>
      <c r="C6" s="51"/>
      <c r="D6" s="51"/>
      <c r="E6" s="69"/>
    </row>
    <row r="7" spans="1:5" x14ac:dyDescent="0.25">
      <c r="A7" s="51" t="s">
        <v>138</v>
      </c>
      <c r="B7" s="75">
        <f ca="1">YEARFRAC(B6,B1)</f>
        <v>17.850000000000001</v>
      </c>
      <c r="C7" s="51"/>
      <c r="D7" s="51"/>
      <c r="E7" s="69"/>
    </row>
    <row r="8" spans="1:5" x14ac:dyDescent="0.25">
      <c r="A8" s="51" t="s">
        <v>139</v>
      </c>
      <c r="B8" s="76">
        <f ca="1">_xlfn.DAYS(B1,B6)</f>
        <v>6519</v>
      </c>
      <c r="C8" s="51">
        <f ca="1">DATEDIF(B6,B1,"d")</f>
        <v>6519</v>
      </c>
      <c r="D8" s="51"/>
      <c r="E8" s="69"/>
    </row>
    <row r="9" spans="1:5" x14ac:dyDescent="0.25">
      <c r="A9" s="51" t="s">
        <v>140</v>
      </c>
      <c r="B9" s="76">
        <f ca="1">DATEDIF(B6,B1,"m")</f>
        <v>214</v>
      </c>
      <c r="C9" s="51"/>
      <c r="D9" s="51"/>
      <c r="E9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1" sqref="C11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13.42578125" bestFit="1" customWidth="1"/>
  </cols>
  <sheetData>
    <row r="1" spans="1:3" x14ac:dyDescent="0.25">
      <c r="A1" s="81" t="s">
        <v>141</v>
      </c>
      <c r="B1" s="81"/>
      <c r="C1" s="81"/>
    </row>
    <row r="2" spans="1:3" x14ac:dyDescent="0.25">
      <c r="A2" s="32">
        <v>1</v>
      </c>
      <c r="B2" s="63">
        <v>43478</v>
      </c>
      <c r="C2" t="str">
        <f>TEXT(B2,"дддд")</f>
        <v>воскресенье</v>
      </c>
    </row>
    <row r="3" spans="1:3" x14ac:dyDescent="0.25">
      <c r="A3" s="32">
        <v>2</v>
      </c>
      <c r="B3" s="63">
        <v>43509</v>
      </c>
      <c r="C3" t="str">
        <f t="shared" ref="C3:C13" si="0">TEXT(B3,"дддд")</f>
        <v>среда</v>
      </c>
    </row>
    <row r="4" spans="1:3" x14ac:dyDescent="0.25">
      <c r="A4" s="32">
        <v>3</v>
      </c>
      <c r="B4" s="63">
        <v>43537</v>
      </c>
      <c r="C4" t="str">
        <f t="shared" si="0"/>
        <v>среда</v>
      </c>
    </row>
    <row r="5" spans="1:3" x14ac:dyDescent="0.25">
      <c r="A5" s="32">
        <v>4</v>
      </c>
      <c r="B5" s="63">
        <v>43568</v>
      </c>
      <c r="C5" t="str">
        <f t="shared" si="0"/>
        <v>суббота</v>
      </c>
    </row>
    <row r="6" spans="1:3" x14ac:dyDescent="0.25">
      <c r="A6" s="32">
        <v>5</v>
      </c>
      <c r="B6" s="63">
        <v>43598</v>
      </c>
      <c r="C6" t="str">
        <f t="shared" si="0"/>
        <v>понедельник</v>
      </c>
    </row>
    <row r="7" spans="1:3" x14ac:dyDescent="0.25">
      <c r="A7" s="32">
        <v>6</v>
      </c>
      <c r="B7" s="63">
        <v>43629</v>
      </c>
      <c r="C7" t="str">
        <f t="shared" si="0"/>
        <v>четверг</v>
      </c>
    </row>
    <row r="8" spans="1:3" x14ac:dyDescent="0.25">
      <c r="A8" s="32">
        <v>7</v>
      </c>
      <c r="B8" s="63">
        <v>43659</v>
      </c>
      <c r="C8" t="str">
        <f t="shared" si="0"/>
        <v>суббота</v>
      </c>
    </row>
    <row r="9" spans="1:3" x14ac:dyDescent="0.25">
      <c r="A9" s="32">
        <v>8</v>
      </c>
      <c r="B9" s="63">
        <v>43690</v>
      </c>
      <c r="C9" t="str">
        <f t="shared" si="0"/>
        <v>вторник</v>
      </c>
    </row>
    <row r="10" spans="1:3" x14ac:dyDescent="0.25">
      <c r="A10" s="32">
        <v>9</v>
      </c>
      <c r="B10" s="63">
        <v>43721</v>
      </c>
      <c r="C10" t="str">
        <f t="shared" si="0"/>
        <v>пятница</v>
      </c>
    </row>
    <row r="11" spans="1:3" x14ac:dyDescent="0.25">
      <c r="A11" s="32">
        <v>10</v>
      </c>
      <c r="B11" s="63">
        <v>43751</v>
      </c>
      <c r="C11" t="str">
        <f t="shared" si="0"/>
        <v>воскресенье</v>
      </c>
    </row>
    <row r="12" spans="1:3" x14ac:dyDescent="0.25">
      <c r="A12" s="32">
        <v>11</v>
      </c>
      <c r="B12" s="63">
        <v>43782</v>
      </c>
      <c r="C12" t="str">
        <f t="shared" si="0"/>
        <v>среда</v>
      </c>
    </row>
    <row r="13" spans="1:3" x14ac:dyDescent="0.25">
      <c r="A13" s="32">
        <v>12</v>
      </c>
      <c r="B13" s="63">
        <v>43812</v>
      </c>
      <c r="C13" t="str">
        <f t="shared" si="0"/>
        <v>пятница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Диаграммы</vt:lpstr>
      </vt:variant>
      <vt:variant>
        <vt:i4>1</vt:i4>
      </vt:variant>
    </vt:vector>
  </HeadingPairs>
  <TitlesOfParts>
    <vt:vector size="11" baseType="lpstr">
      <vt:lpstr>Бюджет</vt:lpstr>
      <vt:lpstr>Диаграмма 1</vt:lpstr>
      <vt:lpstr>Ведомость сотрудников</vt:lpstr>
      <vt:lpstr>Ассортимент</vt:lpstr>
      <vt:lpstr>ЗП сотрудников</vt:lpstr>
      <vt:lpstr>Учёба</vt:lpstr>
      <vt:lpstr>Сводные таблицы</vt:lpstr>
      <vt:lpstr>Дата-Время</vt:lpstr>
      <vt:lpstr>2019 год</vt:lpstr>
      <vt:lpstr>Расчёт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2019-10-22T08:46:01Z</dcterms:modified>
</cp:coreProperties>
</file>